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30" i="7" s="1"/>
  <c r="A85" i="7" l="1"/>
  <c r="A1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<sst xmlns="http://schemas.openxmlformats.org/spreadsheetml/2006/main" count="97" uniqueCount="81">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</sst>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IV Kwartały 2022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45622468853.79</f>
        <v>45622468853.790001</v>
      </c>
      <c r="C13" s="21">
        <f>23498612252.12</f>
        <v>23498612252.119999</v>
      </c>
      <c r="D13" s="21">
        <f>451151584.8</f>
        <v>451151584.80000001</v>
      </c>
      <c r="E13" s="21">
        <f>2060.48</f>
        <v>2060.48</v>
      </c>
      <c r="F13" s="21">
        <f>250739112.1</f>
        <v>250739112.09999999</v>
      </c>
      <c r="G13" s="21">
        <f>200410274.53</f>
        <v>200410274.53</v>
      </c>
      <c r="H13" s="21">
        <f>137.69</f>
        <v>137.69</v>
      </c>
      <c r="I13" s="21">
        <f>0</f>
        <v>0</v>
      </c>
      <c r="J13" s="21">
        <f>20709088718.6</f>
        <v>20709088718.599998</v>
      </c>
      <c r="K13" s="21">
        <f>813460425.05</f>
        <v>813460425.04999995</v>
      </c>
      <c r="L13" s="21">
        <f>1512750742.52</f>
        <v>1512750742.52</v>
      </c>
      <c r="M13" s="21">
        <f>10059892.29</f>
        <v>10059892.289999999</v>
      </c>
      <c r="N13" s="21">
        <f>2100888.86</f>
        <v>2100888.86</v>
      </c>
      <c r="O13" s="21">
        <f>22123856601.67</f>
        <v>22123856601.669998</v>
      </c>
      <c r="P13" s="21">
        <f>22101356601.67</f>
        <v>22101356601.669998</v>
      </c>
      <c r="Q13" s="21">
        <f>22500000</f>
        <v>22500000</v>
      </c>
    </row>
    <row r="14" spans="1:17" ht="38.25" customHeight="1" x14ac:dyDescent="0.2">
      <c r="A14" s="20" t="s">
        <v>48</v>
      </c>
      <c r="B14" s="21">
        <f>3290957000</f>
        <v>3290957000</v>
      </c>
      <c r="C14" s="21">
        <f>3290957000</f>
        <v>3290957000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3124457000</f>
        <v>3124457000</v>
      </c>
      <c r="K14" s="21">
        <f>166500000</f>
        <v>166500000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10000000</f>
        <v>10000000</v>
      </c>
      <c r="C15" s="22">
        <f>10000000</f>
        <v>10000000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10000000</f>
        <v>10000000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3280957000</f>
        <v>3280957000</v>
      </c>
      <c r="C16" s="22">
        <f>3280957000</f>
        <v>3280957000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3114457000</f>
        <v>3114457000</v>
      </c>
      <c r="K16" s="22">
        <f>166500000</f>
        <v>166500000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42314366936.78</f>
        <v>42314366936.779999</v>
      </c>
      <c r="C17" s="21">
        <f>20190510335.11</f>
        <v>20190510335.110001</v>
      </c>
      <c r="D17" s="21">
        <f>447939453.65</f>
        <v>447939453.64999998</v>
      </c>
      <c r="E17" s="21">
        <f>0</f>
        <v>0</v>
      </c>
      <c r="F17" s="21">
        <f>250721361.65</f>
        <v>250721361.65000001</v>
      </c>
      <c r="G17" s="21">
        <f>197218092</f>
        <v>197218092</v>
      </c>
      <c r="H17" s="21">
        <f>0</f>
        <v>0</v>
      </c>
      <c r="I17" s="21">
        <f>0</f>
        <v>0</v>
      </c>
      <c r="J17" s="21">
        <f>17584631718.6</f>
        <v>17584631718.599998</v>
      </c>
      <c r="K17" s="21">
        <f>646960351.55</f>
        <v>646960351.54999995</v>
      </c>
      <c r="L17" s="21">
        <f>1510635957.82</f>
        <v>1510635957.8199999</v>
      </c>
      <c r="M17" s="21">
        <f>342853.49</f>
        <v>342853.49</v>
      </c>
      <c r="N17" s="21">
        <f>0</f>
        <v>0</v>
      </c>
      <c r="O17" s="21">
        <f>22123856601.67</f>
        <v>22123856601.669998</v>
      </c>
      <c r="P17" s="21">
        <f>22101356601.67</f>
        <v>22101356601.669998</v>
      </c>
      <c r="Q17" s="21">
        <f>22500000</f>
        <v>22500000</v>
      </c>
    </row>
    <row r="18" spans="1:17" ht="38.25" customHeight="1" x14ac:dyDescent="0.2">
      <c r="A18" s="18" t="s">
        <v>52</v>
      </c>
      <c r="B18" s="22">
        <f>348683.68</f>
        <v>348683.68</v>
      </c>
      <c r="C18" s="22">
        <f>348683.68</f>
        <v>348683.68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243683.68</f>
        <v>243683.68</v>
      </c>
      <c r="K18" s="22">
        <f>0</f>
        <v>0</v>
      </c>
      <c r="L18" s="22">
        <f>0</f>
        <v>0</v>
      </c>
      <c r="M18" s="22">
        <f>105000</f>
        <v>105000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42314018253.1</f>
        <v>42314018253.099998</v>
      </c>
      <c r="C19" s="22">
        <f>20190161651.43</f>
        <v>20190161651.43</v>
      </c>
      <c r="D19" s="22">
        <f>447939453.65</f>
        <v>447939453.64999998</v>
      </c>
      <c r="E19" s="22">
        <f>0</f>
        <v>0</v>
      </c>
      <c r="F19" s="22">
        <f>250721361.65</f>
        <v>250721361.65000001</v>
      </c>
      <c r="G19" s="22">
        <f>197218092</f>
        <v>197218092</v>
      </c>
      <c r="H19" s="22">
        <f>0</f>
        <v>0</v>
      </c>
      <c r="I19" s="22">
        <f>0</f>
        <v>0</v>
      </c>
      <c r="J19" s="22">
        <f>17584388034.92</f>
        <v>17584388034.919998</v>
      </c>
      <c r="K19" s="22">
        <f>646960351.55</f>
        <v>646960351.54999995</v>
      </c>
      <c r="L19" s="22">
        <f>1510635957.82</f>
        <v>1510635957.8199999</v>
      </c>
      <c r="M19" s="22">
        <f>237853.49</f>
        <v>237853.49</v>
      </c>
      <c r="N19" s="22">
        <f>0</f>
        <v>0</v>
      </c>
      <c r="O19" s="22">
        <f>22123856601.67</f>
        <v>22123856601.669998</v>
      </c>
      <c r="P19" s="22">
        <f>22101356601.67</f>
        <v>22101356601.669998</v>
      </c>
      <c r="Q19" s="22">
        <f>22500000</f>
        <v>22500000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17144917.01</f>
        <v>17144917.010000002</v>
      </c>
      <c r="C21" s="21">
        <f>17144917.01</f>
        <v>17144917.010000002</v>
      </c>
      <c r="D21" s="21">
        <f>3212131.15</f>
        <v>3212131.15</v>
      </c>
      <c r="E21" s="21">
        <f>2060.48</f>
        <v>2060.48</v>
      </c>
      <c r="F21" s="21">
        <f>17750.45</f>
        <v>17750.45</v>
      </c>
      <c r="G21" s="21">
        <f>3192182.53</f>
        <v>3192182.53</v>
      </c>
      <c r="H21" s="21">
        <f>137.69</f>
        <v>137.69</v>
      </c>
      <c r="I21" s="21">
        <f>0</f>
        <v>0</v>
      </c>
      <c r="J21" s="21">
        <f>0</f>
        <v>0</v>
      </c>
      <c r="K21" s="21">
        <f>73.5</f>
        <v>73.5</v>
      </c>
      <c r="L21" s="21">
        <f>2114784.7</f>
        <v>2114784.7000000002</v>
      </c>
      <c r="M21" s="21">
        <f>9717038.8</f>
        <v>9717038.8000000007</v>
      </c>
      <c r="N21" s="21">
        <f>2100888.86</f>
        <v>2100888.86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12262641.33</f>
        <v>12262641.33</v>
      </c>
      <c r="C22" s="22">
        <f>12262641.33</f>
        <v>12262641.33</v>
      </c>
      <c r="D22" s="22">
        <f>1148029.73</f>
        <v>1148029.73</v>
      </c>
      <c r="E22" s="22">
        <f>476.48</f>
        <v>476.48</v>
      </c>
      <c r="F22" s="22">
        <f>0</f>
        <v>0</v>
      </c>
      <c r="G22" s="22">
        <f>1147553.25</f>
        <v>1147553.25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370315.86</f>
        <v>370315.86</v>
      </c>
      <c r="M22" s="22">
        <f>8646089.92</f>
        <v>8646089.9199999999</v>
      </c>
      <c r="N22" s="22">
        <f>2098205.82</f>
        <v>2098205.8199999998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4882275.68</f>
        <v>4882275.68</v>
      </c>
      <c r="C23" s="22">
        <f>4882275.68</f>
        <v>4882275.68</v>
      </c>
      <c r="D23" s="22">
        <f>2064101.42</f>
        <v>2064101.42</v>
      </c>
      <c r="E23" s="22">
        <f>1584</f>
        <v>1584</v>
      </c>
      <c r="F23" s="22">
        <f>17750.45</f>
        <v>17750.45</v>
      </c>
      <c r="G23" s="22">
        <f>2044629.28</f>
        <v>2044629.28</v>
      </c>
      <c r="H23" s="22">
        <f>137.69</f>
        <v>137.69</v>
      </c>
      <c r="I23" s="22">
        <f>0</f>
        <v>0</v>
      </c>
      <c r="J23" s="22">
        <f>0</f>
        <v>0</v>
      </c>
      <c r="K23" s="22">
        <f>73.5</f>
        <v>73.5</v>
      </c>
      <c r="L23" s="22">
        <f>1744468.84</f>
        <v>1744468.84</v>
      </c>
      <c r="M23" s="22">
        <f>1070948.88</f>
        <v>1070948.8799999999</v>
      </c>
      <c r="N23" s="22">
        <f>2683.04</f>
        <v>2683.04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IV Kwartały 2022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100453.82</f>
        <v>100453.82</v>
      </c>
      <c r="C40" s="23">
        <f>100453.82</f>
        <v>100453.82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100453.82</f>
        <v>100453.82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100453.82</f>
        <v>100453.82</v>
      </c>
      <c r="C42" s="24">
        <f>100453.82</f>
        <v>100453.82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100453.82</f>
        <v>100453.82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368093885.66</f>
        <v>368093885.66000003</v>
      </c>
      <c r="C43" s="23">
        <f>368093885.66</f>
        <v>368093885.66000003</v>
      </c>
      <c r="D43" s="23">
        <f>123431941.26</f>
        <v>123431941.26000001</v>
      </c>
      <c r="E43" s="23">
        <f>0</f>
        <v>0</v>
      </c>
      <c r="F43" s="23">
        <f>55017</f>
        <v>55017</v>
      </c>
      <c r="G43" s="23">
        <f>123376924.26</f>
        <v>123376924.26000001</v>
      </c>
      <c r="H43" s="23">
        <f>0</f>
        <v>0</v>
      </c>
      <c r="I43" s="23">
        <f>0</f>
        <v>0</v>
      </c>
      <c r="J43" s="23">
        <f>0</f>
        <v>0</v>
      </c>
      <c r="K43" s="23">
        <f>4560</f>
        <v>4560</v>
      </c>
      <c r="L43" s="23">
        <f>154337427.13</f>
        <v>154337427.13</v>
      </c>
      <c r="M43" s="23">
        <f>85559177.5</f>
        <v>85559177.5</v>
      </c>
      <c r="N43" s="23">
        <f>4760779.77</f>
        <v>4760779.7699999996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40728500.01</f>
        <v>40728500.009999998</v>
      </c>
      <c r="C44" s="24">
        <f>40728500.01</f>
        <v>40728500.009999998</v>
      </c>
      <c r="D44" s="24">
        <f>11184108.99</f>
        <v>11184108.99</v>
      </c>
      <c r="E44" s="24">
        <f>0</f>
        <v>0</v>
      </c>
      <c r="F44" s="24">
        <f>0</f>
        <v>0</v>
      </c>
      <c r="G44" s="24">
        <f>11184108.99</f>
        <v>11184108.99</v>
      </c>
      <c r="H44" s="24">
        <f>0</f>
        <v>0</v>
      </c>
      <c r="I44" s="24">
        <f>0</f>
        <v>0</v>
      </c>
      <c r="J44" s="24">
        <f>0</f>
        <v>0</v>
      </c>
      <c r="K44" s="24">
        <f>4560</f>
        <v>4560</v>
      </c>
      <c r="L44" s="24">
        <f>11741323.53</f>
        <v>11741323.529999999</v>
      </c>
      <c r="M44" s="24">
        <f>17738507.49</f>
        <v>17738507.489999998</v>
      </c>
      <c r="N44" s="24">
        <f>60000</f>
        <v>60000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327365385.65</f>
        <v>327365385.64999998</v>
      </c>
      <c r="C45" s="24">
        <f>327365385.65</f>
        <v>327365385.64999998</v>
      </c>
      <c r="D45" s="24">
        <f>112247832.27</f>
        <v>112247832.27</v>
      </c>
      <c r="E45" s="24">
        <f>0</f>
        <v>0</v>
      </c>
      <c r="F45" s="24">
        <f>55017</f>
        <v>55017</v>
      </c>
      <c r="G45" s="24">
        <f>112192815.27</f>
        <v>112192815.27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142596103.6</f>
        <v>142596103.59999999</v>
      </c>
      <c r="M45" s="24">
        <f>67820670.01</f>
        <v>67820670.010000005</v>
      </c>
      <c r="N45" s="24">
        <f>4700779.77</f>
        <v>4700779.7699999996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10907195771.47</f>
        <v>10907195771.469999</v>
      </c>
      <c r="C46" s="23">
        <f>10907195771.47</f>
        <v>10907195771.469999</v>
      </c>
      <c r="D46" s="23">
        <f>3364503.6</f>
        <v>3364503.6</v>
      </c>
      <c r="E46" s="23">
        <f>89963.34</f>
        <v>89963.34</v>
      </c>
      <c r="F46" s="23">
        <f>28291</f>
        <v>28291</v>
      </c>
      <c r="G46" s="23">
        <f>3246249.26</f>
        <v>3246249.26</v>
      </c>
      <c r="H46" s="23">
        <f>0</f>
        <v>0</v>
      </c>
      <c r="I46" s="23">
        <f>4637475.79</f>
        <v>4637475.79</v>
      </c>
      <c r="J46" s="23">
        <f>10896854055.93</f>
        <v>10896854055.93</v>
      </c>
      <c r="K46" s="23">
        <f>44259.89</f>
        <v>44259.89</v>
      </c>
      <c r="L46" s="23">
        <f>2240445.6</f>
        <v>2240445.6</v>
      </c>
      <c r="M46" s="23">
        <f>55030.66</f>
        <v>55030.66</v>
      </c>
      <c r="N46" s="23">
        <f>0</f>
        <v>0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3168958.98</f>
        <v>3168958.98</v>
      </c>
      <c r="C47" s="24">
        <f>3168958.98</f>
        <v>3168958.98</v>
      </c>
      <c r="D47" s="24">
        <f>3168958.98</f>
        <v>3168958.98</v>
      </c>
      <c r="E47" s="24">
        <f>0</f>
        <v>0</v>
      </c>
      <c r="F47" s="24">
        <f>0</f>
        <v>0</v>
      </c>
      <c r="G47" s="24">
        <f>3168958.98</f>
        <v>3168958.98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7751296079.61</f>
        <v>7751296079.6099997</v>
      </c>
      <c r="C48" s="24">
        <f>7751296079.61</f>
        <v>7751296079.6099997</v>
      </c>
      <c r="D48" s="24">
        <f>26469.13</f>
        <v>26469.13</v>
      </c>
      <c r="E48" s="24">
        <f>14000</f>
        <v>14000</v>
      </c>
      <c r="F48" s="24">
        <f>0</f>
        <v>0</v>
      </c>
      <c r="G48" s="24">
        <f>12469.13</f>
        <v>12469.13</v>
      </c>
      <c r="H48" s="24">
        <f>0</f>
        <v>0</v>
      </c>
      <c r="I48" s="24">
        <f>4585059.79</f>
        <v>4585059.79</v>
      </c>
      <c r="J48" s="24">
        <f>7745811462.25</f>
        <v>7745811462.25</v>
      </c>
      <c r="K48" s="24">
        <f>44259.89</f>
        <v>44259.89</v>
      </c>
      <c r="L48" s="24">
        <f>828828.55</f>
        <v>828828.55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3152730732.88</f>
        <v>3152730732.8800001</v>
      </c>
      <c r="C49" s="24">
        <f>3152730732.88</f>
        <v>3152730732.8800001</v>
      </c>
      <c r="D49" s="24">
        <f>169075.49</f>
        <v>169075.49</v>
      </c>
      <c r="E49" s="24">
        <f>75963.34</f>
        <v>75963.34</v>
      </c>
      <c r="F49" s="24">
        <f>28291</f>
        <v>28291</v>
      </c>
      <c r="G49" s="24">
        <f>64821.15</f>
        <v>64821.15</v>
      </c>
      <c r="H49" s="24">
        <f>0</f>
        <v>0</v>
      </c>
      <c r="I49" s="24">
        <f>52416</f>
        <v>52416</v>
      </c>
      <c r="J49" s="24">
        <f>3151042593.68</f>
        <v>3151042593.6799998</v>
      </c>
      <c r="K49" s="24">
        <f>0</f>
        <v>0</v>
      </c>
      <c r="L49" s="24">
        <f>1411617.05</f>
        <v>1411617.05</v>
      </c>
      <c r="M49" s="24">
        <f>55030.66</f>
        <v>55030.66</v>
      </c>
      <c r="N49" s="24">
        <f>0</f>
        <v>0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12181848934.97</f>
        <v>12181848934.969999</v>
      </c>
      <c r="C50" s="23">
        <f>12156182676.06</f>
        <v>12156182676.059999</v>
      </c>
      <c r="D50" s="23">
        <f>371738034.26</f>
        <v>371738034.25999999</v>
      </c>
      <c r="E50" s="23">
        <f>68572031.92</f>
        <v>68572031.920000002</v>
      </c>
      <c r="F50" s="23">
        <f>8650504.71</f>
        <v>8650504.7100000009</v>
      </c>
      <c r="G50" s="23">
        <f>292617391.93</f>
        <v>292617391.93000001</v>
      </c>
      <c r="H50" s="23">
        <f>1898105.7</f>
        <v>1898105.7</v>
      </c>
      <c r="I50" s="23">
        <f>0</f>
        <v>0</v>
      </c>
      <c r="J50" s="23">
        <f>141734.89</f>
        <v>141734.89000000001</v>
      </c>
      <c r="K50" s="23">
        <f>2478874.07</f>
        <v>2478874.0699999998</v>
      </c>
      <c r="L50" s="23">
        <f>2710471592.17</f>
        <v>2710471592.1700001</v>
      </c>
      <c r="M50" s="23">
        <f>8993928912.26</f>
        <v>8993928912.2600002</v>
      </c>
      <c r="N50" s="23">
        <f>77423528.41</f>
        <v>77423528.409999996</v>
      </c>
      <c r="O50" s="23">
        <f>25666258.91</f>
        <v>25666258.91</v>
      </c>
      <c r="P50" s="23">
        <f>14251723.23</f>
        <v>14251723.23</v>
      </c>
      <c r="Q50" s="23">
        <f>11414535.68</f>
        <v>11414535.68</v>
      </c>
    </row>
    <row r="51" spans="1:17" ht="26.25" customHeight="1" x14ac:dyDescent="0.2">
      <c r="A51" s="19" t="s">
        <v>37</v>
      </c>
      <c r="B51" s="24">
        <f>5069954324.4</f>
        <v>5069954324.3999996</v>
      </c>
      <c r="C51" s="24">
        <f>5067809921.97</f>
        <v>5067809921.9700003</v>
      </c>
      <c r="D51" s="24">
        <f>67471833.65</f>
        <v>67471833.650000006</v>
      </c>
      <c r="E51" s="24">
        <f>1262996.79</f>
        <v>1262996.79</v>
      </c>
      <c r="F51" s="24">
        <f>2562892.96</f>
        <v>2562892.96</v>
      </c>
      <c r="G51" s="24">
        <f>63640065.71</f>
        <v>63640065.710000001</v>
      </c>
      <c r="H51" s="24">
        <f>5878.19</f>
        <v>5878.19</v>
      </c>
      <c r="I51" s="24">
        <f>0</f>
        <v>0</v>
      </c>
      <c r="J51" s="24">
        <f>8922.66</f>
        <v>8922.66</v>
      </c>
      <c r="K51" s="24">
        <f>374759.55</f>
        <v>374759.55</v>
      </c>
      <c r="L51" s="24">
        <f>654212423.12</f>
        <v>654212423.12</v>
      </c>
      <c r="M51" s="24">
        <f>4303879163.35</f>
        <v>4303879163.3500004</v>
      </c>
      <c r="N51" s="24">
        <f>41862819.64</f>
        <v>41862819.640000001</v>
      </c>
      <c r="O51" s="24">
        <f>2144402.43</f>
        <v>2144402.4300000002</v>
      </c>
      <c r="P51" s="24">
        <f>593735.79</f>
        <v>593735.79</v>
      </c>
      <c r="Q51" s="24">
        <f>1550666.64</f>
        <v>1550666.64</v>
      </c>
    </row>
    <row r="52" spans="1:17" ht="26.25" customHeight="1" x14ac:dyDescent="0.2">
      <c r="A52" s="19" t="s">
        <v>38</v>
      </c>
      <c r="B52" s="24">
        <f>7111894610.57</f>
        <v>7111894610.5699997</v>
      </c>
      <c r="C52" s="24">
        <f>7088372754.09</f>
        <v>7088372754.0900002</v>
      </c>
      <c r="D52" s="24">
        <f>304266200.61</f>
        <v>304266200.61000001</v>
      </c>
      <c r="E52" s="24">
        <f>67309035.13</f>
        <v>67309035.129999995</v>
      </c>
      <c r="F52" s="24">
        <f>6087611.75</f>
        <v>6087611.75</v>
      </c>
      <c r="G52" s="24">
        <f>228977326.22</f>
        <v>228977326.22</v>
      </c>
      <c r="H52" s="24">
        <f>1892227.51</f>
        <v>1892227.51</v>
      </c>
      <c r="I52" s="24">
        <f>0</f>
        <v>0</v>
      </c>
      <c r="J52" s="24">
        <f>132812.23</f>
        <v>132812.23000000001</v>
      </c>
      <c r="K52" s="24">
        <f>2104114.52</f>
        <v>2104114.52</v>
      </c>
      <c r="L52" s="24">
        <f>2056259169.05</f>
        <v>2056259169.05</v>
      </c>
      <c r="M52" s="24">
        <f>4690049748.91</f>
        <v>4690049748.9099998</v>
      </c>
      <c r="N52" s="24">
        <f>35560708.77</f>
        <v>35560708.770000003</v>
      </c>
      <c r="O52" s="24">
        <f>23521856.48</f>
        <v>23521856.48</v>
      </c>
      <c r="P52" s="24">
        <f>13657987.44</f>
        <v>13657987.439999999</v>
      </c>
      <c r="Q52" s="24">
        <f>9863869.04</f>
        <v>9863869.0399999991</v>
      </c>
    </row>
    <row r="53" spans="1:17" ht="26.25" customHeight="1" x14ac:dyDescent="0.2">
      <c r="A53" s="25" t="s">
        <v>46</v>
      </c>
      <c r="B53" s="23">
        <f>3671705271.84</f>
        <v>3671705271.8400002</v>
      </c>
      <c r="C53" s="23">
        <f>3653043935.02</f>
        <v>3653043935.02</v>
      </c>
      <c r="D53" s="23">
        <f>666990570.8</f>
        <v>666990570.79999995</v>
      </c>
      <c r="E53" s="23">
        <f>389185599.24</f>
        <v>389185599.24000001</v>
      </c>
      <c r="F53" s="23">
        <f>7187818.09</f>
        <v>7187818.0899999999</v>
      </c>
      <c r="G53" s="23">
        <f>259030553.84</f>
        <v>259030553.84</v>
      </c>
      <c r="H53" s="23">
        <f>11586599.63</f>
        <v>11586599.630000001</v>
      </c>
      <c r="I53" s="23">
        <f>56565.72</f>
        <v>56565.72</v>
      </c>
      <c r="J53" s="23">
        <f>389345.71</f>
        <v>389345.71</v>
      </c>
      <c r="K53" s="23">
        <f>2353656.83</f>
        <v>2353656.83</v>
      </c>
      <c r="L53" s="23">
        <f>1634852832.27</f>
        <v>1634852832.27</v>
      </c>
      <c r="M53" s="23">
        <f>1144750107.46</f>
        <v>1144750107.46</v>
      </c>
      <c r="N53" s="23">
        <f>203650856.23</f>
        <v>203650856.22999999</v>
      </c>
      <c r="O53" s="23">
        <f>18661336.82</f>
        <v>18661336.82</v>
      </c>
      <c r="P53" s="23">
        <f>11901781.66</f>
        <v>11901781.66</v>
      </c>
      <c r="Q53" s="23">
        <f>6759555.16</f>
        <v>6759555.1600000001</v>
      </c>
    </row>
    <row r="54" spans="1:17" ht="26.25" customHeight="1" x14ac:dyDescent="0.2">
      <c r="A54" s="19" t="s">
        <v>39</v>
      </c>
      <c r="B54" s="24">
        <f>614024087.04</f>
        <v>614024087.03999996</v>
      </c>
      <c r="C54" s="24">
        <f>613159164.13</f>
        <v>613159164.13</v>
      </c>
      <c r="D54" s="24">
        <f>26606327.21</f>
        <v>26606327.210000001</v>
      </c>
      <c r="E54" s="24">
        <f>1507611.09</f>
        <v>1507611.09</v>
      </c>
      <c r="F54" s="24">
        <f>1683608.83</f>
        <v>1683608.83</v>
      </c>
      <c r="G54" s="24">
        <f>20884519.72</f>
        <v>20884519.719999999</v>
      </c>
      <c r="H54" s="24">
        <f>2530587.57</f>
        <v>2530587.5699999998</v>
      </c>
      <c r="I54" s="24">
        <f>0</f>
        <v>0</v>
      </c>
      <c r="J54" s="24">
        <f>164926.7</f>
        <v>164926.70000000001</v>
      </c>
      <c r="K54" s="24">
        <f>455462.37</f>
        <v>455462.37</v>
      </c>
      <c r="L54" s="24">
        <f>260632586.3</f>
        <v>260632586.30000001</v>
      </c>
      <c r="M54" s="24">
        <f>315409331.26</f>
        <v>315409331.25999999</v>
      </c>
      <c r="N54" s="24">
        <f>9890530.29</f>
        <v>9890530.2899999991</v>
      </c>
      <c r="O54" s="24">
        <f>864922.91</f>
        <v>864922.91</v>
      </c>
      <c r="P54" s="24">
        <f>40011.63</f>
        <v>40011.629999999997</v>
      </c>
      <c r="Q54" s="24">
        <f>824911.28</f>
        <v>824911.28</v>
      </c>
    </row>
    <row r="55" spans="1:17" ht="36.75" customHeight="1" x14ac:dyDescent="0.2">
      <c r="A55" s="19" t="s">
        <v>40</v>
      </c>
      <c r="B55" s="24">
        <f>213626126.41</f>
        <v>213626126.41</v>
      </c>
      <c r="C55" s="24">
        <f>213621809.41</f>
        <v>213621809.41</v>
      </c>
      <c r="D55" s="24">
        <f>43878009.84</f>
        <v>43878009.840000004</v>
      </c>
      <c r="E55" s="24">
        <f>27158903.9</f>
        <v>27158903.899999999</v>
      </c>
      <c r="F55" s="24">
        <f>2186356.8</f>
        <v>2186356.7999999998</v>
      </c>
      <c r="G55" s="24">
        <f>12217265.52</f>
        <v>12217265.52</v>
      </c>
      <c r="H55" s="24">
        <f>2315483.62</f>
        <v>2315483.62</v>
      </c>
      <c r="I55" s="24">
        <f>1580.77</f>
        <v>1580.77</v>
      </c>
      <c r="J55" s="24">
        <f>1776.21</f>
        <v>1776.21</v>
      </c>
      <c r="K55" s="24">
        <f>187079.71</f>
        <v>187079.71</v>
      </c>
      <c r="L55" s="24">
        <f>121442000.56</f>
        <v>121442000.56</v>
      </c>
      <c r="M55" s="24">
        <f>47032298.51</f>
        <v>47032298.509999998</v>
      </c>
      <c r="N55" s="24">
        <f>1079063.81</f>
        <v>1079063.81</v>
      </c>
      <c r="O55" s="24">
        <f>4317</f>
        <v>4317</v>
      </c>
      <c r="P55" s="24">
        <f>4317</f>
        <v>4317</v>
      </c>
      <c r="Q55" s="24">
        <f>0</f>
        <v>0</v>
      </c>
    </row>
    <row r="56" spans="1:17" ht="26.25" customHeight="1" x14ac:dyDescent="0.2">
      <c r="A56" s="19" t="s">
        <v>41</v>
      </c>
      <c r="B56" s="24">
        <f>2844055058.39</f>
        <v>2844055058.3899999</v>
      </c>
      <c r="C56" s="24">
        <f>2826262961.48</f>
        <v>2826262961.48</v>
      </c>
      <c r="D56" s="24">
        <f>596506233.75</f>
        <v>596506233.75</v>
      </c>
      <c r="E56" s="24">
        <f>360519084.25</f>
        <v>360519084.25</v>
      </c>
      <c r="F56" s="24">
        <f>3317852.46</f>
        <v>3317852.46</v>
      </c>
      <c r="G56" s="24">
        <f>225928768.6</f>
        <v>225928768.59999999</v>
      </c>
      <c r="H56" s="24">
        <f>6740528.44</f>
        <v>6740528.4400000004</v>
      </c>
      <c r="I56" s="24">
        <f>54984.95</f>
        <v>54984.95</v>
      </c>
      <c r="J56" s="24">
        <f>222642.8</f>
        <v>222642.8</v>
      </c>
      <c r="K56" s="24">
        <f>1711114.75</f>
        <v>1711114.75</v>
      </c>
      <c r="L56" s="24">
        <f>1252778245.41</f>
        <v>1252778245.4100001</v>
      </c>
      <c r="M56" s="24">
        <f>782308477.69</f>
        <v>782308477.69000006</v>
      </c>
      <c r="N56" s="24">
        <f>192681262.13</f>
        <v>192681262.13</v>
      </c>
      <c r="O56" s="24">
        <f>17792096.91</f>
        <v>17792096.91</v>
      </c>
      <c r="P56" s="24">
        <f>11857453.03</f>
        <v>11857453.029999999</v>
      </c>
      <c r="Q56" s="24">
        <f>5934643.88</f>
        <v>5934643.8799999999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IV Kwartały 2022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1748277550.93</f>
        <v>1748277550.9300001</v>
      </c>
      <c r="G76" s="22">
        <f>214438286.64</f>
        <v>214438286.63999999</v>
      </c>
      <c r="H76" s="22">
        <f>19147000</f>
        <v>19147000</v>
      </c>
      <c r="I76" s="22">
        <f>85746251</f>
        <v>85746251</v>
      </c>
      <c r="J76" s="22">
        <f>109545035.64</f>
        <v>109545035.64</v>
      </c>
      <c r="K76" s="22">
        <f>0</f>
        <v>0</v>
      </c>
      <c r="L76" s="22">
        <f>1533839264.29</f>
        <v>1533839264.29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94316295.92</f>
        <v>94316295.920000002</v>
      </c>
      <c r="G78" s="22">
        <f>1000000</f>
        <v>1000000</v>
      </c>
      <c r="H78" s="22">
        <f>0</f>
        <v>0</v>
      </c>
      <c r="I78" s="22">
        <f>0</f>
        <v>0</v>
      </c>
      <c r="J78" s="22">
        <f>1000000</f>
        <v>1000000</v>
      </c>
      <c r="K78" s="22">
        <f>0</f>
        <v>0</v>
      </c>
      <c r="L78" s="22">
        <f>93316295.92</f>
        <v>93316295.920000002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16500011.54</f>
        <v>16500011.539999999</v>
      </c>
      <c r="G79" s="22">
        <f>0</f>
        <v>0</v>
      </c>
      <c r="H79" s="22">
        <f>0</f>
        <v>0</v>
      </c>
      <c r="I79" s="22">
        <f>0</f>
        <v>0</v>
      </c>
      <c r="J79" s="22">
        <f>0</f>
        <v>0</v>
      </c>
      <c r="K79" s="22">
        <f>0</f>
        <v>0</v>
      </c>
      <c r="L79" s="22">
        <f>16500011.54</f>
        <v>16500011.539999999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5066465.91</f>
        <v>5066465.91</v>
      </c>
      <c r="G80" s="22">
        <f>0</f>
        <v>0</v>
      </c>
      <c r="H80" s="22">
        <f>0</f>
        <v>0</v>
      </c>
      <c r="I80" s="22">
        <f>0</f>
        <v>0</v>
      </c>
      <c r="J80" s="22">
        <f>0</f>
        <v>0</v>
      </c>
      <c r="K80" s="22">
        <f>0</f>
        <v>0</v>
      </c>
      <c r="L80" s="22">
        <f>5066465.91</f>
        <v>5066465.91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17578304.92</f>
        <v>17578304.920000002</v>
      </c>
      <c r="G81" s="22">
        <f>1827496.55</f>
        <v>1827496.55</v>
      </c>
      <c r="H81" s="22">
        <f>0</f>
        <v>0</v>
      </c>
      <c r="I81" s="22">
        <f>0</f>
        <v>0</v>
      </c>
      <c r="J81" s="22">
        <f>1827496.55</f>
        <v>1827496.55</v>
      </c>
      <c r="K81" s="22">
        <f>0</f>
        <v>0</v>
      </c>
      <c r="L81" s="22">
        <f>15750808.37</f>
        <v>15750808.369999999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IV Kwartały 2022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9</f>
        <v>9</v>
      </c>
      <c r="H88" s="60"/>
      <c r="I88" s="46">
        <f>729393677.16</f>
        <v>729393677.15999997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57</f>
        <v>57</v>
      </c>
      <c r="H89" s="64"/>
      <c r="I89" s="48">
        <f>-5101180582.37</f>
        <v>-5101180582.3699999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4</f>
        <v>4</v>
      </c>
      <c r="C93" s="8" t="str">
        <f>IF(B93=1,"I Kwartał",IF(B93=2,"II Kwartały",IF(B93=3,"III Kwartały",IF(B93=4,"IV Kwartały","-"))))</f>
        <v>IV Kwartały</v>
      </c>
    </row>
    <row r="94" spans="1:13" ht="13.5" customHeight="1" x14ac:dyDescent="0.2">
      <c r="A94" s="8" t="s">
        <v>10</v>
      </c>
      <c r="B94" s="8">
        <f>2022</f>
        <v>2022</v>
      </c>
      <c r="C94" s="9"/>
    </row>
    <row r="95" spans="1:13" ht="13.5" customHeight="1" x14ac:dyDescent="0.2">
      <c r="A95" s="8" t="s">
        <v>11</v>
      </c>
      <c r="B95" s="10" t="str">
        <f>"Mar 23 2023 12:00AM"</f>
        <v>Mar 23 2023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2023-03-29T10:39:35Z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2023-03-29T12:39:33.0916030+02:00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GRN-101efefd-df54-4506-992b-bf813edaecd7</vt:lpwstr>
  </property>
  <property fmtid="{D5CDD505-2E9C-101B-9397-08002B2CF9AE}" pid="7" name="MFHash">
    <vt:lpwstr>Z8D99qOJgw0Jzp9X6ldHU+6VQwMIxvcCWgZLw2RRE3I=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