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4CCA83CD-8C28-431A-995F-40B157D1E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<sst xmlns="http://schemas.openxmlformats.org/spreadsheetml/2006/main" count="97" uniqueCount="81">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</sst>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IV Kwartały 2025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60168245695.18</f>
        <v>60168245695.18</v>
      </c>
      <c r="C13" s="21">
        <f>37564349502.31</f>
        <v>37564349502.309998</v>
      </c>
      <c r="D13" s="21">
        <f>643968231</f>
        <v>643968231</v>
      </c>
      <c r="E13" s="21">
        <f>353785250.66</f>
        <v>353785250.66000003</v>
      </c>
      <c r="F13" s="21">
        <f>173466177.16</f>
        <v>173466177.16</v>
      </c>
      <c r="G13" s="21">
        <f>116715982.05</f>
        <v>116715982.05</v>
      </c>
      <c r="H13" s="21">
        <f>821.13</f>
        <v>821.13</v>
      </c>
      <c r="I13" s="21">
        <f>0</f>
        <v>0</v>
      </c>
      <c r="J13" s="21">
        <f>35166233080.96</f>
        <v>35166233080.959999</v>
      </c>
      <c r="K13" s="21">
        <f>1059644745.98</f>
        <v>1059644745.98</v>
      </c>
      <c r="L13" s="21">
        <f>688883159.79</f>
        <v>688883159.78999996</v>
      </c>
      <c r="M13" s="21">
        <f>4116701.73</f>
        <v>4116701.73</v>
      </c>
      <c r="N13" s="21">
        <f>1503582.85</f>
        <v>1503582.85</v>
      </c>
      <c r="O13" s="21">
        <f>22603896192.87</f>
        <v>22603896192.869999</v>
      </c>
      <c r="P13" s="21">
        <f>22603896192.87</f>
        <v>22603896192.869999</v>
      </c>
      <c r="Q13" s="21">
        <f>0</f>
        <v>0</v>
      </c>
    </row>
    <row r="14" spans="1:17" ht="38.25" customHeight="1" x14ac:dyDescent="0.2">
      <c r="A14" s="20" t="s">
        <v>48</v>
      </c>
      <c r="B14" s="21">
        <f>7445054000</f>
        <v>7445054000</v>
      </c>
      <c r="C14" s="21">
        <f>7445054000</f>
        <v>7445054000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7287554000</f>
        <v>7287554000</v>
      </c>
      <c r="K14" s="21">
        <f>157500000</f>
        <v>157500000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7445054000</f>
        <v>7445054000</v>
      </c>
      <c r="C16" s="22">
        <f>7445054000</f>
        <v>7445054000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7287554000</f>
        <v>7287554000</v>
      </c>
      <c r="K16" s="22">
        <f>157500000</f>
        <v>157500000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52718241131.28</f>
        <v>52718241131.279999</v>
      </c>
      <c r="C17" s="21">
        <f>30114344938.41</f>
        <v>30114344938.41</v>
      </c>
      <c r="D17" s="21">
        <f>642380933.77</f>
        <v>642380933.76999998</v>
      </c>
      <c r="E17" s="21">
        <f>353775049</f>
        <v>353775049</v>
      </c>
      <c r="F17" s="21">
        <f>173459185.72</f>
        <v>173459185.72</v>
      </c>
      <c r="G17" s="21">
        <f>115146699.05</f>
        <v>115146699.05</v>
      </c>
      <c r="H17" s="21">
        <f>0</f>
        <v>0</v>
      </c>
      <c r="I17" s="21">
        <f>0</f>
        <v>0</v>
      </c>
      <c r="J17" s="21">
        <f>27878679080.96</f>
        <v>27878679080.959999</v>
      </c>
      <c r="K17" s="21">
        <f>902141805.95</f>
        <v>902141805.95000005</v>
      </c>
      <c r="L17" s="21">
        <f>687213117.73</f>
        <v>687213117.73000002</v>
      </c>
      <c r="M17" s="21">
        <f>2430000</f>
        <v>2430000</v>
      </c>
      <c r="N17" s="21">
        <f>1500000</f>
        <v>1500000</v>
      </c>
      <c r="O17" s="21">
        <f>22603896192.87</f>
        <v>22603896192.869999</v>
      </c>
      <c r="P17" s="21">
        <f>22603896192.87</f>
        <v>22603896192.869999</v>
      </c>
      <c r="Q17" s="21">
        <f>0</f>
        <v>0</v>
      </c>
    </row>
    <row r="18" spans="1:17" ht="38.25" customHeight="1" x14ac:dyDescent="0.2">
      <c r="A18" s="18" t="s">
        <v>52</v>
      </c>
      <c r="B18" s="22">
        <f>27982165.76</f>
        <v>27982165.760000002</v>
      </c>
      <c r="C18" s="22">
        <f>27982165.76</f>
        <v>27982165.760000002</v>
      </c>
      <c r="D18" s="22">
        <f>125311.76</f>
        <v>125311.76</v>
      </c>
      <c r="E18" s="22">
        <f>0</f>
        <v>0</v>
      </c>
      <c r="F18" s="22">
        <f>0</f>
        <v>0</v>
      </c>
      <c r="G18" s="22">
        <f>125311.76</f>
        <v>125311.76</v>
      </c>
      <c r="H18" s="22">
        <f>0</f>
        <v>0</v>
      </c>
      <c r="I18" s="22">
        <f>0</f>
        <v>0</v>
      </c>
      <c r="J18" s="22">
        <f>10700000</f>
        <v>10700000</v>
      </c>
      <c r="K18" s="22">
        <f>0</f>
        <v>0</v>
      </c>
      <c r="L18" s="22">
        <f>17156854</f>
        <v>17156854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52690258965.52</f>
        <v>52690258965.519997</v>
      </c>
      <c r="C19" s="22">
        <f>30086362772.65</f>
        <v>30086362772.650002</v>
      </c>
      <c r="D19" s="22">
        <f>642255622.01</f>
        <v>642255622.00999999</v>
      </c>
      <c r="E19" s="22">
        <f>353775049</f>
        <v>353775049</v>
      </c>
      <c r="F19" s="22">
        <f>173459185.72</f>
        <v>173459185.72</v>
      </c>
      <c r="G19" s="22">
        <f>115021387.29</f>
        <v>115021387.29000001</v>
      </c>
      <c r="H19" s="22">
        <f>0</f>
        <v>0</v>
      </c>
      <c r="I19" s="22">
        <f>0</f>
        <v>0</v>
      </c>
      <c r="J19" s="22">
        <f>27867979080.96</f>
        <v>27867979080.959999</v>
      </c>
      <c r="K19" s="22">
        <f>902141805.95</f>
        <v>902141805.95000005</v>
      </c>
      <c r="L19" s="22">
        <f>670056263.73</f>
        <v>670056263.73000002</v>
      </c>
      <c r="M19" s="22">
        <f>2430000</f>
        <v>2430000</v>
      </c>
      <c r="N19" s="22">
        <f>1500000</f>
        <v>1500000</v>
      </c>
      <c r="O19" s="22">
        <f>22603896192.87</f>
        <v>22603896192.869999</v>
      </c>
      <c r="P19" s="22">
        <f>22603896192.87</f>
        <v>22603896192.869999</v>
      </c>
      <c r="Q19" s="22">
        <f>0</f>
        <v>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4950563.9</f>
        <v>4950563.9000000004</v>
      </c>
      <c r="C21" s="21">
        <f>4950563.9</f>
        <v>4950563.9000000004</v>
      </c>
      <c r="D21" s="21">
        <f>1587297.23</f>
        <v>1587297.23</v>
      </c>
      <c r="E21" s="21">
        <f>10201.66</f>
        <v>10201.66</v>
      </c>
      <c r="F21" s="21">
        <f>6991.44</f>
        <v>6991.44</v>
      </c>
      <c r="G21" s="21">
        <f>1569283</f>
        <v>1569283</v>
      </c>
      <c r="H21" s="21">
        <f>821.13</f>
        <v>821.13</v>
      </c>
      <c r="I21" s="21">
        <f>0</f>
        <v>0</v>
      </c>
      <c r="J21" s="21">
        <f>0</f>
        <v>0</v>
      </c>
      <c r="K21" s="21">
        <f>2940.03</f>
        <v>2940.03</v>
      </c>
      <c r="L21" s="21">
        <f>1670042.06</f>
        <v>1670042.06</v>
      </c>
      <c r="M21" s="21">
        <f>1686701.73</f>
        <v>1686701.73</v>
      </c>
      <c r="N21" s="21">
        <f>3582.85</f>
        <v>3582.85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1325825.41</f>
        <v>1325825.4099999999</v>
      </c>
      <c r="C22" s="22">
        <f>1325825.41</f>
        <v>1325825.4099999999</v>
      </c>
      <c r="D22" s="22">
        <f>660</f>
        <v>660</v>
      </c>
      <c r="E22" s="22">
        <f>0</f>
        <v>0</v>
      </c>
      <c r="F22" s="22">
        <f>0</f>
        <v>0</v>
      </c>
      <c r="G22" s="22">
        <f>660</f>
        <v>660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686747.99</f>
        <v>686747.99</v>
      </c>
      <c r="M22" s="22">
        <f>636034.57</f>
        <v>636034.56999999995</v>
      </c>
      <c r="N22" s="22">
        <f>2382.85</f>
        <v>2382.85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3624738.49</f>
        <v>3624738.49</v>
      </c>
      <c r="C23" s="22">
        <f>3624738.49</f>
        <v>3624738.49</v>
      </c>
      <c r="D23" s="22">
        <f>1586637.23</f>
        <v>1586637.23</v>
      </c>
      <c r="E23" s="22">
        <f>10201.66</f>
        <v>10201.66</v>
      </c>
      <c r="F23" s="22">
        <f>6991.44</f>
        <v>6991.44</v>
      </c>
      <c r="G23" s="22">
        <f>1568623</f>
        <v>1568623</v>
      </c>
      <c r="H23" s="22">
        <f>821.13</f>
        <v>821.13</v>
      </c>
      <c r="I23" s="22">
        <f>0</f>
        <v>0</v>
      </c>
      <c r="J23" s="22">
        <f>0</f>
        <v>0</v>
      </c>
      <c r="K23" s="22">
        <f>2940.03</f>
        <v>2940.03</v>
      </c>
      <c r="L23" s="22">
        <f>983294.07</f>
        <v>983294.07</v>
      </c>
      <c r="M23" s="22">
        <f>1050667.16</f>
        <v>1050667.1599999999</v>
      </c>
      <c r="N23" s="22">
        <f>1200</f>
        <v>1200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IV Kwartały 2025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156266.23</f>
        <v>156266.23000000001</v>
      </c>
      <c r="C40" s="23">
        <f>156266.23</f>
        <v>156266.23000000001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156266.23</f>
        <v>156266.23000000001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156266.23</f>
        <v>156266.23000000001</v>
      </c>
      <c r="C42" s="24">
        <f>156266.23</f>
        <v>156266.23000000001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156266.23</f>
        <v>156266.23000000001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362238127.27</f>
        <v>362238127.26999998</v>
      </c>
      <c r="C43" s="23">
        <f>362237064.74</f>
        <v>362237064.74000001</v>
      </c>
      <c r="D43" s="23">
        <f>161118160.22</f>
        <v>161118160.22</v>
      </c>
      <c r="E43" s="23">
        <f>3497011.1</f>
        <v>3497011.1</v>
      </c>
      <c r="F43" s="23">
        <f>0</f>
        <v>0</v>
      </c>
      <c r="G43" s="23">
        <f>157621149.12</f>
        <v>157621149.12</v>
      </c>
      <c r="H43" s="23">
        <f>0</f>
        <v>0</v>
      </c>
      <c r="I43" s="23">
        <f>0</f>
        <v>0</v>
      </c>
      <c r="J43" s="23">
        <f>27112.5</f>
        <v>27112.5</v>
      </c>
      <c r="K43" s="23">
        <f>0</f>
        <v>0</v>
      </c>
      <c r="L43" s="23">
        <f>117488215.12</f>
        <v>117488215.12</v>
      </c>
      <c r="M43" s="23">
        <f>70225215.04</f>
        <v>70225215.040000007</v>
      </c>
      <c r="N43" s="23">
        <f>13378361.86</f>
        <v>13378361.859999999</v>
      </c>
      <c r="O43" s="23">
        <f>1062.53</f>
        <v>1062.53</v>
      </c>
      <c r="P43" s="23">
        <f>1062.53</f>
        <v>1062.53</v>
      </c>
      <c r="Q43" s="23">
        <f>0</f>
        <v>0</v>
      </c>
    </row>
    <row r="44" spans="1:17" ht="26.25" customHeight="1" x14ac:dyDescent="0.2">
      <c r="A44" s="19" t="s">
        <v>32</v>
      </c>
      <c r="B44" s="24">
        <f>37354526.02</f>
        <v>37354526.020000003</v>
      </c>
      <c r="C44" s="24">
        <f>37353463.49</f>
        <v>37353463.490000002</v>
      </c>
      <c r="D44" s="24">
        <f>6334625.03</f>
        <v>6334625.0300000003</v>
      </c>
      <c r="E44" s="24">
        <f>91822</f>
        <v>91822</v>
      </c>
      <c r="F44" s="24">
        <f>0</f>
        <v>0</v>
      </c>
      <c r="G44" s="24">
        <f>6242803.03</f>
        <v>6242803.0300000003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12916711.52</f>
        <v>12916711.52</v>
      </c>
      <c r="M44" s="24">
        <f>17588753.58</f>
        <v>17588753.579999998</v>
      </c>
      <c r="N44" s="24">
        <f>513373.36</f>
        <v>513373.36</v>
      </c>
      <c r="O44" s="24">
        <f>1062.53</f>
        <v>1062.53</v>
      </c>
      <c r="P44" s="24">
        <f>1062.53</f>
        <v>1062.53</v>
      </c>
      <c r="Q44" s="24">
        <f>0</f>
        <v>0</v>
      </c>
    </row>
    <row r="45" spans="1:17" ht="26.25" customHeight="1" x14ac:dyDescent="0.2">
      <c r="A45" s="19" t="s">
        <v>33</v>
      </c>
      <c r="B45" s="24">
        <f>324883601.25</f>
        <v>324883601.25</v>
      </c>
      <c r="C45" s="24">
        <f>324883601.25</f>
        <v>324883601.25</v>
      </c>
      <c r="D45" s="24">
        <f>154783535.19</f>
        <v>154783535.19</v>
      </c>
      <c r="E45" s="24">
        <f>3405189.1</f>
        <v>3405189.1</v>
      </c>
      <c r="F45" s="24">
        <f>0</f>
        <v>0</v>
      </c>
      <c r="G45" s="24">
        <f>151378346.09</f>
        <v>151378346.09</v>
      </c>
      <c r="H45" s="24">
        <f>0</f>
        <v>0</v>
      </c>
      <c r="I45" s="24">
        <f>0</f>
        <v>0</v>
      </c>
      <c r="J45" s="24">
        <f>27112.5</f>
        <v>27112.5</v>
      </c>
      <c r="K45" s="24">
        <f>0</f>
        <v>0</v>
      </c>
      <c r="L45" s="24">
        <f>104571503.6</f>
        <v>104571503.59999999</v>
      </c>
      <c r="M45" s="24">
        <f>52636461.46</f>
        <v>52636461.460000001</v>
      </c>
      <c r="N45" s="24">
        <f>12864988.5</f>
        <v>12864988.5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10416332043.18</f>
        <v>10416332043.18</v>
      </c>
      <c r="C46" s="23">
        <f>10416332043.18</f>
        <v>10416332043.18</v>
      </c>
      <c r="D46" s="23">
        <f>26491160.72</f>
        <v>26491160.719999999</v>
      </c>
      <c r="E46" s="23">
        <f>22504725.08</f>
        <v>22504725.079999998</v>
      </c>
      <c r="F46" s="23">
        <f>25779.68</f>
        <v>25779.68</v>
      </c>
      <c r="G46" s="23">
        <f>3960655.96</f>
        <v>3960655.96</v>
      </c>
      <c r="H46" s="23">
        <f>0</f>
        <v>0</v>
      </c>
      <c r="I46" s="23">
        <f>3825610.86</f>
        <v>3825610.86</v>
      </c>
      <c r="J46" s="23">
        <f>10383652530.63</f>
        <v>10383652530.629999</v>
      </c>
      <c r="K46" s="23">
        <f>30051.27</f>
        <v>30051.27</v>
      </c>
      <c r="L46" s="23">
        <f>2290285.13</f>
        <v>2290285.13</v>
      </c>
      <c r="M46" s="23">
        <f>41755.66</f>
        <v>41755.660000000003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3811931</f>
        <v>3811931</v>
      </c>
      <c r="C47" s="24">
        <f>3811931</f>
        <v>3811931</v>
      </c>
      <c r="D47" s="24">
        <f>3811931</f>
        <v>3811931</v>
      </c>
      <c r="E47" s="24">
        <f>0</f>
        <v>0</v>
      </c>
      <c r="F47" s="24">
        <f>0</f>
        <v>0</v>
      </c>
      <c r="G47" s="24">
        <f>3811931</f>
        <v>3811931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8984401294.95</f>
        <v>8984401294.9500008</v>
      </c>
      <c r="C48" s="24">
        <f>8984401294.95</f>
        <v>8984401294.9500008</v>
      </c>
      <c r="D48" s="24">
        <f>22422085.24</f>
        <v>22422085.239999998</v>
      </c>
      <c r="E48" s="24">
        <f>22416153</f>
        <v>22416153</v>
      </c>
      <c r="F48" s="24">
        <f>0</f>
        <v>0</v>
      </c>
      <c r="G48" s="24">
        <f>5932.24</f>
        <v>5932.24</v>
      </c>
      <c r="H48" s="24">
        <f>0</f>
        <v>0</v>
      </c>
      <c r="I48" s="24">
        <f>3741826.33</f>
        <v>3741826.33</v>
      </c>
      <c r="J48" s="24">
        <f>8957377134.47</f>
        <v>8957377134.4699993</v>
      </c>
      <c r="K48" s="24">
        <f>30051.27</f>
        <v>30051.27</v>
      </c>
      <c r="L48" s="24">
        <f>830197.64</f>
        <v>830197.64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1428118817.23</f>
        <v>1428118817.23</v>
      </c>
      <c r="C49" s="24">
        <f>1428118817.23</f>
        <v>1428118817.23</v>
      </c>
      <c r="D49" s="24">
        <f>257144.48</f>
        <v>257144.48</v>
      </c>
      <c r="E49" s="24">
        <f>88572.08</f>
        <v>88572.08</v>
      </c>
      <c r="F49" s="24">
        <f>25779.68</f>
        <v>25779.68</v>
      </c>
      <c r="G49" s="24">
        <f>142792.72</f>
        <v>142792.72</v>
      </c>
      <c r="H49" s="24">
        <f>0</f>
        <v>0</v>
      </c>
      <c r="I49" s="24">
        <f>83784.53</f>
        <v>83784.53</v>
      </c>
      <c r="J49" s="24">
        <f>1426275396.16</f>
        <v>1426275396.1600001</v>
      </c>
      <c r="K49" s="24">
        <f>0</f>
        <v>0</v>
      </c>
      <c r="L49" s="24">
        <f>1460087.49</f>
        <v>1460087.49</v>
      </c>
      <c r="M49" s="24">
        <f>41755.66</f>
        <v>41755.660000000003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13294727881.83</f>
        <v>13294727881.83</v>
      </c>
      <c r="C50" s="23">
        <f>13236324703.53</f>
        <v>13236324703.530001</v>
      </c>
      <c r="D50" s="23">
        <f>309100065.43</f>
        <v>309100065.43000001</v>
      </c>
      <c r="E50" s="23">
        <f>62017985.45</f>
        <v>62017985.450000003</v>
      </c>
      <c r="F50" s="23">
        <f>6933925.94</f>
        <v>6933925.9400000004</v>
      </c>
      <c r="G50" s="23">
        <f>239580614.88</f>
        <v>239580614.88</v>
      </c>
      <c r="H50" s="23">
        <f>567539.16</f>
        <v>567539.16</v>
      </c>
      <c r="I50" s="23">
        <f>0</f>
        <v>0</v>
      </c>
      <c r="J50" s="23">
        <f>32373860.44</f>
        <v>32373860.440000001</v>
      </c>
      <c r="K50" s="23">
        <f>19164800.51</f>
        <v>19164800.510000002</v>
      </c>
      <c r="L50" s="23">
        <f>2822486777.79</f>
        <v>2822486777.79</v>
      </c>
      <c r="M50" s="23">
        <f>9959930145.23</f>
        <v>9959930145.2299995</v>
      </c>
      <c r="N50" s="23">
        <f>93269054.13</f>
        <v>93269054.129999995</v>
      </c>
      <c r="O50" s="23">
        <f>58403178.3</f>
        <v>58403178.299999997</v>
      </c>
      <c r="P50" s="23">
        <f>13055991.29</f>
        <v>13055991.289999999</v>
      </c>
      <c r="Q50" s="23">
        <f>45347187.01</f>
        <v>45347187.009999998</v>
      </c>
    </row>
    <row r="51" spans="1:17" ht="26.25" customHeight="1" x14ac:dyDescent="0.2">
      <c r="A51" s="19" t="s">
        <v>37</v>
      </c>
      <c r="B51" s="24">
        <f>5373310437.67</f>
        <v>5373310437.6700001</v>
      </c>
      <c r="C51" s="24">
        <f>5338302370.49</f>
        <v>5338302370.4899998</v>
      </c>
      <c r="D51" s="24">
        <f>68607804</f>
        <v>68607804</v>
      </c>
      <c r="E51" s="24">
        <f>2716984.23</f>
        <v>2716984.23</v>
      </c>
      <c r="F51" s="24">
        <f>4324793.74</f>
        <v>4324793.74</v>
      </c>
      <c r="G51" s="24">
        <f>61439781.02</f>
        <v>61439781.020000003</v>
      </c>
      <c r="H51" s="24">
        <f>126245.01</f>
        <v>126245.01</v>
      </c>
      <c r="I51" s="24">
        <f>0</f>
        <v>0</v>
      </c>
      <c r="J51" s="24">
        <f>96203.5</f>
        <v>96203.5</v>
      </c>
      <c r="K51" s="24">
        <f>552552.16</f>
        <v>552552.16</v>
      </c>
      <c r="L51" s="24">
        <f>768378001.73</f>
        <v>768378001.73000002</v>
      </c>
      <c r="M51" s="24">
        <f>4452446866.44</f>
        <v>4452446866.4399996</v>
      </c>
      <c r="N51" s="24">
        <f>48220942.66</f>
        <v>48220942.659999996</v>
      </c>
      <c r="O51" s="24">
        <f>35008067.18</f>
        <v>35008067.18</v>
      </c>
      <c r="P51" s="24">
        <f>2742869.44</f>
        <v>2742869.44</v>
      </c>
      <c r="Q51" s="24">
        <f>32265197.74</f>
        <v>32265197.739999998</v>
      </c>
    </row>
    <row r="52" spans="1:17" ht="26.25" customHeight="1" x14ac:dyDescent="0.2">
      <c r="A52" s="19" t="s">
        <v>38</v>
      </c>
      <c r="B52" s="24">
        <f>7921417444.16</f>
        <v>7921417444.1599998</v>
      </c>
      <c r="C52" s="24">
        <f>7898022333.04</f>
        <v>7898022333.04</v>
      </c>
      <c r="D52" s="24">
        <f>240492261.43</f>
        <v>240492261.43000001</v>
      </c>
      <c r="E52" s="24">
        <f>59301001.22</f>
        <v>59301001.219999999</v>
      </c>
      <c r="F52" s="24">
        <f>2609132.2</f>
        <v>2609132.2000000002</v>
      </c>
      <c r="G52" s="24">
        <f>178140833.86</f>
        <v>178140833.86000001</v>
      </c>
      <c r="H52" s="24">
        <f>441294.15</f>
        <v>441294.15</v>
      </c>
      <c r="I52" s="24">
        <f>0</f>
        <v>0</v>
      </c>
      <c r="J52" s="24">
        <f>32277656.94</f>
        <v>32277656.940000001</v>
      </c>
      <c r="K52" s="24">
        <f>18612248.35</f>
        <v>18612248.350000001</v>
      </c>
      <c r="L52" s="24">
        <f>2054108776.06</f>
        <v>2054108776.0599999</v>
      </c>
      <c r="M52" s="24">
        <f>5507483278.79</f>
        <v>5507483278.79</v>
      </c>
      <c r="N52" s="24">
        <f>45048111.47</f>
        <v>45048111.469999999</v>
      </c>
      <c r="O52" s="24">
        <f>23395111.12</f>
        <v>23395111.120000001</v>
      </c>
      <c r="P52" s="24">
        <f>10313121.85</f>
        <v>10313121.85</v>
      </c>
      <c r="Q52" s="24">
        <f>13081989.27</f>
        <v>13081989.27</v>
      </c>
    </row>
    <row r="53" spans="1:17" ht="26.25" customHeight="1" x14ac:dyDescent="0.2">
      <c r="A53" s="25" t="s">
        <v>46</v>
      </c>
      <c r="B53" s="23">
        <f>3980375205.38</f>
        <v>3980375205.3800001</v>
      </c>
      <c r="C53" s="23">
        <f>3977968508.64</f>
        <v>3977968508.6399999</v>
      </c>
      <c r="D53" s="23">
        <f>553012874.13</f>
        <v>553012874.13</v>
      </c>
      <c r="E53" s="23">
        <f>317635371.25</f>
        <v>317635371.25</v>
      </c>
      <c r="F53" s="23">
        <f>20405861.42</f>
        <v>20405861.420000002</v>
      </c>
      <c r="G53" s="23">
        <f>184208202.24</f>
        <v>184208202.24000001</v>
      </c>
      <c r="H53" s="23">
        <f>30763439.22</f>
        <v>30763439.219999999</v>
      </c>
      <c r="I53" s="23">
        <f>27600</f>
        <v>27600</v>
      </c>
      <c r="J53" s="23">
        <f>55879546.47</f>
        <v>55879546.469999999</v>
      </c>
      <c r="K53" s="23">
        <f>3269961.03</f>
        <v>3269961.03</v>
      </c>
      <c r="L53" s="23">
        <f>1818928658.19</f>
        <v>1818928658.1900001</v>
      </c>
      <c r="M53" s="23">
        <f>1256983293.1</f>
        <v>1256983293.0999999</v>
      </c>
      <c r="N53" s="23">
        <f>289866575.72</f>
        <v>289866575.72000003</v>
      </c>
      <c r="O53" s="23">
        <f>2406696.74</f>
        <v>2406696.7400000002</v>
      </c>
      <c r="P53" s="23">
        <f>2328143.26</f>
        <v>2328143.2599999998</v>
      </c>
      <c r="Q53" s="23">
        <f>78553.48</f>
        <v>78553.48</v>
      </c>
    </row>
    <row r="54" spans="1:17" ht="26.25" customHeight="1" x14ac:dyDescent="0.2">
      <c r="A54" s="19" t="s">
        <v>39</v>
      </c>
      <c r="B54" s="24">
        <f>777341525.3</f>
        <v>777341525.29999995</v>
      </c>
      <c r="C54" s="24">
        <f>777146785.49</f>
        <v>777146785.49000001</v>
      </c>
      <c r="D54" s="24">
        <f>47036106.83</f>
        <v>47036106.829999998</v>
      </c>
      <c r="E54" s="24">
        <f>1072771.19</f>
        <v>1072771.19</v>
      </c>
      <c r="F54" s="24">
        <f>12831139.19</f>
        <v>12831139.189999999</v>
      </c>
      <c r="G54" s="24">
        <f>25944347.27</f>
        <v>25944347.27</v>
      </c>
      <c r="H54" s="24">
        <f>7187849.18</f>
        <v>7187849.1799999997</v>
      </c>
      <c r="I54" s="24">
        <f>0</f>
        <v>0</v>
      </c>
      <c r="J54" s="24">
        <f>2806606.64</f>
        <v>2806606.64</v>
      </c>
      <c r="K54" s="24">
        <f>584204.57</f>
        <v>584204.56999999995</v>
      </c>
      <c r="L54" s="24">
        <f>343188421.02</f>
        <v>343188421.01999998</v>
      </c>
      <c r="M54" s="24">
        <f>374001752.18</f>
        <v>374001752.18000001</v>
      </c>
      <c r="N54" s="24">
        <f>9529694.25</f>
        <v>9529694.25</v>
      </c>
      <c r="O54" s="24">
        <f>194739.81</f>
        <v>194739.81</v>
      </c>
      <c r="P54" s="24">
        <f>172654.83</f>
        <v>172654.83</v>
      </c>
      <c r="Q54" s="24">
        <f>22084.98</f>
        <v>22084.98</v>
      </c>
    </row>
    <row r="55" spans="1:17" ht="36.75" customHeight="1" x14ac:dyDescent="0.2">
      <c r="A55" s="19" t="s">
        <v>40</v>
      </c>
      <c r="B55" s="24">
        <f>214864237.79</f>
        <v>214864237.78999999</v>
      </c>
      <c r="C55" s="24">
        <f>214852284.42</f>
        <v>214852284.41999999</v>
      </c>
      <c r="D55" s="24">
        <f>43289658.72</f>
        <v>43289658.719999999</v>
      </c>
      <c r="E55" s="24">
        <f>35447134.23</f>
        <v>35447134.229999997</v>
      </c>
      <c r="F55" s="24">
        <f>3382116.21</f>
        <v>3382116.21</v>
      </c>
      <c r="G55" s="24">
        <f>4226688.41</f>
        <v>4226688.41</v>
      </c>
      <c r="H55" s="24">
        <f>233719.87</f>
        <v>233719.87</v>
      </c>
      <c r="I55" s="24">
        <f>0</f>
        <v>0</v>
      </c>
      <c r="J55" s="24">
        <f>20</f>
        <v>20</v>
      </c>
      <c r="K55" s="24">
        <f>759.79</f>
        <v>759.79</v>
      </c>
      <c r="L55" s="24">
        <f>103636699.99</f>
        <v>103636699.98999999</v>
      </c>
      <c r="M55" s="24">
        <f>60060994.22</f>
        <v>60060994.219999999</v>
      </c>
      <c r="N55" s="24">
        <f>7864151.7</f>
        <v>7864151.7000000002</v>
      </c>
      <c r="O55" s="24">
        <f>11953.37</f>
        <v>11953.37</v>
      </c>
      <c r="P55" s="24">
        <f>2645</f>
        <v>2645</v>
      </c>
      <c r="Q55" s="24">
        <f>9308.37</f>
        <v>9308.3700000000008</v>
      </c>
    </row>
    <row r="56" spans="1:17" ht="26.25" customHeight="1" x14ac:dyDescent="0.2">
      <c r="A56" s="19" t="s">
        <v>41</v>
      </c>
      <c r="B56" s="24">
        <f>2988169442.29</f>
        <v>2988169442.29</v>
      </c>
      <c r="C56" s="24">
        <f>2985969438.73</f>
        <v>2985969438.73</v>
      </c>
      <c r="D56" s="24">
        <f>462687108.58</f>
        <v>462687108.57999998</v>
      </c>
      <c r="E56" s="24">
        <f>281115465.83</f>
        <v>281115465.82999998</v>
      </c>
      <c r="F56" s="24">
        <f>4192606.02</f>
        <v>4192606.02</v>
      </c>
      <c r="G56" s="24">
        <f>154037166.56</f>
        <v>154037166.56</v>
      </c>
      <c r="H56" s="24">
        <f>23341870.17</f>
        <v>23341870.170000002</v>
      </c>
      <c r="I56" s="24">
        <f>27600</f>
        <v>27600</v>
      </c>
      <c r="J56" s="24">
        <f>53072919.83</f>
        <v>53072919.829999998</v>
      </c>
      <c r="K56" s="24">
        <f>2684996.67</f>
        <v>2684996.67</v>
      </c>
      <c r="L56" s="24">
        <f>1372103537.18</f>
        <v>1372103537.1800001</v>
      </c>
      <c r="M56" s="24">
        <f>822920546.7</f>
        <v>822920546.70000005</v>
      </c>
      <c r="N56" s="24">
        <f>272472729.77</f>
        <v>272472729.76999998</v>
      </c>
      <c r="O56" s="24">
        <f>2200003.56</f>
        <v>2200003.56</v>
      </c>
      <c r="P56" s="24">
        <f>2152843.43</f>
        <v>2152843.4300000002</v>
      </c>
      <c r="Q56" s="24">
        <f>47160.13</f>
        <v>47160.13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IV Kwartały 2025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1500569338.94</f>
        <v>1500569338.9400001</v>
      </c>
      <c r="G76" s="22">
        <f>271612927.24</f>
        <v>271612927.24000001</v>
      </c>
      <c r="H76" s="22">
        <f>17590873</f>
        <v>17590873</v>
      </c>
      <c r="I76" s="22">
        <f>47268159.25</f>
        <v>47268159.25</v>
      </c>
      <c r="J76" s="22">
        <f>94549694.99</f>
        <v>94549694.989999995</v>
      </c>
      <c r="K76" s="22">
        <f>112204200</f>
        <v>112204200</v>
      </c>
      <c r="L76" s="22">
        <f>1228956411.7</f>
        <v>1228956411.7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140593200.03</f>
        <v>140593200.03</v>
      </c>
      <c r="G78" s="22">
        <f>11000000</f>
        <v>11000000</v>
      </c>
      <c r="H78" s="22">
        <f>0</f>
        <v>0</v>
      </c>
      <c r="I78" s="22">
        <f>0</f>
        <v>0</v>
      </c>
      <c r="J78" s="22">
        <f>11000000</f>
        <v>11000000</v>
      </c>
      <c r="K78" s="22">
        <f>0</f>
        <v>0</v>
      </c>
      <c r="L78" s="22">
        <f>129593200.03</f>
        <v>129593200.03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43865089.88</f>
        <v>43865089.880000003</v>
      </c>
      <c r="G79" s="22">
        <f>41865089.88</f>
        <v>41865089.880000003</v>
      </c>
      <c r="H79" s="22">
        <f>0</f>
        <v>0</v>
      </c>
      <c r="I79" s="22">
        <f>0</f>
        <v>0</v>
      </c>
      <c r="J79" s="22">
        <f>41865089.88</f>
        <v>41865089.880000003</v>
      </c>
      <c r="K79" s="22">
        <f>0</f>
        <v>0</v>
      </c>
      <c r="L79" s="22">
        <f>2000000</f>
        <v>2000000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8379720.12</f>
        <v>8379720.1200000001</v>
      </c>
      <c r="G80" s="22">
        <f>8379720.12</f>
        <v>8379720.1200000001</v>
      </c>
      <c r="H80" s="22">
        <f>0</f>
        <v>0</v>
      </c>
      <c r="I80" s="22">
        <f>0</f>
        <v>0</v>
      </c>
      <c r="J80" s="22">
        <f>8379720.12</f>
        <v>8379720.1200000001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15018190.58</f>
        <v>15018190.58</v>
      </c>
      <c r="G81" s="22">
        <f>14518190.58</f>
        <v>14518190.58</v>
      </c>
      <c r="H81" s="22">
        <f>0</f>
        <v>0</v>
      </c>
      <c r="I81" s="22">
        <f>0</f>
        <v>0</v>
      </c>
      <c r="J81" s="22">
        <f>14518190.58</f>
        <v>14518190.58</v>
      </c>
      <c r="K81" s="22">
        <f>0</f>
        <v>0</v>
      </c>
      <c r="L81" s="22">
        <f>500000</f>
        <v>500000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IV Kwartały 2025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30</f>
        <v>30</v>
      </c>
      <c r="H88" s="60"/>
      <c r="I88" s="46">
        <f>1002065642.43</f>
        <v>1002065642.4299999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36</f>
        <v>36</v>
      </c>
      <c r="H89" s="64"/>
      <c r="I89" s="48">
        <f>-4204420132.06</f>
        <v>-4204420132.0599999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10</v>
      </c>
      <c r="B94" s="8">
        <f>2025</f>
        <v>2025</v>
      </c>
      <c r="C94" s="9"/>
    </row>
    <row r="95" spans="1:13" ht="13.5" customHeight="1" x14ac:dyDescent="0.2">
      <c r="A95" s="8" t="s">
        <v>11</v>
      </c>
      <c r="B95" s="10" t="str">
        <f>"Mar 18 2026 12:00AM"</f>
        <v>Mar 18 2026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2026-03-25T10:04:36Z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2026-03-25T11:04:14.8321768+01:00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GRN-e03a55dd-49ba-46dd-8055-ea76b3b55054</vt:lpwstr>
  </property>
  <property fmtid="{D5CDD505-2E9C-101B-9397-08002B2CF9AE}" pid="7" name="MFHash">
    <vt:lpwstr>DKg9scnF2f4ZYHzTGXV9n4Ihf/zgiGPNJMiy3MU5YWc=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