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doch_wyd" sheetId="1" r:id="rId1"/>
  </sheets>
  <definedNames>
    <definedName name="_xlnm.Print_Area" localSheetId="0">'doch_wyd'!$A$1:$M$118</definedName>
  </definedNames>
  <calcPr fullCalcOnLoad="1"/>
</workbook>
</file>

<file path=xl/comments1.xml><?xml version="1.0" encoding="utf-8"?>
<comments xmlns="http://schemas.openxmlformats.org/spreadsheetml/2006/main">
  <authors>
    <author>Michał Chmielewski</author>
  </authors>
  <commentList>
    <comment ref="J71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72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73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75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76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77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78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</commentList>
</comments>
</file>

<file path=xl/sharedStrings.xml><?xml version="1.0" encoding="utf-8"?>
<sst xmlns="http://schemas.openxmlformats.org/spreadsheetml/2006/main" count="324" uniqueCount="111">
  <si>
    <t xml:space="preserve">Wyszczególnienie </t>
  </si>
  <si>
    <t xml:space="preserve">Wykonanie </t>
  </si>
  <si>
    <t xml:space="preserve">Struktura </t>
  </si>
  <si>
    <t>Struktura dochodów  własnych</t>
  </si>
  <si>
    <t>w %%</t>
  </si>
  <si>
    <t>DOCHODY OGÓŁEM</t>
  </si>
  <si>
    <t>w tym:   inwestycyjne</t>
  </si>
  <si>
    <t xml:space="preserve">na zadania własne </t>
  </si>
  <si>
    <t>otrzymane z funduszy celowych</t>
  </si>
  <si>
    <t>na zadania z zakresu adm. rządowej</t>
  </si>
  <si>
    <t xml:space="preserve">na zadania realizowane na podstawie porozumień  z org. adm. rządowej </t>
  </si>
  <si>
    <t>na zadania realizowane na podstawie porozumień między jst</t>
  </si>
  <si>
    <t>Zobowiązania wg stanu na koniec 
okresu sprawozdawczego</t>
  </si>
  <si>
    <t>w tym:   wydatki na inwestycje</t>
  </si>
  <si>
    <t xml:space="preserve">wydatki majątkowe      </t>
  </si>
  <si>
    <t xml:space="preserve">WYNIK  </t>
  </si>
  <si>
    <t>Wyszczególnienie</t>
  </si>
  <si>
    <t>Plan (po zmianach)</t>
  </si>
  <si>
    <t>Wskaźnik 
(3:2)</t>
  </si>
  <si>
    <t xml:space="preserve">podatek rolny  </t>
  </si>
  <si>
    <t xml:space="preserve">podatek od nieruchomości </t>
  </si>
  <si>
    <t xml:space="preserve">podatek leśny        </t>
  </si>
  <si>
    <t>podatek od środków transportowych</t>
  </si>
  <si>
    <t>dochody z majątku</t>
  </si>
  <si>
    <t xml:space="preserve">pozostałe dochody </t>
  </si>
  <si>
    <t>Struktura</t>
  </si>
  <si>
    <t>Wskaźnik</t>
  </si>
  <si>
    <t xml:space="preserve">podatek od spadków i darowizn       </t>
  </si>
  <si>
    <t>podatek od czynności cywilnoprawnych</t>
  </si>
  <si>
    <t>inne cele</t>
  </si>
  <si>
    <t>w tym wymagalne:</t>
  </si>
  <si>
    <t>Wskaźnik 
(4:2)</t>
  </si>
  <si>
    <r>
      <t xml:space="preserve">Plan 
(po zmianach)
</t>
    </r>
    <r>
      <rPr>
        <b/>
        <sz val="10"/>
        <color indexed="8"/>
        <rFont val="Arial"/>
        <family val="2"/>
      </rPr>
      <t>R1</t>
    </r>
  </si>
  <si>
    <r>
      <t xml:space="preserve">Dochody 
wykonane
(wpływy minus zwroty) 
</t>
    </r>
    <r>
      <rPr>
        <b/>
        <sz val="10"/>
        <color indexed="8"/>
        <rFont val="Arial"/>
        <family val="2"/>
      </rPr>
      <t>R4</t>
    </r>
  </si>
  <si>
    <r>
      <t xml:space="preserve">Dochody 
otrzymane
</t>
    </r>
    <r>
      <rPr>
        <b/>
        <sz val="10"/>
        <color indexed="8"/>
        <rFont val="Arial"/>
        <family val="2"/>
      </rPr>
      <t>R9</t>
    </r>
  </si>
  <si>
    <r>
      <t xml:space="preserve">Obniżenie górnych stawek podatkowych
</t>
    </r>
    <r>
      <rPr>
        <b/>
        <sz val="10"/>
        <color indexed="8"/>
        <rFont val="Arial"/>
        <family val="2"/>
      </rPr>
      <t>R7</t>
    </r>
  </si>
  <si>
    <r>
      <t xml:space="preserve">Ulgi i zwolnienia
</t>
    </r>
    <r>
      <rPr>
        <b/>
        <sz val="10"/>
        <color indexed="8"/>
        <rFont val="Arial"/>
        <family val="2"/>
      </rPr>
      <t>R8</t>
    </r>
  </si>
  <si>
    <r>
      <t xml:space="preserve">Umorzenie zaległości podatkowych
</t>
    </r>
    <r>
      <rPr>
        <b/>
        <sz val="10"/>
        <color indexed="8"/>
        <rFont val="Arial"/>
        <family val="2"/>
      </rPr>
      <t>R11Z</t>
    </r>
  </si>
  <si>
    <r>
      <t xml:space="preserve">Rozłożenie na raty, odroczenie terminu płatności
</t>
    </r>
    <r>
      <rPr>
        <b/>
        <sz val="10"/>
        <color indexed="8"/>
        <rFont val="Arial"/>
        <family val="2"/>
      </rPr>
      <t>R11R</t>
    </r>
  </si>
  <si>
    <r>
      <t xml:space="preserve">Potrącenia 
</t>
    </r>
    <r>
      <rPr>
        <b/>
        <sz val="10"/>
        <color indexed="8"/>
        <rFont val="Arial"/>
        <family val="2"/>
      </rPr>
      <t>R3</t>
    </r>
  </si>
  <si>
    <t>uzupełnienie subwencji ogólnej</t>
  </si>
  <si>
    <t xml:space="preserve">podatek od dział. gosp. osób fizycznych, opłacany w formie karty podatkowej </t>
  </si>
  <si>
    <t>część równoważąca</t>
  </si>
  <si>
    <t>część rekompensująca</t>
  </si>
  <si>
    <t>część oświatowa</t>
  </si>
  <si>
    <t>część wyrównawcza</t>
  </si>
  <si>
    <t>pozostałe wydatki</t>
  </si>
  <si>
    <t>wydatki na obsługę długu</t>
  </si>
  <si>
    <t>dotacje</t>
  </si>
  <si>
    <r>
      <t xml:space="preserve">powstałe w latach ubiegłych
</t>
    </r>
    <r>
      <rPr>
        <b/>
        <sz val="10"/>
        <rFont val="Arial"/>
        <family val="2"/>
      </rPr>
      <t>R12U</t>
    </r>
  </si>
  <si>
    <r>
      <t xml:space="preserve">powstałe w roku bieżącym
</t>
    </r>
    <r>
      <rPr>
        <b/>
        <sz val="10"/>
        <rFont val="Arial"/>
        <family val="2"/>
      </rPr>
      <t>R12B</t>
    </r>
  </si>
  <si>
    <r>
      <t xml:space="preserve">Plan 
(po zmianach)
</t>
    </r>
    <r>
      <rPr>
        <b/>
        <sz val="10"/>
        <rFont val="Arial"/>
        <family val="2"/>
      </rPr>
      <t>R1</t>
    </r>
  </si>
  <si>
    <r>
      <t xml:space="preserve">Zaangażowanie
</t>
    </r>
    <r>
      <rPr>
        <b/>
        <sz val="10"/>
        <rFont val="Arial"/>
        <family val="2"/>
      </rPr>
      <t>R10</t>
    </r>
  </si>
  <si>
    <r>
      <t xml:space="preserve">Wydatki
 wykonane
</t>
    </r>
    <r>
      <rPr>
        <b/>
        <sz val="10"/>
        <rFont val="Arial"/>
        <family val="2"/>
      </rPr>
      <t>R4</t>
    </r>
  </si>
  <si>
    <r>
      <t xml:space="preserve">ogółem
</t>
    </r>
    <r>
      <rPr>
        <b/>
        <sz val="10"/>
        <rFont val="Arial"/>
        <family val="2"/>
      </rPr>
      <t>R11</t>
    </r>
  </si>
  <si>
    <t>opłata skarbowa</t>
  </si>
  <si>
    <t>opłata eksploatacyjna</t>
  </si>
  <si>
    <t>opłata targowa</t>
  </si>
  <si>
    <t>- część gminna</t>
  </si>
  <si>
    <t>- część powiatowa</t>
  </si>
  <si>
    <t>- pozostałe</t>
  </si>
  <si>
    <t>Subwencja ogólna dla gmin z tego:</t>
  </si>
  <si>
    <t>Subwencja ogólna dla powiatów z tego:</t>
  </si>
  <si>
    <t>#</t>
  </si>
  <si>
    <t>Razem dochody własne 
z tego:</t>
  </si>
  <si>
    <t>podatek dochodowy od osób prawnych - 
część gminna</t>
  </si>
  <si>
    <t>podatek dochodowy od osób prawnych - 
część powiatowa</t>
  </si>
  <si>
    <t>podatek dochodowy od osób fizycznych - 
część gminna</t>
  </si>
  <si>
    <t>podatek dochodowy od osób fizycznych - 
część powiatowa</t>
  </si>
  <si>
    <t>Dotacje celowe 
z tego:</t>
  </si>
  <si>
    <t>Subwencja ogólna 
z tego:</t>
  </si>
  <si>
    <t>WYDATKI OGÓŁEM 
z tego:</t>
  </si>
  <si>
    <t>wydatki bieżące 
z tego:</t>
  </si>
  <si>
    <t>Przychody ogółem 
z tego:</t>
  </si>
  <si>
    <t>Rozchody ogółem 
z tego:</t>
  </si>
  <si>
    <t>wydatki z tytułu udzielania poręczeń i gwarancji</t>
  </si>
  <si>
    <t>Dotacje ogółem                      z tego:</t>
  </si>
  <si>
    <t>świadczenia na rzecz osób fizycznych</t>
  </si>
  <si>
    <t>majątkowe</t>
  </si>
  <si>
    <t>bieżące</t>
  </si>
  <si>
    <t>UE</t>
  </si>
  <si>
    <t>wydatki majątkowe</t>
  </si>
  <si>
    <t>wydatki bieżące</t>
  </si>
  <si>
    <t>Dochody bieżące minus Wydatki bieżące</t>
  </si>
  <si>
    <t>w złotych</t>
  </si>
  <si>
    <t>z tytułu pomocy finansowej udzielanej między jst na dofinansowanie własnych zadań</t>
  </si>
  <si>
    <t>inne źródła</t>
  </si>
  <si>
    <t>FINANSOWANIE DEFICYTU (E1+E2+E3+E4+E5)  z tego:</t>
  </si>
  <si>
    <t>sprzedaż papierów wartościowych wyemitowanych przez jednostkę samorządu terytorialnego</t>
  </si>
  <si>
    <t>kredyty i pożyczki</t>
  </si>
  <si>
    <t>prywatyzacja majątku jednostki samorządu terytorialnego</t>
  </si>
  <si>
    <t>nadwyżka budżetu jednostki samorządu terytorialnego z lat ubiegłych</t>
  </si>
  <si>
    <t>wolne środki jako nadwyżka środków pieniężnych na rachunku  bieżącym budżetu jednostki samorządu terytorialnego, wynikających  z rozliczeń wyemitowanych papierów wartościowych, kredytów i  pożyczek z lat ubiegłych</t>
  </si>
  <si>
    <r>
      <t xml:space="preserve">Wydatki, które nie wygasły 
z upływem roku budżetowego) 
(art.263 ust. 2 ustawy 
o finansach publicznych) 
</t>
    </r>
    <r>
      <rPr>
        <b/>
        <sz val="10"/>
        <rFont val="Arial"/>
        <family val="2"/>
      </rPr>
      <t>R9</t>
    </r>
  </si>
  <si>
    <t>Dotacje §§ 200 i 620</t>
  </si>
  <si>
    <t>w tym: inwestycyjne § 620</t>
  </si>
  <si>
    <t>Dotacje §§ 205 i 625</t>
  </si>
  <si>
    <t>w tym: inwestycyjne § 625</t>
  </si>
  <si>
    <t>WYDATKI OGÓŁEM UE                    z tego:</t>
  </si>
  <si>
    <t>kredyty, pożyczki, emisja papierów wartościowych w tym:</t>
  </si>
  <si>
    <t>ze sprzedaży papierów wartościowych</t>
  </si>
  <si>
    <t>spłata  udzielonych pożyczek</t>
  </si>
  <si>
    <t>nadwyżka z lat ubiegłych</t>
  </si>
  <si>
    <t>prywatyzacja majątku JST</t>
  </si>
  <si>
    <t>spłaty kredytów i pożyczek, wykup papierów wartościowych w tym:</t>
  </si>
  <si>
    <t>wykup papierów wartościowych</t>
  </si>
  <si>
    <t xml:space="preserve"> udzielone pożyczki</t>
  </si>
  <si>
    <t>wolne środki, o których mowa w art. 217 ust. 2 pkt 6 ustawy o finansach publicznych</t>
  </si>
  <si>
    <t>wydatki na wynagrodzenia i pochodne od wynagrodzeń</t>
  </si>
  <si>
    <t>niewykorzystane środki pieniężne o których mowa w art.217 ust.2 pkt.8 ustawy o finansach publicznych</t>
  </si>
  <si>
    <t xml:space="preserve">Informacja z wykonania budżetów miast na prawach powiatu za I Kwartał 2021 rok   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</si>
</sst>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dd/mm/yy\ h:mm;@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5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9.5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b/>
      <sz val="8"/>
      <name val="Arial CE"/>
      <family val="2"/>
    </font>
  </fonts>
  <fills count="52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14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6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3" borderId="0" applyNumberFormat="0" applyBorder="0" applyAlignment="0" applyProtection="0"/>
    <xf numFmtId="0" fontId="16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22" borderId="0" applyNumberFormat="0" applyBorder="0" applyAlignment="0" applyProtection="0"/>
    <xf numFmtId="0" fontId="16" fillId="6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16" fillId="22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22" borderId="0" applyNumberFormat="0" applyBorder="0" applyAlignment="0" applyProtection="0"/>
    <xf numFmtId="0" fontId="16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17" fillId="39" borderId="0" applyNumberFormat="0" applyBorder="0" applyAlignment="0" applyProtection="0"/>
    <xf numFmtId="0" fontId="18" fillId="40" borderId="1" applyNumberFormat="0" applyAlignment="0" applyProtection="0"/>
    <xf numFmtId="0" fontId="19" fillId="41" borderId="2" applyNumberFormat="0" applyAlignment="0" applyProtection="0"/>
    <xf numFmtId="0" fontId="40" fillId="42" borderId="3" applyNumberFormat="0" applyAlignment="0" applyProtection="0"/>
    <xf numFmtId="0" fontId="41" fillId="43" borderId="4" applyNumberFormat="0" applyAlignment="0" applyProtection="0"/>
    <xf numFmtId="0" fontId="42" fillId="4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5" borderId="0" applyNumberFormat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6" borderId="1" applyNumberFormat="0" applyAlignment="0" applyProtection="0"/>
    <xf numFmtId="0" fontId="43" fillId="0" borderId="8" applyNumberFormat="0" applyFill="0" applyAlignment="0" applyProtection="0"/>
    <xf numFmtId="0" fontId="44" fillId="46" borderId="9" applyNumberFormat="0" applyAlignment="0" applyProtection="0"/>
    <xf numFmtId="0" fontId="26" fillId="0" borderId="10" applyNumberFormat="0" applyFill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7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27" fillId="14" borderId="0" applyNumberFormat="0" applyBorder="0" applyAlignment="0" applyProtection="0"/>
    <xf numFmtId="0" fontId="48" fillId="47" borderId="0" applyNumberFormat="0" applyBorder="0" applyAlignment="0" applyProtection="0"/>
    <xf numFmtId="0" fontId="38" fillId="0" borderId="0">
      <alignment/>
      <protection/>
    </xf>
    <xf numFmtId="0" fontId="0" fillId="4" borderId="14" applyNumberFormat="0" applyFont="0" applyAlignment="0" applyProtection="0"/>
    <xf numFmtId="0" fontId="49" fillId="43" borderId="3" applyNumberFormat="0" applyAlignment="0" applyProtection="0"/>
    <xf numFmtId="0" fontId="2" fillId="0" borderId="0" applyNumberFormat="0" applyFill="0" applyBorder="0" applyAlignment="0" applyProtection="0"/>
    <xf numFmtId="0" fontId="28" fillId="40" borderId="15" applyNumberFormat="0" applyAlignment="0" applyProtection="0"/>
    <xf numFmtId="9" fontId="0" fillId="0" borderId="0" applyFont="0" applyFill="0" applyBorder="0" applyAlignment="0" applyProtection="0"/>
    <xf numFmtId="0" fontId="50" fillId="0" borderId="16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7" applyNumberFormat="0" applyFill="0" applyAlignment="0" applyProtection="0"/>
    <xf numFmtId="0" fontId="53" fillId="0" borderId="0" applyNumberFormat="0" applyFill="0" applyBorder="0" applyAlignment="0" applyProtection="0"/>
    <xf numFmtId="0" fontId="0" fillId="48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4" fillId="49" borderId="0" applyNumberFormat="0" applyBorder="0" applyAlignment="0" applyProtection="0"/>
  </cellStyleXfs>
  <cellXfs count="123">
    <xf numFmtId="0" fontId="0" fillId="0" borderId="0" xfId="0" applyAlignment="1">
      <alignment/>
    </xf>
    <xf numFmtId="164" fontId="6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2" borderId="19" xfId="0" applyNumberFormat="1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3" fillId="50" borderId="19" xfId="0" applyFont="1" applyFill="1" applyBorder="1" applyAlignment="1">
      <alignment horizontal="center" vertical="center" wrapText="1"/>
    </xf>
    <xf numFmtId="4" fontId="33" fillId="50" borderId="19" xfId="0" applyNumberFormat="1" applyFont="1" applyFill="1" applyBorder="1" applyAlignment="1">
      <alignment horizontal="center" vertical="center"/>
    </xf>
    <xf numFmtId="164" fontId="33" fillId="50" borderId="19" xfId="0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4" fontId="34" fillId="0" borderId="19" xfId="0" applyNumberFormat="1" applyFont="1" applyBorder="1" applyAlignment="1">
      <alignment horizontal="center" vertical="center"/>
    </xf>
    <xf numFmtId="164" fontId="34" fillId="0" borderId="19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4" fontId="34" fillId="0" borderId="19" xfId="0" applyNumberFormat="1" applyFont="1" applyFill="1" applyBorder="1" applyAlignment="1">
      <alignment horizontal="center" vertical="center"/>
    </xf>
    <xf numFmtId="4" fontId="35" fillId="0" borderId="19" xfId="0" applyNumberFormat="1" applyFont="1" applyFill="1" applyBorder="1" applyAlignment="1">
      <alignment horizontal="center" vertical="center"/>
    </xf>
    <xf numFmtId="4" fontId="34" fillId="50" borderId="19" xfId="0" applyNumberFormat="1" applyFont="1" applyFill="1" applyBorder="1" applyAlignment="1">
      <alignment horizontal="center" vertical="center"/>
    </xf>
    <xf numFmtId="164" fontId="34" fillId="0" borderId="0" xfId="0" applyNumberFormat="1" applyFont="1" applyFill="1" applyBorder="1" applyAlignment="1">
      <alignment horizontal="center" vertical="center"/>
    </xf>
    <xf numFmtId="164" fontId="35" fillId="0" borderId="0" xfId="0" applyNumberFormat="1" applyFont="1" applyAlignment="1">
      <alignment horizontal="center" vertical="center"/>
    </xf>
    <xf numFmtId="0" fontId="13" fillId="40" borderId="19" xfId="0" applyFont="1" applyFill="1" applyBorder="1" applyAlignment="1" quotePrefix="1">
      <alignment horizontal="center" vertical="center" wrapText="1"/>
    </xf>
    <xf numFmtId="4" fontId="35" fillId="0" borderId="19" xfId="0" applyNumberFormat="1" applyFont="1" applyBorder="1" applyAlignment="1">
      <alignment horizontal="center" vertical="center"/>
    </xf>
    <xf numFmtId="0" fontId="13" fillId="50" borderId="19" xfId="0" applyFont="1" applyFill="1" applyBorder="1" applyAlignment="1" quotePrefix="1">
      <alignment horizontal="center" vertical="center" wrapText="1"/>
    </xf>
    <xf numFmtId="164" fontId="34" fillId="40" borderId="19" xfId="0" applyNumberFormat="1" applyFont="1" applyFill="1" applyBorder="1" applyAlignment="1">
      <alignment horizontal="center" vertical="center"/>
    </xf>
    <xf numFmtId="0" fontId="5" fillId="51" borderId="19" xfId="0" applyFont="1" applyFill="1" applyBorder="1" applyAlignment="1">
      <alignment horizontal="center" vertical="center" wrapText="1"/>
    </xf>
    <xf numFmtId="4" fontId="34" fillId="51" borderId="19" xfId="0" applyNumberFormat="1" applyFont="1" applyFill="1" applyBorder="1" applyAlignment="1">
      <alignment horizontal="center" vertical="center"/>
    </xf>
    <xf numFmtId="164" fontId="34" fillId="51" borderId="19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164" fontId="35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" fontId="34" fillId="0" borderId="0" xfId="0" applyNumberFormat="1" applyFont="1" applyFill="1" applyBorder="1" applyAlignment="1">
      <alignment horizontal="center" vertical="center"/>
    </xf>
    <xf numFmtId="164" fontId="35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4" fontId="36" fillId="50" borderId="19" xfId="0" applyNumberFormat="1" applyFont="1" applyFill="1" applyBorder="1" applyAlignment="1">
      <alignment horizontal="center" vertical="center"/>
    </xf>
    <xf numFmtId="164" fontId="36" fillId="50" borderId="19" xfId="0" applyNumberFormat="1" applyFont="1" applyFill="1" applyBorder="1" applyAlignment="1">
      <alignment horizontal="center" vertical="center"/>
    </xf>
    <xf numFmtId="4" fontId="33" fillId="50" borderId="19" xfId="0" applyNumberFormat="1" applyFont="1" applyFill="1" applyBorder="1" applyAlignment="1">
      <alignment horizontal="center" vertical="center" wrapText="1"/>
    </xf>
    <xf numFmtId="4" fontId="33" fillId="50" borderId="19" xfId="0" applyNumberFormat="1" applyFont="1" applyFill="1" applyBorder="1" applyAlignment="1">
      <alignment horizontal="center" vertical="center" wrapText="1"/>
    </xf>
    <xf numFmtId="164" fontId="35" fillId="0" borderId="19" xfId="0" applyNumberFormat="1" applyFont="1" applyFill="1" applyBorder="1" applyAlignment="1">
      <alignment horizontal="center" vertical="center"/>
    </xf>
    <xf numFmtId="4" fontId="34" fillId="0" borderId="19" xfId="0" applyNumberFormat="1" applyFont="1" applyFill="1" applyBorder="1" applyAlignment="1">
      <alignment horizontal="center" vertical="center" wrapText="1"/>
    </xf>
    <xf numFmtId="4" fontId="35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3" fontId="33" fillId="0" borderId="0" xfId="0" applyNumberFormat="1" applyFont="1" applyBorder="1" applyAlignment="1">
      <alignment horizontal="center" vertical="center"/>
    </xf>
    <xf numFmtId="164" fontId="35" fillId="0" borderId="0" xfId="0" applyNumberFormat="1" applyFont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Border="1" applyAlignment="1">
      <alignment horizontal="center"/>
    </xf>
    <xf numFmtId="0" fontId="13" fillId="0" borderId="19" xfId="0" applyFont="1" applyBorder="1" applyAlignment="1">
      <alignment horizontal="center" vertical="center"/>
    </xf>
    <xf numFmtId="3" fontId="33" fillId="0" borderId="21" xfId="0" applyNumberFormat="1" applyFont="1" applyBorder="1" applyAlignment="1">
      <alignment horizontal="center" vertical="center"/>
    </xf>
    <xf numFmtId="3" fontId="33" fillId="0" borderId="19" xfId="0" applyNumberFormat="1" applyFont="1" applyBorder="1" applyAlignment="1">
      <alignment horizontal="center" vertical="center"/>
    </xf>
    <xf numFmtId="164" fontId="35" fillId="0" borderId="19" xfId="0" applyNumberFormat="1" applyFont="1" applyBorder="1" applyAlignment="1">
      <alignment horizontal="center"/>
    </xf>
    <xf numFmtId="0" fontId="35" fillId="0" borderId="19" xfId="0" applyFont="1" applyBorder="1" applyAlignment="1">
      <alignment horizontal="center"/>
    </xf>
    <xf numFmtId="4" fontId="34" fillId="50" borderId="21" xfId="0" applyNumberFormat="1" applyFont="1" applyFill="1" applyBorder="1" applyAlignment="1">
      <alignment horizontal="center" vertical="center" wrapText="1"/>
    </xf>
    <xf numFmtId="4" fontId="34" fillId="50" borderId="19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/>
    </xf>
    <xf numFmtId="4" fontId="34" fillId="0" borderId="21" xfId="0" applyNumberFormat="1" applyFont="1" applyFill="1" applyBorder="1" applyAlignment="1">
      <alignment horizontal="center" vertical="center" wrapText="1"/>
    </xf>
    <xf numFmtId="164" fontId="36" fillId="0" borderId="19" xfId="0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/>
    </xf>
    <xf numFmtId="0" fontId="12" fillId="40" borderId="19" xfId="0" applyFont="1" applyFill="1" applyBorder="1" applyAlignment="1">
      <alignment horizontal="center" vertical="top" wrapText="1"/>
    </xf>
    <xf numFmtId="4" fontId="36" fillId="40" borderId="20" xfId="0" applyNumberFormat="1" applyFont="1" applyFill="1" applyBorder="1" applyAlignment="1">
      <alignment horizontal="center" vertical="center"/>
    </xf>
    <xf numFmtId="4" fontId="36" fillId="40" borderId="21" xfId="0" applyNumberFormat="1" applyFont="1" applyFill="1" applyBorder="1" applyAlignment="1">
      <alignment horizontal="center" vertical="center"/>
    </xf>
    <xf numFmtId="164" fontId="36" fillId="40" borderId="19" xfId="71" applyNumberFormat="1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top" wrapText="1"/>
    </xf>
    <xf numFmtId="4" fontId="35" fillId="0" borderId="20" xfId="0" applyNumberFormat="1" applyFont="1" applyBorder="1" applyAlignment="1">
      <alignment horizontal="center" vertical="center"/>
    </xf>
    <xf numFmtId="4" fontId="35" fillId="0" borderId="21" xfId="0" applyNumberFormat="1" applyFont="1" applyBorder="1" applyAlignment="1">
      <alignment horizontal="center" vertical="center"/>
    </xf>
    <xf numFmtId="164" fontId="36" fillId="51" borderId="19" xfId="71" applyNumberFormat="1" applyFont="1" applyFill="1" applyBorder="1" applyAlignment="1">
      <alignment horizontal="center" vertical="center"/>
    </xf>
    <xf numFmtId="164" fontId="36" fillId="51" borderId="19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top" wrapText="1"/>
    </xf>
    <xf numFmtId="4" fontId="35" fillId="0" borderId="20" xfId="0" applyNumberFormat="1" applyFont="1" applyFill="1" applyBorder="1" applyAlignment="1">
      <alignment horizontal="center" vertical="center"/>
    </xf>
    <xf numFmtId="4" fontId="35" fillId="0" borderId="21" xfId="0" applyNumberFormat="1" applyFont="1" applyFill="1" applyBorder="1" applyAlignment="1">
      <alignment horizontal="center" vertical="center"/>
    </xf>
    <xf numFmtId="164" fontId="36" fillId="0" borderId="19" xfId="71" applyNumberFormat="1" applyFont="1" applyFill="1" applyBorder="1" applyAlignment="1">
      <alignment horizontal="center" vertical="center"/>
    </xf>
    <xf numFmtId="0" fontId="12" fillId="50" borderId="19" xfId="0" applyFont="1" applyFill="1" applyBorder="1" applyAlignment="1">
      <alignment horizontal="center" vertical="top" wrapText="1"/>
    </xf>
    <xf numFmtId="4" fontId="36" fillId="50" borderId="20" xfId="0" applyNumberFormat="1" applyFont="1" applyFill="1" applyBorder="1" applyAlignment="1">
      <alignment horizontal="center" vertical="center"/>
    </xf>
    <xf numFmtId="4" fontId="36" fillId="50" borderId="21" xfId="0" applyNumberFormat="1" applyFont="1" applyFill="1" applyBorder="1" applyAlignment="1">
      <alignment horizontal="center" vertical="center"/>
    </xf>
    <xf numFmtId="164" fontId="36" fillId="50" borderId="19" xfId="71" applyNumberFormat="1" applyFont="1" applyFill="1" applyBorder="1" applyAlignment="1">
      <alignment horizontal="center" vertical="center"/>
    </xf>
    <xf numFmtId="0" fontId="55" fillId="0" borderId="19" xfId="89" applyFont="1" applyFill="1" applyBorder="1" applyAlignment="1">
      <alignment horizontal="center" vertical="top" wrapText="1"/>
      <protection/>
    </xf>
    <xf numFmtId="4" fontId="36" fillId="0" borderId="2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2" borderId="19" xfId="0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4" fontId="34" fillId="0" borderId="19" xfId="0" applyNumberFormat="1" applyFont="1" applyFill="1" applyBorder="1" applyAlignment="1">
      <alignment horizontal="center" vertical="center"/>
    </xf>
    <xf numFmtId="4" fontId="33" fillId="50" borderId="19" xfId="0" applyNumberFormat="1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/>
    </xf>
    <xf numFmtId="4" fontId="36" fillId="50" borderId="19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top" wrapText="1"/>
    </xf>
    <xf numFmtId="0" fontId="0" fillId="0" borderId="21" xfId="0" applyFill="1" applyBorder="1" applyAlignment="1">
      <alignment horizontal="center" vertical="top" wrapText="1"/>
    </xf>
    <xf numFmtId="0" fontId="7" fillId="2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4" fontId="34" fillId="0" borderId="19" xfId="0" applyNumberFormat="1" applyFont="1" applyFill="1" applyBorder="1" applyAlignment="1">
      <alignment horizontal="center" vertical="center" wrapText="1"/>
    </xf>
    <xf numFmtId="4" fontId="34" fillId="0" borderId="20" xfId="0" applyNumberFormat="1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te" xfId="90"/>
    <cellStyle name="Obliczenia" xfId="91"/>
    <cellStyle name="Followed Hyperlink" xfId="92"/>
    <cellStyle name="Output" xfId="93"/>
    <cellStyle name="Percent" xfId="94"/>
    <cellStyle name="Suma" xfId="95"/>
    <cellStyle name="Tekst objaśnienia" xfId="96"/>
    <cellStyle name="Tekst ostrzeżenia" xfId="97"/>
    <cellStyle name="Title" xfId="98"/>
    <cellStyle name="Total" xfId="99"/>
    <cellStyle name="Tytuł" xfId="100"/>
    <cellStyle name="Uwaga" xfId="101"/>
    <cellStyle name="Currency" xfId="102"/>
    <cellStyle name="Currency [0]" xfId="103"/>
    <cellStyle name="Warning Text" xfId="104"/>
    <cellStyle name="Zły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A118"/>
  <sheetViews>
    <sheetView tabSelected="1" workbookViewId="0" topLeftCell="B1">
      <selection activeCell="B5" sqref="B5"/>
    </sheetView>
  </sheetViews>
  <sheetFormatPr defaultColWidth="9.00390625" defaultRowHeight="12.75"/>
  <cols>
    <col min="1" max="1" width="5.75390625" style="22" hidden="1" customWidth="1"/>
    <col min="2" max="2" width="22.875" style="22" customWidth="1"/>
    <col min="3" max="5" width="14.625" style="22" customWidth="1"/>
    <col min="6" max="6" width="13.875" style="22" customWidth="1"/>
    <col min="7" max="7" width="13.00390625" style="22" customWidth="1"/>
    <col min="8" max="9" width="12.25390625" style="22" customWidth="1"/>
    <col min="10" max="10" width="13.00390625" style="22" customWidth="1"/>
    <col min="11" max="11" width="7.375" style="22" customWidth="1"/>
    <col min="12" max="12" width="7.25390625" style="22" customWidth="1"/>
    <col min="13" max="13" width="8.125" style="22" customWidth="1"/>
    <col min="14" max="16384" width="9.125" style="22" customWidth="1"/>
  </cols>
  <sheetData>
    <row r="1" spans="2:13" ht="27.75" customHeight="1">
      <c r="B1" s="96" t="s">
        <v>110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2:13" ht="63" customHeight="1">
      <c r="B2" s="120" t="s">
        <v>0</v>
      </c>
      <c r="C2" s="5" t="s">
        <v>32</v>
      </c>
      <c r="D2" s="5" t="s">
        <v>33</v>
      </c>
      <c r="E2" s="5" t="s">
        <v>34</v>
      </c>
      <c r="F2" s="5" t="s">
        <v>35</v>
      </c>
      <c r="G2" s="5" t="s">
        <v>36</v>
      </c>
      <c r="H2" s="5" t="s">
        <v>37</v>
      </c>
      <c r="I2" s="5" t="s">
        <v>38</v>
      </c>
      <c r="J2" s="5" t="s">
        <v>39</v>
      </c>
      <c r="K2" s="6" t="s">
        <v>2</v>
      </c>
      <c r="L2" s="5" t="s">
        <v>18</v>
      </c>
      <c r="M2" s="5" t="s">
        <v>3</v>
      </c>
    </row>
    <row r="3" spans="2:13" ht="12.75">
      <c r="B3" s="120"/>
      <c r="C3" s="95" t="s">
        <v>84</v>
      </c>
      <c r="D3" s="95"/>
      <c r="E3" s="95"/>
      <c r="F3" s="95"/>
      <c r="G3" s="95"/>
      <c r="H3" s="95"/>
      <c r="I3" s="95"/>
      <c r="J3" s="95"/>
      <c r="K3" s="95" t="s">
        <v>4</v>
      </c>
      <c r="L3" s="95"/>
      <c r="M3" s="95"/>
    </row>
    <row r="4" spans="2:13" ht="12.75">
      <c r="B4" s="6">
        <v>1</v>
      </c>
      <c r="C4" s="8">
        <v>2</v>
      </c>
      <c r="D4" s="8">
        <v>3</v>
      </c>
      <c r="E4" s="8">
        <v>4</v>
      </c>
      <c r="F4" s="6">
        <v>5</v>
      </c>
      <c r="G4" s="8">
        <v>6</v>
      </c>
      <c r="H4" s="6">
        <v>7</v>
      </c>
      <c r="I4" s="8">
        <v>8</v>
      </c>
      <c r="J4" s="6">
        <v>9</v>
      </c>
      <c r="K4" s="8">
        <v>10</v>
      </c>
      <c r="L4" s="6">
        <v>11</v>
      </c>
      <c r="M4" s="8">
        <v>12</v>
      </c>
    </row>
    <row r="5" spans="2:13" ht="12.75">
      <c r="B5" s="23" t="s">
        <v>5</v>
      </c>
      <c r="C5" s="24">
        <f>103680548209.08</f>
        <v>103680548209.08</v>
      </c>
      <c r="D5" s="24">
        <f>28183659844.06</f>
        <v>28183659844.06</v>
      </c>
      <c r="E5" s="24">
        <f>26210892801.09</f>
        <v>26210892801.09</v>
      </c>
      <c r="F5" s="24">
        <f>176356036.95</f>
        <v>176356036.95</v>
      </c>
      <c r="G5" s="24">
        <f>47094607.35</f>
        <v>47094607.35</v>
      </c>
      <c r="H5" s="24">
        <f>14675264.53</f>
        <v>14675264.53</v>
      </c>
      <c r="I5" s="24">
        <f>62821282.08</f>
        <v>62821282.08</v>
      </c>
      <c r="J5" s="24">
        <f>151134.44</f>
        <v>151134.44</v>
      </c>
      <c r="K5" s="25">
        <f aca="true" t="shared" si="0" ref="K5:K63">IF($D$5=0,"",100*$D5/$D$5)</f>
        <v>100</v>
      </c>
      <c r="L5" s="25">
        <f aca="true" t="shared" si="1" ref="L5:L63">IF(C5=0,"",100*D5/C5)</f>
        <v>27.183170161509395</v>
      </c>
      <c r="M5" s="25"/>
    </row>
    <row r="6" spans="2:13" ht="25.5" customHeight="1">
      <c r="B6" s="23" t="s">
        <v>64</v>
      </c>
      <c r="C6" s="24">
        <f>C5-C23-C50</f>
        <v>58044738196.98999</v>
      </c>
      <c r="D6" s="24">
        <f>D5-D23-D50</f>
        <v>14800408894.220001</v>
      </c>
      <c r="E6" s="24">
        <f>E5-E23-E50</f>
        <v>14284994805.07</v>
      </c>
      <c r="F6" s="24">
        <f>F5</f>
        <v>176356036.95</v>
      </c>
      <c r="G6" s="24">
        <f>G5</f>
        <v>47094607.35</v>
      </c>
      <c r="H6" s="24">
        <f>H5</f>
        <v>14675264.53</v>
      </c>
      <c r="I6" s="24">
        <f>I5</f>
        <v>62821282.08</v>
      </c>
      <c r="J6" s="24">
        <f>J5</f>
        <v>151134.44</v>
      </c>
      <c r="K6" s="25">
        <f t="shared" si="0"/>
        <v>52.51414818412712</v>
      </c>
      <c r="L6" s="25">
        <f t="shared" si="1"/>
        <v>25.498278317650335</v>
      </c>
      <c r="M6" s="25">
        <f aca="true" t="shared" si="2" ref="M6:M22">IF($D$6=0,"",100*$D6/$D$6)</f>
        <v>99.99999999999999</v>
      </c>
    </row>
    <row r="7" spans="2:13" ht="33.75">
      <c r="B7" s="26" t="s">
        <v>65</v>
      </c>
      <c r="C7" s="27">
        <f>1874648844</f>
        <v>1874648844</v>
      </c>
      <c r="D7" s="27">
        <f>528214275.24</f>
        <v>528214275.24</v>
      </c>
      <c r="E7" s="27">
        <f>529258332.02</f>
        <v>529258332.02</v>
      </c>
      <c r="F7" s="27">
        <f>0</f>
        <v>0</v>
      </c>
      <c r="G7" s="27">
        <f>0</f>
        <v>0</v>
      </c>
      <c r="H7" s="27">
        <f>0</f>
        <v>0</v>
      </c>
      <c r="I7" s="27">
        <f>0</f>
        <v>0</v>
      </c>
      <c r="J7" s="27">
        <f>0</f>
        <v>0</v>
      </c>
      <c r="K7" s="28">
        <f t="shared" si="0"/>
        <v>1.8741862418245394</v>
      </c>
      <c r="L7" s="28">
        <f t="shared" si="1"/>
        <v>28.176705036284652</v>
      </c>
      <c r="M7" s="28">
        <f t="shared" si="2"/>
        <v>3.5689167712540923</v>
      </c>
    </row>
    <row r="8" spans="2:13" ht="33.75">
      <c r="B8" s="29" t="s">
        <v>66</v>
      </c>
      <c r="C8" s="30">
        <f>501563622</f>
        <v>501563622</v>
      </c>
      <c r="D8" s="30">
        <f>110246601.46</f>
        <v>110246601.46</v>
      </c>
      <c r="E8" s="30">
        <f>110429348.2</f>
        <v>110429348.2</v>
      </c>
      <c r="F8" s="30">
        <f>0</f>
        <v>0</v>
      </c>
      <c r="G8" s="30">
        <f>0</f>
        <v>0</v>
      </c>
      <c r="H8" s="30">
        <f>0</f>
        <v>0</v>
      </c>
      <c r="I8" s="30">
        <f>0</f>
        <v>0</v>
      </c>
      <c r="J8" s="30">
        <f>0</f>
        <v>0</v>
      </c>
      <c r="K8" s="28">
        <f t="shared" si="0"/>
        <v>0.3911720552617854</v>
      </c>
      <c r="L8" s="28">
        <f t="shared" si="1"/>
        <v>21.980581649918783</v>
      </c>
      <c r="M8" s="28">
        <f t="shared" si="2"/>
        <v>0.7448888895431435</v>
      </c>
    </row>
    <row r="9" spans="2:13" ht="33.75">
      <c r="B9" s="29" t="s">
        <v>67</v>
      </c>
      <c r="C9" s="30">
        <f>19857217947</f>
        <v>19857217947</v>
      </c>
      <c r="D9" s="30">
        <f>4445128967</f>
        <v>4445128967</v>
      </c>
      <c r="E9" s="30">
        <f>4146515297</f>
        <v>4146515297</v>
      </c>
      <c r="F9" s="30">
        <f>0</f>
        <v>0</v>
      </c>
      <c r="G9" s="30">
        <f>0</f>
        <v>0</v>
      </c>
      <c r="H9" s="30">
        <f>0</f>
        <v>0</v>
      </c>
      <c r="I9" s="30">
        <f>0</f>
        <v>0</v>
      </c>
      <c r="J9" s="30">
        <f>0</f>
        <v>0</v>
      </c>
      <c r="K9" s="28">
        <f t="shared" si="0"/>
        <v>15.772007580260578</v>
      </c>
      <c r="L9" s="28">
        <f t="shared" si="1"/>
        <v>22.385456909745827</v>
      </c>
      <c r="M9" s="28">
        <f t="shared" si="2"/>
        <v>30.033825408269326</v>
      </c>
    </row>
    <row r="10" spans="2:13" ht="33.75">
      <c r="B10" s="29" t="s">
        <v>68</v>
      </c>
      <c r="C10" s="30">
        <f>5316554207</f>
        <v>5316554207</v>
      </c>
      <c r="D10" s="30">
        <f>1191789863</f>
        <v>1191789863</v>
      </c>
      <c r="E10" s="30">
        <f>1112150554</f>
        <v>1112150554</v>
      </c>
      <c r="F10" s="30">
        <f>0</f>
        <v>0</v>
      </c>
      <c r="G10" s="30">
        <f>0</f>
        <v>0</v>
      </c>
      <c r="H10" s="30">
        <f>0</f>
        <v>0</v>
      </c>
      <c r="I10" s="30">
        <f>0</f>
        <v>0</v>
      </c>
      <c r="J10" s="30">
        <f>0</f>
        <v>0</v>
      </c>
      <c r="K10" s="28">
        <f t="shared" si="0"/>
        <v>4.2286554322404015</v>
      </c>
      <c r="L10" s="28">
        <f t="shared" si="1"/>
        <v>22.41658443792107</v>
      </c>
      <c r="M10" s="28">
        <f t="shared" si="2"/>
        <v>8.05241173752591</v>
      </c>
    </row>
    <row r="11" spans="2:13" ht="12.75">
      <c r="B11" s="29" t="s">
        <v>19</v>
      </c>
      <c r="C11" s="30">
        <f>22447126</f>
        <v>22447126</v>
      </c>
      <c r="D11" s="30">
        <f>11261944.95</f>
        <v>11261944.95</v>
      </c>
      <c r="E11" s="30">
        <f>11259641.14</f>
        <v>11259641.14</v>
      </c>
      <c r="F11" s="30">
        <f>454075.52</f>
        <v>454075.52</v>
      </c>
      <c r="G11" s="30">
        <f>1628.79</f>
        <v>1628.79</v>
      </c>
      <c r="H11" s="30">
        <f>3721.2</f>
        <v>3721.2</v>
      </c>
      <c r="I11" s="30">
        <f>44898.37</f>
        <v>44898.37</v>
      </c>
      <c r="J11" s="30">
        <f>0</f>
        <v>0</v>
      </c>
      <c r="K11" s="28">
        <f t="shared" si="0"/>
        <v>0.03995912884384876</v>
      </c>
      <c r="L11" s="28">
        <f t="shared" si="1"/>
        <v>50.170988259254216</v>
      </c>
      <c r="M11" s="28">
        <f t="shared" si="2"/>
        <v>0.07609212036295919</v>
      </c>
    </row>
    <row r="12" spans="2:13" ht="12.75">
      <c r="B12" s="29" t="s">
        <v>20</v>
      </c>
      <c r="C12" s="30">
        <f>9758149834.06</f>
        <v>9758149834.06</v>
      </c>
      <c r="D12" s="31">
        <f>2777151128.97</f>
        <v>2777151128.97</v>
      </c>
      <c r="E12" s="30">
        <f>2776971667.58</f>
        <v>2776971667.58</v>
      </c>
      <c r="F12" s="30">
        <f>82461468.74</f>
        <v>82461468.74</v>
      </c>
      <c r="G12" s="30">
        <f>44924706.65</f>
        <v>44924706.65</v>
      </c>
      <c r="H12" s="30">
        <f>13084252.51</f>
        <v>13084252.51</v>
      </c>
      <c r="I12" s="30">
        <f>54295969.53</f>
        <v>54295969.53</v>
      </c>
      <c r="J12" s="30">
        <f>145149.9</f>
        <v>145149.9</v>
      </c>
      <c r="K12" s="28">
        <f t="shared" si="0"/>
        <v>9.853763295242556</v>
      </c>
      <c r="L12" s="28">
        <f t="shared" si="1"/>
        <v>28.45981232299373</v>
      </c>
      <c r="M12" s="28">
        <f t="shared" si="2"/>
        <v>18.764016243190145</v>
      </c>
    </row>
    <row r="13" spans="2:13" ht="12.75">
      <c r="B13" s="29" t="s">
        <v>21</v>
      </c>
      <c r="C13" s="30">
        <f>4638957</f>
        <v>4638957</v>
      </c>
      <c r="D13" s="31">
        <f>1466691.87</f>
        <v>1466691.87</v>
      </c>
      <c r="E13" s="30">
        <f>1466687.51</f>
        <v>1466687.51</v>
      </c>
      <c r="F13" s="30">
        <f>0</f>
        <v>0</v>
      </c>
      <c r="G13" s="30">
        <f>6483.99</f>
        <v>6483.99</v>
      </c>
      <c r="H13" s="30">
        <f>1386.4</f>
        <v>1386.4</v>
      </c>
      <c r="I13" s="30">
        <f>779.3</f>
        <v>779.3</v>
      </c>
      <c r="J13" s="30">
        <f>0</f>
        <v>0</v>
      </c>
      <c r="K13" s="28">
        <f t="shared" si="0"/>
        <v>0.005204050425371283</v>
      </c>
      <c r="L13" s="28">
        <f t="shared" si="1"/>
        <v>31.61684555386049</v>
      </c>
      <c r="M13" s="28">
        <f t="shared" si="2"/>
        <v>0.0099098064146916</v>
      </c>
    </row>
    <row r="14" spans="2:13" ht="22.5">
      <c r="B14" s="29" t="s">
        <v>22</v>
      </c>
      <c r="C14" s="30">
        <f>354420750</f>
        <v>354420750</v>
      </c>
      <c r="D14" s="31">
        <f>163781723.06</f>
        <v>163781723.06</v>
      </c>
      <c r="E14" s="30">
        <f>163775945.06</f>
        <v>163775945.06</v>
      </c>
      <c r="F14" s="30">
        <f>93148987.9</f>
        <v>93148987.9</v>
      </c>
      <c r="G14" s="30">
        <f>55030.86</f>
        <v>55030.86</v>
      </c>
      <c r="H14" s="30">
        <f>156951.4</f>
        <v>156951.4</v>
      </c>
      <c r="I14" s="30">
        <f>1269217.11</f>
        <v>1269217.11</v>
      </c>
      <c r="J14" s="30">
        <f>0</f>
        <v>0</v>
      </c>
      <c r="K14" s="28">
        <f t="shared" si="0"/>
        <v>0.581122976810688</v>
      </c>
      <c r="L14" s="28">
        <f t="shared" si="1"/>
        <v>46.21109883097984</v>
      </c>
      <c r="M14" s="28">
        <f t="shared" si="2"/>
        <v>1.1066026907132385</v>
      </c>
    </row>
    <row r="15" spans="2:13" ht="33.75">
      <c r="B15" s="29" t="s">
        <v>41</v>
      </c>
      <c r="C15" s="30">
        <f>28791010</f>
        <v>28791010</v>
      </c>
      <c r="D15" s="31">
        <f>6345904.05</f>
        <v>6345904.05</v>
      </c>
      <c r="E15" s="30">
        <f>5667409.27</f>
        <v>5667409.27</v>
      </c>
      <c r="F15" s="30">
        <f>0</f>
        <v>0</v>
      </c>
      <c r="G15" s="30">
        <f>0</f>
        <v>0</v>
      </c>
      <c r="H15" s="30">
        <f>19640.85</f>
        <v>19640.85</v>
      </c>
      <c r="I15" s="30">
        <f>86692.41</f>
        <v>86692.41</v>
      </c>
      <c r="J15" s="30">
        <f>0</f>
        <v>0</v>
      </c>
      <c r="K15" s="28">
        <f t="shared" si="0"/>
        <v>0.022516252626918733</v>
      </c>
      <c r="L15" s="28">
        <f t="shared" si="1"/>
        <v>22.041269305939597</v>
      </c>
      <c r="M15" s="28">
        <f t="shared" si="2"/>
        <v>0.04287654547489066</v>
      </c>
    </row>
    <row r="16" spans="2:13" ht="22.5" customHeight="1">
      <c r="B16" s="29" t="s">
        <v>27</v>
      </c>
      <c r="C16" s="30">
        <f>166026621.11</f>
        <v>166026621.11</v>
      </c>
      <c r="D16" s="31">
        <f>48465304.3</f>
        <v>48465304.3</v>
      </c>
      <c r="E16" s="30">
        <f>47722028.54</f>
        <v>47722028.54</v>
      </c>
      <c r="F16" s="30">
        <f>0</f>
        <v>0</v>
      </c>
      <c r="G16" s="30">
        <f>0</f>
        <v>0</v>
      </c>
      <c r="H16" s="30">
        <f>184267.64</f>
        <v>184267.64</v>
      </c>
      <c r="I16" s="30">
        <f>1560272.61</f>
        <v>1560272.61</v>
      </c>
      <c r="J16" s="30">
        <f>0</f>
        <v>0</v>
      </c>
      <c r="K16" s="28">
        <f t="shared" si="0"/>
        <v>0.17196242279447807</v>
      </c>
      <c r="L16" s="28">
        <f t="shared" si="1"/>
        <v>29.191285093906465</v>
      </c>
      <c r="M16" s="28">
        <f t="shared" si="2"/>
        <v>0.32745922525780446</v>
      </c>
    </row>
    <row r="17" spans="2:13" ht="22.5" customHeight="1">
      <c r="B17" s="29" t="s">
        <v>28</v>
      </c>
      <c r="C17" s="30">
        <f>1521203718</f>
        <v>1521203718</v>
      </c>
      <c r="D17" s="31">
        <f>448293214.58</f>
        <v>448293214.58</v>
      </c>
      <c r="E17" s="30">
        <f>442408172.49</f>
        <v>442408172.49</v>
      </c>
      <c r="F17" s="30">
        <f>0</f>
        <v>0</v>
      </c>
      <c r="G17" s="30">
        <f>0</f>
        <v>0</v>
      </c>
      <c r="H17" s="30">
        <f>87529</f>
        <v>87529</v>
      </c>
      <c r="I17" s="30">
        <f>61345.42</f>
        <v>61345.42</v>
      </c>
      <c r="J17" s="30">
        <f>0</f>
        <v>0</v>
      </c>
      <c r="K17" s="28">
        <f t="shared" si="0"/>
        <v>1.5906139126728158</v>
      </c>
      <c r="L17" s="28">
        <f t="shared" si="1"/>
        <v>29.469637056198675</v>
      </c>
      <c r="M17" s="28">
        <f t="shared" si="2"/>
        <v>3.0289245235317237</v>
      </c>
    </row>
    <row r="18" spans="2:13" ht="12.75">
      <c r="B18" s="29" t="s">
        <v>55</v>
      </c>
      <c r="C18" s="30">
        <f>317272715</f>
        <v>317272715</v>
      </c>
      <c r="D18" s="31">
        <f>88964515.36</f>
        <v>88964515.36</v>
      </c>
      <c r="E18" s="30">
        <f>88854703.5</f>
        <v>88854703.5</v>
      </c>
      <c r="F18" s="30">
        <f>0</f>
        <v>0</v>
      </c>
      <c r="G18" s="30">
        <f>0</f>
        <v>0</v>
      </c>
      <c r="H18" s="30">
        <f>2574</f>
        <v>2574</v>
      </c>
      <c r="I18" s="30">
        <f>0</f>
        <v>0</v>
      </c>
      <c r="J18" s="30">
        <f>0</f>
        <v>0</v>
      </c>
      <c r="K18" s="28">
        <f t="shared" si="0"/>
        <v>0.3156599102183324</v>
      </c>
      <c r="L18" s="28">
        <f t="shared" si="1"/>
        <v>28.040392745402013</v>
      </c>
      <c r="M18" s="28">
        <f t="shared" si="2"/>
        <v>0.6010949832253842</v>
      </c>
    </row>
    <row r="19" spans="2:13" ht="12.75">
      <c r="B19" s="29" t="s">
        <v>56</v>
      </c>
      <c r="C19" s="30">
        <f>9563000</f>
        <v>9563000</v>
      </c>
      <c r="D19" s="31">
        <f>4744933.76</f>
        <v>4744933.76</v>
      </c>
      <c r="E19" s="30">
        <f>4744933.76</f>
        <v>4744933.76</v>
      </c>
      <c r="F19" s="30">
        <f>0</f>
        <v>0</v>
      </c>
      <c r="G19" s="30">
        <f>0</f>
        <v>0</v>
      </c>
      <c r="H19" s="30">
        <f>0</f>
        <v>0</v>
      </c>
      <c r="I19" s="30">
        <f>0</f>
        <v>0</v>
      </c>
      <c r="J19" s="30">
        <f>0</f>
        <v>0</v>
      </c>
      <c r="K19" s="28">
        <f t="shared" si="0"/>
        <v>0.01683576152371156</v>
      </c>
      <c r="L19" s="28">
        <f t="shared" si="1"/>
        <v>49.61762794102269</v>
      </c>
      <c r="M19" s="28">
        <f t="shared" si="2"/>
        <v>0.03205947750438866</v>
      </c>
    </row>
    <row r="20" spans="2:13" ht="12.75">
      <c r="B20" s="29" t="s">
        <v>57</v>
      </c>
      <c r="C20" s="30">
        <f>2710835</f>
        <v>2710835</v>
      </c>
      <c r="D20" s="31">
        <f>274939.67</f>
        <v>274939.67</v>
      </c>
      <c r="E20" s="30">
        <f>274939.67</f>
        <v>274939.67</v>
      </c>
      <c r="F20" s="30">
        <f>0</f>
        <v>0</v>
      </c>
      <c r="G20" s="30">
        <f>0</f>
        <v>0</v>
      </c>
      <c r="H20" s="30">
        <f>0</f>
        <v>0</v>
      </c>
      <c r="I20" s="30">
        <f>7769</f>
        <v>7769</v>
      </c>
      <c r="J20" s="30">
        <f>0</f>
        <v>0</v>
      </c>
      <c r="K20" s="28">
        <f t="shared" si="0"/>
        <v>0.0009755286273012069</v>
      </c>
      <c r="L20" s="28">
        <f t="shared" si="1"/>
        <v>10.142250266061932</v>
      </c>
      <c r="M20" s="28">
        <f t="shared" si="2"/>
        <v>0.0018576491498648534</v>
      </c>
    </row>
    <row r="21" spans="2:13" ht="12.75">
      <c r="B21" s="29" t="s">
        <v>23</v>
      </c>
      <c r="C21" s="30">
        <f>4786250237.49</f>
        <v>4786250237.49</v>
      </c>
      <c r="D21" s="31">
        <f>1075566314.88</f>
        <v>1075566314.88</v>
      </c>
      <c r="E21" s="30">
        <f>1075115171.15</f>
        <v>1075115171.15</v>
      </c>
      <c r="F21" s="30">
        <f>0</f>
        <v>0</v>
      </c>
      <c r="G21" s="30">
        <f>0</f>
        <v>0</v>
      </c>
      <c r="H21" s="30">
        <f>0</f>
        <v>0</v>
      </c>
      <c r="I21" s="30">
        <f>0</f>
        <v>0</v>
      </c>
      <c r="J21" s="30">
        <f>0</f>
        <v>0</v>
      </c>
      <c r="K21" s="28">
        <f t="shared" si="0"/>
        <v>3.8162762424436756</v>
      </c>
      <c r="L21" s="28">
        <f t="shared" si="1"/>
        <v>22.47200337448398</v>
      </c>
      <c r="M21" s="28">
        <f t="shared" si="2"/>
        <v>7.267139188972277</v>
      </c>
    </row>
    <row r="22" spans="2:13" ht="13.5" customHeight="1">
      <c r="B22" s="29" t="s">
        <v>24</v>
      </c>
      <c r="C22" s="30">
        <f>C6-SUM(C7:C21)</f>
        <v>13523278773.329994</v>
      </c>
      <c r="D22" s="30">
        <f aca="true" t="shared" si="3" ref="D22:J22">D6-SUM(D7:D21)</f>
        <v>3898712572.0700035</v>
      </c>
      <c r="E22" s="30">
        <f t="shared" si="3"/>
        <v>3768379974.1799984</v>
      </c>
      <c r="F22" s="30">
        <f t="shared" si="3"/>
        <v>291504.78999999166</v>
      </c>
      <c r="G22" s="30">
        <f t="shared" si="3"/>
        <v>2106757.0600000024</v>
      </c>
      <c r="H22" s="30">
        <f t="shared" si="3"/>
        <v>1134941.5299999993</v>
      </c>
      <c r="I22" s="30">
        <f t="shared" si="3"/>
        <v>5494338.330000006</v>
      </c>
      <c r="J22" s="30">
        <f t="shared" si="3"/>
        <v>5984.540000000008</v>
      </c>
      <c r="K22" s="28">
        <f t="shared" si="0"/>
        <v>13.833237392310133</v>
      </c>
      <c r="L22" s="28">
        <f t="shared" si="1"/>
        <v>28.829639892944233</v>
      </c>
      <c r="M22" s="28">
        <f t="shared" si="2"/>
        <v>26.341924739610178</v>
      </c>
    </row>
    <row r="23" spans="2:13" ht="26.25" customHeight="1">
      <c r="B23" s="23" t="s">
        <v>76</v>
      </c>
      <c r="C23" s="24">
        <f>C24+C46+C48</f>
        <v>26347785514.090004</v>
      </c>
      <c r="D23" s="24">
        <f>D24+D46+D48</f>
        <v>6144921364.84</v>
      </c>
      <c r="E23" s="24">
        <f>E24+E46+E48</f>
        <v>6057987391.02</v>
      </c>
      <c r="F23" s="32" t="s">
        <v>63</v>
      </c>
      <c r="G23" s="32" t="s">
        <v>63</v>
      </c>
      <c r="H23" s="32" t="s">
        <v>63</v>
      </c>
      <c r="I23" s="32" t="s">
        <v>63</v>
      </c>
      <c r="J23" s="32" t="s">
        <v>63</v>
      </c>
      <c r="K23" s="25">
        <f t="shared" si="0"/>
        <v>21.803134861972534</v>
      </c>
      <c r="L23" s="25">
        <f t="shared" si="1"/>
        <v>23.322344724393936</v>
      </c>
      <c r="M23" s="33"/>
    </row>
    <row r="24" spans="2:13" ht="25.5" customHeight="1">
      <c r="B24" s="23" t="s">
        <v>69</v>
      </c>
      <c r="C24" s="24">
        <f>C25+C32+C39</f>
        <v>19410039820.97</v>
      </c>
      <c r="D24" s="24">
        <f>D25+D32+D39</f>
        <v>5154511278.3</v>
      </c>
      <c r="E24" s="24">
        <f>E25+E32+E39</f>
        <v>5071138265.17</v>
      </c>
      <c r="F24" s="32" t="s">
        <v>63</v>
      </c>
      <c r="G24" s="32" t="s">
        <v>63</v>
      </c>
      <c r="H24" s="32" t="s">
        <v>63</v>
      </c>
      <c r="I24" s="32" t="s">
        <v>63</v>
      </c>
      <c r="J24" s="32" t="s">
        <v>63</v>
      </c>
      <c r="K24" s="25">
        <f t="shared" si="0"/>
        <v>18.28900613625014</v>
      </c>
      <c r="L24" s="25">
        <f t="shared" si="1"/>
        <v>26.555902645450665</v>
      </c>
      <c r="M24" s="34"/>
    </row>
    <row r="25" spans="2:13" ht="13.5" customHeight="1">
      <c r="B25" s="35" t="s">
        <v>58</v>
      </c>
      <c r="C25" s="24">
        <f>C26+C28+C30</f>
        <v>16758479080.230001</v>
      </c>
      <c r="D25" s="24">
        <f>D26+D28+D30</f>
        <v>4397679166.660001</v>
      </c>
      <c r="E25" s="24">
        <f>E26+E28+E30</f>
        <v>4380683443.46</v>
      </c>
      <c r="F25" s="32" t="s">
        <v>63</v>
      </c>
      <c r="G25" s="32" t="s">
        <v>63</v>
      </c>
      <c r="H25" s="32" t="s">
        <v>63</v>
      </c>
      <c r="I25" s="32" t="s">
        <v>63</v>
      </c>
      <c r="J25" s="32" t="s">
        <v>63</v>
      </c>
      <c r="K25" s="25">
        <f t="shared" si="0"/>
        <v>15.603648323150114</v>
      </c>
      <c r="L25" s="25">
        <f t="shared" si="1"/>
        <v>26.24151717829781</v>
      </c>
      <c r="M25" s="34"/>
    </row>
    <row r="26" spans="2:13" ht="22.5" customHeight="1">
      <c r="B26" s="29" t="s">
        <v>9</v>
      </c>
      <c r="C26" s="27">
        <f>15502268199.62</f>
        <v>15502268199.62</v>
      </c>
      <c r="D26" s="36">
        <f>4070206018.51</f>
        <v>4070206018.51</v>
      </c>
      <c r="E26" s="27">
        <f>4060139229.88</f>
        <v>4060139229.88</v>
      </c>
      <c r="F26" s="27" t="s">
        <v>63</v>
      </c>
      <c r="G26" s="27" t="s">
        <v>63</v>
      </c>
      <c r="H26" s="27" t="s">
        <v>63</v>
      </c>
      <c r="I26" s="27" t="s">
        <v>63</v>
      </c>
      <c r="J26" s="27" t="s">
        <v>63</v>
      </c>
      <c r="K26" s="28">
        <f t="shared" si="0"/>
        <v>14.441722760743007</v>
      </c>
      <c r="L26" s="28">
        <f t="shared" si="1"/>
        <v>26.255551549609823</v>
      </c>
      <c r="M26" s="34"/>
    </row>
    <row r="27" spans="2:13" ht="12.75">
      <c r="B27" s="29" t="s">
        <v>6</v>
      </c>
      <c r="C27" s="30">
        <f>323051.36</f>
        <v>323051.36</v>
      </c>
      <c r="D27" s="30">
        <f>283652</f>
        <v>283652</v>
      </c>
      <c r="E27" s="30">
        <f>283652</f>
        <v>283652</v>
      </c>
      <c r="F27" s="30" t="s">
        <v>63</v>
      </c>
      <c r="G27" s="30" t="s">
        <v>63</v>
      </c>
      <c r="H27" s="30" t="s">
        <v>63</v>
      </c>
      <c r="I27" s="30" t="s">
        <v>63</v>
      </c>
      <c r="J27" s="30" t="s">
        <v>63</v>
      </c>
      <c r="K27" s="28">
        <f t="shared" si="0"/>
        <v>0.0010064413265326241</v>
      </c>
      <c r="L27" s="28">
        <f t="shared" si="1"/>
        <v>87.80399500562388</v>
      </c>
      <c r="M27" s="34"/>
    </row>
    <row r="28" spans="2:13" ht="13.5" customHeight="1">
      <c r="B28" s="29" t="s">
        <v>7</v>
      </c>
      <c r="C28" s="30">
        <f>1243921306.67</f>
        <v>1243921306.67</v>
      </c>
      <c r="D28" s="31">
        <f>324355403.34</f>
        <v>324355403.34</v>
      </c>
      <c r="E28" s="30">
        <f>317648297.97</f>
        <v>317648297.97</v>
      </c>
      <c r="F28" s="30" t="s">
        <v>63</v>
      </c>
      <c r="G28" s="30" t="s">
        <v>63</v>
      </c>
      <c r="H28" s="30" t="s">
        <v>63</v>
      </c>
      <c r="I28" s="30" t="s">
        <v>63</v>
      </c>
      <c r="J28" s="30" t="s">
        <v>63</v>
      </c>
      <c r="K28" s="28">
        <f t="shared" si="0"/>
        <v>1.1508633198621336</v>
      </c>
      <c r="L28" s="28">
        <f t="shared" si="1"/>
        <v>26.075234952627774</v>
      </c>
      <c r="M28" s="34"/>
    </row>
    <row r="29" spans="2:13" ht="12.75">
      <c r="B29" s="29" t="s">
        <v>6</v>
      </c>
      <c r="C29" s="30">
        <f>29407402</f>
        <v>29407402</v>
      </c>
      <c r="D29" s="30">
        <f>250919.8</f>
        <v>250919.8</v>
      </c>
      <c r="E29" s="30">
        <f>249735.8</f>
        <v>249735.8</v>
      </c>
      <c r="F29" s="30" t="s">
        <v>63</v>
      </c>
      <c r="G29" s="30" t="s">
        <v>63</v>
      </c>
      <c r="H29" s="30" t="s">
        <v>63</v>
      </c>
      <c r="I29" s="30" t="s">
        <v>63</v>
      </c>
      <c r="J29" s="30" t="s">
        <v>63</v>
      </c>
      <c r="K29" s="28">
        <f t="shared" si="0"/>
        <v>0.0008903024000017654</v>
      </c>
      <c r="L29" s="28">
        <f t="shared" si="1"/>
        <v>0.8532538848552483</v>
      </c>
      <c r="M29" s="34"/>
    </row>
    <row r="30" spans="2:13" ht="33.75">
      <c r="B30" s="29" t="s">
        <v>10</v>
      </c>
      <c r="C30" s="30">
        <f>12289573.94</f>
        <v>12289573.94</v>
      </c>
      <c r="D30" s="31">
        <f>3117744.81</f>
        <v>3117744.81</v>
      </c>
      <c r="E30" s="30">
        <f>2895915.61</f>
        <v>2895915.61</v>
      </c>
      <c r="F30" s="30" t="s">
        <v>63</v>
      </c>
      <c r="G30" s="30" t="s">
        <v>63</v>
      </c>
      <c r="H30" s="30" t="s">
        <v>63</v>
      </c>
      <c r="I30" s="30" t="s">
        <v>63</v>
      </c>
      <c r="J30" s="30" t="s">
        <v>63</v>
      </c>
      <c r="K30" s="28">
        <f t="shared" si="0"/>
        <v>0.011062242544972728</v>
      </c>
      <c r="L30" s="28">
        <f t="shared" si="1"/>
        <v>25.36902276044242</v>
      </c>
      <c r="M30" s="34"/>
    </row>
    <row r="31" spans="2:13" ht="12.75">
      <c r="B31" s="29" t="s">
        <v>6</v>
      </c>
      <c r="C31" s="30">
        <f>1262400</f>
        <v>1262400</v>
      </c>
      <c r="D31" s="30">
        <f>0</f>
        <v>0</v>
      </c>
      <c r="E31" s="30">
        <f>-109096.8</f>
        <v>-109096.8</v>
      </c>
      <c r="F31" s="30" t="s">
        <v>63</v>
      </c>
      <c r="G31" s="30" t="s">
        <v>63</v>
      </c>
      <c r="H31" s="30" t="s">
        <v>63</v>
      </c>
      <c r="I31" s="30" t="s">
        <v>63</v>
      </c>
      <c r="J31" s="30" t="s">
        <v>63</v>
      </c>
      <c r="K31" s="28">
        <f t="shared" si="0"/>
        <v>0</v>
      </c>
      <c r="L31" s="28">
        <f t="shared" si="1"/>
        <v>0</v>
      </c>
      <c r="M31" s="34"/>
    </row>
    <row r="32" spans="2:13" ht="13.5" customHeight="1">
      <c r="B32" s="37" t="s">
        <v>59</v>
      </c>
      <c r="C32" s="24">
        <f>C33+C35+C37</f>
        <v>1968794868.32</v>
      </c>
      <c r="D32" s="24">
        <f>D33+D35+D37</f>
        <v>657476213.49</v>
      </c>
      <c r="E32" s="24">
        <f>E33+E35+E37</f>
        <v>591917885.62</v>
      </c>
      <c r="F32" s="32" t="s">
        <v>63</v>
      </c>
      <c r="G32" s="32" t="s">
        <v>63</v>
      </c>
      <c r="H32" s="32" t="s">
        <v>63</v>
      </c>
      <c r="I32" s="32" t="s">
        <v>63</v>
      </c>
      <c r="J32" s="32" t="s">
        <v>63</v>
      </c>
      <c r="K32" s="25">
        <f t="shared" si="0"/>
        <v>2.3328276637165346</v>
      </c>
      <c r="L32" s="25">
        <f t="shared" si="1"/>
        <v>33.39485611576353</v>
      </c>
      <c r="M32" s="34"/>
    </row>
    <row r="33" spans="2:13" ht="22.5">
      <c r="B33" s="29" t="s">
        <v>9</v>
      </c>
      <c r="C33" s="30">
        <f>1749638473.7</f>
        <v>1749638473.7</v>
      </c>
      <c r="D33" s="30">
        <f>615139796.97</f>
        <v>615139796.97</v>
      </c>
      <c r="E33" s="30">
        <f>551527004.09</f>
        <v>551527004.09</v>
      </c>
      <c r="F33" s="30" t="s">
        <v>63</v>
      </c>
      <c r="G33" s="30" t="s">
        <v>63</v>
      </c>
      <c r="H33" s="30" t="s">
        <v>63</v>
      </c>
      <c r="I33" s="30" t="s">
        <v>63</v>
      </c>
      <c r="J33" s="30" t="s">
        <v>63</v>
      </c>
      <c r="K33" s="28">
        <f t="shared" si="0"/>
        <v>2.1826114861361665</v>
      </c>
      <c r="L33" s="28">
        <f t="shared" si="1"/>
        <v>35.15810873026528</v>
      </c>
      <c r="M33" s="34"/>
    </row>
    <row r="34" spans="2:13" ht="12.75">
      <c r="B34" s="29" t="s">
        <v>6</v>
      </c>
      <c r="C34" s="30">
        <f>31353009</f>
        <v>31353009</v>
      </c>
      <c r="D34" s="31">
        <f>6425794.26</f>
        <v>6425794.26</v>
      </c>
      <c r="E34" s="30">
        <f>6424623.68</f>
        <v>6424623.68</v>
      </c>
      <c r="F34" s="30" t="s">
        <v>63</v>
      </c>
      <c r="G34" s="30" t="s">
        <v>63</v>
      </c>
      <c r="H34" s="30" t="s">
        <v>63</v>
      </c>
      <c r="I34" s="30" t="s">
        <v>63</v>
      </c>
      <c r="J34" s="30" t="s">
        <v>63</v>
      </c>
      <c r="K34" s="28">
        <f t="shared" si="0"/>
        <v>0.022799715493139912</v>
      </c>
      <c r="L34" s="28">
        <f t="shared" si="1"/>
        <v>20.494984261319225</v>
      </c>
      <c r="M34" s="34"/>
    </row>
    <row r="35" spans="2:13" ht="13.5" customHeight="1">
      <c r="B35" s="29" t="s">
        <v>7</v>
      </c>
      <c r="C35" s="30">
        <f>173147006</f>
        <v>173147006</v>
      </c>
      <c r="D35" s="30">
        <f>40469223.96</f>
        <v>40469223.96</v>
      </c>
      <c r="E35" s="30">
        <f>40405603.51</f>
        <v>40405603.51</v>
      </c>
      <c r="F35" s="30" t="s">
        <v>63</v>
      </c>
      <c r="G35" s="30" t="s">
        <v>63</v>
      </c>
      <c r="H35" s="30" t="s">
        <v>63</v>
      </c>
      <c r="I35" s="30" t="s">
        <v>63</v>
      </c>
      <c r="J35" s="30" t="s">
        <v>63</v>
      </c>
      <c r="K35" s="28">
        <f t="shared" si="0"/>
        <v>0.1435910885382379</v>
      </c>
      <c r="L35" s="28">
        <f t="shared" si="1"/>
        <v>23.372754109302935</v>
      </c>
      <c r="M35" s="34"/>
    </row>
    <row r="36" spans="2:13" ht="12.75">
      <c r="B36" s="29" t="s">
        <v>6</v>
      </c>
      <c r="C36" s="30">
        <f>18054466</f>
        <v>18054466</v>
      </c>
      <c r="D36" s="31">
        <f>1500000</f>
        <v>1500000</v>
      </c>
      <c r="E36" s="30">
        <f>1500000</f>
        <v>1500000</v>
      </c>
      <c r="F36" s="30" t="s">
        <v>63</v>
      </c>
      <c r="G36" s="30" t="s">
        <v>63</v>
      </c>
      <c r="H36" s="30" t="s">
        <v>63</v>
      </c>
      <c r="I36" s="30" t="s">
        <v>63</v>
      </c>
      <c r="J36" s="30" t="s">
        <v>63</v>
      </c>
      <c r="K36" s="28">
        <f t="shared" si="0"/>
        <v>0.0053222328409421975</v>
      </c>
      <c r="L36" s="28">
        <f t="shared" si="1"/>
        <v>8.30819366244341</v>
      </c>
      <c r="M36" s="34"/>
    </row>
    <row r="37" spans="2:13" ht="33.75">
      <c r="B37" s="29" t="s">
        <v>10</v>
      </c>
      <c r="C37" s="30">
        <f>46009388.62</f>
        <v>46009388.62</v>
      </c>
      <c r="D37" s="30">
        <f>1867192.56</f>
        <v>1867192.56</v>
      </c>
      <c r="E37" s="30">
        <f>-14721.98</f>
        <v>-14721.98</v>
      </c>
      <c r="F37" s="30" t="s">
        <v>63</v>
      </c>
      <c r="G37" s="30" t="s">
        <v>63</v>
      </c>
      <c r="H37" s="30" t="s">
        <v>63</v>
      </c>
      <c r="I37" s="30" t="s">
        <v>63</v>
      </c>
      <c r="J37" s="30" t="s">
        <v>63</v>
      </c>
      <c r="K37" s="28">
        <f t="shared" si="0"/>
        <v>0.0066250890421299564</v>
      </c>
      <c r="L37" s="28">
        <f t="shared" si="1"/>
        <v>4.058285962940057</v>
      </c>
      <c r="M37" s="34"/>
    </row>
    <row r="38" spans="2:13" ht="12.75">
      <c r="B38" s="29" t="s">
        <v>6</v>
      </c>
      <c r="C38" s="30">
        <f>0</f>
        <v>0</v>
      </c>
      <c r="D38" s="31">
        <f>0</f>
        <v>0</v>
      </c>
      <c r="E38" s="30">
        <f>0</f>
        <v>0</v>
      </c>
      <c r="F38" s="30" t="s">
        <v>63</v>
      </c>
      <c r="G38" s="30" t="s">
        <v>63</v>
      </c>
      <c r="H38" s="30" t="s">
        <v>63</v>
      </c>
      <c r="I38" s="30" t="s">
        <v>63</v>
      </c>
      <c r="J38" s="30" t="s">
        <v>63</v>
      </c>
      <c r="K38" s="28">
        <f t="shared" si="0"/>
        <v>0</v>
      </c>
      <c r="L38" s="28">
        <f t="shared" si="1"/>
      </c>
      <c r="M38" s="34"/>
    </row>
    <row r="39" spans="2:13" ht="13.5" customHeight="1">
      <c r="B39" s="35" t="s">
        <v>60</v>
      </c>
      <c r="C39" s="24">
        <f>C40+C42+C44</f>
        <v>682765872.42</v>
      </c>
      <c r="D39" s="24">
        <f>D40+D42+D44</f>
        <v>99355898.15</v>
      </c>
      <c r="E39" s="24">
        <f>E40+E42+E44</f>
        <v>98536936.08999999</v>
      </c>
      <c r="F39" s="32" t="s">
        <v>63</v>
      </c>
      <c r="G39" s="32" t="s">
        <v>63</v>
      </c>
      <c r="H39" s="32" t="s">
        <v>63</v>
      </c>
      <c r="I39" s="32" t="s">
        <v>63</v>
      </c>
      <c r="J39" s="32" t="s">
        <v>63</v>
      </c>
      <c r="K39" s="25">
        <f t="shared" si="0"/>
        <v>0.3525301493834921</v>
      </c>
      <c r="L39" s="25">
        <f t="shared" si="1"/>
        <v>14.551971937004158</v>
      </c>
      <c r="M39" s="34"/>
    </row>
    <row r="40" spans="2:13" ht="22.5">
      <c r="B40" s="29" t="s">
        <v>11</v>
      </c>
      <c r="C40" s="27">
        <f>437405595.49</f>
        <v>437405595.49</v>
      </c>
      <c r="D40" s="36">
        <f>87231367.4</f>
        <v>87231367.4</v>
      </c>
      <c r="E40" s="27">
        <f>86623796.85</f>
        <v>86623796.85</v>
      </c>
      <c r="F40" s="27" t="s">
        <v>63</v>
      </c>
      <c r="G40" s="27" t="s">
        <v>63</v>
      </c>
      <c r="H40" s="27" t="s">
        <v>63</v>
      </c>
      <c r="I40" s="27" t="s">
        <v>63</v>
      </c>
      <c r="J40" s="27" t="s">
        <v>63</v>
      </c>
      <c r="K40" s="28">
        <f t="shared" si="0"/>
        <v>0.30951043222438307</v>
      </c>
      <c r="L40" s="28">
        <f t="shared" si="1"/>
        <v>19.942901576803052</v>
      </c>
      <c r="M40" s="34"/>
    </row>
    <row r="41" spans="2:13" ht="12.75">
      <c r="B41" s="29" t="s">
        <v>6</v>
      </c>
      <c r="C41" s="30">
        <f>1506593.05</f>
        <v>1506593.05</v>
      </c>
      <c r="D41" s="30">
        <f>270144.52</f>
        <v>270144.52</v>
      </c>
      <c r="E41" s="30">
        <f>270144.52</f>
        <v>270144.52</v>
      </c>
      <c r="F41" s="30" t="s">
        <v>63</v>
      </c>
      <c r="G41" s="30" t="s">
        <v>63</v>
      </c>
      <c r="H41" s="30" t="s">
        <v>63</v>
      </c>
      <c r="I41" s="30" t="s">
        <v>63</v>
      </c>
      <c r="J41" s="30" t="s">
        <v>63</v>
      </c>
      <c r="K41" s="28">
        <f t="shared" si="0"/>
        <v>0.0009585146907630442</v>
      </c>
      <c r="L41" s="28">
        <f t="shared" si="1"/>
        <v>17.930822128775915</v>
      </c>
      <c r="M41" s="34"/>
    </row>
    <row r="42" spans="2:13" ht="24" customHeight="1">
      <c r="B42" s="29" t="s">
        <v>8</v>
      </c>
      <c r="C42" s="30">
        <f>192628649.51</f>
        <v>192628649.51</v>
      </c>
      <c r="D42" s="31">
        <f>8445313.27</f>
        <v>8445313.27</v>
      </c>
      <c r="E42" s="30">
        <f>8402373.27</f>
        <v>8402373.27</v>
      </c>
      <c r="F42" s="30" t="s">
        <v>63</v>
      </c>
      <c r="G42" s="30" t="s">
        <v>63</v>
      </c>
      <c r="H42" s="30" t="s">
        <v>63</v>
      </c>
      <c r="I42" s="30" t="s">
        <v>63</v>
      </c>
      <c r="J42" s="30" t="s">
        <v>63</v>
      </c>
      <c r="K42" s="28">
        <f t="shared" si="0"/>
        <v>0.029965282425092627</v>
      </c>
      <c r="L42" s="28">
        <f t="shared" si="1"/>
        <v>4.384245693194031</v>
      </c>
      <c r="M42" s="34"/>
    </row>
    <row r="43" spans="2:13" ht="12.75">
      <c r="B43" s="29" t="s">
        <v>6</v>
      </c>
      <c r="C43" s="30">
        <f>185200587.64</f>
        <v>185200587.64</v>
      </c>
      <c r="D43" s="30">
        <f>7065695.12</f>
        <v>7065695.12</v>
      </c>
      <c r="E43" s="30">
        <f>7065695.12</f>
        <v>7065695.12</v>
      </c>
      <c r="F43" s="30" t="s">
        <v>63</v>
      </c>
      <c r="G43" s="30" t="s">
        <v>63</v>
      </c>
      <c r="H43" s="30" t="s">
        <v>63</v>
      </c>
      <c r="I43" s="30" t="s">
        <v>63</v>
      </c>
      <c r="J43" s="30" t="s">
        <v>63</v>
      </c>
      <c r="K43" s="28">
        <f t="shared" si="0"/>
        <v>0.025070183074499347</v>
      </c>
      <c r="L43" s="28">
        <f t="shared" si="1"/>
        <v>3.8151580456831864</v>
      </c>
      <c r="M43" s="34"/>
    </row>
    <row r="44" spans="2:13" ht="33.75">
      <c r="B44" s="29" t="s">
        <v>85</v>
      </c>
      <c r="C44" s="30">
        <f>52731627.42</f>
        <v>52731627.42</v>
      </c>
      <c r="D44" s="30">
        <f>3679217.48</f>
        <v>3679217.48</v>
      </c>
      <c r="E44" s="30">
        <f>3510765.97</f>
        <v>3510765.97</v>
      </c>
      <c r="F44" s="30" t="s">
        <v>63</v>
      </c>
      <c r="G44" s="30" t="s">
        <v>63</v>
      </c>
      <c r="H44" s="30" t="s">
        <v>63</v>
      </c>
      <c r="I44" s="30" t="s">
        <v>63</v>
      </c>
      <c r="J44" s="30" t="s">
        <v>63</v>
      </c>
      <c r="K44" s="28">
        <f t="shared" si="0"/>
        <v>0.013054434734016396</v>
      </c>
      <c r="L44" s="28">
        <f t="shared" si="1"/>
        <v>6.977250011071249</v>
      </c>
      <c r="M44" s="34"/>
    </row>
    <row r="45" spans="2:13" ht="12.75">
      <c r="B45" s="29" t="s">
        <v>6</v>
      </c>
      <c r="C45" s="30">
        <f>46336631.42</f>
        <v>46336631.42</v>
      </c>
      <c r="D45" s="30">
        <f>1202710.48</f>
        <v>1202710.48</v>
      </c>
      <c r="E45" s="30">
        <f>1036758.97</f>
        <v>1036758.97</v>
      </c>
      <c r="F45" s="30" t="s">
        <v>63</v>
      </c>
      <c r="G45" s="30" t="s">
        <v>63</v>
      </c>
      <c r="H45" s="30" t="s">
        <v>63</v>
      </c>
      <c r="I45" s="30" t="s">
        <v>63</v>
      </c>
      <c r="J45" s="30" t="s">
        <v>63</v>
      </c>
      <c r="K45" s="28">
        <f t="shared" si="0"/>
        <v>0.004267403476534236</v>
      </c>
      <c r="L45" s="28">
        <f t="shared" si="1"/>
        <v>2.595593255578957</v>
      </c>
      <c r="M45" s="34"/>
    </row>
    <row r="46" spans="2:13" ht="13.5" customHeight="1">
      <c r="B46" s="23" t="s">
        <v>94</v>
      </c>
      <c r="C46" s="24">
        <f>539428112.79</f>
        <v>539428112.79</v>
      </c>
      <c r="D46" s="24">
        <f>99834814.6</f>
        <v>99834814.6</v>
      </c>
      <c r="E46" s="24">
        <f>99501243.33</f>
        <v>99501243.33</v>
      </c>
      <c r="F46" s="32" t="s">
        <v>63</v>
      </c>
      <c r="G46" s="32" t="s">
        <v>63</v>
      </c>
      <c r="H46" s="32" t="s">
        <v>63</v>
      </c>
      <c r="I46" s="32" t="s">
        <v>63</v>
      </c>
      <c r="J46" s="32" t="s">
        <v>63</v>
      </c>
      <c r="K46" s="25">
        <f t="shared" si="0"/>
        <v>0.3542294192889971</v>
      </c>
      <c r="L46" s="25">
        <f t="shared" si="1"/>
        <v>18.507529035452</v>
      </c>
      <c r="M46" s="34"/>
    </row>
    <row r="47" spans="2:13" ht="13.5" customHeight="1">
      <c r="B47" s="29" t="s">
        <v>95</v>
      </c>
      <c r="C47" s="30">
        <f>487361299.72</f>
        <v>487361299.72</v>
      </c>
      <c r="D47" s="30">
        <f>89316449.82</f>
        <v>89316449.82</v>
      </c>
      <c r="E47" s="30">
        <f>89210249.82</f>
        <v>89210249.82</v>
      </c>
      <c r="F47" s="30" t="s">
        <v>63</v>
      </c>
      <c r="G47" s="30" t="s">
        <v>63</v>
      </c>
      <c r="H47" s="30" t="s">
        <v>63</v>
      </c>
      <c r="I47" s="30" t="s">
        <v>63</v>
      </c>
      <c r="J47" s="30" t="s">
        <v>63</v>
      </c>
      <c r="K47" s="28">
        <f t="shared" si="0"/>
        <v>0.3169086283122466</v>
      </c>
      <c r="L47" s="28">
        <f t="shared" si="1"/>
        <v>18.326537185310837</v>
      </c>
      <c r="M47" s="34"/>
    </row>
    <row r="48" spans="2:13" ht="13.5" customHeight="1">
      <c r="B48" s="23" t="s">
        <v>96</v>
      </c>
      <c r="C48" s="32">
        <f>6398317580.33</f>
        <v>6398317580.33</v>
      </c>
      <c r="D48" s="32">
        <f>890575271.94</f>
        <v>890575271.94</v>
      </c>
      <c r="E48" s="32">
        <f>887347882.52</f>
        <v>887347882.52</v>
      </c>
      <c r="F48" s="32" t="s">
        <v>63</v>
      </c>
      <c r="G48" s="32" t="s">
        <v>63</v>
      </c>
      <c r="H48" s="32" t="s">
        <v>63</v>
      </c>
      <c r="I48" s="32" t="s">
        <v>63</v>
      </c>
      <c r="J48" s="32" t="s">
        <v>63</v>
      </c>
      <c r="K48" s="38">
        <f t="shared" si="0"/>
        <v>3.1598993064333976</v>
      </c>
      <c r="L48" s="38">
        <f t="shared" si="1"/>
        <v>13.918897597047186</v>
      </c>
      <c r="M48" s="34"/>
    </row>
    <row r="49" spans="2:13" ht="13.5" customHeight="1">
      <c r="B49" s="39" t="s">
        <v>97</v>
      </c>
      <c r="C49" s="40">
        <f>5738508003.79</f>
        <v>5738508003.79</v>
      </c>
      <c r="D49" s="40">
        <f>744923135.87</f>
        <v>744923135.87</v>
      </c>
      <c r="E49" s="40">
        <f>743558998.41</f>
        <v>743558998.41</v>
      </c>
      <c r="F49" s="40" t="s">
        <v>63</v>
      </c>
      <c r="G49" s="40" t="s">
        <v>63</v>
      </c>
      <c r="H49" s="40" t="s">
        <v>63</v>
      </c>
      <c r="I49" s="40" t="s">
        <v>63</v>
      </c>
      <c r="J49" s="40" t="s">
        <v>63</v>
      </c>
      <c r="K49" s="41">
        <f t="shared" si="0"/>
        <v>2.643102918469974</v>
      </c>
      <c r="L49" s="41">
        <f t="shared" si="1"/>
        <v>12.981129160715907</v>
      </c>
      <c r="M49" s="34"/>
    </row>
    <row r="50" spans="2:13" s="42" customFormat="1" ht="25.5" customHeight="1">
      <c r="B50" s="23" t="s">
        <v>70</v>
      </c>
      <c r="C50" s="24">
        <f>C51+C52+C53+C57</f>
        <v>19288024498</v>
      </c>
      <c r="D50" s="24">
        <f>D51+D52+D53+D57</f>
        <v>7238329585</v>
      </c>
      <c r="E50" s="24">
        <f>E51+E52+E53+E57</f>
        <v>5867910605</v>
      </c>
      <c r="F50" s="32" t="s">
        <v>63</v>
      </c>
      <c r="G50" s="32" t="s">
        <v>63</v>
      </c>
      <c r="H50" s="32" t="s">
        <v>63</v>
      </c>
      <c r="I50" s="32" t="s">
        <v>63</v>
      </c>
      <c r="J50" s="32" t="s">
        <v>63</v>
      </c>
      <c r="K50" s="25">
        <f t="shared" si="0"/>
        <v>25.68271695390034</v>
      </c>
      <c r="L50" s="25">
        <f t="shared" si="1"/>
        <v>37.52758394593781</v>
      </c>
      <c r="M50" s="43"/>
    </row>
    <row r="51" spans="2:13" ht="13.5" customHeight="1">
      <c r="B51" s="29" t="s">
        <v>44</v>
      </c>
      <c r="C51" s="30">
        <f>17876939175</f>
        <v>17876939175</v>
      </c>
      <c r="D51" s="30">
        <f>6892578505</f>
        <v>6892578505</v>
      </c>
      <c r="E51" s="30">
        <f>5522159525</f>
        <v>5522159525</v>
      </c>
      <c r="F51" s="30" t="s">
        <v>63</v>
      </c>
      <c r="G51" s="30" t="s">
        <v>63</v>
      </c>
      <c r="H51" s="30" t="s">
        <v>63</v>
      </c>
      <c r="I51" s="30" t="s">
        <v>63</v>
      </c>
      <c r="J51" s="30" t="s">
        <v>63</v>
      </c>
      <c r="K51" s="28">
        <f t="shared" si="0"/>
        <v>24.455938452055516</v>
      </c>
      <c r="L51" s="28">
        <f t="shared" si="1"/>
        <v>38.555697021327475</v>
      </c>
      <c r="M51" s="34"/>
    </row>
    <row r="52" spans="2:13" s="42" customFormat="1" ht="12.75">
      <c r="B52" s="29" t="s">
        <v>40</v>
      </c>
      <c r="C52" s="27">
        <f>25000000</f>
        <v>25000000</v>
      </c>
      <c r="D52" s="36">
        <f>0</f>
        <v>0</v>
      </c>
      <c r="E52" s="27">
        <f>0</f>
        <v>0</v>
      </c>
      <c r="F52" s="27" t="s">
        <v>63</v>
      </c>
      <c r="G52" s="27" t="s">
        <v>63</v>
      </c>
      <c r="H52" s="27" t="s">
        <v>63</v>
      </c>
      <c r="I52" s="27" t="s">
        <v>63</v>
      </c>
      <c r="J52" s="27" t="s">
        <v>63</v>
      </c>
      <c r="K52" s="28">
        <f t="shared" si="0"/>
        <v>0</v>
      </c>
      <c r="L52" s="28">
        <f t="shared" si="1"/>
        <v>0</v>
      </c>
      <c r="M52" s="43"/>
    </row>
    <row r="53" spans="2:13" s="42" customFormat="1" ht="25.5" customHeight="1">
      <c r="B53" s="23" t="s">
        <v>61</v>
      </c>
      <c r="C53" s="24">
        <f>C54+C55+C56</f>
        <v>341393611</v>
      </c>
      <c r="D53" s="24">
        <f>D54+D55+D56</f>
        <v>84578820</v>
      </c>
      <c r="E53" s="24">
        <f>E54+E55+E56</f>
        <v>84578820</v>
      </c>
      <c r="F53" s="32" t="s">
        <v>63</v>
      </c>
      <c r="G53" s="32" t="s">
        <v>63</v>
      </c>
      <c r="H53" s="32" t="s">
        <v>63</v>
      </c>
      <c r="I53" s="32" t="s">
        <v>63</v>
      </c>
      <c r="J53" s="32" t="s">
        <v>63</v>
      </c>
      <c r="K53" s="25">
        <f t="shared" si="0"/>
        <v>0.30009878230142584</v>
      </c>
      <c r="L53" s="25">
        <f t="shared" si="1"/>
        <v>24.774576112380732</v>
      </c>
      <c r="M53" s="43"/>
    </row>
    <row r="54" spans="2:13" ht="13.5" customHeight="1">
      <c r="B54" s="29" t="s">
        <v>45</v>
      </c>
      <c r="C54" s="27">
        <f>237866748</f>
        <v>237866748</v>
      </c>
      <c r="D54" s="36">
        <f>59466684</f>
        <v>59466684</v>
      </c>
      <c r="E54" s="27">
        <f>59466684</f>
        <v>59466684</v>
      </c>
      <c r="F54" s="27" t="s">
        <v>63</v>
      </c>
      <c r="G54" s="27" t="s">
        <v>63</v>
      </c>
      <c r="H54" s="27" t="s">
        <v>63</v>
      </c>
      <c r="I54" s="27" t="s">
        <v>63</v>
      </c>
      <c r="J54" s="27" t="s">
        <v>63</v>
      </c>
      <c r="K54" s="28">
        <f t="shared" si="0"/>
        <v>0.21099702568448797</v>
      </c>
      <c r="L54" s="28">
        <f t="shared" si="1"/>
        <v>24.999998738789667</v>
      </c>
      <c r="M54" s="34"/>
    </row>
    <row r="55" spans="2:13" ht="13.5" customHeight="1">
      <c r="B55" s="29" t="s">
        <v>43</v>
      </c>
      <c r="C55" s="30">
        <f>3078384</f>
        <v>3078384</v>
      </c>
      <c r="D55" s="30">
        <f>0</f>
        <v>0</v>
      </c>
      <c r="E55" s="30">
        <f>0</f>
        <v>0</v>
      </c>
      <c r="F55" s="30" t="s">
        <v>63</v>
      </c>
      <c r="G55" s="30" t="s">
        <v>63</v>
      </c>
      <c r="H55" s="30" t="s">
        <v>63</v>
      </c>
      <c r="I55" s="30" t="s">
        <v>63</v>
      </c>
      <c r="J55" s="30" t="s">
        <v>63</v>
      </c>
      <c r="K55" s="28">
        <f t="shared" si="0"/>
        <v>0</v>
      </c>
      <c r="L55" s="28">
        <f t="shared" si="1"/>
        <v>0</v>
      </c>
      <c r="M55" s="34"/>
    </row>
    <row r="56" spans="2:13" ht="13.5" customHeight="1">
      <c r="B56" s="29" t="s">
        <v>42</v>
      </c>
      <c r="C56" s="27">
        <f>100448479</f>
        <v>100448479</v>
      </c>
      <c r="D56" s="36">
        <f>25112136</f>
        <v>25112136</v>
      </c>
      <c r="E56" s="27">
        <f>25112136</f>
        <v>25112136</v>
      </c>
      <c r="F56" s="27" t="s">
        <v>63</v>
      </c>
      <c r="G56" s="27" t="s">
        <v>63</v>
      </c>
      <c r="H56" s="27" t="s">
        <v>63</v>
      </c>
      <c r="I56" s="27" t="s">
        <v>63</v>
      </c>
      <c r="J56" s="27" t="s">
        <v>63</v>
      </c>
      <c r="K56" s="28">
        <f t="shared" si="0"/>
        <v>0.0891017566169379</v>
      </c>
      <c r="L56" s="28">
        <f t="shared" si="1"/>
        <v>25.000016177447545</v>
      </c>
      <c r="M56" s="34"/>
    </row>
    <row r="57" spans="2:13" s="42" customFormat="1" ht="25.5" customHeight="1">
      <c r="B57" s="23" t="s">
        <v>62</v>
      </c>
      <c r="C57" s="24">
        <f>C58+C59</f>
        <v>1044691712</v>
      </c>
      <c r="D57" s="24">
        <f>D58+D59</f>
        <v>261172260</v>
      </c>
      <c r="E57" s="24">
        <f>E58+E59</f>
        <v>261172260</v>
      </c>
      <c r="F57" s="32" t="s">
        <v>63</v>
      </c>
      <c r="G57" s="32" t="s">
        <v>63</v>
      </c>
      <c r="H57" s="32" t="s">
        <v>63</v>
      </c>
      <c r="I57" s="32" t="s">
        <v>63</v>
      </c>
      <c r="J57" s="32" t="s">
        <v>63</v>
      </c>
      <c r="K57" s="25">
        <f t="shared" si="0"/>
        <v>0.9266797195433962</v>
      </c>
      <c r="L57" s="25">
        <f t="shared" si="1"/>
        <v>24.999936057691247</v>
      </c>
      <c r="M57" s="43"/>
    </row>
    <row r="58" spans="2:13" ht="13.5" customHeight="1">
      <c r="B58" s="29" t="s">
        <v>42</v>
      </c>
      <c r="C58" s="27">
        <f>912657301</f>
        <v>912657301</v>
      </c>
      <c r="D58" s="36">
        <f>228163656</f>
        <v>228163656</v>
      </c>
      <c r="E58" s="27">
        <f>228163656</f>
        <v>228163656</v>
      </c>
      <c r="F58" s="27" t="s">
        <v>63</v>
      </c>
      <c r="G58" s="27" t="s">
        <v>63</v>
      </c>
      <c r="H58" s="27" t="s">
        <v>63</v>
      </c>
      <c r="I58" s="27" t="s">
        <v>63</v>
      </c>
      <c r="J58" s="27" t="s">
        <v>63</v>
      </c>
      <c r="K58" s="28">
        <f t="shared" si="0"/>
        <v>0.8095600687150922</v>
      </c>
      <c r="L58" s="28">
        <f t="shared" si="1"/>
        <v>24.999926670175185</v>
      </c>
      <c r="M58" s="34"/>
    </row>
    <row r="59" spans="2:13" ht="13.5" customHeight="1">
      <c r="B59" s="29" t="s">
        <v>45</v>
      </c>
      <c r="C59" s="30">
        <f>132034411</f>
        <v>132034411</v>
      </c>
      <c r="D59" s="30">
        <f>33008604</f>
        <v>33008604</v>
      </c>
      <c r="E59" s="30">
        <f>33008604</f>
        <v>33008604</v>
      </c>
      <c r="F59" s="30" t="s">
        <v>63</v>
      </c>
      <c r="G59" s="30" t="s">
        <v>63</v>
      </c>
      <c r="H59" s="30" t="s">
        <v>63</v>
      </c>
      <c r="I59" s="30" t="s">
        <v>63</v>
      </c>
      <c r="J59" s="30" t="s">
        <v>63</v>
      </c>
      <c r="K59" s="28">
        <f t="shared" si="0"/>
        <v>0.117119650828304</v>
      </c>
      <c r="L59" s="28">
        <f t="shared" si="1"/>
        <v>25.000000946722896</v>
      </c>
      <c r="M59" s="34"/>
    </row>
    <row r="60" spans="2:13" ht="11.25" customHeight="1">
      <c r="B60" s="44"/>
      <c r="C60" s="45"/>
      <c r="D60" s="45"/>
      <c r="E60" s="45"/>
      <c r="F60" s="45"/>
      <c r="G60" s="45"/>
      <c r="H60" s="45"/>
      <c r="I60" s="45"/>
      <c r="J60" s="45"/>
      <c r="K60" s="33"/>
      <c r="L60" s="33"/>
      <c r="M60" s="34"/>
    </row>
    <row r="61" spans="2:13" ht="13.5" customHeight="1">
      <c r="B61" s="23" t="s">
        <v>5</v>
      </c>
      <c r="C61" s="32">
        <f aca="true" t="shared" si="4" ref="C61:J61">+C5</f>
        <v>103680548209.08</v>
      </c>
      <c r="D61" s="32">
        <f t="shared" si="4"/>
        <v>28183659844.06</v>
      </c>
      <c r="E61" s="32">
        <f t="shared" si="4"/>
        <v>26210892801.09</v>
      </c>
      <c r="F61" s="32">
        <f t="shared" si="4"/>
        <v>176356036.95</v>
      </c>
      <c r="G61" s="32">
        <f t="shared" si="4"/>
        <v>47094607.35</v>
      </c>
      <c r="H61" s="32">
        <f t="shared" si="4"/>
        <v>14675264.53</v>
      </c>
      <c r="I61" s="32">
        <f t="shared" si="4"/>
        <v>62821282.08</v>
      </c>
      <c r="J61" s="32">
        <f t="shared" si="4"/>
        <v>151134.44</v>
      </c>
      <c r="K61" s="25">
        <f t="shared" si="0"/>
        <v>100</v>
      </c>
      <c r="L61" s="25">
        <f t="shared" si="1"/>
        <v>27.183170161509395</v>
      </c>
      <c r="M61" s="34"/>
    </row>
    <row r="62" spans="2:13" ht="12.75">
      <c r="B62" s="29" t="s">
        <v>78</v>
      </c>
      <c r="C62" s="30">
        <f>9462025289.72</f>
        <v>9462025289.72</v>
      </c>
      <c r="D62" s="30">
        <f>1604296592.91</f>
        <v>1604296592.91</v>
      </c>
      <c r="E62" s="30">
        <f>1493415524.76</f>
        <v>1493415524.76</v>
      </c>
      <c r="F62" s="30">
        <f>0</f>
        <v>0</v>
      </c>
      <c r="G62" s="30">
        <f>0</f>
        <v>0</v>
      </c>
      <c r="H62" s="30">
        <f>0</f>
        <v>0</v>
      </c>
      <c r="I62" s="30">
        <f>0</f>
        <v>0</v>
      </c>
      <c r="J62" s="30">
        <f>0</f>
        <v>0</v>
      </c>
      <c r="K62" s="28">
        <f t="shared" si="0"/>
        <v>5.692293342264852</v>
      </c>
      <c r="L62" s="28">
        <f t="shared" si="1"/>
        <v>16.955107852575548</v>
      </c>
      <c r="M62" s="34"/>
    </row>
    <row r="63" spans="1:13" s="42" customFormat="1" ht="12.75">
      <c r="A63" s="9"/>
      <c r="B63" s="29" t="s">
        <v>79</v>
      </c>
      <c r="C63" s="30">
        <f>C61-C62</f>
        <v>94218522919.36</v>
      </c>
      <c r="D63" s="30">
        <f aca="true" t="shared" si="5" ref="D63:J63">D61-D62</f>
        <v>26579363251.15</v>
      </c>
      <c r="E63" s="30">
        <f t="shared" si="5"/>
        <v>24717477276.33</v>
      </c>
      <c r="F63" s="30">
        <f t="shared" si="5"/>
        <v>176356036.95</v>
      </c>
      <c r="G63" s="30">
        <f t="shared" si="5"/>
        <v>47094607.35</v>
      </c>
      <c r="H63" s="30">
        <f t="shared" si="5"/>
        <v>14675264.53</v>
      </c>
      <c r="I63" s="30">
        <f t="shared" si="5"/>
        <v>62821282.08</v>
      </c>
      <c r="J63" s="30">
        <f t="shared" si="5"/>
        <v>151134.44</v>
      </c>
      <c r="K63" s="28">
        <f t="shared" si="0"/>
        <v>94.30770665773514</v>
      </c>
      <c r="L63" s="28">
        <f t="shared" si="1"/>
        <v>28.21033744489798</v>
      </c>
      <c r="M63" s="46"/>
    </row>
    <row r="64" spans="2:13" ht="18">
      <c r="B64" s="96" t="s">
        <v>110</v>
      </c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</row>
    <row r="65" spans="2:13" s="42" customFormat="1" ht="6" customHeight="1">
      <c r="B65" s="47"/>
      <c r="C65" s="48"/>
      <c r="D65" s="48"/>
      <c r="E65" s="48"/>
      <c r="F65" s="49"/>
      <c r="G65" s="49"/>
      <c r="H65" s="49"/>
      <c r="I65" s="49"/>
      <c r="J65" s="49"/>
      <c r="K65" s="1"/>
      <c r="L65" s="1"/>
      <c r="M65" s="50"/>
    </row>
    <row r="66" spans="2:27" ht="29.25" customHeight="1">
      <c r="B66" s="121" t="s">
        <v>0</v>
      </c>
      <c r="C66" s="119" t="s">
        <v>51</v>
      </c>
      <c r="D66" s="119" t="s">
        <v>52</v>
      </c>
      <c r="E66" s="119" t="s">
        <v>53</v>
      </c>
      <c r="F66" s="119" t="s">
        <v>12</v>
      </c>
      <c r="G66" s="119"/>
      <c r="H66" s="119"/>
      <c r="I66" s="119" t="s">
        <v>93</v>
      </c>
      <c r="J66" s="119"/>
      <c r="K66" s="119" t="s">
        <v>2</v>
      </c>
      <c r="L66" s="122" t="s">
        <v>31</v>
      </c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</row>
    <row r="67" spans="2:27" ht="18" customHeight="1">
      <c r="B67" s="121"/>
      <c r="C67" s="119"/>
      <c r="D67" s="99"/>
      <c r="E67" s="119"/>
      <c r="F67" s="111" t="s">
        <v>54</v>
      </c>
      <c r="G67" s="102" t="s">
        <v>30</v>
      </c>
      <c r="H67" s="99"/>
      <c r="I67" s="119"/>
      <c r="J67" s="119"/>
      <c r="K67" s="119"/>
      <c r="L67" s="122"/>
      <c r="M67" s="2"/>
      <c r="N67" s="3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</row>
    <row r="68" spans="2:27" ht="36" customHeight="1">
      <c r="B68" s="121"/>
      <c r="C68" s="119"/>
      <c r="D68" s="99"/>
      <c r="E68" s="119"/>
      <c r="F68" s="99"/>
      <c r="G68" s="7" t="s">
        <v>49</v>
      </c>
      <c r="H68" s="7" t="s">
        <v>50</v>
      </c>
      <c r="I68" s="119"/>
      <c r="J68" s="119"/>
      <c r="K68" s="119"/>
      <c r="L68" s="122"/>
      <c r="M68" s="2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</row>
    <row r="69" spans="2:27" ht="13.5" customHeight="1">
      <c r="B69" s="121"/>
      <c r="C69" s="95" t="s">
        <v>84</v>
      </c>
      <c r="D69" s="95"/>
      <c r="E69" s="95"/>
      <c r="F69" s="95"/>
      <c r="G69" s="95"/>
      <c r="H69" s="95"/>
      <c r="I69" s="95"/>
      <c r="J69" s="95"/>
      <c r="K69" s="95" t="s">
        <v>4</v>
      </c>
      <c r="L69" s="95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</row>
    <row r="70" spans="2:27" ht="11.25" customHeight="1">
      <c r="B70" s="6">
        <v>1</v>
      </c>
      <c r="C70" s="8">
        <v>2</v>
      </c>
      <c r="D70" s="8">
        <v>3</v>
      </c>
      <c r="E70" s="8">
        <v>4</v>
      </c>
      <c r="F70" s="6">
        <v>5</v>
      </c>
      <c r="G70" s="6">
        <v>6</v>
      </c>
      <c r="H70" s="8">
        <v>7</v>
      </c>
      <c r="I70" s="99">
        <v>8</v>
      </c>
      <c r="J70" s="99"/>
      <c r="K70" s="6">
        <v>9</v>
      </c>
      <c r="L70" s="8">
        <v>10</v>
      </c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</row>
    <row r="71" spans="2:12" ht="25.5" customHeight="1">
      <c r="B71" s="23" t="s">
        <v>71</v>
      </c>
      <c r="C71" s="52">
        <f>114569298898.53</f>
        <v>114569298898.53</v>
      </c>
      <c r="D71" s="52">
        <f>80940763000.34</f>
        <v>80940763000.34</v>
      </c>
      <c r="E71" s="52">
        <f>24315607380.09</f>
        <v>24315607380.09</v>
      </c>
      <c r="F71" s="52">
        <f>3164429709.02</f>
        <v>3164429709.02</v>
      </c>
      <c r="G71" s="52">
        <f>1258114.6</f>
        <v>1258114.6</v>
      </c>
      <c r="H71" s="52">
        <f>1229695.19</f>
        <v>1229695.19</v>
      </c>
      <c r="I71" s="103">
        <f>0</f>
        <v>0</v>
      </c>
      <c r="J71" s="103"/>
      <c r="K71" s="53">
        <f aca="true" t="shared" si="6" ref="K71:K80">IF($E$71=0,"",100*$E71/$E$71)</f>
        <v>100</v>
      </c>
      <c r="L71" s="53">
        <f aca="true" t="shared" si="7" ref="L71:L80">IF(C71=0,"",100*E71/C71)</f>
        <v>21.2234932166474</v>
      </c>
    </row>
    <row r="72" spans="2:12" ht="12.75">
      <c r="B72" s="23" t="s">
        <v>14</v>
      </c>
      <c r="C72" s="54">
        <f>22774192219.26</f>
        <v>22774192219.26</v>
      </c>
      <c r="D72" s="54">
        <f>11596341107.62</f>
        <v>11596341107.62</v>
      </c>
      <c r="E72" s="54">
        <f>1792222231.12</f>
        <v>1792222231.12</v>
      </c>
      <c r="F72" s="54">
        <f>760619541.15</f>
        <v>760619541.15</v>
      </c>
      <c r="G72" s="54">
        <f>8094.93</f>
        <v>8094.93</v>
      </c>
      <c r="H72" s="54">
        <f>3051.42</f>
        <v>3051.42</v>
      </c>
      <c r="I72" s="101">
        <f>0</f>
        <v>0</v>
      </c>
      <c r="J72" s="101"/>
      <c r="K72" s="53">
        <f t="shared" si="6"/>
        <v>7.370666103893007</v>
      </c>
      <c r="L72" s="53">
        <f t="shared" si="7"/>
        <v>7.869531502436026</v>
      </c>
    </row>
    <row r="73" spans="2:12" ht="12.75">
      <c r="B73" s="29" t="s">
        <v>13</v>
      </c>
      <c r="C73" s="30">
        <f>21510260229.84</f>
        <v>21510260229.84</v>
      </c>
      <c r="D73" s="30">
        <f>11127779818.3</f>
        <v>11127779818.3</v>
      </c>
      <c r="E73" s="30">
        <f>1542946738.8</f>
        <v>1542946738.8</v>
      </c>
      <c r="F73" s="30">
        <f>675193288.26</f>
        <v>675193288.26</v>
      </c>
      <c r="G73" s="30">
        <f>8094.93</f>
        <v>8094.93</v>
      </c>
      <c r="H73" s="30">
        <f>3051.42</f>
        <v>3051.42</v>
      </c>
      <c r="I73" s="100">
        <f>0</f>
        <v>0</v>
      </c>
      <c r="J73" s="100"/>
      <c r="K73" s="56">
        <f t="shared" si="6"/>
        <v>6.345499475630573</v>
      </c>
      <c r="L73" s="56">
        <f t="shared" si="7"/>
        <v>7.173073325535852</v>
      </c>
    </row>
    <row r="74" spans="2:12" ht="25.5" customHeight="1">
      <c r="B74" s="23" t="s">
        <v>72</v>
      </c>
      <c r="C74" s="54">
        <f aca="true" t="shared" si="8" ref="C74:I74">C71-C72</f>
        <v>91795106679.27</v>
      </c>
      <c r="D74" s="54">
        <f t="shared" si="8"/>
        <v>69344421892.72</v>
      </c>
      <c r="E74" s="54">
        <f t="shared" si="8"/>
        <v>22523385148.97</v>
      </c>
      <c r="F74" s="54">
        <f t="shared" si="8"/>
        <v>2403810167.87</v>
      </c>
      <c r="G74" s="54">
        <f t="shared" si="8"/>
        <v>1250019.6700000002</v>
      </c>
      <c r="H74" s="54">
        <f t="shared" si="8"/>
        <v>1226643.77</v>
      </c>
      <c r="I74" s="101">
        <f t="shared" si="8"/>
        <v>0</v>
      </c>
      <c r="J74" s="101"/>
      <c r="K74" s="53">
        <f t="shared" si="6"/>
        <v>92.629333896107</v>
      </c>
      <c r="L74" s="53">
        <f t="shared" si="7"/>
        <v>24.53658584184252</v>
      </c>
    </row>
    <row r="75" spans="2:12" ht="24" customHeight="1">
      <c r="B75" s="29" t="s">
        <v>108</v>
      </c>
      <c r="C75" s="30">
        <f>33633539579.77</f>
        <v>33633539579.77</v>
      </c>
      <c r="D75" s="30">
        <f>29512735920.23</f>
        <v>29512735920.23</v>
      </c>
      <c r="E75" s="30">
        <f>9560778489.3</f>
        <v>9560778489.3</v>
      </c>
      <c r="F75" s="30">
        <f>1176808334.99</f>
        <v>1176808334.99</v>
      </c>
      <c r="G75" s="30">
        <f>14744</f>
        <v>14744</v>
      </c>
      <c r="H75" s="30">
        <f>4645.71</f>
        <v>4645.71</v>
      </c>
      <c r="I75" s="100">
        <f>0</f>
        <v>0</v>
      </c>
      <c r="J75" s="100"/>
      <c r="K75" s="56">
        <f t="shared" si="6"/>
        <v>39.31951334733474</v>
      </c>
      <c r="L75" s="56">
        <f t="shared" si="7"/>
        <v>28.426322678956584</v>
      </c>
    </row>
    <row r="76" spans="2:12" ht="13.5" customHeight="1">
      <c r="B76" s="29" t="s">
        <v>48</v>
      </c>
      <c r="C76" s="57">
        <f>9660923361.18</f>
        <v>9660923361.18</v>
      </c>
      <c r="D76" s="57">
        <f>6643768070.78</f>
        <v>6643768070.78</v>
      </c>
      <c r="E76" s="57">
        <f>2625847146.89</f>
        <v>2625847146.89</v>
      </c>
      <c r="F76" s="57">
        <f>106226327.1</f>
        <v>106226327.1</v>
      </c>
      <c r="G76" s="57">
        <f>0</f>
        <v>0</v>
      </c>
      <c r="H76" s="57">
        <f>520302.43</f>
        <v>520302.43</v>
      </c>
      <c r="I76" s="116">
        <f>0</f>
        <v>0</v>
      </c>
      <c r="J76" s="116"/>
      <c r="K76" s="56">
        <f t="shared" si="6"/>
        <v>10.79901935347124</v>
      </c>
      <c r="L76" s="56">
        <f t="shared" si="7"/>
        <v>27.18008464326825</v>
      </c>
    </row>
    <row r="77" spans="2:12" ht="12.75">
      <c r="B77" s="29" t="s">
        <v>47</v>
      </c>
      <c r="C77" s="30">
        <f>964258523.25</f>
        <v>964258523.25</v>
      </c>
      <c r="D77" s="30">
        <f>513284023.13</f>
        <v>513284023.13</v>
      </c>
      <c r="E77" s="30">
        <f>110514942.69</f>
        <v>110514942.69</v>
      </c>
      <c r="F77" s="30">
        <f>19104405.98</f>
        <v>19104405.98</v>
      </c>
      <c r="G77" s="30">
        <f>0</f>
        <v>0</v>
      </c>
      <c r="H77" s="30">
        <f>0</f>
        <v>0</v>
      </c>
      <c r="I77" s="100">
        <f>0</f>
        <v>0</v>
      </c>
      <c r="J77" s="100"/>
      <c r="K77" s="56">
        <f t="shared" si="6"/>
        <v>0.45450208568711864</v>
      </c>
      <c r="L77" s="56">
        <f t="shared" si="7"/>
        <v>11.461132053830669</v>
      </c>
    </row>
    <row r="78" spans="2:12" ht="22.5" customHeight="1">
      <c r="B78" s="29" t="s">
        <v>75</v>
      </c>
      <c r="C78" s="57">
        <f>151191596.53</f>
        <v>151191596.53</v>
      </c>
      <c r="D78" s="57">
        <f>22691946.54</f>
        <v>22691946.54</v>
      </c>
      <c r="E78" s="57">
        <f>1460778</f>
        <v>1460778</v>
      </c>
      <c r="F78" s="57">
        <f>176843.72</f>
        <v>176843.72</v>
      </c>
      <c r="G78" s="57">
        <f>0</f>
        <v>0</v>
      </c>
      <c r="H78" s="57">
        <f>0</f>
        <v>0</v>
      </c>
      <c r="I78" s="116">
        <f>0</f>
        <v>0</v>
      </c>
      <c r="J78" s="116"/>
      <c r="K78" s="56">
        <f t="shared" si="6"/>
        <v>0.006007573560330259</v>
      </c>
      <c r="L78" s="56">
        <f t="shared" si="7"/>
        <v>0.9661767145306565</v>
      </c>
    </row>
    <row r="79" spans="2:12" ht="22.5" customHeight="1">
      <c r="B79" s="29" t="s">
        <v>77</v>
      </c>
      <c r="C79" s="57">
        <f>16766738860.19</f>
        <v>16766738860.19</v>
      </c>
      <c r="D79" s="57">
        <f>11046926325.6</f>
        <v>11046926325.6</v>
      </c>
      <c r="E79" s="57">
        <f>4260260981.96</f>
        <v>4260260981.96</v>
      </c>
      <c r="F79" s="57">
        <f>82155096.73</f>
        <v>82155096.73</v>
      </c>
      <c r="G79" s="57">
        <f>959261.06</f>
        <v>959261.06</v>
      </c>
      <c r="H79" s="57">
        <f>22214.37</f>
        <v>22214.37</v>
      </c>
      <c r="I79" s="117">
        <f>0</f>
        <v>0</v>
      </c>
      <c r="J79" s="118"/>
      <c r="K79" s="56">
        <f t="shared" si="6"/>
        <v>17.5206850290253</v>
      </c>
      <c r="L79" s="56">
        <f t="shared" si="7"/>
        <v>25.409001818924512</v>
      </c>
    </row>
    <row r="80" spans="2:12" ht="12.75">
      <c r="B80" s="29" t="s">
        <v>46</v>
      </c>
      <c r="C80" s="30">
        <f aca="true" t="shared" si="9" ref="C80:I80">C74-C75-C76-C77-C78-C79</f>
        <v>30618454758.35</v>
      </c>
      <c r="D80" s="30">
        <f t="shared" si="9"/>
        <v>21605015606.440002</v>
      </c>
      <c r="E80" s="30">
        <f t="shared" si="9"/>
        <v>5964522810.130002</v>
      </c>
      <c r="F80" s="30">
        <f t="shared" si="9"/>
        <v>1019339159.3499999</v>
      </c>
      <c r="G80" s="30">
        <f t="shared" si="9"/>
        <v>276014.6100000001</v>
      </c>
      <c r="H80" s="30">
        <f t="shared" si="9"/>
        <v>679481.2600000001</v>
      </c>
      <c r="I80" s="117">
        <f t="shared" si="9"/>
        <v>0</v>
      </c>
      <c r="J80" s="118"/>
      <c r="K80" s="56">
        <f t="shared" si="6"/>
        <v>24.52960650702827</v>
      </c>
      <c r="L80" s="56">
        <f t="shared" si="7"/>
        <v>19.480156190780367</v>
      </c>
    </row>
    <row r="81" spans="2:13" ht="12.75">
      <c r="B81" s="23" t="s">
        <v>15</v>
      </c>
      <c r="C81" s="55">
        <f>C5-C71</f>
        <v>-10888750689.449997</v>
      </c>
      <c r="D81" s="55"/>
      <c r="E81" s="55">
        <f>D5-E71</f>
        <v>3868052463.970001</v>
      </c>
      <c r="F81" s="55"/>
      <c r="G81" s="55"/>
      <c r="H81" s="55"/>
      <c r="I81" s="101"/>
      <c r="J81" s="101"/>
      <c r="K81" s="58"/>
      <c r="L81" s="58"/>
      <c r="M81" s="4"/>
    </row>
    <row r="82" spans="2:13" ht="22.5">
      <c r="B82" s="23" t="s">
        <v>83</v>
      </c>
      <c r="C82" s="55">
        <f>+C63-C74</f>
        <v>2423416240.0899963</v>
      </c>
      <c r="D82" s="55"/>
      <c r="E82" s="55">
        <f>+D63-E74</f>
        <v>4055978102.1800003</v>
      </c>
      <c r="F82" s="55"/>
      <c r="G82" s="55"/>
      <c r="H82" s="55"/>
      <c r="I82" s="55"/>
      <c r="J82" s="55"/>
      <c r="K82" s="58"/>
      <c r="L82" s="58"/>
      <c r="M82" s="4"/>
    </row>
    <row r="83" spans="2:13" ht="8.25" customHeight="1">
      <c r="B83" s="59"/>
      <c r="C83" s="60"/>
      <c r="D83" s="60"/>
      <c r="E83" s="60"/>
      <c r="F83" s="61"/>
      <c r="G83" s="61"/>
      <c r="H83" s="61"/>
      <c r="I83" s="61"/>
      <c r="J83" s="62"/>
      <c r="K83" s="62"/>
      <c r="L83" s="63"/>
      <c r="M83" s="51"/>
    </row>
    <row r="84" spans="2:13" ht="12.75">
      <c r="B84" s="64" t="s">
        <v>80</v>
      </c>
      <c r="C84" s="65"/>
      <c r="D84" s="66"/>
      <c r="E84" s="66"/>
      <c r="F84" s="67"/>
      <c r="G84" s="67"/>
      <c r="H84" s="67"/>
      <c r="I84" s="67"/>
      <c r="J84" s="68"/>
      <c r="K84" s="68"/>
      <c r="L84" s="68"/>
      <c r="M84" s="51"/>
    </row>
    <row r="85" spans="2:13" ht="26.25" customHeight="1">
      <c r="B85" s="23" t="s">
        <v>98</v>
      </c>
      <c r="C85" s="69">
        <f>10347156073.37</f>
        <v>10347156073.37</v>
      </c>
      <c r="D85" s="70">
        <f>5955929638.65</f>
        <v>5955929638.65</v>
      </c>
      <c r="E85" s="70">
        <f>814367326.97</f>
        <v>814367326.97</v>
      </c>
      <c r="F85" s="70">
        <f>228126441.72</f>
        <v>228126441.72</v>
      </c>
      <c r="G85" s="70">
        <f>0</f>
        <v>0</v>
      </c>
      <c r="H85" s="70">
        <f>1803</f>
        <v>1803</v>
      </c>
      <c r="I85" s="70">
        <f>0</f>
        <v>0</v>
      </c>
      <c r="J85" s="70">
        <f>0</f>
        <v>0</v>
      </c>
      <c r="K85" s="53">
        <f>IF($E$71=0,"",100*$E85/$E$85)</f>
        <v>100</v>
      </c>
      <c r="L85" s="53">
        <f>IF(C85=0,"",100*E85/C85)</f>
        <v>7.870445958246437</v>
      </c>
      <c r="M85" s="51"/>
    </row>
    <row r="86" spans="2:13" ht="15" customHeight="1">
      <c r="B86" s="71" t="s">
        <v>81</v>
      </c>
      <c r="C86" s="72">
        <f>9305696605.24</f>
        <v>9305696605.24</v>
      </c>
      <c r="D86" s="57">
        <f>5604117918.26</f>
        <v>5604117918.26</v>
      </c>
      <c r="E86" s="57">
        <f>702851396.89</f>
        <v>702851396.89</v>
      </c>
      <c r="F86" s="57">
        <f>222883297.61</f>
        <v>222883297.61</v>
      </c>
      <c r="G86" s="57">
        <f>0</f>
        <v>0</v>
      </c>
      <c r="H86" s="57">
        <f>0</f>
        <v>0</v>
      </c>
      <c r="I86" s="57">
        <f>0</f>
        <v>0</v>
      </c>
      <c r="J86" s="57">
        <f>0</f>
        <v>0</v>
      </c>
      <c r="K86" s="56">
        <f>IF($E$71=0,"",100*$E86/$E$85)</f>
        <v>86.3064336710419</v>
      </c>
      <c r="L86" s="73">
        <f>IF(C86=0,"",100*E86/C86)</f>
        <v>7.552915452823029</v>
      </c>
      <c r="M86" s="51"/>
    </row>
    <row r="87" spans="2:12" ht="12.75">
      <c r="B87" s="74" t="s">
        <v>82</v>
      </c>
      <c r="C87" s="72">
        <f>C85-C86</f>
        <v>1041459468.1300011</v>
      </c>
      <c r="D87" s="57">
        <f aca="true" t="shared" si="10" ref="D87:J87">D85-D86</f>
        <v>351811720.3899994</v>
      </c>
      <c r="E87" s="57">
        <f t="shared" si="10"/>
        <v>111515930.08000004</v>
      </c>
      <c r="F87" s="57">
        <f t="shared" si="10"/>
        <v>5243144.1099999845</v>
      </c>
      <c r="G87" s="57">
        <f t="shared" si="10"/>
        <v>0</v>
      </c>
      <c r="H87" s="57">
        <f t="shared" si="10"/>
        <v>1803</v>
      </c>
      <c r="I87" s="57">
        <f t="shared" si="10"/>
        <v>0</v>
      </c>
      <c r="J87" s="57">
        <f t="shared" si="10"/>
        <v>0</v>
      </c>
      <c r="K87" s="56">
        <f>IF($E$71=0,"",100*$E87/$E$85)</f>
        <v>13.6935663289581</v>
      </c>
      <c r="L87" s="73">
        <f>IF(C87=0,"",100*E87/C87)</f>
        <v>10.70765915453562</v>
      </c>
    </row>
    <row r="88" ht="6" customHeight="1"/>
    <row r="89" spans="2:13" ht="18">
      <c r="B89" s="96" t="s">
        <v>110</v>
      </c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</row>
    <row r="90" ht="6.75" customHeight="1"/>
    <row r="91" spans="2:8" ht="12.75">
      <c r="B91" s="12" t="s">
        <v>16</v>
      </c>
      <c r="C91" s="109" t="s">
        <v>17</v>
      </c>
      <c r="D91" s="110"/>
      <c r="E91" s="109" t="s">
        <v>1</v>
      </c>
      <c r="F91" s="110"/>
      <c r="G91" s="8" t="s">
        <v>25</v>
      </c>
      <c r="H91" s="8" t="s">
        <v>26</v>
      </c>
    </row>
    <row r="92" spans="2:8" ht="12.75">
      <c r="B92" s="12"/>
      <c r="C92" s="111" t="s">
        <v>84</v>
      </c>
      <c r="D92" s="112"/>
      <c r="E92" s="112"/>
      <c r="F92" s="113"/>
      <c r="G92" s="114" t="s">
        <v>4</v>
      </c>
      <c r="H92" s="115"/>
    </row>
    <row r="93" spans="2:8" ht="12.75">
      <c r="B93" s="10">
        <v>1</v>
      </c>
      <c r="C93" s="13">
        <v>2</v>
      </c>
      <c r="D93" s="14"/>
      <c r="E93" s="13">
        <v>3</v>
      </c>
      <c r="F93" s="14"/>
      <c r="G93" s="11">
        <v>4</v>
      </c>
      <c r="H93" s="11">
        <v>5</v>
      </c>
    </row>
    <row r="94" spans="2:8" ht="22.5">
      <c r="B94" s="75" t="s">
        <v>73</v>
      </c>
      <c r="C94" s="76">
        <f>14015203784.48</f>
        <v>14015203784.48</v>
      </c>
      <c r="D94" s="77"/>
      <c r="E94" s="76">
        <f>8857008872.19</f>
        <v>8857008872.19</v>
      </c>
      <c r="F94" s="77"/>
      <c r="G94" s="78">
        <f>IF($E$94=0,"",100*$E94/$E$94)</f>
        <v>100</v>
      </c>
      <c r="H94" s="53">
        <f>IF(C94=0,"",100*E94/C94)</f>
        <v>63.19571950853812</v>
      </c>
    </row>
    <row r="95" spans="2:8" ht="33.75">
      <c r="B95" s="79" t="s">
        <v>99</v>
      </c>
      <c r="C95" s="80">
        <f>8962644647.18</f>
        <v>8962644647.18</v>
      </c>
      <c r="D95" s="81"/>
      <c r="E95" s="80">
        <f>235628947.35</f>
        <v>235628947.35</v>
      </c>
      <c r="F95" s="81"/>
      <c r="G95" s="82">
        <f aca="true" t="shared" si="11" ref="G95:G101">IF($E$94=0,"",100*$E95/$E$94)</f>
        <v>2.660367069178942</v>
      </c>
      <c r="H95" s="83">
        <f aca="true" t="shared" si="12" ref="H95:H107">IF(C95=0,"",100*E95/C95)</f>
        <v>2.6290113758346774</v>
      </c>
    </row>
    <row r="96" spans="2:8" ht="22.5">
      <c r="B96" s="84" t="s">
        <v>100</v>
      </c>
      <c r="C96" s="85">
        <f>955000000</f>
        <v>955000000</v>
      </c>
      <c r="D96" s="86"/>
      <c r="E96" s="85">
        <f>0</f>
        <v>0</v>
      </c>
      <c r="F96" s="86"/>
      <c r="G96" s="87">
        <f t="shared" si="11"/>
        <v>0</v>
      </c>
      <c r="H96" s="73">
        <f t="shared" si="12"/>
        <v>0</v>
      </c>
    </row>
    <row r="97" spans="2:8" ht="12.75">
      <c r="B97" s="84" t="s">
        <v>101</v>
      </c>
      <c r="C97" s="85">
        <f>28190277.71</f>
        <v>28190277.71</v>
      </c>
      <c r="D97" s="86"/>
      <c r="E97" s="85">
        <f>5918465.91</f>
        <v>5918465.91</v>
      </c>
      <c r="F97" s="86"/>
      <c r="G97" s="87">
        <f t="shared" si="11"/>
        <v>0.06682240015117642</v>
      </c>
      <c r="H97" s="73">
        <f t="shared" si="12"/>
        <v>20.994705943959286</v>
      </c>
    </row>
    <row r="98" spans="2:8" ht="12.75">
      <c r="B98" s="84" t="s">
        <v>102</v>
      </c>
      <c r="C98" s="85">
        <f>41120657.15</f>
        <v>41120657.15</v>
      </c>
      <c r="D98" s="86"/>
      <c r="E98" s="85">
        <f>83100862.92</f>
        <v>83100862.92</v>
      </c>
      <c r="F98" s="86"/>
      <c r="G98" s="87">
        <f t="shared" si="11"/>
        <v>0.9382497423134265</v>
      </c>
      <c r="H98" s="73">
        <f t="shared" si="12"/>
        <v>202.0903085689135</v>
      </c>
    </row>
    <row r="99" spans="2:8" ht="45.75" customHeight="1">
      <c r="B99" s="84" t="s">
        <v>109</v>
      </c>
      <c r="C99" s="85">
        <f>1247733359.2</f>
        <v>1247733359.2</v>
      </c>
      <c r="D99" s="86"/>
      <c r="E99" s="85">
        <f>1819860758.29</f>
        <v>1819860758.29</v>
      </c>
      <c r="F99" s="86"/>
      <c r="G99" s="87">
        <f t="shared" si="11"/>
        <v>20.54712583617428</v>
      </c>
      <c r="H99" s="73">
        <f t="shared" si="12"/>
        <v>145.8533383652439</v>
      </c>
    </row>
    <row r="100" spans="2:8" ht="12.75">
      <c r="B100" s="84" t="s">
        <v>103</v>
      </c>
      <c r="C100" s="85">
        <f>0</f>
        <v>0</v>
      </c>
      <c r="D100" s="86"/>
      <c r="E100" s="85">
        <f>0</f>
        <v>0</v>
      </c>
      <c r="F100" s="86"/>
      <c r="G100" s="87">
        <f t="shared" si="11"/>
        <v>0</v>
      </c>
      <c r="H100" s="73">
        <f t="shared" si="12"/>
      </c>
    </row>
    <row r="101" spans="2:8" ht="37.5" customHeight="1">
      <c r="B101" s="84" t="s">
        <v>107</v>
      </c>
      <c r="C101" s="85">
        <f>3687579015.24</f>
        <v>3687579015.24</v>
      </c>
      <c r="D101" s="86"/>
      <c r="E101" s="85">
        <f>6674564010.19</f>
        <v>6674564010.19</v>
      </c>
      <c r="F101" s="86"/>
      <c r="G101" s="87">
        <f t="shared" si="11"/>
        <v>75.3591207427529</v>
      </c>
      <c r="H101" s="73">
        <f t="shared" si="12"/>
        <v>181.00124723037555</v>
      </c>
    </row>
    <row r="102" spans="2:8" ht="12.75">
      <c r="B102" s="84" t="s">
        <v>86</v>
      </c>
      <c r="C102" s="85">
        <f>47935828</f>
        <v>47935828</v>
      </c>
      <c r="D102" s="86"/>
      <c r="E102" s="85">
        <f>37935827.53</f>
        <v>37935827.53</v>
      </c>
      <c r="F102" s="86"/>
      <c r="G102" s="87"/>
      <c r="H102" s="73"/>
    </row>
    <row r="103" spans="2:8" ht="22.5">
      <c r="B103" s="88" t="s">
        <v>74</v>
      </c>
      <c r="C103" s="89">
        <f>3126453095.03</f>
        <v>3126453095.03</v>
      </c>
      <c r="D103" s="90"/>
      <c r="E103" s="89">
        <f>816874131.12</f>
        <v>816874131.12</v>
      </c>
      <c r="F103" s="90"/>
      <c r="G103" s="91">
        <f>IF($E$103=0,"",100*$E103/$E$103)</f>
        <v>100</v>
      </c>
      <c r="H103" s="53">
        <f t="shared" si="12"/>
        <v>26.12782300871722</v>
      </c>
    </row>
    <row r="104" spans="2:8" ht="33.75">
      <c r="B104" s="84" t="s">
        <v>104</v>
      </c>
      <c r="C104" s="85">
        <f>3054506530.97</f>
        <v>3054506530.97</v>
      </c>
      <c r="D104" s="86"/>
      <c r="E104" s="85">
        <f>769450161.2</f>
        <v>769450161.2</v>
      </c>
      <c r="F104" s="86"/>
      <c r="G104" s="87">
        <f>IF($E$103=0,"",100*$E104/$E$103)</f>
        <v>94.19445810397032</v>
      </c>
      <c r="H104" s="73">
        <f t="shared" si="12"/>
        <v>25.19065365873193</v>
      </c>
    </row>
    <row r="105" spans="2:8" ht="22.5">
      <c r="B105" s="84" t="s">
        <v>105</v>
      </c>
      <c r="C105" s="85">
        <f>535520000</f>
        <v>535520000</v>
      </c>
      <c r="D105" s="86"/>
      <c r="E105" s="85">
        <f>310000000</f>
        <v>310000000</v>
      </c>
      <c r="F105" s="86"/>
      <c r="G105" s="87">
        <f>IF($E$103=0,"",100*$E105/$E$103)</f>
        <v>37.949543043426424</v>
      </c>
      <c r="H105" s="73">
        <f t="shared" si="12"/>
        <v>57.887660591574544</v>
      </c>
    </row>
    <row r="106" spans="2:8" ht="12.75">
      <c r="B106" s="84" t="s">
        <v>106</v>
      </c>
      <c r="C106" s="85">
        <f>42863049</f>
        <v>42863049</v>
      </c>
      <c r="D106" s="86"/>
      <c r="E106" s="85">
        <f>4063969.92</f>
        <v>4063969.92</v>
      </c>
      <c r="F106" s="86"/>
      <c r="G106" s="87">
        <f>IF($E$103=0,"",100*$E106/$E$103)</f>
        <v>0.49750258518138785</v>
      </c>
      <c r="H106" s="73">
        <f t="shared" si="12"/>
        <v>9.48128986344392</v>
      </c>
    </row>
    <row r="107" spans="2:8" ht="12.75">
      <c r="B107" s="84" t="s">
        <v>29</v>
      </c>
      <c r="C107" s="85">
        <f>29083515.06</f>
        <v>29083515.06</v>
      </c>
      <c r="D107" s="86"/>
      <c r="E107" s="85">
        <f>43360000</f>
        <v>43360000</v>
      </c>
      <c r="F107" s="86"/>
      <c r="G107" s="87">
        <f>IF($E$103=0,"",100*$E107/$E$103)</f>
        <v>5.308039310848289</v>
      </c>
      <c r="H107" s="73">
        <f t="shared" si="12"/>
        <v>149.087893641973</v>
      </c>
    </row>
    <row r="108" spans="2:8" ht="12.75">
      <c r="B108" s="42"/>
      <c r="C108" s="42"/>
      <c r="D108" s="42"/>
      <c r="E108" s="42"/>
      <c r="F108" s="42"/>
      <c r="G108" s="42"/>
      <c r="H108" s="42"/>
    </row>
    <row r="109" spans="2:8" ht="12.75">
      <c r="B109" s="15" t="s">
        <v>16</v>
      </c>
      <c r="C109" s="97" t="s">
        <v>17</v>
      </c>
      <c r="D109" s="98"/>
      <c r="E109" s="97" t="s">
        <v>1</v>
      </c>
      <c r="F109" s="98"/>
      <c r="G109" s="16" t="s">
        <v>25</v>
      </c>
      <c r="H109" s="16" t="s">
        <v>26</v>
      </c>
    </row>
    <row r="110" spans="2:8" ht="12.75">
      <c r="B110" s="17"/>
      <c r="C110" s="104" t="s">
        <v>84</v>
      </c>
      <c r="D110" s="105"/>
      <c r="E110" s="105"/>
      <c r="F110" s="106"/>
      <c r="G110" s="107" t="s">
        <v>4</v>
      </c>
      <c r="H110" s="108"/>
    </row>
    <row r="111" spans="2:8" ht="12.75">
      <c r="B111" s="18">
        <v>1</v>
      </c>
      <c r="C111" s="19">
        <v>2</v>
      </c>
      <c r="D111" s="20"/>
      <c r="E111" s="19">
        <v>3</v>
      </c>
      <c r="F111" s="20"/>
      <c r="G111" s="21">
        <v>4</v>
      </c>
      <c r="H111" s="21">
        <v>5</v>
      </c>
    </row>
    <row r="112" spans="2:8" ht="28.5" customHeight="1">
      <c r="B112" s="92" t="s">
        <v>87</v>
      </c>
      <c r="C112" s="85">
        <f>10904909003.29</f>
        <v>10904909003.29</v>
      </c>
      <c r="D112" s="86"/>
      <c r="E112" s="85">
        <f>0</f>
        <v>0</v>
      </c>
      <c r="F112" s="93"/>
      <c r="G112" s="87"/>
      <c r="H112" s="73"/>
    </row>
    <row r="113" spans="2:8" ht="56.25">
      <c r="B113" s="92" t="s">
        <v>88</v>
      </c>
      <c r="C113" s="85">
        <f>900327556</f>
        <v>900327556</v>
      </c>
      <c r="D113" s="86"/>
      <c r="E113" s="85">
        <f>0</f>
        <v>0</v>
      </c>
      <c r="F113" s="86"/>
      <c r="G113" s="87"/>
      <c r="H113" s="73"/>
    </row>
    <row r="114" spans="2:8" ht="12.75">
      <c r="B114" s="92" t="s">
        <v>89</v>
      </c>
      <c r="C114" s="85">
        <f>5630523549.21</f>
        <v>5630523549.21</v>
      </c>
      <c r="D114" s="86"/>
      <c r="E114" s="85">
        <f>0</f>
        <v>0</v>
      </c>
      <c r="F114" s="86"/>
      <c r="G114" s="87"/>
      <c r="H114" s="73"/>
    </row>
    <row r="115" spans="2:8" ht="33.75">
      <c r="B115" s="92" t="s">
        <v>90</v>
      </c>
      <c r="C115" s="85">
        <f>0</f>
        <v>0</v>
      </c>
      <c r="D115" s="86"/>
      <c r="E115" s="85">
        <f>0</f>
        <v>0</v>
      </c>
      <c r="F115" s="86"/>
      <c r="G115" s="87"/>
      <c r="H115" s="73"/>
    </row>
    <row r="116" spans="2:8" ht="33.75">
      <c r="B116" s="92" t="s">
        <v>91</v>
      </c>
      <c r="C116" s="85">
        <f>41120657.15</f>
        <v>41120657.15</v>
      </c>
      <c r="D116" s="86"/>
      <c r="E116" s="85">
        <f>0</f>
        <v>0</v>
      </c>
      <c r="F116" s="86"/>
      <c r="G116" s="87"/>
      <c r="H116" s="73"/>
    </row>
    <row r="117" spans="2:8" ht="101.25">
      <c r="B117" s="92" t="s">
        <v>92</v>
      </c>
      <c r="C117" s="85">
        <f>3173709938.19</f>
        <v>3173709938.19</v>
      </c>
      <c r="D117" s="86"/>
      <c r="E117" s="85">
        <f>0</f>
        <v>0</v>
      </c>
      <c r="F117" s="86"/>
      <c r="G117" s="87"/>
      <c r="H117" s="73"/>
    </row>
    <row r="118" spans="2:8" ht="12.75">
      <c r="B118" s="94"/>
      <c r="C118" s="62"/>
      <c r="D118" s="62"/>
      <c r="E118" s="62"/>
      <c r="F118" s="62"/>
      <c r="G118" s="62"/>
      <c r="H118" s="62"/>
    </row>
  </sheetData>
  <sheetProtection/>
  <mergeCells count="38">
    <mergeCell ref="I76:J76"/>
    <mergeCell ref="B1:M1"/>
    <mergeCell ref="B2:B3"/>
    <mergeCell ref="C66:C68"/>
    <mergeCell ref="B66:B69"/>
    <mergeCell ref="K66:K68"/>
    <mergeCell ref="I72:J72"/>
    <mergeCell ref="L66:L68"/>
    <mergeCell ref="I81:J81"/>
    <mergeCell ref="I79:J79"/>
    <mergeCell ref="B89:M89"/>
    <mergeCell ref="I66:J68"/>
    <mergeCell ref="D66:D68"/>
    <mergeCell ref="E66:E68"/>
    <mergeCell ref="F67:F68"/>
    <mergeCell ref="F66:H66"/>
    <mergeCell ref="I80:J80"/>
    <mergeCell ref="I75:J75"/>
    <mergeCell ref="G67:H67"/>
    <mergeCell ref="I71:J71"/>
    <mergeCell ref="C110:F110"/>
    <mergeCell ref="G110:H110"/>
    <mergeCell ref="C91:D91"/>
    <mergeCell ref="E91:F91"/>
    <mergeCell ref="C92:F92"/>
    <mergeCell ref="G92:H92"/>
    <mergeCell ref="I77:J77"/>
    <mergeCell ref="I78:J78"/>
    <mergeCell ref="K69:L69"/>
    <mergeCell ref="K3:M3"/>
    <mergeCell ref="C3:J3"/>
    <mergeCell ref="B64:M64"/>
    <mergeCell ref="C69:J69"/>
    <mergeCell ref="C109:D109"/>
    <mergeCell ref="E109:F109"/>
    <mergeCell ref="I70:J70"/>
    <mergeCell ref="I73:J73"/>
    <mergeCell ref="I74:J74"/>
  </mergeCells>
  <printOptions/>
  <pageMargins left="0.1968503937007874" right="0.1968503937007874" top="0.3937007874015748" bottom="0.3937007874015748" header="0.31496062992125984" footer="0.1968503937007874"/>
  <pageSetup firstPageNumber="1" useFirstPageNumber="1" fitToHeight="2" fitToWidth="2" horizontalDpi="600" verticalDpi="600" orientation="landscape" paperSize="9" scale="85" r:id="rId3"/>
  <headerFooter alignWithMargins="0">
    <oddFooter>&amp;RStrona &amp;P z &amp;N</oddFooter>
  </headerFooter>
  <rowBreaks count="5" manualBreakCount="5">
    <brk id="22" max="255" man="1"/>
    <brk id="49" max="12" man="1"/>
    <brk id="63" max="255" man="1"/>
    <brk id="88" max="255" man="1"/>
    <brk id="108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2018-03-19T09:19:34Z</cp:lastPrinted>
  <dcterms:created xsi:type="dcterms:W3CDTF">2001-05-17T08:58:03Z</dcterms:created>
  <dcterms:modified xsi:type="dcterms:W3CDTF">2021-05-31T09:27:10Z</dcterms:modified>
  <cp:category/>
  <cp:version/>
  <cp:contentType/>
  <cp:contentStatus/>
</cp:coreProperties>
</file>