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DDP6\05_ BRD\NWA - ocena brd sieci, projekt rozporządzenia\projekt rozporządzenia\mp\"/>
    </mc:Choice>
  </mc:AlternateContent>
  <bookViews>
    <workbookView xWindow="0" yWindow="0" windowWidth="28800" windowHeight="12300" tabRatio="881"/>
  </bookViews>
  <sheets>
    <sheet name="Instrukcja" sheetId="9" r:id="rId1"/>
    <sheet name="A autostrada miejska" sheetId="5" r:id="rId2"/>
    <sheet name="B autostrada zamiejska" sheetId="1" r:id="rId3"/>
    <sheet name="C pozostała dwujezdniowa" sheetId="7" r:id="rId4"/>
    <sheet name="D pozostała jednojezdniowa" sheetId="3" r:id="rId5"/>
    <sheet name="E zbiorczy" sheetId="8" r:id="rId6"/>
    <sheet name="techniczny 1" sheetId="4" state="hidden" r:id="rId7"/>
    <sheet name="techniczny 2" sheetId="2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6" i="3" l="1"/>
  <c r="L16" i="7"/>
  <c r="L19" i="3"/>
  <c r="L20" i="3"/>
  <c r="F22" i="3"/>
  <c r="F21" i="3"/>
  <c r="F20" i="3"/>
  <c r="F19" i="3"/>
  <c r="H19" i="3"/>
  <c r="H20" i="3"/>
  <c r="H21" i="3"/>
  <c r="H22" i="3"/>
  <c r="C22" i="3"/>
  <c r="C21" i="3"/>
  <c r="C20" i="3"/>
  <c r="C19" i="3"/>
  <c r="L22" i="7"/>
  <c r="L21" i="7"/>
  <c r="L20" i="7"/>
  <c r="L19" i="7"/>
  <c r="L18" i="7"/>
  <c r="L17" i="7"/>
  <c r="H20" i="7"/>
  <c r="H21" i="7"/>
  <c r="F22" i="7"/>
  <c r="F21" i="7"/>
  <c r="C22" i="7"/>
  <c r="C21" i="7"/>
  <c r="C20" i="7"/>
  <c r="C19" i="7"/>
  <c r="L28" i="3" l="1"/>
  <c r="L29" i="3"/>
  <c r="L26" i="3"/>
  <c r="I25" i="3"/>
  <c r="I24" i="7"/>
  <c r="L28" i="7"/>
  <c r="L27" i="3" l="1"/>
  <c r="L23" i="3" s="1"/>
  <c r="L11" i="3" l="1"/>
  <c r="M12" i="7" l="1"/>
  <c r="C32" i="1" l="1"/>
  <c r="C31" i="1"/>
  <c r="C30" i="1"/>
  <c r="C32" i="5"/>
  <c r="C31" i="5"/>
  <c r="C30" i="5"/>
  <c r="L29" i="7" l="1"/>
  <c r="L26" i="7"/>
  <c r="F33" i="1"/>
  <c r="F33" i="5"/>
  <c r="L32" i="5" l="1"/>
  <c r="L31" i="5"/>
  <c r="L30" i="5"/>
  <c r="F28" i="3" l="1"/>
  <c r="F27" i="3"/>
  <c r="F26" i="3"/>
  <c r="F25" i="3"/>
  <c r="F24" i="3"/>
  <c r="F28" i="7"/>
  <c r="F27" i="7"/>
  <c r="F26" i="7"/>
  <c r="F25" i="7"/>
  <c r="F24" i="7"/>
  <c r="L30" i="3" l="1"/>
  <c r="M30" i="3" s="1"/>
  <c r="L30" i="7"/>
  <c r="P17" i="1" l="1"/>
  <c r="P14" i="1"/>
  <c r="P15" i="1"/>
  <c r="P16" i="1"/>
  <c r="P13" i="1"/>
  <c r="P14" i="5"/>
  <c r="P15" i="5"/>
  <c r="P16" i="5"/>
  <c r="P17" i="5"/>
  <c r="P13" i="5"/>
  <c r="L11" i="7"/>
  <c r="L11" i="1"/>
  <c r="L11" i="5"/>
  <c r="H32" i="3" l="1"/>
  <c r="L17" i="1"/>
  <c r="M17" i="1" s="1"/>
  <c r="O14" i="1"/>
  <c r="O15" i="1"/>
  <c r="O16" i="1"/>
  <c r="O17" i="1"/>
  <c r="O13" i="1"/>
  <c r="O13" i="5"/>
  <c r="L13" i="5" s="1"/>
  <c r="L14" i="5"/>
  <c r="O14" i="5"/>
  <c r="O15" i="5"/>
  <c r="O16" i="5"/>
  <c r="O17" i="5"/>
  <c r="L16" i="5" l="1"/>
  <c r="L17" i="5"/>
  <c r="L15" i="5"/>
  <c r="L14" i="1"/>
  <c r="M14" i="1" s="1"/>
  <c r="L16" i="1"/>
  <c r="M16" i="1" s="1"/>
  <c r="L13" i="1"/>
  <c r="L12" i="1" s="1"/>
  <c r="L15" i="1"/>
  <c r="M15" i="1" s="1"/>
  <c r="G30" i="5"/>
  <c r="M13" i="1" l="1"/>
  <c r="L12" i="5" l="1"/>
  <c r="L15" i="3"/>
  <c r="L15" i="7"/>
  <c r="M8" i="3" l="1"/>
  <c r="L13" i="3" s="1"/>
  <c r="M8" i="7"/>
  <c r="L13" i="7" s="1"/>
  <c r="E14" i="7"/>
  <c r="C14" i="7"/>
  <c r="C14" i="3"/>
  <c r="E14" i="3"/>
  <c r="M23" i="3" l="1"/>
  <c r="L27" i="7"/>
  <c r="I14" i="3"/>
  <c r="F14" i="3"/>
  <c r="I14" i="7"/>
  <c r="F14" i="7"/>
  <c r="C28" i="1"/>
  <c r="C27" i="1"/>
  <c r="C26" i="1"/>
  <c r="C25" i="1"/>
  <c r="C24" i="1"/>
  <c r="C23" i="1"/>
  <c r="C22" i="1"/>
  <c r="C21" i="1"/>
  <c r="C20" i="1"/>
  <c r="C19" i="1"/>
  <c r="C28" i="5"/>
  <c r="C27" i="5"/>
  <c r="C26" i="5"/>
  <c r="C25" i="5"/>
  <c r="C24" i="5"/>
  <c r="C23" i="5"/>
  <c r="C22" i="5"/>
  <c r="C21" i="5"/>
  <c r="C20" i="5"/>
  <c r="C19" i="5"/>
  <c r="I32" i="3" l="1"/>
  <c r="H14" i="7" l="1"/>
  <c r="H14" i="3"/>
  <c r="F32" i="3" l="1"/>
  <c r="O32" i="5" l="1"/>
  <c r="E31" i="5"/>
  <c r="E32" i="5"/>
  <c r="G32" i="5"/>
  <c r="O30" i="5"/>
  <c r="H19" i="5"/>
  <c r="H20" i="5"/>
  <c r="H21" i="5"/>
  <c r="H22" i="5"/>
  <c r="H23" i="5"/>
  <c r="H24" i="5"/>
  <c r="H25" i="5"/>
  <c r="H26" i="5"/>
  <c r="H27" i="5"/>
  <c r="H28" i="5"/>
  <c r="F29" i="3" l="1"/>
  <c r="F29" i="7" l="1"/>
  <c r="H18" i="3"/>
  <c r="H17" i="3"/>
  <c r="F17" i="3"/>
  <c r="F18" i="3"/>
  <c r="C18" i="3"/>
  <c r="C17" i="3"/>
  <c r="H18" i="7"/>
  <c r="H19" i="7"/>
  <c r="H22" i="7"/>
  <c r="H17" i="7"/>
  <c r="F17" i="7"/>
  <c r="F18" i="7"/>
  <c r="F19" i="7"/>
  <c r="F20" i="7"/>
  <c r="C18" i="7"/>
  <c r="C17" i="7"/>
  <c r="L32" i="3"/>
  <c r="M33" i="3"/>
  <c r="M32" i="7"/>
  <c r="E20" i="5"/>
  <c r="E21" i="5"/>
  <c r="E22" i="5"/>
  <c r="E23" i="5"/>
  <c r="E24" i="5"/>
  <c r="E25" i="5"/>
  <c r="E26" i="5"/>
  <c r="E27" i="5"/>
  <c r="E28" i="5"/>
  <c r="E19" i="5"/>
  <c r="H20" i="1"/>
  <c r="H21" i="1"/>
  <c r="H22" i="1"/>
  <c r="H23" i="1"/>
  <c r="H24" i="1"/>
  <c r="H25" i="1"/>
  <c r="H26" i="1"/>
  <c r="H27" i="1"/>
  <c r="H28" i="1"/>
  <c r="H19" i="1"/>
  <c r="E20" i="1"/>
  <c r="E21" i="1"/>
  <c r="E22" i="1"/>
  <c r="E23" i="1"/>
  <c r="E24" i="1"/>
  <c r="E25" i="1"/>
  <c r="E26" i="1"/>
  <c r="E27" i="1"/>
  <c r="E28" i="1"/>
  <c r="E19" i="1"/>
  <c r="M34" i="1" l="1"/>
  <c r="M33" i="1"/>
  <c r="H29" i="1"/>
  <c r="E30" i="5"/>
  <c r="E30" i="1"/>
  <c r="E31" i="1"/>
  <c r="E32" i="1"/>
  <c r="F29" i="1"/>
  <c r="F20" i="1"/>
  <c r="F21" i="1"/>
  <c r="F22" i="1"/>
  <c r="F23" i="1"/>
  <c r="F24" i="1"/>
  <c r="F25" i="1"/>
  <c r="F26" i="1"/>
  <c r="F27" i="1"/>
  <c r="F28" i="1"/>
  <c r="F19" i="1"/>
  <c r="L22" i="5" l="1"/>
  <c r="M34" i="5"/>
  <c r="M33" i="5"/>
  <c r="F19" i="5"/>
  <c r="F20" i="5"/>
  <c r="F21" i="5"/>
  <c r="F22" i="5"/>
  <c r="F23" i="5"/>
  <c r="F24" i="5"/>
  <c r="F25" i="5"/>
  <c r="F26" i="5"/>
  <c r="F27" i="5"/>
  <c r="F28" i="5"/>
  <c r="G31" i="5" l="1"/>
  <c r="G32" i="1"/>
  <c r="G31" i="1"/>
  <c r="G30" i="1"/>
  <c r="M30" i="7" l="1"/>
  <c r="M11" i="7"/>
  <c r="M31" i="7"/>
  <c r="M15" i="7"/>
  <c r="M13" i="7"/>
  <c r="M16" i="7" l="1"/>
  <c r="M32" i="3"/>
  <c r="L23" i="7" l="1"/>
  <c r="M23" i="7" s="1"/>
  <c r="L22" i="3"/>
  <c r="L21" i="3"/>
  <c r="L18" i="3"/>
  <c r="L17" i="3"/>
  <c r="C5" i="7" l="1"/>
  <c r="C6" i="7" s="1"/>
  <c r="M16" i="3"/>
  <c r="L12" i="3"/>
  <c r="M11" i="5" l="1"/>
  <c r="L29" i="5"/>
  <c r="L28" i="5"/>
  <c r="L27" i="5"/>
  <c r="L26" i="5"/>
  <c r="L25" i="5"/>
  <c r="L24" i="5"/>
  <c r="L23" i="5"/>
  <c r="L21" i="5"/>
  <c r="L20" i="5"/>
  <c r="L19" i="5"/>
  <c r="M17" i="5"/>
  <c r="M16" i="5"/>
  <c r="M15" i="5"/>
  <c r="M13" i="5"/>
  <c r="O31" i="5" l="1"/>
  <c r="M29" i="5"/>
  <c r="L18" i="5"/>
  <c r="M18" i="5" s="1"/>
  <c r="L31" i="1"/>
  <c r="O31" i="1" s="1"/>
  <c r="L32" i="1"/>
  <c r="O32" i="1" s="1"/>
  <c r="L30" i="1"/>
  <c r="O30" i="1" l="1"/>
  <c r="L29" i="1"/>
  <c r="M14" i="5"/>
  <c r="M12" i="5"/>
  <c r="C5" i="5" l="1"/>
  <c r="C6" i="5" s="1"/>
  <c r="M15" i="3"/>
  <c r="M12" i="3"/>
  <c r="M13" i="3" l="1"/>
  <c r="M11" i="3"/>
  <c r="C5" i="3" l="1"/>
  <c r="C6" i="3" s="1"/>
  <c r="M29" i="1"/>
  <c r="M12" i="1" l="1"/>
  <c r="L20" i="1" l="1"/>
  <c r="L21" i="1"/>
  <c r="L22" i="1"/>
  <c r="L23" i="1"/>
  <c r="L24" i="1"/>
  <c r="L25" i="1"/>
  <c r="L26" i="1"/>
  <c r="L27" i="1"/>
  <c r="L28" i="1"/>
  <c r="L19" i="1"/>
  <c r="L18" i="1" l="1"/>
  <c r="M18" i="1"/>
  <c r="M11" i="1" l="1"/>
  <c r="C5" i="1" l="1"/>
  <c r="C6" i="1" s="1"/>
</calcChain>
</file>

<file path=xl/comments1.xml><?xml version="1.0" encoding="utf-8"?>
<comments xmlns="http://schemas.openxmlformats.org/spreadsheetml/2006/main">
  <authors>
    <author>Panek Mariola</author>
  </authors>
  <commentList>
    <comment ref="B1" authorId="0" shapeId="0">
      <text>
        <r>
          <rPr>
            <b/>
            <sz val="10"/>
            <color indexed="81"/>
            <rFont val="Tahoma"/>
            <family val="2"/>
            <charset val="238"/>
          </rPr>
          <t>W przypadku zastosowania oznaczenia segmentu (w kolumnie C) zawierającego oznaczenie jezdni drogi, kolumna B (Oznaczenie jezdni) może pozostać niewypełniona.</t>
        </r>
      </text>
    </comment>
    <comment ref="C1" authorId="0" shapeId="0">
      <text>
        <r>
          <rPr>
            <b/>
            <sz val="10"/>
            <color indexed="81"/>
            <rFont val="Tahoma"/>
            <family val="2"/>
            <charset val="238"/>
          </rPr>
          <t>C4 formularza obliczeniowego</t>
        </r>
      </text>
    </comment>
    <comment ref="F1" authorId="0" shapeId="0">
      <text>
        <r>
          <rPr>
            <b/>
            <sz val="10"/>
            <color indexed="81"/>
            <rFont val="Tahoma"/>
            <family val="2"/>
            <charset val="238"/>
          </rPr>
          <t>C8 formularza obliczeniowego</t>
        </r>
      </text>
    </comment>
    <comment ref="H1" authorId="0" shapeId="0">
      <text>
        <r>
          <rPr>
            <b/>
            <sz val="10"/>
            <color indexed="81"/>
            <rFont val="Tahoma"/>
            <family val="2"/>
            <charset val="238"/>
          </rPr>
          <t>C5 formularza obliczeniowego</t>
        </r>
      </text>
    </comment>
    <comment ref="I1" authorId="0" shapeId="0">
      <text>
        <r>
          <rPr>
            <b/>
            <sz val="10"/>
            <color indexed="81"/>
            <rFont val="Tahoma"/>
            <family val="2"/>
            <charset val="238"/>
          </rPr>
          <t>C6 formularza obliczeniowego</t>
        </r>
      </text>
    </comment>
    <comment ref="J1" authorId="0" shapeId="0">
      <text>
        <r>
          <rPr>
            <b/>
            <sz val="10"/>
            <color indexed="81"/>
            <rFont val="Tahoma"/>
            <family val="2"/>
            <charset val="238"/>
          </rPr>
          <t xml:space="preserve">Klasa bezpieczeństwa zgodnie z kolumną H, zmodyfikowana o wpływ natężenia ruchu (zgodnie z pkt.3 załącznika nr 2 do rozporządzenia)
</t>
        </r>
      </text>
    </comment>
  </commentList>
</comments>
</file>

<file path=xl/sharedStrings.xml><?xml version="1.0" encoding="utf-8"?>
<sst xmlns="http://schemas.openxmlformats.org/spreadsheetml/2006/main" count="374" uniqueCount="179">
  <si>
    <t>CMF</t>
  </si>
  <si>
    <t>RF</t>
  </si>
  <si>
    <t>-</t>
  </si>
  <si>
    <t>%</t>
  </si>
  <si>
    <t>km/h</t>
  </si>
  <si>
    <t>CMF rh</t>
  </si>
  <si>
    <t>CMF cz</t>
  </si>
  <si>
    <t>Ramp Spacing (m) (gore to gore length)</t>
  </si>
  <si>
    <t>Primary Roads - Density of property access points</t>
  </si>
  <si>
    <t>Density of property access points 
(Points per km - both sides)</t>
  </si>
  <si>
    <t>Shoulder width (m)</t>
  </si>
  <si>
    <t>SW ≥ 2,44</t>
  </si>
  <si>
    <t>1,83 ≤ SW &lt; 2,44</t>
  </si>
  <si>
    <t>1,23 ≤ SW &lt; 1,83</t>
  </si>
  <si>
    <t>0,91 ≤ SW &lt; 1,23</t>
  </si>
  <si>
    <t>0,61 ≤ SW &lt; 0,91</t>
  </si>
  <si>
    <t xml:space="preserve">CMF
</t>
  </si>
  <si>
    <t>For VLOOKUP (m)</t>
  </si>
  <si>
    <t>Junction type</t>
  </si>
  <si>
    <t>CMF Cz</t>
  </si>
  <si>
    <t>CMF RH</t>
  </si>
  <si>
    <t>Rural MWs - Interchange Spacing</t>
  </si>
  <si>
    <t>LxCMF</t>
  </si>
  <si>
    <t>Urban MWs - Interchange Spacing</t>
  </si>
  <si>
    <t>CMF 1 =</t>
  </si>
  <si>
    <t>CMF 2 =</t>
  </si>
  <si>
    <t>CMF 3 =</t>
  </si>
  <si>
    <t>CMF 4 =</t>
  </si>
  <si>
    <t>Primary Roads - Junctions</t>
  </si>
  <si>
    <t>Assumed speed:</t>
  </si>
  <si>
    <t>Undivided PRs - Shoulder paved</t>
  </si>
  <si>
    <t>Undivided PRs - Shoulder unpaved</t>
  </si>
  <si>
    <t>0,00 ≤ SW &lt; 0,61</t>
  </si>
  <si>
    <t>Divided PRs - Shoulder paved</t>
  </si>
  <si>
    <t>Divided PRs - Shoulder unpaved</t>
  </si>
  <si>
    <t>CMF bic =</t>
  </si>
  <si>
    <t>CMF ped =</t>
  </si>
  <si>
    <t>CMF ped.cr =</t>
  </si>
  <si>
    <t>CMF ped.al =</t>
  </si>
  <si>
    <t>2.1.4</t>
  </si>
  <si>
    <t>2.1.1</t>
  </si>
  <si>
    <t>2.1.2</t>
  </si>
  <si>
    <t>2.1.3</t>
  </si>
  <si>
    <t>2.1.5</t>
  </si>
  <si>
    <t>2.1.6</t>
  </si>
  <si>
    <t>Szerokość pasów ruchu</t>
  </si>
  <si>
    <t>Otoczenie drogi</t>
  </si>
  <si>
    <t>Ukształtowanie drogi w planie</t>
  </si>
  <si>
    <t>Parametr</t>
  </si>
  <si>
    <t>Ocena ryzyka metodą proaktywną - segment autostrady miejskiej</t>
  </si>
  <si>
    <t>Średnia szerokość pasów ruchu</t>
  </si>
  <si>
    <t>Rodzaj przeszkody</t>
  </si>
  <si>
    <t>tak</t>
  </si>
  <si>
    <t>nie</t>
  </si>
  <si>
    <t>bariera stalowa</t>
  </si>
  <si>
    <t>bariera betonowa</t>
  </si>
  <si>
    <t>słupy, drzewa, inne</t>
  </si>
  <si>
    <t>Ocena ryzyka metodą proaktywną - segment autostrady zamiejskiej</t>
  </si>
  <si>
    <t>Ocena ryzyka metodą proaktywną - segment pozostałej drogi dwujezdniowej</t>
  </si>
  <si>
    <t>Ocena ryzyka metodą proaktywną - segment pozostałej drogi jednojezdniowej</t>
  </si>
  <si>
    <t>Długość segmentu (m)</t>
  </si>
  <si>
    <t>kompletne, wysokiej jakości i w dobrym stanie</t>
  </si>
  <si>
    <t>kompletne, niskiej jakości lub w niedostatecznym stanie</t>
  </si>
  <si>
    <t>niekompletne</t>
  </si>
  <si>
    <t>nie dotyczy</t>
  </si>
  <si>
    <t>tak, w jednym kierunku</t>
  </si>
  <si>
    <t>tak, w dwóch kierunkach</t>
  </si>
  <si>
    <t>Czy droga posiada więcej niż jeden pas ruchu w każdym kierunku?</t>
  </si>
  <si>
    <t>2.2.2</t>
  </si>
  <si>
    <t>2.2.3</t>
  </si>
  <si>
    <t>2.2.4</t>
  </si>
  <si>
    <t>2.2.5</t>
  </si>
  <si>
    <t>2.2.6</t>
  </si>
  <si>
    <t>2.2.7</t>
  </si>
  <si>
    <t>2.2.8</t>
  </si>
  <si>
    <t>2.2.9</t>
  </si>
  <si>
    <t>2.2.1</t>
  </si>
  <si>
    <t>Gęstość zjazdów</t>
  </si>
  <si>
    <t>Czy w segmencie występują węzły lub skrzyżowania?</t>
  </si>
  <si>
    <t>Skrzyżowania i węzły</t>
  </si>
  <si>
    <t>węzeł</t>
  </si>
  <si>
    <t>o ruchu okrężnym</t>
  </si>
  <si>
    <t>3-wlotowe, z sygnalizacją świetlną, z wydzielonymi pasami do skrętu</t>
  </si>
  <si>
    <t>3-wlotowe, z sygnalizacją świetlną, bez wydzielonych pasów do skrętu</t>
  </si>
  <si>
    <t>3-wlotowe, bez sygnalizacji świetlnej, z wydzielonymi pasami do skrętu</t>
  </si>
  <si>
    <t>3-wlotowe, bez sygnalizacji świetlnej, bez wydzielonych pasów do skrętu</t>
  </si>
  <si>
    <t>4-wlotowe, z sygnalizacją świetlną, z wydzielonymi pasami do skrętu</t>
  </si>
  <si>
    <t>4-wlotowe, z sygnalizacją świetlną, bez wydzielonych pasów do skrętu</t>
  </si>
  <si>
    <t>4-wlotowe, bez sygnalizacji świetlnej, z wydzielonymi pasami do skrętu</t>
  </si>
  <si>
    <t>4-wlotowe, bez sygnalizacji świetlnej, bez wydzielonych pasów do skrętu</t>
  </si>
  <si>
    <t>Rodzaj i szerokość pobocza</t>
  </si>
  <si>
    <t>Rodzaj pobocza zewnętrznego</t>
  </si>
  <si>
    <t>Rodzaj pobocza lewego</t>
  </si>
  <si>
    <t>Rodzaj pobocza prawego</t>
  </si>
  <si>
    <t>Konflikty z ruchem pieszych i rowerzystów</t>
  </si>
  <si>
    <t>Infrastruktura dla rowerzystów (strona zewnętrzna)</t>
  </si>
  <si>
    <t>brak ruchu rowerowego</t>
  </si>
  <si>
    <t>brak ruchu pieszego</t>
  </si>
  <si>
    <t>Infrastruktura dla pieszych (strona zewnętrzna)</t>
  </si>
  <si>
    <t>Infrastruktura dla rowerzystów (strona lewa)</t>
  </si>
  <si>
    <t>Infrastruktura dla pieszych (strona lewa)</t>
  </si>
  <si>
    <t>Infrastruktura dla pieszych (strona prawa)</t>
  </si>
  <si>
    <t>WBOD</t>
  </si>
  <si>
    <t>Średnia szerokość pobocza lewego</t>
  </si>
  <si>
    <t>Średnia szerokość pobocza prawego</t>
  </si>
  <si>
    <t>Średnia szerokość pobocza zewnętrznego</t>
  </si>
  <si>
    <t>co najmniej 3,25 m</t>
  </si>
  <si>
    <t>co najmniej 3,4 m</t>
  </si>
  <si>
    <t>co najmniej 3,15 m</t>
  </si>
  <si>
    <t>poniżej 3,15 m</t>
  </si>
  <si>
    <t>co najmniej 2,7 m</t>
  </si>
  <si>
    <t>poniżej 2,7 m</t>
  </si>
  <si>
    <t>WBOD - strona lewa</t>
  </si>
  <si>
    <t>WBOD - strona prawa</t>
  </si>
  <si>
    <t>Klasa bezpieczeństwa segmentu</t>
  </si>
  <si>
    <t>Oznaczenie segmentu</t>
  </si>
  <si>
    <t>Wynik punktowy segmentu</t>
  </si>
  <si>
    <t>Numer parametru</t>
  </si>
  <si>
    <t>Długość (m)</t>
  </si>
  <si>
    <t xml:space="preserve">Wynik punktowy </t>
  </si>
  <si>
    <t>Klasa bezpieczeństwa
wg wyniku punktowego</t>
  </si>
  <si>
    <t>bezpieczna</t>
  </si>
  <si>
    <t>średnio bezpieczna</t>
  </si>
  <si>
    <t>niebezpieczna</t>
  </si>
  <si>
    <t>Natężenie ruchu SDRR</t>
  </si>
  <si>
    <t>Klasa bezpieczeństwa
po uwzględnieniu SDRR</t>
  </si>
  <si>
    <t>Rodzaj drogi</t>
  </si>
  <si>
    <t>A autostrada miejska</t>
  </si>
  <si>
    <t>B autostrada zamiejska</t>
  </si>
  <si>
    <t>C pozostała dwujezdniowa</t>
  </si>
  <si>
    <t>D pozostała jednojezdniowa</t>
  </si>
  <si>
    <t>Kilometraż początkowy segmentu</t>
  </si>
  <si>
    <t>Kilometraż końcowy segmentu</t>
  </si>
  <si>
    <t>% długości segmentu</t>
  </si>
  <si>
    <t>Funkcjonowanie systemu zarządzania ruchem lub ITS</t>
  </si>
  <si>
    <t>Czy segment jest objęty systemem zarządzania ruchem lub ITS?</t>
  </si>
  <si>
    <t>Odległości między węzłami</t>
  </si>
  <si>
    <t>Oznakowanie pionowe i poziome</t>
  </si>
  <si>
    <t>Ocena oznakowania pionowego i poziomego</t>
  </si>
  <si>
    <t xml:space="preserve">Strefa bez przeszkód </t>
  </si>
  <si>
    <t>Strefa bez przeszkód</t>
  </si>
  <si>
    <t>Konflikty z ruchem pieszych i rowerów</t>
  </si>
  <si>
    <t>Czy w ramach segmentu drogi występuje ruch pieszych lub rowerów?</t>
  </si>
  <si>
    <t>Występowanie dodatkowych pasów ruchu do wyprzedzania</t>
  </si>
  <si>
    <t>o nawierzchni twardej</t>
  </si>
  <si>
    <t>o nawierzchni gruntowej</t>
  </si>
  <si>
    <t>co najmniej 3 m</t>
  </si>
  <si>
    <t>poniżej 3 m</t>
  </si>
  <si>
    <t>Czy w segmencie występują łuki o promieniu R&lt;750m?</t>
  </si>
  <si>
    <t>Czy w segmencie występują łuki o promieniu R&lt;1500m?</t>
  </si>
  <si>
    <t>Czy w segmencie występują łuki o promieniu mniejszym niż R=1000m?</t>
  </si>
  <si>
    <t>Oznaczenie jezdni</t>
  </si>
  <si>
    <t>droga dla rowerów (lub droga dla pieszych lub rowerów)</t>
  </si>
  <si>
    <t>droga dla pieszych (lub droga dla pieszych i rowerów)</t>
  </si>
  <si>
    <t>pas ruchu dla rowerów</t>
  </si>
  <si>
    <t>skarpa nasypu lub wykopu</t>
  </si>
  <si>
    <t>głęboki rów</t>
  </si>
  <si>
    <t>szt</t>
  </si>
  <si>
    <t>Liczba zjazdów (dla badanego kierunku ruchu)</t>
  </si>
  <si>
    <t>Liczba zjazdów (dla dwóch kierunków ruchu łącznie)</t>
  </si>
  <si>
    <t>co najmniej 10 m</t>
  </si>
  <si>
    <t>co najmniej 7,5 m</t>
  </si>
  <si>
    <t>co najmniej 5 m</t>
  </si>
  <si>
    <t>co najmniej 2 m</t>
  </si>
  <si>
    <t>co najmniej 1 m</t>
  </si>
  <si>
    <t>nie więcej niż 1 m</t>
  </si>
  <si>
    <t>co najmniej 2,44 m</t>
  </si>
  <si>
    <t>co najmniej 1,83 m</t>
  </si>
  <si>
    <t>co najmniej 1,23 m</t>
  </si>
  <si>
    <t>co najmniej 0,91 m</t>
  </si>
  <si>
    <t>co najmniej 0,61 m</t>
  </si>
  <si>
    <t>poniżej 0,61 m</t>
  </si>
  <si>
    <t>pobocze o nawierzchni twardej o szerokości &gt; 1m</t>
  </si>
  <si>
    <t>Infrastruktura dla rowerzystów (strona prawa)</t>
  </si>
  <si>
    <t>Występowanie ruchu pieszych lub rowerów w poprzek drogi</t>
  </si>
  <si>
    <t>brak przeznaczonej infrastruktury</t>
  </si>
  <si>
    <t>Czy odległość pomiędzy nosami kolejnych wjazdów, wyjazdów lub łącznic wynosi ≤1600m?</t>
  </si>
  <si>
    <t>CMF 5 =</t>
  </si>
  <si>
    <t>CMF 6 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</si>
</sst>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33" x14ac:knownFonts="1">
    <font>
      <sz val="12"/>
      <color theme="1"/>
      <name val="Arial Narrow"/>
      <family val="2"/>
      <charset val="161"/>
    </font>
    <font>
      <sz val="12"/>
      <color rgb="FFFF0000"/>
      <name val="Arial Narrow"/>
      <family val="2"/>
      <charset val="161"/>
    </font>
    <font>
      <b/>
      <sz val="12"/>
      <color theme="1"/>
      <name val="Arial Narrow"/>
      <family val="2"/>
      <charset val="161"/>
    </font>
    <font>
      <sz val="12"/>
      <color theme="0" tint="-0.14999847407452621"/>
      <name val="Arial Narrow"/>
      <family val="2"/>
      <charset val="161"/>
    </font>
    <font>
      <b/>
      <sz val="14"/>
      <color theme="1"/>
      <name val="Arial Narrow"/>
      <family val="2"/>
      <charset val="161"/>
    </font>
    <font>
      <sz val="14"/>
      <color theme="1"/>
      <name val="Arial Narrow"/>
      <family val="2"/>
      <charset val="161"/>
    </font>
    <font>
      <b/>
      <sz val="12"/>
      <color rgb="FFFF0000"/>
      <name val="Arial Narrow"/>
      <family val="2"/>
      <charset val="161"/>
    </font>
    <font>
      <b/>
      <sz val="14"/>
      <name val="Arial Narrow"/>
      <family val="2"/>
      <charset val="161"/>
    </font>
    <font>
      <sz val="12"/>
      <name val="Arial Narrow"/>
      <family val="2"/>
      <charset val="161"/>
    </font>
    <font>
      <b/>
      <sz val="12"/>
      <name val="Arial Narrow"/>
      <family val="2"/>
      <charset val="161"/>
    </font>
    <font>
      <sz val="14"/>
      <color rgb="FFFF0000"/>
      <name val="Arial Narrow"/>
      <family val="2"/>
      <charset val="161"/>
    </font>
    <font>
      <sz val="10"/>
      <color rgb="FFFFFFFF"/>
      <name val="Verdana"/>
      <family val="2"/>
      <charset val="161"/>
    </font>
    <font>
      <sz val="10"/>
      <color theme="1"/>
      <name val="Verdana"/>
      <family val="2"/>
      <charset val="161"/>
    </font>
    <font>
      <sz val="10"/>
      <color theme="1"/>
      <name val="Arial Narrow"/>
      <family val="2"/>
      <charset val="161"/>
    </font>
    <font>
      <b/>
      <sz val="12"/>
      <color theme="0"/>
      <name val="Arial Narrow"/>
      <family val="2"/>
      <charset val="161"/>
    </font>
    <font>
      <sz val="12"/>
      <color theme="0"/>
      <name val="Arial Narrow"/>
      <family val="2"/>
      <charset val="161"/>
    </font>
    <font>
      <sz val="14"/>
      <color theme="0"/>
      <name val="Arial Narrow"/>
      <family val="2"/>
      <charset val="161"/>
    </font>
    <font>
      <i/>
      <sz val="12"/>
      <color rgb="FFFF0000"/>
      <name val="Arial Narrow"/>
      <family val="2"/>
      <charset val="161"/>
    </font>
    <font>
      <i/>
      <sz val="12"/>
      <name val="Arial Narrow"/>
      <family val="2"/>
      <charset val="161"/>
    </font>
    <font>
      <b/>
      <sz val="12"/>
      <color theme="0" tint="-0.14999847407452621"/>
      <name val="Arial Narrow"/>
      <family val="2"/>
      <charset val="161"/>
    </font>
    <font>
      <b/>
      <sz val="14"/>
      <color theme="1"/>
      <name val="Arial Narrow"/>
      <family val="2"/>
      <charset val="238"/>
    </font>
    <font>
      <i/>
      <sz val="12"/>
      <color theme="0" tint="-0.14999847407452621"/>
      <name val="Arial Narrow"/>
      <family val="2"/>
      <charset val="161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name val="Arial Narrow"/>
      <family val="2"/>
      <charset val="238"/>
    </font>
    <font>
      <b/>
      <sz val="12"/>
      <name val="Arial Narrow"/>
      <family val="2"/>
      <charset val="238"/>
    </font>
    <font>
      <b/>
      <sz val="10"/>
      <color indexed="81"/>
      <name val="Tahoma"/>
      <family val="2"/>
      <charset val="238"/>
    </font>
    <font>
      <sz val="12"/>
      <color theme="4" tint="-0.249977111117893"/>
      <name val="Arial Narrow"/>
      <family val="2"/>
      <charset val="161"/>
    </font>
    <font>
      <sz val="12"/>
      <color theme="1"/>
      <name val="Arial Narrow"/>
      <family val="2"/>
      <charset val="161"/>
    </font>
    <font>
      <sz val="12"/>
      <color rgb="FFFF0000"/>
      <name val="Arial Narrow"/>
      <family val="2"/>
      <charset val="238"/>
    </font>
    <font>
      <sz val="9"/>
      <name val="Arial Narrow"/>
      <family val="2"/>
      <charset val="161"/>
    </font>
    <font>
      <sz val="10"/>
      <color theme="0"/>
      <name val="Arial Narrow"/>
      <family val="2"/>
      <charset val="161"/>
    </font>
    <font>
      <sz val="12"/>
      <color theme="0" tint="-0.14999847407452621"/>
      <name val="Arial Narrow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AEF0"/>
        <bgColor indexed="64"/>
      </patternFill>
    </fill>
    <fill>
      <patternFill patternType="solid">
        <fgColor rgb="FFF2F2F2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9" fontId="28" fillId="0" borderId="0" applyFont="0" applyFill="0" applyBorder="0" applyAlignment="0" applyProtection="0"/>
  </cellStyleXfs>
  <cellXfs count="38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8" fillId="0" borderId="3" xfId="0" applyFont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19" xfId="0" applyFont="1" applyFill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10" fillId="0" borderId="0" xfId="0" applyFont="1" applyAlignment="1">
      <alignment vertical="center"/>
    </xf>
    <xf numFmtId="0" fontId="1" fillId="3" borderId="11" xfId="0" applyFont="1" applyFill="1" applyBorder="1" applyAlignment="1">
      <alignment horizontal="left" vertical="center"/>
    </xf>
    <xf numFmtId="0" fontId="1" fillId="3" borderId="15" xfId="0" applyFont="1" applyFill="1" applyBorder="1" applyAlignment="1">
      <alignment horizontal="left" vertical="center"/>
    </xf>
    <xf numFmtId="0" fontId="11" fillId="5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/>
    </xf>
    <xf numFmtId="164" fontId="12" fillId="6" borderId="21" xfId="0" applyNumberFormat="1" applyFont="1" applyFill="1" applyBorder="1" applyAlignment="1">
      <alignment horizontal="center" vertical="center"/>
    </xf>
    <xf numFmtId="164" fontId="0" fillId="0" borderId="0" xfId="0" applyNumberFormat="1"/>
    <xf numFmtId="0" fontId="0" fillId="0" borderId="0" xfId="0" applyAlignment="1">
      <alignment horizontal="centerContinuous"/>
    </xf>
    <xf numFmtId="0" fontId="8" fillId="3" borderId="4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0" xfId="0" applyNumberFormat="1" applyFont="1" applyFill="1" applyBorder="1" applyAlignment="1">
      <alignment horizontal="center" vertical="center"/>
    </xf>
    <xf numFmtId="164" fontId="6" fillId="0" borderId="0" xfId="0" applyNumberFormat="1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left" vertical="center"/>
    </xf>
    <xf numFmtId="0" fontId="12" fillId="6" borderId="22" xfId="0" applyFont="1" applyFill="1" applyBorder="1" applyAlignment="1">
      <alignment horizontal="center" vertical="center"/>
    </xf>
    <xf numFmtId="164" fontId="12" fillId="6" borderId="22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/>
    </xf>
    <xf numFmtId="0" fontId="13" fillId="6" borderId="21" xfId="0" applyFont="1" applyFill="1" applyBorder="1" applyAlignment="1">
      <alignment horizontal="justify" vertical="center" wrapText="1"/>
    </xf>
    <xf numFmtId="0" fontId="1" fillId="3" borderId="10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left" vertical="center"/>
    </xf>
    <xf numFmtId="2" fontId="8" fillId="3" borderId="25" xfId="0" applyNumberFormat="1" applyFont="1" applyFill="1" applyBorder="1" applyAlignment="1">
      <alignment horizontal="right" vertical="center"/>
    </xf>
    <xf numFmtId="0" fontId="8" fillId="0" borderId="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3" fillId="3" borderId="0" xfId="0" applyFont="1" applyFill="1" applyBorder="1" applyAlignment="1">
      <alignment horizontal="right" vertical="center"/>
    </xf>
    <xf numFmtId="0" fontId="3" fillId="3" borderId="27" xfId="0" applyFont="1" applyFill="1" applyBorder="1" applyAlignment="1">
      <alignment horizontal="right" vertical="center"/>
    </xf>
    <xf numFmtId="0" fontId="1" fillId="3" borderId="0" xfId="0" applyFont="1" applyFill="1" applyBorder="1" applyAlignment="1">
      <alignment horizontal="left" vertical="center"/>
    </xf>
    <xf numFmtId="0" fontId="1" fillId="3" borderId="27" xfId="0" applyFont="1" applyFill="1" applyBorder="1" applyAlignment="1">
      <alignment horizontal="left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vertical="center"/>
    </xf>
    <xf numFmtId="164" fontId="15" fillId="0" borderId="0" xfId="0" applyNumberFormat="1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center" vertical="center"/>
    </xf>
    <xf numFmtId="0" fontId="12" fillId="6" borderId="21" xfId="0" applyFont="1" applyFill="1" applyBorder="1" applyAlignment="1">
      <alignment horizontal="left" vertical="center"/>
    </xf>
    <xf numFmtId="0" fontId="1" fillId="3" borderId="14" xfId="0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2" borderId="23" xfId="0" applyFont="1" applyFill="1" applyBorder="1" applyAlignment="1">
      <alignment horizontal="right" vertical="center"/>
    </xf>
    <xf numFmtId="0" fontId="8" fillId="2" borderId="26" xfId="0" applyFont="1" applyFill="1" applyBorder="1" applyAlignment="1">
      <alignment horizontal="right" vertical="center"/>
    </xf>
    <xf numFmtId="0" fontId="8" fillId="0" borderId="4" xfId="0" applyFont="1" applyBorder="1" applyAlignment="1">
      <alignment horizontal="left" vertical="center" wrapText="1"/>
    </xf>
    <xf numFmtId="0" fontId="8" fillId="3" borderId="25" xfId="0" applyFont="1" applyFill="1" applyBorder="1" applyAlignment="1">
      <alignment horizontal="right" vertical="center"/>
    </xf>
    <xf numFmtId="0" fontId="8" fillId="3" borderId="4" xfId="0" applyFont="1" applyFill="1" applyBorder="1" applyAlignment="1">
      <alignment horizontal="left" vertical="center"/>
    </xf>
    <xf numFmtId="0" fontId="8" fillId="3" borderId="25" xfId="0" applyFont="1" applyFill="1" applyBorder="1" applyAlignment="1">
      <alignment horizontal="left" vertical="center"/>
    </xf>
    <xf numFmtId="164" fontId="8" fillId="0" borderId="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2" borderId="28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3" fontId="8" fillId="2" borderId="28" xfId="0" applyNumberFormat="1" applyFont="1" applyFill="1" applyBorder="1" applyAlignment="1">
      <alignment horizontal="right" vertical="center"/>
    </xf>
    <xf numFmtId="3" fontId="8" fillId="2" borderId="23" xfId="0" applyNumberFormat="1" applyFont="1" applyFill="1" applyBorder="1" applyAlignment="1">
      <alignment horizontal="right" vertical="center"/>
    </xf>
    <xf numFmtId="0" fontId="8" fillId="0" borderId="4" xfId="0" applyFont="1" applyFill="1" applyBorder="1" applyAlignment="1">
      <alignment horizontal="left" vertical="center" wrapText="1"/>
    </xf>
    <xf numFmtId="0" fontId="3" fillId="3" borderId="10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 wrapText="1"/>
    </xf>
    <xf numFmtId="0" fontId="3" fillId="3" borderId="15" xfId="0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27" xfId="0" applyFont="1" applyFill="1" applyBorder="1" applyAlignment="1">
      <alignment horizontal="left" vertical="center"/>
    </xf>
    <xf numFmtId="0" fontId="8" fillId="0" borderId="14" xfId="0" applyFont="1" applyBorder="1" applyAlignment="1">
      <alignment horizontal="left" vertical="center" wrapText="1"/>
    </xf>
    <xf numFmtId="0" fontId="8" fillId="3" borderId="14" xfId="0" applyFont="1" applyFill="1" applyBorder="1" applyAlignment="1">
      <alignment horizontal="center" vertical="center"/>
    </xf>
    <xf numFmtId="164" fontId="8" fillId="3" borderId="16" xfId="0" applyNumberFormat="1" applyFont="1" applyFill="1" applyBorder="1" applyAlignment="1">
      <alignment horizontal="center" vertical="center"/>
    </xf>
    <xf numFmtId="0" fontId="8" fillId="0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left" vertical="center"/>
    </xf>
    <xf numFmtId="0" fontId="8" fillId="3" borderId="24" xfId="0" applyFont="1" applyFill="1" applyBorder="1" applyAlignment="1">
      <alignment horizontal="left" vertical="center"/>
    </xf>
    <xf numFmtId="0" fontId="8" fillId="3" borderId="19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8" fillId="3" borderId="10" xfId="0" applyFont="1" applyFill="1" applyBorder="1" applyAlignment="1">
      <alignment horizontal="left" vertical="center"/>
    </xf>
    <xf numFmtId="0" fontId="8" fillId="3" borderId="0" xfId="0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left" vertical="center"/>
    </xf>
    <xf numFmtId="0" fontId="8" fillId="3" borderId="14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/>
    </xf>
    <xf numFmtId="164" fontId="8" fillId="0" borderId="17" xfId="0" applyNumberFormat="1" applyFont="1" applyFill="1" applyBorder="1" applyAlignment="1">
      <alignment horizontal="center" vertical="center"/>
    </xf>
    <xf numFmtId="1" fontId="8" fillId="2" borderId="24" xfId="0" applyNumberFormat="1" applyFont="1" applyFill="1" applyBorder="1" applyAlignment="1">
      <alignment horizontal="right" vertical="center"/>
    </xf>
    <xf numFmtId="164" fontId="8" fillId="0" borderId="17" xfId="0" applyNumberFormat="1" applyFont="1" applyBorder="1" applyAlignment="1">
      <alignment horizontal="center" vertical="center"/>
    </xf>
    <xf numFmtId="2" fontId="8" fillId="3" borderId="24" xfId="0" applyNumberFormat="1" applyFont="1" applyFill="1" applyBorder="1" applyAlignment="1">
      <alignment horizontal="right" vertical="center"/>
    </xf>
    <xf numFmtId="0" fontId="1" fillId="0" borderId="0" xfId="0" applyFont="1"/>
    <xf numFmtId="0" fontId="8" fillId="3" borderId="10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 wrapText="1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5" fillId="0" borderId="0" xfId="0" applyFont="1" applyFill="1" applyAlignment="1">
      <alignment horizontal="right" vertical="center" wrapText="1"/>
    </xf>
    <xf numFmtId="0" fontId="15" fillId="0" borderId="0" xfId="0" applyFont="1" applyFill="1" applyAlignment="1">
      <alignment horizontal="righ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centerContinuous" vertical="center"/>
    </xf>
    <xf numFmtId="0" fontId="8" fillId="2" borderId="24" xfId="0" applyFont="1" applyFill="1" applyBorder="1" applyAlignment="1">
      <alignment horizontal="right" vertical="center"/>
    </xf>
    <xf numFmtId="2" fontId="8" fillId="3" borderId="32" xfId="0" applyNumberFormat="1" applyFont="1" applyFill="1" applyBorder="1" applyAlignment="1">
      <alignment horizontal="center" vertical="center"/>
    </xf>
    <xf numFmtId="164" fontId="8" fillId="0" borderId="0" xfId="0" applyNumberFormat="1" applyFont="1" applyFill="1" applyAlignment="1">
      <alignment horizontal="center" vertical="center"/>
    </xf>
    <xf numFmtId="0" fontId="8" fillId="3" borderId="27" xfId="0" applyFont="1" applyFill="1" applyBorder="1" applyAlignment="1">
      <alignment horizontal="right" vertical="center"/>
    </xf>
    <xf numFmtId="164" fontId="8" fillId="0" borderId="16" xfId="0" applyNumberFormat="1" applyFont="1" applyFill="1" applyBorder="1" applyAlignment="1">
      <alignment horizontal="center" vertical="center"/>
    </xf>
    <xf numFmtId="164" fontId="8" fillId="3" borderId="9" xfId="0" applyNumberFormat="1" applyFont="1" applyFill="1" applyBorder="1" applyAlignment="1">
      <alignment horizontal="center" vertical="center"/>
    </xf>
    <xf numFmtId="164" fontId="17" fillId="3" borderId="9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5" fillId="0" borderId="0" xfId="0" applyFont="1" applyFill="1" applyAlignment="1">
      <alignment horizontal="left" vertical="center"/>
    </xf>
    <xf numFmtId="0" fontId="15" fillId="0" borderId="0" xfId="0" applyFont="1" applyFill="1" applyAlignment="1">
      <alignment horizontal="centerContinuous" vertical="center"/>
    </xf>
    <xf numFmtId="0" fontId="1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6" fillId="4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10" fillId="4" borderId="0" xfId="0" applyFont="1" applyFill="1" applyAlignment="1">
      <alignment vertical="center"/>
    </xf>
    <xf numFmtId="0" fontId="16" fillId="4" borderId="0" xfId="0" applyFont="1" applyFill="1" applyAlignment="1">
      <alignment vertical="center"/>
    </xf>
    <xf numFmtId="164" fontId="8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10" fillId="0" borderId="0" xfId="0" applyFont="1" applyFill="1" applyAlignment="1">
      <alignment vertical="center"/>
    </xf>
    <xf numFmtId="49" fontId="2" fillId="0" borderId="0" xfId="0" applyNumberFormat="1" applyFont="1" applyAlignment="1">
      <alignment horizontal="centerContinuous" vertical="center"/>
    </xf>
    <xf numFmtId="49" fontId="8" fillId="0" borderId="17" xfId="0" applyNumberFormat="1" applyFont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/>
    <xf numFmtId="0" fontId="8" fillId="0" borderId="12" xfId="0" applyFont="1" applyFill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/>
    </xf>
    <xf numFmtId="164" fontId="8" fillId="0" borderId="33" xfId="0" applyNumberFormat="1" applyFont="1" applyFill="1" applyBorder="1" applyAlignment="1">
      <alignment horizontal="center" vertical="center"/>
    </xf>
    <xf numFmtId="3" fontId="8" fillId="2" borderId="26" xfId="0" applyNumberFormat="1" applyFont="1" applyFill="1" applyBorder="1" applyAlignment="1">
      <alignment horizontal="right" vertical="center"/>
    </xf>
    <xf numFmtId="164" fontId="3" fillId="3" borderId="16" xfId="0" applyNumberFormat="1" applyFont="1" applyFill="1" applyBorder="1" applyAlignment="1">
      <alignment horizontal="center" vertical="center"/>
    </xf>
    <xf numFmtId="164" fontId="3" fillId="3" borderId="8" xfId="0" applyNumberFormat="1" applyFont="1" applyFill="1" applyBorder="1" applyAlignment="1">
      <alignment horizontal="center" vertical="center"/>
    </xf>
    <xf numFmtId="164" fontId="3" fillId="3" borderId="9" xfId="0" applyNumberFormat="1" applyFont="1" applyFill="1" applyBorder="1" applyAlignment="1">
      <alignment horizontal="center" vertical="center"/>
    </xf>
    <xf numFmtId="2" fontId="8" fillId="3" borderId="27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8" fillId="3" borderId="14" xfId="0" applyFont="1" applyFill="1" applyBorder="1" applyAlignment="1">
      <alignment horizontal="left" vertical="center" wrapText="1"/>
    </xf>
    <xf numFmtId="164" fontId="21" fillId="3" borderId="8" xfId="0" applyNumberFormat="1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164" fontId="21" fillId="3" borderId="9" xfId="0" applyNumberFormat="1" applyFont="1" applyFill="1" applyBorder="1" applyAlignment="1">
      <alignment horizontal="right" vertical="center"/>
    </xf>
    <xf numFmtId="164" fontId="21" fillId="3" borderId="9" xfId="0" applyNumberFormat="1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164" fontId="21" fillId="3" borderId="16" xfId="0" applyNumberFormat="1" applyFont="1" applyFill="1" applyBorder="1" applyAlignment="1">
      <alignment horizontal="right" vertical="center"/>
    </xf>
    <xf numFmtId="164" fontId="21" fillId="3" borderId="1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left" vertical="center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left" vertical="center"/>
    </xf>
    <xf numFmtId="164" fontId="8" fillId="0" borderId="16" xfId="0" applyNumberFormat="1" applyFont="1" applyBorder="1" applyAlignment="1">
      <alignment horizontal="center" vertical="center"/>
    </xf>
    <xf numFmtId="0" fontId="8" fillId="2" borderId="27" xfId="0" applyFont="1" applyFill="1" applyBorder="1" applyAlignment="1">
      <alignment horizontal="right" vertical="center"/>
    </xf>
    <xf numFmtId="0" fontId="8" fillId="3" borderId="15" xfId="0" applyFont="1" applyFill="1" applyBorder="1" applyAlignment="1">
      <alignment horizontal="left" vertical="center"/>
    </xf>
    <xf numFmtId="164" fontId="1" fillId="3" borderId="9" xfId="0" applyNumberFormat="1" applyFont="1" applyFill="1" applyBorder="1" applyAlignment="1">
      <alignment horizontal="center" vertical="center"/>
    </xf>
    <xf numFmtId="0" fontId="8" fillId="3" borderId="34" xfId="0" applyFont="1" applyFill="1" applyBorder="1" applyAlignment="1">
      <alignment horizontal="center" vertical="center"/>
    </xf>
    <xf numFmtId="0" fontId="8" fillId="3" borderId="37" xfId="0" applyFont="1" applyFill="1" applyBorder="1" applyAlignment="1">
      <alignment horizontal="center" vertical="center"/>
    </xf>
    <xf numFmtId="0" fontId="8" fillId="3" borderId="35" xfId="0" applyFont="1" applyFill="1" applyBorder="1" applyAlignment="1">
      <alignment horizontal="center" vertical="center"/>
    </xf>
    <xf numFmtId="0" fontId="1" fillId="3" borderId="27" xfId="0" applyFont="1" applyFill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5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Fill="1" applyAlignment="1">
      <alignment horizontal="center"/>
    </xf>
    <xf numFmtId="0" fontId="15" fillId="0" borderId="0" xfId="0" applyFont="1" applyFill="1" applyAlignment="1">
      <alignment horizontal="center" vertical="center" wrapText="1"/>
    </xf>
    <xf numFmtId="0" fontId="8" fillId="0" borderId="0" xfId="0" applyFont="1" applyBorder="1" applyAlignment="1">
      <alignment vertical="center"/>
    </xf>
    <xf numFmtId="0" fontId="8" fillId="0" borderId="14" xfId="0" applyFont="1" applyFill="1" applyBorder="1" applyAlignment="1">
      <alignment horizontal="left" vertical="center" wrapText="1"/>
    </xf>
    <xf numFmtId="165" fontId="7" fillId="0" borderId="0" xfId="0" applyNumberFormat="1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8" fillId="2" borderId="17" xfId="0" applyFont="1" applyFill="1" applyBorder="1" applyAlignment="1">
      <alignment vertical="center" wrapText="1"/>
    </xf>
    <xf numFmtId="165" fontId="9" fillId="0" borderId="17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164" fontId="9" fillId="0" borderId="17" xfId="0" applyNumberFormat="1" applyFont="1" applyBorder="1" applyAlignment="1">
      <alignment horizontal="center" vertical="center"/>
    </xf>
    <xf numFmtId="164" fontId="9" fillId="0" borderId="1" xfId="0" applyNumberFormat="1" applyFont="1" applyBorder="1" applyAlignment="1">
      <alignment horizontal="center" vertical="center"/>
    </xf>
    <xf numFmtId="164" fontId="18" fillId="3" borderId="9" xfId="0" applyNumberFormat="1" applyFont="1" applyFill="1" applyBorder="1" applyAlignment="1">
      <alignment horizontal="left" vertical="center"/>
    </xf>
    <xf numFmtId="164" fontId="18" fillId="3" borderId="16" xfId="0" applyNumberFormat="1" applyFont="1" applyFill="1" applyBorder="1" applyAlignment="1">
      <alignment horizontal="left" vertical="center"/>
    </xf>
    <xf numFmtId="0" fontId="1" fillId="3" borderId="0" xfId="0" applyFont="1" applyFill="1" applyBorder="1" applyAlignment="1">
      <alignment vertical="center"/>
    </xf>
    <xf numFmtId="164" fontId="17" fillId="3" borderId="9" xfId="0" applyNumberFormat="1" applyFont="1" applyFill="1" applyBorder="1" applyAlignment="1">
      <alignment horizontal="left" vertical="center"/>
    </xf>
    <xf numFmtId="49" fontId="8" fillId="0" borderId="17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164" fontId="9" fillId="0" borderId="9" xfId="0" applyNumberFormat="1" applyFont="1" applyBorder="1" applyAlignment="1">
      <alignment horizontal="center" vertical="center"/>
    </xf>
    <xf numFmtId="0" fontId="8" fillId="3" borderId="24" xfId="0" applyFont="1" applyFill="1" applyBorder="1" applyAlignment="1">
      <alignment horizontal="right" vertical="center"/>
    </xf>
    <xf numFmtId="2" fontId="8" fillId="3" borderId="17" xfId="0" applyNumberFormat="1" applyFont="1" applyFill="1" applyBorder="1" applyAlignment="1">
      <alignment horizontal="center" vertical="center"/>
    </xf>
    <xf numFmtId="164" fontId="9" fillId="0" borderId="17" xfId="0" applyNumberFormat="1" applyFont="1" applyFill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/>
    </xf>
    <xf numFmtId="0" fontId="2" fillId="3" borderId="24" xfId="0" applyFont="1" applyFill="1" applyBorder="1" applyAlignment="1">
      <alignment horizontal="centerContinuous" vertical="center"/>
    </xf>
    <xf numFmtId="0" fontId="2" fillId="3" borderId="24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3" fontId="8" fillId="2" borderId="17" xfId="0" applyNumberFormat="1" applyFont="1" applyFill="1" applyBorder="1" applyAlignment="1">
      <alignment horizontal="center" vertical="center"/>
    </xf>
    <xf numFmtId="164" fontId="6" fillId="3" borderId="9" xfId="0" applyNumberFormat="1" applyFont="1" applyFill="1" applyBorder="1" applyAlignment="1">
      <alignment horizontal="center" vertical="center"/>
    </xf>
    <xf numFmtId="164" fontId="9" fillId="3" borderId="32" xfId="0" applyNumberFormat="1" applyFont="1" applyFill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0" fontId="19" fillId="3" borderId="8" xfId="0" applyFont="1" applyFill="1" applyBorder="1" applyAlignment="1">
      <alignment vertical="center"/>
    </xf>
    <xf numFmtId="0" fontId="19" fillId="3" borderId="9" xfId="0" applyFont="1" applyFill="1" applyBorder="1" applyAlignment="1">
      <alignment vertical="center"/>
    </xf>
    <xf numFmtId="0" fontId="19" fillId="3" borderId="16" xfId="0" applyFont="1" applyFill="1" applyBorder="1" applyAlignment="1">
      <alignment vertical="center"/>
    </xf>
    <xf numFmtId="164" fontId="8" fillId="3" borderId="8" xfId="0" applyNumberFormat="1" applyFont="1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3" borderId="14" xfId="0" applyFill="1" applyBorder="1" applyAlignment="1">
      <alignment horizontal="left" vertical="center" wrapText="1"/>
    </xf>
    <xf numFmtId="2" fontId="0" fillId="3" borderId="27" xfId="0" applyNumberFormat="1" applyFill="1" applyBorder="1" applyAlignment="1">
      <alignment horizontal="right" vertical="center"/>
    </xf>
    <xf numFmtId="0" fontId="0" fillId="3" borderId="15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0" fontId="0" fillId="3" borderId="27" xfId="0" applyFill="1" applyBorder="1" applyAlignment="1">
      <alignment horizontal="left" vertical="center"/>
    </xf>
    <xf numFmtId="164" fontId="0" fillId="0" borderId="16" xfId="0" applyNumberFormat="1" applyBorder="1" applyAlignment="1">
      <alignment horizontal="center" vertical="center"/>
    </xf>
    <xf numFmtId="164" fontId="2" fillId="0" borderId="16" xfId="0" applyNumberFormat="1" applyFont="1" applyBorder="1" applyAlignment="1">
      <alignment horizontal="center" vertical="center"/>
    </xf>
    <xf numFmtId="0" fontId="6" fillId="3" borderId="8" xfId="0" applyFont="1" applyFill="1" applyBorder="1" applyAlignment="1">
      <alignment vertical="center"/>
    </xf>
    <xf numFmtId="0" fontId="6" fillId="3" borderId="9" xfId="0" applyFont="1" applyFill="1" applyBorder="1" applyAlignment="1">
      <alignment vertical="center"/>
    </xf>
    <xf numFmtId="0" fontId="6" fillId="3" borderId="16" xfId="0" applyFont="1" applyFill="1" applyBorder="1" applyAlignment="1">
      <alignment vertical="center"/>
    </xf>
    <xf numFmtId="2" fontId="8" fillId="2" borderId="17" xfId="0" applyNumberFormat="1" applyFont="1" applyFill="1" applyBorder="1" applyAlignment="1">
      <alignment horizontal="right" vertical="center"/>
    </xf>
    <xf numFmtId="165" fontId="24" fillId="2" borderId="17" xfId="0" applyNumberFormat="1" applyFont="1" applyFill="1" applyBorder="1" applyAlignment="1">
      <alignment horizontal="center" vertical="center"/>
    </xf>
    <xf numFmtId="165" fontId="25" fillId="0" borderId="17" xfId="0" applyNumberFormat="1" applyFont="1" applyFill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8" fillId="2" borderId="17" xfId="0" applyFont="1" applyFill="1" applyBorder="1" applyAlignment="1">
      <alignment horizontal="right" vertical="center"/>
    </xf>
    <xf numFmtId="0" fontId="8" fillId="3" borderId="34" xfId="0" applyFont="1" applyFill="1" applyBorder="1" applyAlignment="1">
      <alignment horizontal="left" vertical="center"/>
    </xf>
    <xf numFmtId="0" fontId="8" fillId="3" borderId="37" xfId="0" applyFont="1" applyFill="1" applyBorder="1" applyAlignment="1">
      <alignment horizontal="left" vertical="center"/>
    </xf>
    <xf numFmtId="0" fontId="8" fillId="3" borderId="35" xfId="0" applyFont="1" applyFill="1" applyBorder="1" applyAlignment="1">
      <alignment horizontal="left" vertical="center"/>
    </xf>
    <xf numFmtId="0" fontId="3" fillId="3" borderId="34" xfId="0" applyFont="1" applyFill="1" applyBorder="1" applyAlignment="1">
      <alignment horizontal="left" vertical="center" wrapText="1"/>
    </xf>
    <xf numFmtId="0" fontId="3" fillId="3" borderId="37" xfId="0" applyFont="1" applyFill="1" applyBorder="1" applyAlignment="1">
      <alignment vertical="center"/>
    </xf>
    <xf numFmtId="0" fontId="3" fillId="3" borderId="35" xfId="0" applyFont="1" applyFill="1" applyBorder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0" fillId="0" borderId="0" xfId="0" applyFill="1"/>
    <xf numFmtId="0" fontId="0" fillId="2" borderId="17" xfId="0" applyFill="1" applyBorder="1"/>
    <xf numFmtId="0" fontId="8" fillId="0" borderId="17" xfId="0" applyFont="1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/>
    </xf>
    <xf numFmtId="0" fontId="8" fillId="0" borderId="18" xfId="0" applyFont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164" fontId="19" fillId="3" borderId="9" xfId="0" applyNumberFormat="1" applyFont="1" applyFill="1" applyBorder="1" applyAlignment="1">
      <alignment horizontal="center" vertical="center"/>
    </xf>
    <xf numFmtId="164" fontId="21" fillId="3" borderId="9" xfId="0" applyNumberFormat="1" applyFont="1" applyFill="1" applyBorder="1" applyAlignment="1">
      <alignment horizontal="left" vertical="center"/>
    </xf>
    <xf numFmtId="164" fontId="19" fillId="3" borderId="16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vertical="center"/>
    </xf>
    <xf numFmtId="1" fontId="8" fillId="2" borderId="28" xfId="0" applyNumberFormat="1" applyFont="1" applyFill="1" applyBorder="1" applyAlignment="1">
      <alignment horizontal="right" vertical="center"/>
    </xf>
    <xf numFmtId="2" fontId="3" fillId="3" borderId="24" xfId="0" applyNumberFormat="1" applyFont="1" applyFill="1" applyBorder="1" applyAlignment="1">
      <alignment horizontal="right" vertical="center"/>
    </xf>
    <xf numFmtId="1" fontId="8" fillId="2" borderId="26" xfId="0" applyNumberFormat="1" applyFont="1" applyFill="1" applyBorder="1" applyAlignment="1">
      <alignment horizontal="right" vertical="center"/>
    </xf>
    <xf numFmtId="2" fontId="27" fillId="3" borderId="24" xfId="0" applyNumberFormat="1" applyFont="1" applyFill="1" applyBorder="1" applyAlignment="1">
      <alignment horizontal="right" vertical="center"/>
    </xf>
    <xf numFmtId="0" fontId="30" fillId="3" borderId="5" xfId="0" applyFont="1" applyFill="1" applyBorder="1" applyAlignment="1">
      <alignment horizontal="left" vertical="center" wrapText="1"/>
    </xf>
    <xf numFmtId="1" fontId="8" fillId="2" borderId="23" xfId="1" applyNumberFormat="1" applyFont="1" applyFill="1" applyBorder="1" applyAlignment="1">
      <alignment horizontal="right" vertical="center"/>
    </xf>
    <xf numFmtId="0" fontId="29" fillId="4" borderId="0" xfId="0" applyFont="1" applyFill="1" applyAlignment="1">
      <alignment vertical="center"/>
    </xf>
    <xf numFmtId="0" fontId="1" fillId="3" borderId="35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0" fontId="1" fillId="3" borderId="37" xfId="0" applyFont="1" applyFill="1" applyBorder="1" applyAlignment="1">
      <alignment horizontal="left" vertical="center"/>
    </xf>
    <xf numFmtId="164" fontId="31" fillId="0" borderId="0" xfId="0" applyNumberFormat="1" applyFont="1" applyFill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4" fontId="15" fillId="0" borderId="0" xfId="0" applyNumberFormat="1" applyFont="1" applyFill="1" applyAlignment="1">
      <alignment horizontal="center" vertical="center"/>
    </xf>
    <xf numFmtId="164" fontId="32" fillId="3" borderId="9" xfId="0" applyNumberFormat="1" applyFont="1" applyFill="1" applyBorder="1" applyAlignment="1">
      <alignment horizontal="center" vertical="center"/>
    </xf>
    <xf numFmtId="164" fontId="32" fillId="3" borderId="16" xfId="0" applyNumberFormat="1" applyFont="1" applyFill="1" applyBorder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164" fontId="31" fillId="4" borderId="0" xfId="0" applyNumberFormat="1" applyFont="1" applyFill="1" applyAlignment="1">
      <alignment horizontal="center" vertical="center"/>
    </xf>
    <xf numFmtId="164" fontId="15" fillId="4" borderId="0" xfId="0" applyNumberFormat="1" applyFont="1" applyFill="1" applyAlignment="1">
      <alignment horizontal="center" vertical="center"/>
    </xf>
    <xf numFmtId="4" fontId="15" fillId="4" borderId="0" xfId="0" applyNumberFormat="1" applyFont="1" applyFill="1" applyAlignment="1">
      <alignment horizontal="center" vertical="center"/>
    </xf>
    <xf numFmtId="0" fontId="16" fillId="4" borderId="0" xfId="0" applyFont="1" applyFill="1" applyAlignment="1">
      <alignment horizontal="center" vertical="center"/>
    </xf>
    <xf numFmtId="49" fontId="12" fillId="6" borderId="21" xfId="0" applyNumberFormat="1" applyFont="1" applyFill="1" applyBorder="1" applyAlignment="1">
      <alignment horizontal="center" vertical="center" wrapText="1"/>
    </xf>
    <xf numFmtId="2" fontId="12" fillId="6" borderId="21" xfId="0" applyNumberFormat="1" applyFont="1" applyFill="1" applyBorder="1" applyAlignment="1">
      <alignment horizontal="center" vertical="center" wrapText="1"/>
    </xf>
    <xf numFmtId="0" fontId="3" fillId="3" borderId="34" xfId="0" applyFont="1" applyFill="1" applyBorder="1" applyAlignment="1">
      <alignment horizontal="right" vertical="center"/>
    </xf>
    <xf numFmtId="0" fontId="3" fillId="3" borderId="14" xfId="0" applyFont="1" applyFill="1" applyBorder="1" applyAlignment="1">
      <alignment horizontal="right" vertical="center"/>
    </xf>
    <xf numFmtId="0" fontId="0" fillId="0" borderId="0" xfId="0" applyFill="1" applyAlignment="1"/>
    <xf numFmtId="1" fontId="0" fillId="0" borderId="0" xfId="0" applyNumberFormat="1" applyFill="1"/>
    <xf numFmtId="164" fontId="0" fillId="0" borderId="0" xfId="0" applyNumberFormat="1" applyFill="1" applyAlignment="1"/>
    <xf numFmtId="164" fontId="0" fillId="0" borderId="0" xfId="0" applyNumberFormat="1" applyFill="1"/>
    <xf numFmtId="164" fontId="9" fillId="0" borderId="1" xfId="0" applyNumberFormat="1" applyFont="1" applyBorder="1" applyAlignment="1">
      <alignment horizontal="center" vertical="center" wrapText="1"/>
    </xf>
    <xf numFmtId="164" fontId="8" fillId="3" borderId="17" xfId="0" applyNumberFormat="1" applyFont="1" applyFill="1" applyBorder="1" applyAlignment="1">
      <alignment horizontal="center" vertical="center"/>
    </xf>
    <xf numFmtId="0" fontId="23" fillId="0" borderId="17" xfId="0" applyFont="1" applyFill="1" applyBorder="1" applyAlignment="1">
      <alignment horizontal="center" vertical="center"/>
    </xf>
    <xf numFmtId="2" fontId="8" fillId="2" borderId="27" xfId="0" applyNumberFormat="1" applyFont="1" applyFill="1" applyBorder="1" applyAlignment="1">
      <alignment horizontal="center" vertical="center"/>
    </xf>
    <xf numFmtId="2" fontId="8" fillId="2" borderId="15" xfId="0" applyNumberFormat="1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49" fontId="8" fillId="0" borderId="36" xfId="0" applyNumberFormat="1" applyFont="1" applyBorder="1" applyAlignment="1">
      <alignment horizontal="center" vertical="center"/>
    </xf>
    <xf numFmtId="49" fontId="8" fillId="0" borderId="9" xfId="0" applyNumberFormat="1" applyFont="1" applyBorder="1" applyAlignment="1">
      <alignment horizontal="center" vertical="center"/>
    </xf>
    <xf numFmtId="49" fontId="8" fillId="0" borderId="16" xfId="0" applyNumberFormat="1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2" fontId="8" fillId="2" borderId="23" xfId="0" applyNumberFormat="1" applyFont="1" applyFill="1" applyBorder="1" applyAlignment="1">
      <alignment horizontal="center" vertical="center"/>
    </xf>
    <xf numFmtId="2" fontId="8" fillId="2" borderId="3" xfId="0" applyNumberFormat="1" applyFont="1" applyFill="1" applyBorder="1" applyAlignment="1">
      <alignment horizontal="center" vertical="center"/>
    </xf>
    <xf numFmtId="165" fontId="7" fillId="0" borderId="0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3" borderId="24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left" vertical="center" wrapText="1"/>
    </xf>
    <xf numFmtId="0" fontId="8" fillId="3" borderId="5" xfId="0" applyFont="1" applyFill="1" applyBorder="1" applyAlignment="1">
      <alignment horizontal="left" vertical="center" wrapText="1"/>
    </xf>
    <xf numFmtId="2" fontId="0" fillId="2" borderId="27" xfId="0" applyNumberFormat="1" applyFill="1" applyBorder="1" applyAlignment="1">
      <alignment horizontal="center" vertical="center"/>
    </xf>
    <xf numFmtId="2" fontId="0" fillId="2" borderId="15" xfId="0" applyNumberFormat="1" applyFill="1" applyBorder="1" applyAlignment="1">
      <alignment horizontal="center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23" fillId="0" borderId="18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164" fontId="8" fillId="0" borderId="36" xfId="0" applyNumberFormat="1" applyFont="1" applyBorder="1" applyAlignment="1">
      <alignment horizontal="center" vertical="center"/>
    </xf>
    <xf numFmtId="164" fontId="8" fillId="0" borderId="16" xfId="0" applyNumberFormat="1" applyFont="1" applyBorder="1" applyAlignment="1">
      <alignment horizontal="center" vertical="center"/>
    </xf>
    <xf numFmtId="164" fontId="9" fillId="0" borderId="36" xfId="0" applyNumberFormat="1" applyFont="1" applyBorder="1" applyAlignment="1">
      <alignment horizontal="center" vertical="center"/>
    </xf>
    <xf numFmtId="164" fontId="9" fillId="0" borderId="16" xfId="0" applyNumberFormat="1" applyFont="1" applyBorder="1" applyAlignment="1">
      <alignment horizontal="center" vertical="center"/>
    </xf>
    <xf numFmtId="0" fontId="0" fillId="2" borderId="27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2" borderId="23" xfId="0" applyFont="1" applyFill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27" xfId="0" applyFont="1" applyFill="1" applyBorder="1" applyAlignment="1">
      <alignment horizontal="left" vertical="center" wrapText="1"/>
    </xf>
    <xf numFmtId="0" fontId="8" fillId="3" borderId="15" xfId="0" applyFont="1" applyFill="1" applyBorder="1" applyAlignment="1">
      <alignment horizontal="left" vertical="center"/>
    </xf>
    <xf numFmtId="2" fontId="8" fillId="2" borderId="24" xfId="0" applyNumberFormat="1" applyFont="1" applyFill="1" applyBorder="1" applyAlignment="1">
      <alignment horizontal="center" vertical="center"/>
    </xf>
    <xf numFmtId="2" fontId="8" fillId="2" borderId="19" xfId="0" applyNumberFormat="1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2" borderId="2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2" borderId="26" xfId="0" applyFont="1" applyFill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8" fillId="3" borderId="27" xfId="0" applyFont="1" applyFill="1" applyBorder="1" applyAlignment="1">
      <alignment horizontal="center" vertical="center"/>
    </xf>
    <xf numFmtId="0" fontId="8" fillId="3" borderId="15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0" fontId="18" fillId="3" borderId="31" xfId="0" applyFont="1" applyFill="1" applyBorder="1" applyAlignment="1">
      <alignment horizontal="center" vertical="center" wrapText="1"/>
    </xf>
    <xf numFmtId="0" fontId="18" fillId="3" borderId="10" xfId="0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0" fontId="18" fillId="3" borderId="14" xfId="0" applyFont="1" applyFill="1" applyBorder="1" applyAlignment="1">
      <alignment horizontal="center" vertical="center" wrapText="1"/>
    </xf>
    <xf numFmtId="0" fontId="18" fillId="3" borderId="27" xfId="0" applyFont="1" applyFill="1" applyBorder="1" applyAlignment="1">
      <alignment horizontal="center" vertical="center" wrapText="1"/>
    </xf>
    <xf numFmtId="0" fontId="18" fillId="3" borderId="15" xfId="0" applyFont="1" applyFill="1" applyBorder="1" applyAlignment="1">
      <alignment horizontal="center" vertical="center" wrapText="1"/>
    </xf>
    <xf numFmtId="0" fontId="8" fillId="2" borderId="26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3" fontId="8" fillId="2" borderId="23" xfId="0" applyNumberFormat="1" applyFont="1" applyFill="1" applyBorder="1" applyAlignment="1">
      <alignment horizontal="center" vertical="center"/>
    </xf>
    <xf numFmtId="3" fontId="8" fillId="2" borderId="3" xfId="0" applyNumberFormat="1" applyFont="1" applyFill="1" applyBorder="1" applyAlignment="1">
      <alignment horizontal="center" vertical="center"/>
    </xf>
    <xf numFmtId="2" fontId="8" fillId="2" borderId="25" xfId="0" applyNumberFormat="1" applyFont="1" applyFill="1" applyBorder="1" applyAlignment="1">
      <alignment horizontal="center" vertical="center"/>
    </xf>
    <xf numFmtId="2" fontId="8" fillId="2" borderId="5" xfId="0" applyNumberFormat="1" applyFont="1" applyFill="1" applyBorder="1" applyAlignment="1">
      <alignment horizontal="center" vertical="center"/>
    </xf>
    <xf numFmtId="2" fontId="8" fillId="2" borderId="26" xfId="0" applyNumberFormat="1" applyFont="1" applyFill="1" applyBorder="1" applyAlignment="1">
      <alignment horizontal="center" vertical="center"/>
    </xf>
    <xf numFmtId="2" fontId="8" fillId="2" borderId="7" xfId="0" applyNumberFormat="1" applyFont="1" applyFill="1" applyBorder="1" applyAlignment="1">
      <alignment horizontal="center" vertical="center"/>
    </xf>
    <xf numFmtId="49" fontId="8" fillId="0" borderId="36" xfId="0" applyNumberFormat="1" applyFont="1" applyFill="1" applyBorder="1" applyAlignment="1">
      <alignment horizontal="center" vertical="center"/>
    </xf>
    <xf numFmtId="49" fontId="8" fillId="0" borderId="16" xfId="0" applyNumberFormat="1" applyFont="1" applyFill="1" applyBorder="1" applyAlignment="1">
      <alignment horizontal="center" vertical="center"/>
    </xf>
    <xf numFmtId="0" fontId="8" fillId="0" borderId="34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left" vertical="center" wrapText="1"/>
    </xf>
    <xf numFmtId="0" fontId="8" fillId="0" borderId="19" xfId="0" applyFont="1" applyBorder="1" applyAlignment="1">
      <alignment horizontal="left" vertical="center"/>
    </xf>
    <xf numFmtId="0" fontId="8" fillId="2" borderId="26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right" vertical="center"/>
    </xf>
  </cellXfs>
  <cellStyles count="2">
    <cellStyle name="Normalny" xfId="0" builtinId="0"/>
    <cellStyle name="Procentowy" xfId="1" builtinId="5"/>
  </cellStyles>
  <dxfs count="3">
    <dxf>
      <font>
        <color rgb="FFC00000"/>
      </font>
      <fill>
        <patternFill patternType="solid">
          <fgColor rgb="FFFFCCCC"/>
          <bgColor rgb="FFFFCCCC"/>
        </patternFill>
      </fill>
    </dxf>
    <dxf>
      <font>
        <color rgb="FF00823B"/>
      </font>
      <fill>
        <patternFill>
          <bgColor rgb="FFC0E399"/>
        </patternFill>
      </fill>
    </dxf>
    <dxf>
      <font>
        <color rgb="FFAF8B05"/>
      </font>
      <fill>
        <patternFill>
          <bgColor rgb="FFFAE18B"/>
        </patternFill>
      </fill>
    </dxf>
  </dxfs>
  <tableStyles count="0" defaultTableStyle="TableStyleMedium2" defaultPivotStyle="PivotStyleLight16"/>
  <colors>
    <mruColors>
      <color rgb="FFC00000"/>
      <color rgb="FFFFCCCC"/>
      <color rgb="FFC0E399"/>
      <color rgb="FF00823B"/>
      <color rgb="FFAF8B05"/>
      <color rgb="FFFAE18B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14</xdr:col>
      <xdr:colOff>9524</xdr:colOff>
      <xdr:row>31</xdr:row>
      <xdr:rowOff>123826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0" y="1"/>
          <a:ext cx="8543924" cy="6324600"/>
        </a:xfrm>
        <a:prstGeom prst="rect">
          <a:avLst/>
        </a:prstGeom>
        <a:solidFill>
          <a:schemeClr val="accent1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Plik zawiera cztery szablony formularzy obliczeniowych:</a:t>
          </a:r>
        </a:p>
        <a:p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="1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 - szablon dla segmentów autostrad i dróg ekspresowych miejskich (dla segmentów dróg w klasie A i S,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które w trakcie segmentacji zgodnie z pkt. 1.1 załącznika nr 2 do rozporządzenia zostały uznane za miejskie, zgodnie z pkt. 1.1.1 załącznika nr 2)</a:t>
          </a:r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l-PL" sz="1100" b="1">
              <a:latin typeface="Arial" panose="020B0604020202020204" pitchFamily="34" charset="0"/>
              <a:cs typeface="Arial" panose="020B0604020202020204" pitchFamily="34" charset="0"/>
            </a:rPr>
            <a:t>B</a:t>
          </a:r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 - szablon dla segmentów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autostrad i dróg ekspresowych zamiejskich (</a:t>
          </a:r>
          <a:r>
            <a:rPr lang="pl-PL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dla segmentów dróg w klasie A i S,</a:t>
          </a:r>
          <a:r>
            <a:rPr lang="pl-PL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które w trakcie segmentacji zgodnie z pkt. 1.1 załącznika nr 2 do rozporządzenia zostały uznane za zamiejskie, zgodnie z pkt. 1.1.1 załącznika nr 2)</a:t>
          </a:r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="1" baseline="0">
              <a:latin typeface="Arial" panose="020B0604020202020204" pitchFamily="34" charset="0"/>
              <a:cs typeface="Arial" panose="020B0604020202020204" pitchFamily="34" charset="0"/>
            </a:rPr>
            <a:t>C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- szablon dla segmentów pozostałych dróg dwujezdniowych </a:t>
          </a:r>
        </a:p>
        <a:p>
          <a:r>
            <a:rPr lang="pl-PL" sz="1100" b="1" baseline="0">
              <a:latin typeface="Arial" panose="020B0604020202020204" pitchFamily="34" charset="0"/>
              <a:cs typeface="Arial" panose="020B0604020202020204" pitchFamily="34" charset="0"/>
            </a:rPr>
            <a:t>D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- szablon dla segmentów pozostałych dróg jednojezdniowych</a:t>
          </a:r>
        </a:p>
        <a:p>
          <a:r>
            <a:rPr lang="pl-PL" sz="1100" b="1" baseline="0">
              <a:latin typeface="Arial" panose="020B0604020202020204" pitchFamily="34" charset="0"/>
              <a:cs typeface="Arial" panose="020B0604020202020204" pitchFamily="34" charset="0"/>
            </a:rPr>
            <a:t>E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- szablon zbiorczy dla wszystkich segmentów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Dla każdego segmentu powstałego na potrzeby oceny ryzyka metodą proaktywną należy wypełnić jeden (z czterech) formularzy obliczeniowych. Formularza obliczeniowego nie wypełnia się dla segmentów wyłączonych z oceny metodą proaktywną.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Należy wypełniać tylko pola oznaczone kolorem pomarańczowym. Niektóre z pól wymagają jedynie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wybrania właściwej opcji z listy wybieralnej, w przypadku pozostałych konieczne jest samodzielne wprowadzenie właściwych danych.</a:t>
          </a:r>
          <a:endParaRPr lang="pl-PL" sz="110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Zasadniczo należy wypełnić wszystkie pola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w danym formularzu obliczeniowym.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W </a:t>
          </a:r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niektórych przypadkach pola oznaczone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kolorem pomarańczowym nie będą wymagane do wypełnienia. </a:t>
          </a:r>
        </a:p>
        <a:p>
          <a:r>
            <a:rPr lang="pl-PL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Jest to zależne od sposobu, w jaki zostały wypełnione inne pola w danym formularzu obliczeniowym. </a:t>
          </a:r>
          <a:endParaRPr lang="pl-PL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Dane pole oznaczone kolorem pomarańczowym nie wymaga wypełnienia, jeżeli nie jest widoczny opis do tego pola.</a:t>
          </a:r>
        </a:p>
        <a:p>
          <a:endParaRPr lang="pl-PL" sz="1100" baseline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pl-PL" i="1">
              <a:effectLst/>
              <a:latin typeface="Arial" panose="020B0604020202020204" pitchFamily="34" charset="0"/>
              <a:cs typeface="Arial" panose="020B0604020202020204" pitchFamily="34" charset="0"/>
            </a:rPr>
            <a:t>Przykład:</a:t>
          </a:r>
        </a:p>
        <a:p>
          <a:r>
            <a:rPr lang="pl-PL" i="1">
              <a:effectLst/>
              <a:latin typeface="Arial" panose="020B0604020202020204" pitchFamily="34" charset="0"/>
              <a:cs typeface="Arial" panose="020B0604020202020204" pitchFamily="34" charset="0"/>
            </a:rPr>
            <a:t>W formularzu obliczeniowym A w zakresie parametru "2.1.5 Konflikty z ruchem pieszych i rowerów" w pierwszej kolejności odpowiada się na pytanie: "Czy w ramach segmentu drogi występuje ruch pieszych lub rowerów?" (komórka C33). W przypadku odpowiedzi "nie" (komórka D33), dalsza część formularza (w komórkach F33 i G33) pozostaje pusta. W przypadku odpowiedzi "tak" (komórka D33), uwidacznia się pytanie (komórka F33) o treści: "Czy ruch pieszych lub rowerów odbywa się na odpowiednio odseparowanej i zabezpieczonej przeznaczonej infrastrukturze?", w związku z czym należy udzielić odpowiedzi (komórka G33). 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>
              <a:latin typeface="Arial" panose="020B0604020202020204" pitchFamily="34" charset="0"/>
              <a:cs typeface="Arial" panose="020B0604020202020204" pitchFamily="34" charset="0"/>
            </a:rPr>
            <a:t>Uzyskany</a:t>
          </a:r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 za pomocą formularza obliczeniowego wynik wraz z podstawowymi danymi identyfikującymi segment, należy umieścić w formularzu E. W formularzu E w przypadku zastosowania oznaczenia segmentu (w kolumnie C) zawierającego oznaczenie jezdni drogi, kolumnę B (Oznaczenie jezdni) może pozostać niewypełniona.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pl-PL" sz="1100" baseline="0">
              <a:latin typeface="Arial" panose="020B0604020202020204" pitchFamily="34" charset="0"/>
              <a:cs typeface="Arial" panose="020B0604020202020204" pitchFamily="34" charset="0"/>
            </a:rPr>
            <a:t>W przypadku trudności z uzyskaniem cząstkowych wyników w kolumnach L i M oraz docelowych wyników w komórkach C4 i C5 należy upewnić się, że wszystkie wymagane pola zostały uzupełnione.</a:t>
          </a:r>
        </a:p>
        <a:p>
          <a:endParaRPr lang="pl-PL" sz="11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endParaRPr lang="pl-P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19</xdr:col>
      <xdr:colOff>405848</xdr:colOff>
      <xdr:row>18</xdr:row>
      <xdr:rowOff>33130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/>
      </xdr:nvSpPr>
      <xdr:spPr>
        <a:xfrm>
          <a:off x="12937435" y="420756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"/>
  <sheetViews>
    <sheetView tabSelected="1" workbookViewId="0">
      <selection activeCell="A33" sqref="A33"/>
    </sheetView>
  </sheetViews>
  <sheetFormatPr defaultRowHeight="15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5"/>
  <sheetViews>
    <sheetView showGridLines="0" zoomScale="80" zoomScaleNormal="80" workbookViewId="0"/>
  </sheetViews>
  <sheetFormatPr defaultColWidth="8.81640625" defaultRowHeight="15.5" x14ac:dyDescent="0.35"/>
  <cols>
    <col min="1" max="1" width="10.26953125" style="1" bestFit="1" customWidth="1"/>
    <col min="2" max="2" width="22.26953125" style="1" customWidth="1"/>
    <col min="3" max="3" width="27.453125" style="1" customWidth="1"/>
    <col min="4" max="4" width="15.54296875" style="1" customWidth="1"/>
    <col min="5" max="5" width="3.81640625" style="1" customWidth="1"/>
    <col min="6" max="6" width="28.54296875" style="1" customWidth="1"/>
    <col min="7" max="7" width="20.7265625" style="1" customWidth="1"/>
    <col min="8" max="8" width="3.81640625" style="1" customWidth="1"/>
    <col min="9" max="9" width="26.81640625" style="1" customWidth="1"/>
    <col min="10" max="11" width="5.1796875" style="1" customWidth="1"/>
    <col min="12" max="12" width="11.7265625" style="1" customWidth="1"/>
    <col min="13" max="13" width="12.453125" style="1" customWidth="1"/>
    <col min="14" max="14" width="2.81640625" style="131" customWidth="1"/>
    <col min="15" max="17" width="8" style="279" bestFit="1" customWidth="1"/>
    <col min="18" max="18" width="6" style="132" customWidth="1"/>
    <col min="19" max="21" width="8.81640625" style="4"/>
    <col min="22" max="16384" width="8.81640625" style="1"/>
  </cols>
  <sheetData>
    <row r="1" spans="1:21" ht="16.5" customHeight="1" x14ac:dyDescent="0.35">
      <c r="A1" s="155" t="s">
        <v>49</v>
      </c>
      <c r="B1" s="8"/>
      <c r="C1" s="8"/>
      <c r="D1" s="154"/>
      <c r="E1" s="154"/>
      <c r="F1" s="154"/>
      <c r="G1" s="154"/>
      <c r="H1" s="8"/>
      <c r="I1" s="8"/>
      <c r="J1" s="8"/>
      <c r="K1" s="8"/>
      <c r="L1" s="8"/>
      <c r="M1" s="8"/>
    </row>
    <row r="2" spans="1:21" ht="16.5" customHeight="1" x14ac:dyDescent="0.35">
      <c r="A2" s="155"/>
      <c r="B2" s="8"/>
      <c r="C2" s="8"/>
      <c r="D2" s="154"/>
      <c r="E2" s="154"/>
      <c r="F2" s="154"/>
      <c r="G2" s="154"/>
      <c r="H2" s="8"/>
      <c r="I2" s="8"/>
      <c r="J2" s="8"/>
      <c r="K2" s="8"/>
      <c r="L2" s="8"/>
      <c r="M2" s="8"/>
    </row>
    <row r="3" spans="1:21" ht="16.5" customHeight="1" x14ac:dyDescent="0.35">
      <c r="A3" s="155"/>
      <c r="B3" s="8"/>
      <c r="C3" s="8"/>
      <c r="D3" s="154"/>
      <c r="E3" s="154"/>
      <c r="F3" s="154"/>
      <c r="G3" s="154"/>
      <c r="H3" s="8"/>
      <c r="I3" s="8"/>
      <c r="J3" s="8"/>
      <c r="K3" s="8"/>
      <c r="L3" s="8"/>
      <c r="M3" s="8"/>
    </row>
    <row r="4" spans="1:21" ht="16.5" customHeight="1" x14ac:dyDescent="0.35">
      <c r="A4" s="294" t="s">
        <v>115</v>
      </c>
      <c r="B4" s="294"/>
      <c r="C4" s="236"/>
      <c r="D4" s="154"/>
      <c r="E4" s="154"/>
      <c r="F4" s="154"/>
      <c r="G4" s="154"/>
      <c r="H4" s="8"/>
      <c r="I4" s="8"/>
      <c r="J4" s="8"/>
      <c r="K4" s="8"/>
      <c r="L4" s="8"/>
      <c r="M4" s="8"/>
    </row>
    <row r="5" spans="1:21" ht="16.5" customHeight="1" x14ac:dyDescent="0.35">
      <c r="A5" s="294" t="s">
        <v>116</v>
      </c>
      <c r="B5" s="294"/>
      <c r="C5" s="238" t="e">
        <f>100*M11*M12*M18*M29*M33*M34</f>
        <v>#VALUE!</v>
      </c>
      <c r="D5" s="190"/>
      <c r="E5" s="190"/>
      <c r="F5" s="154"/>
      <c r="G5" s="154"/>
      <c r="H5" s="8"/>
      <c r="I5" s="8"/>
      <c r="J5" s="8"/>
      <c r="K5" s="8"/>
      <c r="L5" s="8"/>
      <c r="M5" s="8"/>
    </row>
    <row r="6" spans="1:21" ht="16.5" customHeight="1" x14ac:dyDescent="0.35">
      <c r="A6" s="294" t="s">
        <v>114</v>
      </c>
      <c r="B6" s="294"/>
      <c r="C6" s="239" t="e">
        <f>IF(C5&gt;=85,"bezpieczna",(IF(C5&gt;=65,"średnio bezpieczna","niebezpieczna")))</f>
        <v>#VALUE!</v>
      </c>
      <c r="D6" s="191"/>
      <c r="E6" s="191"/>
      <c r="F6" s="154"/>
      <c r="G6" s="154"/>
      <c r="H6" s="8"/>
      <c r="I6" s="8"/>
      <c r="J6" s="8"/>
      <c r="K6" s="8"/>
      <c r="L6" s="8"/>
      <c r="M6" s="8"/>
    </row>
    <row r="7" spans="1:21" ht="16.5" customHeight="1" x14ac:dyDescent="0.35">
      <c r="A7" s="240"/>
      <c r="B7" s="240"/>
      <c r="C7" s="241"/>
      <c r="D7" s="191"/>
      <c r="E7" s="191"/>
      <c r="F7" s="154"/>
      <c r="G7" s="154"/>
      <c r="H7" s="8"/>
      <c r="I7" s="8"/>
      <c r="J7" s="8"/>
      <c r="K7" s="8"/>
      <c r="L7" s="8"/>
      <c r="M7" s="8"/>
    </row>
    <row r="8" spans="1:21" ht="16.5" customHeight="1" x14ac:dyDescent="0.35">
      <c r="A8" s="312" t="s">
        <v>60</v>
      </c>
      <c r="B8" s="313"/>
      <c r="C8" s="242"/>
      <c r="E8" s="191"/>
      <c r="F8" s="154"/>
      <c r="G8" s="154"/>
      <c r="H8" s="8"/>
      <c r="I8" s="8"/>
      <c r="J8" s="8"/>
      <c r="K8" s="8"/>
      <c r="L8" s="8"/>
      <c r="M8" s="8"/>
    </row>
    <row r="9" spans="1:21" ht="16.5" customHeight="1" x14ac:dyDescent="0.35">
      <c r="A9" s="7"/>
      <c r="B9" s="70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1" s="2" customFormat="1" ht="31" x14ac:dyDescent="0.35">
      <c r="A10" s="210" t="s">
        <v>117</v>
      </c>
      <c r="B10" s="195" t="s">
        <v>48</v>
      </c>
      <c r="C10" s="211"/>
      <c r="D10" s="212"/>
      <c r="E10" s="212"/>
      <c r="F10" s="213"/>
      <c r="G10" s="212"/>
      <c r="H10" s="212"/>
      <c r="I10" s="213"/>
      <c r="J10" s="212"/>
      <c r="K10" s="212"/>
      <c r="L10" s="195" t="s">
        <v>0</v>
      </c>
      <c r="M10" s="195" t="s">
        <v>1</v>
      </c>
      <c r="N10" s="133"/>
      <c r="O10" s="134" t="s">
        <v>6</v>
      </c>
      <c r="P10" s="134" t="s">
        <v>5</v>
      </c>
      <c r="Q10" s="134" t="s">
        <v>0</v>
      </c>
      <c r="R10" s="134"/>
      <c r="S10" s="15"/>
      <c r="T10" s="15"/>
      <c r="U10" s="15"/>
    </row>
    <row r="11" spans="1:21" x14ac:dyDescent="0.35">
      <c r="A11" s="220" t="s">
        <v>40</v>
      </c>
      <c r="B11" s="249" t="s">
        <v>45</v>
      </c>
      <c r="C11" s="82" t="s">
        <v>50</v>
      </c>
      <c r="D11" s="295"/>
      <c r="E11" s="296"/>
      <c r="F11" s="96"/>
      <c r="G11" s="153"/>
      <c r="H11" s="170"/>
      <c r="I11" s="94"/>
      <c r="J11" s="95"/>
      <c r="K11" s="170"/>
      <c r="L11" s="174" t="str">
        <f>IF(D11="co najmniej 3,25 m",1,IF(D11="co najmniej 3 m",1.025,IF(D11="poniżej 3 m",1.05,"uzupełnij D11")))</f>
        <v>uzupełnij D11</v>
      </c>
      <c r="M11" s="209" t="e">
        <f>1/L11</f>
        <v>#VALUE!</v>
      </c>
    </row>
    <row r="12" spans="1:21" s="4" customFormat="1" ht="47.25" customHeight="1" x14ac:dyDescent="0.35">
      <c r="A12" s="299" t="s">
        <v>41</v>
      </c>
      <c r="B12" s="302" t="s">
        <v>46</v>
      </c>
      <c r="C12" s="25"/>
      <c r="D12" s="40"/>
      <c r="E12" s="10"/>
      <c r="F12" s="25"/>
      <c r="G12" s="318"/>
      <c r="H12" s="319"/>
      <c r="I12" s="25"/>
      <c r="J12" s="166"/>
      <c r="K12" s="268"/>
      <c r="L12" s="138" t="str">
        <f>IF(SUM(J13:J17)&lt;100,"sprawdź % długości segmentu",IF(SUM(J13:J17)&gt;100,"",J13/100*L13+J14/100*L14+J15/100*L15+J16/100*L16+J17/100*L17))</f>
        <v>sprawdź % długości segmentu</v>
      </c>
      <c r="M12" s="197" t="e">
        <f>1/L12</f>
        <v>#VALUE!</v>
      </c>
      <c r="N12" s="131"/>
      <c r="O12" s="280" t="s">
        <v>19</v>
      </c>
      <c r="P12" s="280" t="s">
        <v>20</v>
      </c>
      <c r="Q12" s="280"/>
      <c r="R12" s="132"/>
    </row>
    <row r="13" spans="1:21" s="4" customFormat="1" ht="15.75" customHeight="1" x14ac:dyDescent="0.35">
      <c r="A13" s="300"/>
      <c r="B13" s="303"/>
      <c r="C13" s="41" t="s">
        <v>139</v>
      </c>
      <c r="D13" s="305"/>
      <c r="E13" s="306"/>
      <c r="F13" s="41" t="s">
        <v>51</v>
      </c>
      <c r="G13" s="316"/>
      <c r="H13" s="317"/>
      <c r="I13" s="41" t="s">
        <v>133</v>
      </c>
      <c r="J13" s="269"/>
      <c r="K13" s="9" t="s">
        <v>3</v>
      </c>
      <c r="L13" s="277">
        <f>IF(J13&gt;0,1-(1-(1-(1-O13*P13)*(0.567)))*(0.291),0)</f>
        <v>0</v>
      </c>
      <c r="M13" s="277" t="str">
        <f>IF(L13=0,"n/a",1/L13)</f>
        <v>n/a</v>
      </c>
      <c r="N13" s="270"/>
      <c r="O13" s="281">
        <f>IF(D13="nie więcej niż 1 m",10,IF(D13="co najmniej 1 m",5,IF(D13="co najmniej 2 m",1.5,IF(D13="co najmniej 3 m",1.25,IF(D13="co najmniej 5 m",1.1,IF(D13="co najmniej 7,5 m",1.05,1))))))</f>
        <v>1</v>
      </c>
      <c r="P13" s="281" t="str">
        <f>IF(D13="co najmniej 10 m",1,IF(G13="bariera stalowa",1,IF(G13="bariera betonowa",IF(D13="co najmniej 7,5 m",1,IF(D13="co najmniej 5 m",1,1.25)),IF(G13="słupy, drzewa, inne",5,IF(G13="skarpa nasypu lub wykopu",3.75,IF(G13="głęboki rów",4.583,""))))))</f>
        <v/>
      </c>
      <c r="Q13" s="281"/>
      <c r="R13" s="132"/>
    </row>
    <row r="14" spans="1:21" s="4" customFormat="1" ht="15.75" customHeight="1" x14ac:dyDescent="0.35">
      <c r="A14" s="300"/>
      <c r="B14" s="303"/>
      <c r="C14" s="41" t="s">
        <v>139</v>
      </c>
      <c r="D14" s="305"/>
      <c r="E14" s="306"/>
      <c r="F14" s="41" t="s">
        <v>51</v>
      </c>
      <c r="G14" s="316"/>
      <c r="H14" s="317"/>
      <c r="I14" s="41" t="s">
        <v>133</v>
      </c>
      <c r="J14" s="269"/>
      <c r="K14" s="9" t="s">
        <v>3</v>
      </c>
      <c r="L14" s="277">
        <f t="shared" ref="L14:L17" si="0">IF(J14&gt;0,1-(1-(1-(1-O14*P14)*(0.567)))*(0.291),0)</f>
        <v>0</v>
      </c>
      <c r="M14" s="277" t="str">
        <f>IF(L14=0,"n/a",1/L14)</f>
        <v>n/a</v>
      </c>
      <c r="N14" s="270"/>
      <c r="O14" s="281">
        <f t="shared" ref="O14:O17" si="1">IF(D14="nie więcej niż 1 m",10,IF(D14="co najmniej 1 m",5,IF(D14="co najmniej 2 m",1.5,IF(D14="co najmniej 3 m",1.25,IF(D14="co najmniej 5 m",1.1,IF(D14="co najmniej 7,5 m",1.05,1))))))</f>
        <v>1</v>
      </c>
      <c r="P14" s="281" t="str">
        <f t="shared" ref="P14:P17" si="2">IF(D14="co najmniej 10 m",1,IF(G14="bariera stalowa",1,IF(G14="bariera betonowa",IF(D14="co najmniej 7,5 m",1,IF(D14="co najmniej 5 m",1,1.25)),IF(G14="słupy, drzewa, inne",5,IF(G14="skarpa nasypu lub wykopu",3.75,IF(G14="głęboki rów",4.583,""))))))</f>
        <v/>
      </c>
      <c r="Q14" s="281"/>
      <c r="R14" s="132"/>
    </row>
    <row r="15" spans="1:21" s="4" customFormat="1" ht="15.75" customHeight="1" x14ac:dyDescent="0.35">
      <c r="A15" s="300"/>
      <c r="B15" s="303"/>
      <c r="C15" s="41" t="s">
        <v>139</v>
      </c>
      <c r="D15" s="305"/>
      <c r="E15" s="306"/>
      <c r="F15" s="41" t="s">
        <v>51</v>
      </c>
      <c r="G15" s="316"/>
      <c r="H15" s="317"/>
      <c r="I15" s="41" t="s">
        <v>133</v>
      </c>
      <c r="J15" s="269"/>
      <c r="K15" s="9" t="s">
        <v>3</v>
      </c>
      <c r="L15" s="277">
        <f t="shared" si="0"/>
        <v>0</v>
      </c>
      <c r="M15" s="277" t="str">
        <f>IF(L15=0,"n/a",1/L15)</f>
        <v>n/a</v>
      </c>
      <c r="N15" s="270"/>
      <c r="O15" s="281">
        <f t="shared" si="1"/>
        <v>1</v>
      </c>
      <c r="P15" s="281" t="str">
        <f t="shared" si="2"/>
        <v/>
      </c>
      <c r="Q15" s="281"/>
      <c r="R15" s="132"/>
    </row>
    <row r="16" spans="1:21" s="4" customFormat="1" ht="15.75" customHeight="1" x14ac:dyDescent="0.35">
      <c r="A16" s="300"/>
      <c r="B16" s="303"/>
      <c r="C16" s="41" t="s">
        <v>139</v>
      </c>
      <c r="D16" s="305"/>
      <c r="E16" s="306"/>
      <c r="F16" s="41" t="s">
        <v>51</v>
      </c>
      <c r="G16" s="316"/>
      <c r="H16" s="317"/>
      <c r="I16" s="41" t="s">
        <v>133</v>
      </c>
      <c r="J16" s="269"/>
      <c r="K16" s="9" t="s">
        <v>3</v>
      </c>
      <c r="L16" s="277">
        <f t="shared" si="0"/>
        <v>0</v>
      </c>
      <c r="M16" s="277" t="str">
        <f>IF(L16=0,"n/a",1/L16)</f>
        <v>n/a</v>
      </c>
      <c r="N16" s="270"/>
      <c r="O16" s="281">
        <f t="shared" si="1"/>
        <v>1</v>
      </c>
      <c r="P16" s="281" t="str">
        <f t="shared" si="2"/>
        <v/>
      </c>
      <c r="Q16" s="281"/>
      <c r="R16" s="132"/>
    </row>
    <row r="17" spans="1:20" s="4" customFormat="1" ht="15.75" customHeight="1" x14ac:dyDescent="0.35">
      <c r="A17" s="301"/>
      <c r="B17" s="304"/>
      <c r="C17" s="41" t="s">
        <v>139</v>
      </c>
      <c r="D17" s="305"/>
      <c r="E17" s="306"/>
      <c r="F17" s="41" t="s">
        <v>51</v>
      </c>
      <c r="G17" s="316"/>
      <c r="H17" s="317"/>
      <c r="I17" s="41" t="s">
        <v>133</v>
      </c>
      <c r="J17" s="269"/>
      <c r="K17" s="11" t="s">
        <v>3</v>
      </c>
      <c r="L17" s="277">
        <f t="shared" si="0"/>
        <v>0</v>
      </c>
      <c r="M17" s="278" t="str">
        <f>IF(L17=0,"n/a",1/L17)</f>
        <v>n/a</v>
      </c>
      <c r="N17" s="270"/>
      <c r="O17" s="281">
        <f t="shared" si="1"/>
        <v>1</v>
      </c>
      <c r="P17" s="281" t="str">
        <f t="shared" si="2"/>
        <v/>
      </c>
      <c r="Q17" s="281"/>
      <c r="R17" s="132"/>
    </row>
    <row r="18" spans="1:20" s="4" customFormat="1" ht="31" x14ac:dyDescent="0.35">
      <c r="A18" s="299" t="s">
        <v>42</v>
      </c>
      <c r="B18" s="302" t="s">
        <v>47</v>
      </c>
      <c r="C18" s="61" t="s">
        <v>148</v>
      </c>
      <c r="D18" s="297"/>
      <c r="E18" s="298"/>
      <c r="F18" s="25"/>
      <c r="G18" s="62"/>
      <c r="H18" s="10"/>
      <c r="I18" s="243"/>
      <c r="J18" s="244"/>
      <c r="K18" s="245"/>
      <c r="L18" s="137">
        <f>IF(SUM(G19:G28)&gt;100,"sprawdź % długości segmentu",IF(D18="nie",1,1+0.5*0.03312*SUM(L19:L28)))</f>
        <v>1</v>
      </c>
      <c r="M18" s="197">
        <f>1/L18</f>
        <v>1</v>
      </c>
      <c r="N18" s="131"/>
      <c r="O18" s="279"/>
      <c r="P18" s="279"/>
      <c r="Q18" s="279"/>
      <c r="R18" s="132"/>
    </row>
    <row r="19" spans="1:20" s="4" customFormat="1" ht="15.75" customHeight="1" x14ac:dyDescent="0.35">
      <c r="A19" s="300"/>
      <c r="B19" s="303"/>
      <c r="C19" s="66" t="str">
        <f>IF($D$18="tak","Promień łuku 1 (R&lt;750m)","")</f>
        <v/>
      </c>
      <c r="D19" s="71"/>
      <c r="E19" s="68" t="str">
        <f>IF($D$18="tak","m","")</f>
        <v/>
      </c>
      <c r="F19" s="66" t="str">
        <f>IF($D$18="tak","% długości segmentu","")</f>
        <v/>
      </c>
      <c r="G19" s="67"/>
      <c r="H19" s="32" t="str">
        <f>IF($D$18="tak","%","")</f>
        <v/>
      </c>
      <c r="I19" s="91"/>
      <c r="J19" s="92"/>
      <c r="K19" s="93"/>
      <c r="L19" s="151">
        <f>IF(D19&gt;0,(1746.5/D19)^2*(G19/100),0)</f>
        <v>0</v>
      </c>
      <c r="M19" s="221"/>
      <c r="N19" s="131"/>
      <c r="O19" s="279"/>
      <c r="P19" s="279"/>
      <c r="Q19" s="279"/>
      <c r="R19" s="132"/>
    </row>
    <row r="20" spans="1:20" s="4" customFormat="1" ht="15.75" customHeight="1" x14ac:dyDescent="0.35">
      <c r="A20" s="300"/>
      <c r="B20" s="303"/>
      <c r="C20" s="66" t="str">
        <f>IF($D$18="tak","Promień łuku 2 (R&lt;750m)","")</f>
        <v/>
      </c>
      <c r="D20" s="72"/>
      <c r="E20" s="68" t="str">
        <f t="shared" ref="E20:E28" si="3">IF($D$18="tak","m","")</f>
        <v/>
      </c>
      <c r="F20" s="66" t="str">
        <f t="shared" ref="F20:F28" si="4">IF($D$18="tak","% długości segmentu","")</f>
        <v/>
      </c>
      <c r="G20" s="59"/>
      <c r="H20" s="32" t="str">
        <f t="shared" ref="H20:H28" si="5">IF($D$18="tak","%","")</f>
        <v/>
      </c>
      <c r="I20" s="91"/>
      <c r="J20" s="92"/>
      <c r="K20" s="93"/>
      <c r="L20" s="152">
        <f t="shared" ref="L20:L28" si="6">IF(D20&gt;0,(1746.5/D20)^2*(G20/100),0)</f>
        <v>0</v>
      </c>
      <c r="M20" s="222"/>
      <c r="N20" s="131"/>
      <c r="O20" s="279"/>
      <c r="P20" s="279"/>
      <c r="Q20" s="279"/>
      <c r="R20" s="132"/>
    </row>
    <row r="21" spans="1:20" s="4" customFormat="1" ht="15.75" customHeight="1" x14ac:dyDescent="0.35">
      <c r="A21" s="300"/>
      <c r="B21" s="303"/>
      <c r="C21" s="66" t="str">
        <f>IF($D$18="tak","Promień łuku 3 (R&lt;750m)","")</f>
        <v/>
      </c>
      <c r="D21" s="72"/>
      <c r="E21" s="68" t="str">
        <f t="shared" si="3"/>
        <v/>
      </c>
      <c r="F21" s="66" t="str">
        <f t="shared" si="4"/>
        <v/>
      </c>
      <c r="G21" s="59"/>
      <c r="H21" s="32" t="str">
        <f t="shared" si="5"/>
        <v/>
      </c>
      <c r="I21" s="91"/>
      <c r="J21" s="92"/>
      <c r="K21" s="93"/>
      <c r="L21" s="152">
        <f t="shared" si="6"/>
        <v>0</v>
      </c>
      <c r="M21" s="222"/>
      <c r="N21" s="131"/>
      <c r="O21" s="279"/>
      <c r="P21" s="279"/>
      <c r="Q21" s="279"/>
      <c r="R21" s="132"/>
    </row>
    <row r="22" spans="1:20" s="4" customFormat="1" ht="15.75" customHeight="1" x14ac:dyDescent="0.35">
      <c r="A22" s="300"/>
      <c r="B22" s="303"/>
      <c r="C22" s="66" t="str">
        <f>IF($D$18="tak","Promień łuku 4 (R&lt;750m)","")</f>
        <v/>
      </c>
      <c r="D22" s="72"/>
      <c r="E22" s="68" t="str">
        <f t="shared" si="3"/>
        <v/>
      </c>
      <c r="F22" s="66" t="str">
        <f t="shared" si="4"/>
        <v/>
      </c>
      <c r="G22" s="59"/>
      <c r="H22" s="32" t="str">
        <f t="shared" si="5"/>
        <v/>
      </c>
      <c r="I22" s="91"/>
      <c r="J22" s="92"/>
      <c r="K22" s="93"/>
      <c r="L22" s="152">
        <f>IF(D22&gt;0,(1746.5/D22)^2*(G22/100),0)</f>
        <v>0</v>
      </c>
      <c r="M22" s="222"/>
      <c r="N22" s="131"/>
      <c r="O22" s="279"/>
      <c r="P22" s="279"/>
      <c r="Q22" s="279"/>
      <c r="R22" s="132"/>
    </row>
    <row r="23" spans="1:20" s="4" customFormat="1" ht="15.75" customHeight="1" x14ac:dyDescent="0.35">
      <c r="A23" s="300"/>
      <c r="B23" s="303"/>
      <c r="C23" s="66" t="str">
        <f>IF($D$18="tak","Promień łuku 5 (R&lt;750m)","")</f>
        <v/>
      </c>
      <c r="D23" s="72"/>
      <c r="E23" s="68" t="str">
        <f t="shared" si="3"/>
        <v/>
      </c>
      <c r="F23" s="66" t="str">
        <f t="shared" si="4"/>
        <v/>
      </c>
      <c r="G23" s="59"/>
      <c r="H23" s="32" t="str">
        <f t="shared" si="5"/>
        <v/>
      </c>
      <c r="I23" s="91"/>
      <c r="J23" s="92"/>
      <c r="K23" s="93"/>
      <c r="L23" s="152">
        <f t="shared" si="6"/>
        <v>0</v>
      </c>
      <c r="M23" s="222"/>
      <c r="N23" s="131"/>
      <c r="O23" s="279"/>
      <c r="P23" s="279"/>
      <c r="Q23" s="279"/>
      <c r="R23" s="132"/>
    </row>
    <row r="24" spans="1:20" s="4" customFormat="1" ht="15.75" customHeight="1" x14ac:dyDescent="0.35">
      <c r="A24" s="300"/>
      <c r="B24" s="303"/>
      <c r="C24" s="66" t="str">
        <f>IF($D$18="tak","Promień łuku 6 (R&lt;750m)","")</f>
        <v/>
      </c>
      <c r="D24" s="72"/>
      <c r="E24" s="68" t="str">
        <f t="shared" si="3"/>
        <v/>
      </c>
      <c r="F24" s="66" t="str">
        <f t="shared" si="4"/>
        <v/>
      </c>
      <c r="G24" s="59"/>
      <c r="H24" s="32" t="str">
        <f t="shared" si="5"/>
        <v/>
      </c>
      <c r="I24" s="91"/>
      <c r="J24" s="92"/>
      <c r="K24" s="93"/>
      <c r="L24" s="152">
        <f t="shared" si="6"/>
        <v>0</v>
      </c>
      <c r="M24" s="222"/>
      <c r="N24" s="131"/>
      <c r="O24" s="279"/>
      <c r="P24" s="279"/>
      <c r="Q24" s="279"/>
      <c r="R24" s="132"/>
    </row>
    <row r="25" spans="1:20" s="4" customFormat="1" ht="15.75" customHeight="1" x14ac:dyDescent="0.35">
      <c r="A25" s="300"/>
      <c r="B25" s="303"/>
      <c r="C25" s="66" t="str">
        <f>IF($D$18="tak","Promień łuku 7 (R&lt;750m)","")</f>
        <v/>
      </c>
      <c r="D25" s="72"/>
      <c r="E25" s="68" t="str">
        <f t="shared" si="3"/>
        <v/>
      </c>
      <c r="F25" s="66" t="str">
        <f t="shared" si="4"/>
        <v/>
      </c>
      <c r="G25" s="59"/>
      <c r="H25" s="32" t="str">
        <f t="shared" si="5"/>
        <v/>
      </c>
      <c r="I25" s="91"/>
      <c r="J25" s="92"/>
      <c r="K25" s="93"/>
      <c r="L25" s="152">
        <f t="shared" si="6"/>
        <v>0</v>
      </c>
      <c r="M25" s="222"/>
      <c r="N25" s="131"/>
      <c r="O25" s="279"/>
      <c r="P25" s="279"/>
      <c r="Q25" s="279"/>
      <c r="R25" s="132"/>
    </row>
    <row r="26" spans="1:20" s="4" customFormat="1" ht="15.75" customHeight="1" x14ac:dyDescent="0.35">
      <c r="A26" s="300"/>
      <c r="B26" s="303"/>
      <c r="C26" s="66" t="str">
        <f>IF($D$18="tak","Promień łuku 8 (R&lt;750m)","")</f>
        <v/>
      </c>
      <c r="D26" s="72"/>
      <c r="E26" s="68" t="str">
        <f t="shared" si="3"/>
        <v/>
      </c>
      <c r="F26" s="66" t="str">
        <f t="shared" si="4"/>
        <v/>
      </c>
      <c r="G26" s="59"/>
      <c r="H26" s="32" t="str">
        <f t="shared" si="5"/>
        <v/>
      </c>
      <c r="I26" s="91"/>
      <c r="J26" s="92"/>
      <c r="K26" s="93"/>
      <c r="L26" s="152">
        <f t="shared" si="6"/>
        <v>0</v>
      </c>
      <c r="M26" s="222"/>
      <c r="N26" s="131"/>
      <c r="O26" s="279"/>
      <c r="P26" s="279"/>
      <c r="Q26" s="279"/>
      <c r="R26" s="132"/>
    </row>
    <row r="27" spans="1:20" s="4" customFormat="1" ht="15.75" customHeight="1" x14ac:dyDescent="0.35">
      <c r="A27" s="300"/>
      <c r="B27" s="303"/>
      <c r="C27" s="66" t="str">
        <f>IF($D$18="tak","Promień łuku 9 (R&lt;750m)","")</f>
        <v/>
      </c>
      <c r="D27" s="72"/>
      <c r="E27" s="68" t="str">
        <f t="shared" si="3"/>
        <v/>
      </c>
      <c r="F27" s="66" t="str">
        <f t="shared" si="4"/>
        <v/>
      </c>
      <c r="G27" s="59"/>
      <c r="H27" s="32" t="str">
        <f t="shared" si="5"/>
        <v/>
      </c>
      <c r="I27" s="91"/>
      <c r="J27" s="92"/>
      <c r="K27" s="93"/>
      <c r="L27" s="152">
        <f t="shared" si="6"/>
        <v>0</v>
      </c>
      <c r="M27" s="222"/>
      <c r="N27" s="131"/>
      <c r="O27" s="279"/>
      <c r="P27" s="279"/>
      <c r="Q27" s="279"/>
      <c r="R27" s="132"/>
    </row>
    <row r="28" spans="1:20" s="4" customFormat="1" ht="15.75" customHeight="1" x14ac:dyDescent="0.35">
      <c r="A28" s="301"/>
      <c r="B28" s="304"/>
      <c r="C28" s="66" t="str">
        <f>IF($D$18="tak","Promień łuku 10 (R&lt;750m)","")</f>
        <v/>
      </c>
      <c r="D28" s="72"/>
      <c r="E28" s="68" t="str">
        <f t="shared" si="3"/>
        <v/>
      </c>
      <c r="F28" s="66" t="str">
        <f t="shared" si="4"/>
        <v/>
      </c>
      <c r="G28" s="60"/>
      <c r="H28" s="32" t="str">
        <f t="shared" si="5"/>
        <v/>
      </c>
      <c r="I28" s="94"/>
      <c r="J28" s="95"/>
      <c r="K28" s="170"/>
      <c r="L28" s="150">
        <f t="shared" si="6"/>
        <v>0</v>
      </c>
      <c r="M28" s="223"/>
      <c r="N28" s="131"/>
      <c r="O28" s="279"/>
      <c r="P28" s="279"/>
      <c r="Q28" s="279"/>
      <c r="R28" s="132"/>
    </row>
    <row r="29" spans="1:20" s="6" customFormat="1" ht="81" customHeight="1" x14ac:dyDescent="0.35">
      <c r="A29" s="299" t="s">
        <v>39</v>
      </c>
      <c r="B29" s="302" t="s">
        <v>136</v>
      </c>
      <c r="C29" s="61" t="s">
        <v>176</v>
      </c>
      <c r="D29" s="297"/>
      <c r="E29" s="298"/>
      <c r="F29" s="246"/>
      <c r="G29" s="247"/>
      <c r="H29" s="248"/>
      <c r="I29" s="272"/>
      <c r="J29" s="273"/>
      <c r="K29" s="271"/>
      <c r="L29" s="65" t="e">
        <f>IF(D29="nie",1,IF(SUM(G30:G32)&gt;=C8,AVERAGE(L30:L32),((C8-SUM(G30:G32))+SUM(O30:O32))/C8))</f>
        <v>#DIV/0!</v>
      </c>
      <c r="M29" s="197" t="e">
        <f>1/L29</f>
        <v>#DIV/0!</v>
      </c>
      <c r="N29" s="131"/>
      <c r="O29" s="134" t="s">
        <v>22</v>
      </c>
      <c r="P29" s="279"/>
      <c r="Q29" s="279"/>
      <c r="R29" s="132"/>
      <c r="S29" s="4"/>
      <c r="T29" s="4"/>
    </row>
    <row r="30" spans="1:20" s="6" customFormat="1" ht="31.5" customHeight="1" x14ac:dyDescent="0.35">
      <c r="A30" s="300"/>
      <c r="B30" s="303"/>
      <c r="C30" s="41" t="str">
        <f>IF($D$29="tak","Odległość pomiędzy nosami co najmniej","")</f>
        <v/>
      </c>
      <c r="D30" s="72"/>
      <c r="E30" s="32" t="str">
        <f>IF($D$29="tak","m","")</f>
        <v/>
      </c>
      <c r="F30" s="74"/>
      <c r="G30" s="43" t="str">
        <f>IF(D30=0,"",1000)</f>
        <v/>
      </c>
      <c r="H30" s="75"/>
      <c r="I30" s="38"/>
      <c r="J30" s="45"/>
      <c r="K30" s="18"/>
      <c r="L30" s="152" t="str">
        <f>IF(D30&gt;1600,1,IF(D30&gt;0,VLOOKUP(D30,'techniczny 1'!$D$3:$E$19,2),""))</f>
        <v/>
      </c>
      <c r="M30" s="224"/>
      <c r="N30" s="131"/>
      <c r="O30" s="282" t="str">
        <f>IF(D30&gt;0,L30*G30,"")</f>
        <v/>
      </c>
      <c r="P30" s="279"/>
      <c r="Q30" s="279"/>
      <c r="R30" s="132"/>
      <c r="S30" s="4"/>
      <c r="T30" s="4"/>
    </row>
    <row r="31" spans="1:20" s="6" customFormat="1" ht="31.5" customHeight="1" x14ac:dyDescent="0.35">
      <c r="A31" s="300"/>
      <c r="B31" s="303"/>
      <c r="C31" s="41" t="str">
        <f>IF($D$29="tak","Odległość pomiędzy nosami co najmniej","")</f>
        <v/>
      </c>
      <c r="D31" s="72"/>
      <c r="E31" s="32" t="str">
        <f t="shared" ref="E31:E32" si="7">IF($D$29="tak","m","")</f>
        <v/>
      </c>
      <c r="F31" s="74"/>
      <c r="G31" s="43" t="str">
        <f>IF(D31=0,"",1000)</f>
        <v/>
      </c>
      <c r="H31" s="75"/>
      <c r="I31" s="38"/>
      <c r="J31" s="45"/>
      <c r="K31" s="18"/>
      <c r="L31" s="152" t="str">
        <f>IF(D31&gt;1600,1,IF(D31&gt;0,VLOOKUP(D31,'techniczny 1'!$D$3:$E$19,2),""))</f>
        <v/>
      </c>
      <c r="M31" s="126"/>
      <c r="N31" s="131"/>
      <c r="O31" s="282" t="str">
        <f>IF(D31&gt;0,L31*G31,"")</f>
        <v/>
      </c>
      <c r="P31" s="279"/>
      <c r="Q31" s="279"/>
      <c r="R31" s="132"/>
      <c r="S31" s="4"/>
      <c r="T31" s="4"/>
    </row>
    <row r="32" spans="1:20" s="6" customFormat="1" ht="31.5" customHeight="1" x14ac:dyDescent="0.35">
      <c r="A32" s="301"/>
      <c r="B32" s="304"/>
      <c r="C32" s="42" t="str">
        <f>IF($D$29="tak","Odległość pomiędzy nosami co najmniej","")</f>
        <v/>
      </c>
      <c r="D32" s="149"/>
      <c r="E32" s="69" t="str">
        <f t="shared" si="7"/>
        <v/>
      </c>
      <c r="F32" s="78"/>
      <c r="G32" s="44" t="str">
        <f t="shared" ref="G32" si="8">IF(D32=0,"",1000)</f>
        <v/>
      </c>
      <c r="H32" s="79"/>
      <c r="I32" s="39"/>
      <c r="J32" s="46"/>
      <c r="K32" s="19"/>
      <c r="L32" s="84" t="str">
        <f>IF(D32&gt;1600,1,IF(D32&gt;0,VLOOKUP(D32,'techniczny 1'!$D$3:$E$19,2),""))</f>
        <v/>
      </c>
      <c r="M32" s="84"/>
      <c r="N32" s="131"/>
      <c r="O32" s="282" t="str">
        <f>IF(D32&gt;0,L32*G32,"")</f>
        <v/>
      </c>
      <c r="P32" s="279"/>
      <c r="Q32" s="279"/>
      <c r="R32" s="132"/>
      <c r="S32" s="4"/>
      <c r="T32" s="4"/>
    </row>
    <row r="33" spans="1:21" s="4" customFormat="1" ht="62.25" customHeight="1" x14ac:dyDescent="0.35">
      <c r="A33" s="208" t="s">
        <v>43</v>
      </c>
      <c r="B33" s="249" t="s">
        <v>141</v>
      </c>
      <c r="C33" s="82" t="s">
        <v>142</v>
      </c>
      <c r="D33" s="314"/>
      <c r="E33" s="315"/>
      <c r="F33" s="82" t="str">
        <f>IF(D33="tak","Czy ruch pieszych lub rowerów odbywa się na odpowiednio odseparowanej i zabezpieczonej przeznaczonej infrastrukturze?","")</f>
        <v/>
      </c>
      <c r="G33" s="314"/>
      <c r="H33" s="315"/>
      <c r="I33" s="83"/>
      <c r="J33" s="171"/>
      <c r="K33" s="172"/>
      <c r="L33" s="84"/>
      <c r="M33" s="209" t="str">
        <f>IF(D33="nie",1,IF(G33="tak",1,IF(G33="","",0.05)))</f>
        <v/>
      </c>
      <c r="N33" s="131"/>
      <c r="O33" s="279"/>
      <c r="P33" s="279"/>
      <c r="Q33" s="279"/>
      <c r="R33" s="132"/>
    </row>
    <row r="34" spans="1:21" s="16" customFormat="1" ht="46.5" x14ac:dyDescent="0.35">
      <c r="A34" s="141" t="s">
        <v>44</v>
      </c>
      <c r="B34" s="253" t="s">
        <v>134</v>
      </c>
      <c r="C34" s="85" t="s">
        <v>135</v>
      </c>
      <c r="D34" s="308"/>
      <c r="E34" s="309"/>
      <c r="F34" s="86"/>
      <c r="G34" s="310"/>
      <c r="H34" s="311"/>
      <c r="I34" s="87"/>
      <c r="J34" s="88"/>
      <c r="K34" s="89"/>
      <c r="L34" s="206"/>
      <c r="M34" s="207" t="str">
        <f>IF(D34="tak",1,IF(D34="nie",0.95,""))</f>
        <v/>
      </c>
      <c r="N34" s="131"/>
      <c r="O34" s="279"/>
      <c r="P34" s="279"/>
      <c r="Q34" s="279"/>
      <c r="R34" s="132"/>
    </row>
    <row r="36" spans="1:21" ht="18" x14ac:dyDescent="0.35">
      <c r="C36" s="90"/>
      <c r="D36" s="307"/>
      <c r="E36" s="307"/>
      <c r="F36" s="307"/>
    </row>
    <row r="37" spans="1:21" s="3" customFormat="1" ht="18" x14ac:dyDescent="0.35">
      <c r="C37" s="90"/>
      <c r="G37" s="13"/>
      <c r="H37" s="13"/>
      <c r="I37" s="13"/>
      <c r="N37" s="135"/>
      <c r="O37" s="283"/>
      <c r="P37" s="283"/>
      <c r="Q37" s="283"/>
      <c r="R37" s="136"/>
      <c r="S37" s="17"/>
      <c r="T37" s="17"/>
      <c r="U37" s="17"/>
    </row>
    <row r="38" spans="1:21" ht="18" x14ac:dyDescent="0.35">
      <c r="C38" s="90"/>
      <c r="G38" s="14"/>
      <c r="H38" s="14"/>
      <c r="I38" s="14"/>
    </row>
    <row r="39" spans="1:21" x14ac:dyDescent="0.35">
      <c r="C39" s="14"/>
      <c r="D39" s="14"/>
      <c r="E39" s="14"/>
      <c r="F39" s="14"/>
      <c r="G39" s="14"/>
      <c r="H39" s="14"/>
      <c r="I39" s="14"/>
    </row>
    <row r="40" spans="1:21" x14ac:dyDescent="0.35">
      <c r="C40" s="14"/>
      <c r="D40" s="14"/>
      <c r="E40" s="14"/>
      <c r="F40" s="14"/>
      <c r="G40" s="14"/>
      <c r="H40" s="14"/>
      <c r="I40" s="14"/>
    </row>
    <row r="41" spans="1:21" x14ac:dyDescent="0.35">
      <c r="C41" s="14"/>
      <c r="D41" s="14"/>
      <c r="E41" s="14"/>
      <c r="F41" s="14"/>
      <c r="G41" s="14"/>
      <c r="H41" s="14"/>
      <c r="I41" s="14"/>
    </row>
    <row r="42" spans="1:21" x14ac:dyDescent="0.35">
      <c r="C42" s="14"/>
      <c r="D42" s="14"/>
      <c r="E42" s="14"/>
      <c r="F42" s="14"/>
      <c r="G42" s="14"/>
      <c r="H42" s="14"/>
      <c r="I42" s="14"/>
    </row>
    <row r="43" spans="1:21" x14ac:dyDescent="0.35">
      <c r="C43" s="14"/>
      <c r="D43" s="14"/>
      <c r="E43" s="14"/>
      <c r="F43" s="14"/>
      <c r="G43" s="14"/>
      <c r="H43" s="14"/>
      <c r="I43" s="14"/>
    </row>
    <row r="44" spans="1:21" x14ac:dyDescent="0.35">
      <c r="C44" s="14"/>
      <c r="D44" s="14"/>
      <c r="E44" s="14"/>
      <c r="F44" s="14"/>
      <c r="G44" s="14"/>
      <c r="H44" s="14"/>
      <c r="I44" s="14"/>
    </row>
    <row r="45" spans="1:21" x14ac:dyDescent="0.35">
      <c r="C45" s="14"/>
      <c r="D45" s="14"/>
      <c r="E45" s="14"/>
      <c r="F45" s="14"/>
      <c r="G45" s="14"/>
      <c r="H45" s="14"/>
      <c r="I45" s="14"/>
    </row>
  </sheetData>
  <mergeCells count="29">
    <mergeCell ref="D36:F36"/>
    <mergeCell ref="D34:E34"/>
    <mergeCell ref="G34:H34"/>
    <mergeCell ref="A8:B8"/>
    <mergeCell ref="D29:E29"/>
    <mergeCell ref="D33:E33"/>
    <mergeCell ref="G33:H33"/>
    <mergeCell ref="G17:H17"/>
    <mergeCell ref="G12:H12"/>
    <mergeCell ref="G13:H13"/>
    <mergeCell ref="G14:H14"/>
    <mergeCell ref="G15:H15"/>
    <mergeCell ref="G16:H16"/>
    <mergeCell ref="A29:A32"/>
    <mergeCell ref="B29:B32"/>
    <mergeCell ref="D13:E13"/>
    <mergeCell ref="A4:B4"/>
    <mergeCell ref="A5:B5"/>
    <mergeCell ref="A6:B6"/>
    <mergeCell ref="D11:E11"/>
    <mergeCell ref="D18:E18"/>
    <mergeCell ref="A12:A17"/>
    <mergeCell ref="B12:B17"/>
    <mergeCell ref="A18:A28"/>
    <mergeCell ref="B18:B28"/>
    <mergeCell ref="D14:E14"/>
    <mergeCell ref="D15:E15"/>
    <mergeCell ref="D16:E16"/>
    <mergeCell ref="D17:E17"/>
  </mergeCells>
  <pageMargins left="0.7" right="0.7" top="0.75" bottom="0.75" header="0.3" footer="0.3"/>
  <pageSetup paperSize="8" scale="85" orientation="landscape" r:id="rId1"/>
  <ignoredErrors>
    <ignoredError sqref="A11:A12 A18 A29 A33:A34" twoDigitTextYear="1"/>
  </ignoredErrors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'techniczny 2'!$B$1:$B$5</xm:f>
          </x14:formula1>
          <xm:sqref>G13:H17</xm:sqref>
        </x14:dataValidation>
        <x14:dataValidation type="list" allowBlank="1" showInputMessage="1" showErrorMessage="1">
          <x14:formula1>
            <xm:f>'techniczny 2'!$A$1:$A$2</xm:f>
          </x14:formula1>
          <xm:sqref>D29:E29 D18:E18 G33:H34 D33:E34</xm:sqref>
        </x14:dataValidation>
        <x14:dataValidation type="list" allowBlank="1" showInputMessage="1" showErrorMessage="1">
          <x14:formula1>
            <xm:f>'techniczny 2'!$I$1:$I$3</xm:f>
          </x14:formula1>
          <xm:sqref>D11:E11</xm:sqref>
        </x14:dataValidation>
        <x14:dataValidation type="list" allowBlank="1" showInputMessage="1" showErrorMessage="1">
          <x14:formula1>
            <xm:f>'techniczny 2'!$N$1:$N$7</xm:f>
          </x14:formula1>
          <xm:sqref>D13:D17</xm:sqref>
        </x14:dataValidation>
        <x14:dataValidation type="list" allowBlank="1" showInputMessage="1" showErrorMessage="1">
          <x14:formula1>
            <xm:f>'techniczny 1'!$A$3:$A$19</xm:f>
          </x14:formula1>
          <xm:sqref>D30:D32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44"/>
  <sheetViews>
    <sheetView showGridLines="0" zoomScale="80" zoomScaleNormal="80" workbookViewId="0"/>
  </sheetViews>
  <sheetFormatPr defaultColWidth="8.81640625" defaultRowHeight="15.5" x14ac:dyDescent="0.35"/>
  <cols>
    <col min="1" max="1" width="10.26953125" style="1" customWidth="1"/>
    <col min="2" max="2" width="22.26953125" style="1" customWidth="1"/>
    <col min="3" max="3" width="27.453125" style="1" customWidth="1"/>
    <col min="4" max="4" width="15.54296875" style="1" customWidth="1"/>
    <col min="5" max="5" width="3.81640625" style="1" customWidth="1"/>
    <col min="6" max="6" width="28.54296875" style="1" customWidth="1"/>
    <col min="7" max="7" width="20.7265625" style="1" customWidth="1"/>
    <col min="8" max="8" width="3.81640625" style="1" customWidth="1"/>
    <col min="9" max="9" width="26.81640625" style="1" customWidth="1"/>
    <col min="10" max="11" width="5.1796875" style="1" customWidth="1"/>
    <col min="12" max="12" width="11.7265625" style="1" customWidth="1"/>
    <col min="13" max="13" width="12.453125" style="1" customWidth="1"/>
    <col min="14" max="14" width="2.81640625" style="16" customWidth="1"/>
    <col min="15" max="17" width="8" style="49" bestFit="1" customWidth="1"/>
    <col min="18" max="18" width="6" style="16" customWidth="1"/>
    <col min="19" max="20" width="8.81640625" style="4"/>
    <col min="21" max="16384" width="8.81640625" style="1"/>
  </cols>
  <sheetData>
    <row r="1" spans="1:21" s="3" customFormat="1" ht="16.5" customHeight="1" x14ac:dyDescent="0.35">
      <c r="A1" s="155" t="s">
        <v>57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39"/>
      <c r="O1" s="52"/>
      <c r="P1" s="52"/>
      <c r="Q1" s="52"/>
      <c r="R1" s="139"/>
      <c r="S1" s="17"/>
      <c r="T1" s="17"/>
    </row>
    <row r="2" spans="1:21" s="3" customFormat="1" ht="16.5" customHeight="1" x14ac:dyDescent="0.35">
      <c r="A2" s="1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39"/>
      <c r="O2" s="52"/>
      <c r="P2" s="52"/>
      <c r="Q2" s="52"/>
      <c r="R2" s="139"/>
      <c r="S2" s="17"/>
      <c r="T2" s="17"/>
    </row>
    <row r="3" spans="1:21" s="3" customFormat="1" ht="16.5" customHeight="1" x14ac:dyDescent="0.35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39"/>
      <c r="O3" s="52"/>
      <c r="P3" s="52"/>
      <c r="Q3" s="52"/>
      <c r="R3" s="139"/>
      <c r="S3" s="17"/>
      <c r="T3" s="17"/>
    </row>
    <row r="4" spans="1:21" s="3" customFormat="1" ht="16.5" customHeight="1" x14ac:dyDescent="0.35">
      <c r="A4" s="294" t="s">
        <v>115</v>
      </c>
      <c r="B4" s="294"/>
      <c r="C4" s="237"/>
      <c r="D4" s="190"/>
      <c r="E4" s="190"/>
      <c r="F4" s="154"/>
      <c r="G4" s="154"/>
      <c r="H4" s="154"/>
      <c r="I4" s="154"/>
      <c r="J4" s="154"/>
      <c r="K4" s="154"/>
      <c r="L4" s="154"/>
      <c r="M4" s="154"/>
      <c r="N4" s="139"/>
      <c r="O4" s="52"/>
      <c r="P4" s="52"/>
      <c r="Q4" s="52"/>
      <c r="R4" s="139"/>
      <c r="S4" s="17"/>
      <c r="T4" s="17"/>
    </row>
    <row r="5" spans="1:21" s="3" customFormat="1" ht="16.5" customHeight="1" x14ac:dyDescent="0.35">
      <c r="A5" s="294" t="s">
        <v>116</v>
      </c>
      <c r="B5" s="294"/>
      <c r="C5" s="238" t="e">
        <f>100*M11*M12*M18*M29*M33*M34</f>
        <v>#VALUE!</v>
      </c>
      <c r="D5" s="190"/>
      <c r="E5" s="190"/>
      <c r="F5" s="154"/>
      <c r="G5" s="154"/>
      <c r="H5" s="154"/>
      <c r="I5" s="154"/>
      <c r="J5" s="154"/>
      <c r="K5" s="154"/>
      <c r="L5" s="154"/>
      <c r="M5" s="154"/>
      <c r="N5" s="139"/>
      <c r="O5" s="52"/>
      <c r="P5" s="52"/>
      <c r="Q5" s="52"/>
      <c r="R5" s="139"/>
      <c r="S5" s="17"/>
      <c r="T5" s="17"/>
    </row>
    <row r="6" spans="1:21" s="3" customFormat="1" ht="16.5" customHeight="1" x14ac:dyDescent="0.35">
      <c r="A6" s="294" t="s">
        <v>114</v>
      </c>
      <c r="B6" s="294"/>
      <c r="C6" s="239" t="e">
        <f>IF(C5&gt;=85,"bezpieczna",(IF(C5&gt;=65,"średnio bezpieczna","niebezpieczna")))</f>
        <v>#VALUE!</v>
      </c>
      <c r="D6" s="191"/>
      <c r="E6" s="191"/>
      <c r="F6" s="154"/>
      <c r="G6" s="154"/>
      <c r="H6" s="154"/>
      <c r="I6" s="154"/>
      <c r="J6" s="154"/>
      <c r="K6" s="154"/>
      <c r="L6" s="154"/>
      <c r="M6" s="154"/>
      <c r="N6" s="139"/>
      <c r="O6" s="52"/>
      <c r="P6" s="52"/>
      <c r="Q6" s="52"/>
      <c r="R6" s="139"/>
      <c r="S6" s="17"/>
      <c r="T6" s="17"/>
    </row>
    <row r="7" spans="1:21" s="3" customFormat="1" ht="16.5" customHeight="1" x14ac:dyDescent="0.35">
      <c r="A7" s="240"/>
      <c r="B7" s="240"/>
      <c r="C7" s="241"/>
      <c r="D7" s="191"/>
      <c r="E7" s="191"/>
      <c r="F7" s="154"/>
      <c r="G7" s="154"/>
      <c r="H7" s="154"/>
      <c r="I7" s="154"/>
      <c r="J7" s="154"/>
      <c r="K7" s="154"/>
      <c r="L7" s="154"/>
      <c r="M7" s="154"/>
      <c r="N7" s="139"/>
      <c r="O7" s="52"/>
      <c r="P7" s="52"/>
      <c r="Q7" s="52"/>
      <c r="R7" s="139"/>
      <c r="S7" s="17"/>
      <c r="T7" s="17"/>
    </row>
    <row r="8" spans="1:21" s="3" customFormat="1" ht="16.5" customHeight="1" x14ac:dyDescent="0.35">
      <c r="A8" s="312" t="s">
        <v>60</v>
      </c>
      <c r="B8" s="313"/>
      <c r="C8" s="242"/>
      <c r="D8" s="191"/>
      <c r="E8" s="191"/>
      <c r="F8" s="154"/>
      <c r="G8" s="154"/>
      <c r="H8" s="154"/>
      <c r="I8" s="154"/>
      <c r="J8" s="154"/>
      <c r="K8" s="154"/>
      <c r="L8" s="154"/>
      <c r="M8" s="154"/>
      <c r="N8" s="139"/>
      <c r="O8" s="52"/>
      <c r="P8" s="52"/>
      <c r="Q8" s="52"/>
      <c r="R8" s="139"/>
      <c r="S8" s="17"/>
      <c r="T8" s="17"/>
    </row>
    <row r="9" spans="1:21" ht="16.5" customHeight="1" x14ac:dyDescent="0.35">
      <c r="A9" s="7"/>
      <c r="B9" s="70"/>
      <c r="C9" s="8"/>
      <c r="D9" s="8"/>
      <c r="E9" s="8"/>
      <c r="F9" s="8"/>
      <c r="G9" s="8"/>
      <c r="H9" s="8"/>
      <c r="I9" s="8"/>
      <c r="J9" s="8"/>
      <c r="K9" s="8"/>
      <c r="L9" s="8"/>
      <c r="M9" s="8"/>
    </row>
    <row r="10" spans="1:21" s="2" customFormat="1" ht="31" x14ac:dyDescent="0.35">
      <c r="A10" s="210" t="s">
        <v>117</v>
      </c>
      <c r="B10" s="195" t="s">
        <v>48</v>
      </c>
      <c r="C10" s="211"/>
      <c r="D10" s="212"/>
      <c r="E10" s="212"/>
      <c r="F10" s="213"/>
      <c r="G10" s="212"/>
      <c r="H10" s="212"/>
      <c r="I10" s="213"/>
      <c r="J10" s="212"/>
      <c r="K10" s="212"/>
      <c r="L10" s="195" t="s">
        <v>0</v>
      </c>
      <c r="M10" s="195" t="s">
        <v>1</v>
      </c>
      <c r="N10" s="133"/>
      <c r="O10" s="134" t="s">
        <v>6</v>
      </c>
      <c r="P10" s="134" t="s">
        <v>5</v>
      </c>
      <c r="Q10" s="134" t="s">
        <v>0</v>
      </c>
      <c r="R10" s="133"/>
      <c r="S10" s="15"/>
      <c r="T10" s="15"/>
      <c r="U10" s="15"/>
    </row>
    <row r="11" spans="1:21" x14ac:dyDescent="0.35">
      <c r="A11" s="220" t="s">
        <v>40</v>
      </c>
      <c r="B11" s="249" t="s">
        <v>45</v>
      </c>
      <c r="C11" s="225" t="s">
        <v>50</v>
      </c>
      <c r="D11" s="320"/>
      <c r="E11" s="321"/>
      <c r="F11" s="226"/>
      <c r="G11" s="227"/>
      <c r="H11" s="228"/>
      <c r="I11" s="229"/>
      <c r="J11" s="230"/>
      <c r="K11" s="228"/>
      <c r="L11" s="231" t="str">
        <f>IF(D11="co najmniej 3,4 m",1,IF(D11="co najmniej 3,15 m",1.025,IF(D11="poniżej 3,15 m",1.05,"uzupełnij D11")))</f>
        <v>uzupełnij D11</v>
      </c>
      <c r="M11" s="232" t="e">
        <f>1/L11</f>
        <v>#VALUE!</v>
      </c>
    </row>
    <row r="12" spans="1:21" s="4" customFormat="1" ht="47.25" customHeight="1" x14ac:dyDescent="0.35">
      <c r="A12" s="299" t="s">
        <v>41</v>
      </c>
      <c r="B12" s="302" t="s">
        <v>46</v>
      </c>
      <c r="C12" s="25"/>
      <c r="D12" s="40"/>
      <c r="E12" s="10"/>
      <c r="F12" s="25"/>
      <c r="G12" s="318"/>
      <c r="H12" s="319"/>
      <c r="I12" s="25"/>
      <c r="J12" s="166"/>
      <c r="K12" s="167"/>
      <c r="L12" s="138" t="str">
        <f>IF(SUM(J13:J17)&lt;100,"sprawdź % długości segmentu",IF(SUM(J13:J17)&gt;100,"",J13/100*L13+J14/100*L14+J15/100*L15+J16/100*L16+J17/100*L17))</f>
        <v>sprawdź % długości segmentu</v>
      </c>
      <c r="M12" s="197" t="e">
        <f>1/L12</f>
        <v>#VALUE!</v>
      </c>
      <c r="N12" s="16"/>
      <c r="O12" s="274" t="s">
        <v>19</v>
      </c>
      <c r="P12" s="274" t="s">
        <v>20</v>
      </c>
      <c r="Q12" s="274"/>
      <c r="R12" s="16"/>
    </row>
    <row r="13" spans="1:21" s="4" customFormat="1" ht="15.75" customHeight="1" x14ac:dyDescent="0.35">
      <c r="A13" s="300"/>
      <c r="B13" s="303"/>
      <c r="C13" s="41" t="s">
        <v>140</v>
      </c>
      <c r="D13" s="305"/>
      <c r="E13" s="306"/>
      <c r="F13" s="41" t="s">
        <v>51</v>
      </c>
      <c r="G13" s="316"/>
      <c r="H13" s="317"/>
      <c r="I13" s="41" t="s">
        <v>133</v>
      </c>
      <c r="J13" s="269"/>
      <c r="K13" s="9" t="s">
        <v>3</v>
      </c>
      <c r="L13" s="152">
        <f>IF(J13&gt;0,1-(1-(1-(1-O13*P13)*(0.567)))*(0.291),0)</f>
        <v>0</v>
      </c>
      <c r="M13" s="152" t="str">
        <f>IF(L13=0,"n/a",1/L13)</f>
        <v>n/a</v>
      </c>
      <c r="N13" s="16"/>
      <c r="O13" s="51">
        <f>IF(D13="nie więcej niż 1 m",10,IF(D13="co najmniej 1 m",5,IF(D13="co najmniej 2 m",1.5,IF(D13="co najmniej 3 m",1.25,IF(D13="co najmniej 5 m",1.1,IF(D13="co najmniej 7,5 m",1.05,1))))))</f>
        <v>1</v>
      </c>
      <c r="P13" s="51" t="str">
        <f>IF(D13="co najmniej 10 m",1,IF(G13="bariera stalowa",1,IF(G13="bariera betonowa",IF(D13="co najmniej 7,5 m",1,IF(D13="co najmniej 5 m",1,1.25)),IF(G13="słupy, drzewa, inne",5,IF(G13="skarpa nasypu lub wykopu",3.75,IF(G13="głęboki rów",4.583,""))))))</f>
        <v/>
      </c>
      <c r="Q13" s="51"/>
      <c r="R13" s="16"/>
    </row>
    <row r="14" spans="1:21" s="4" customFormat="1" ht="15.75" customHeight="1" x14ac:dyDescent="0.35">
      <c r="A14" s="300"/>
      <c r="B14" s="303"/>
      <c r="C14" s="41" t="s">
        <v>140</v>
      </c>
      <c r="D14" s="305"/>
      <c r="E14" s="306"/>
      <c r="F14" s="41" t="s">
        <v>51</v>
      </c>
      <c r="G14" s="316"/>
      <c r="H14" s="317"/>
      <c r="I14" s="41" t="s">
        <v>133</v>
      </c>
      <c r="J14" s="269"/>
      <c r="K14" s="9" t="s">
        <v>3</v>
      </c>
      <c r="L14" s="152">
        <f t="shared" ref="L14:L17" si="0">IF(J14&gt;0,1-(1-(1-(1-O14*P14)*(0.567)))*(0.291),0)</f>
        <v>0</v>
      </c>
      <c r="M14" s="152" t="str">
        <f t="shared" ref="M14:M17" si="1">IF(L14=0,"n/a",1/L14)</f>
        <v>n/a</v>
      </c>
      <c r="N14" s="16"/>
      <c r="O14" s="51">
        <f t="shared" ref="O14:O17" si="2">IF(D14="nie więcej niż 1 m",10,IF(D14="co najmniej 1 m",5,IF(D14="co najmniej 2 m",1.5,IF(D14="co najmniej 3 m",1.25,IF(D14="co najmniej 5 m",1.1,IF(D14="co najmniej 7,5 m",1.05,1))))))</f>
        <v>1</v>
      </c>
      <c r="P14" s="51" t="str">
        <f t="shared" ref="P14:P16" si="3">IF(D14="co najmniej 10 m",1,IF(G14="bariera stalowa",1,IF(G14="bariera betonowa",IF(D14="co najmniej 7,5 m",1,IF(D14="co najmniej 5 m",1,1.25)),IF(G14="słupy, drzewa, inne",5,IF(G14="skarpa nasypu lub wykopu",3.75,IF(G14="głęboki rów",4.583,""))))))</f>
        <v/>
      </c>
      <c r="Q14" s="51"/>
      <c r="R14" s="16"/>
    </row>
    <row r="15" spans="1:21" s="4" customFormat="1" ht="15.75" customHeight="1" x14ac:dyDescent="0.35">
      <c r="A15" s="300"/>
      <c r="B15" s="303"/>
      <c r="C15" s="41" t="s">
        <v>140</v>
      </c>
      <c r="D15" s="305"/>
      <c r="E15" s="306"/>
      <c r="F15" s="41" t="s">
        <v>51</v>
      </c>
      <c r="G15" s="316"/>
      <c r="H15" s="317"/>
      <c r="I15" s="41" t="s">
        <v>133</v>
      </c>
      <c r="J15" s="269"/>
      <c r="K15" s="9" t="s">
        <v>3</v>
      </c>
      <c r="L15" s="152">
        <f t="shared" si="0"/>
        <v>0</v>
      </c>
      <c r="M15" s="152" t="str">
        <f t="shared" si="1"/>
        <v>n/a</v>
      </c>
      <c r="N15" s="16"/>
      <c r="O15" s="51">
        <f t="shared" si="2"/>
        <v>1</v>
      </c>
      <c r="P15" s="51" t="str">
        <f t="shared" si="3"/>
        <v/>
      </c>
      <c r="Q15" s="51"/>
      <c r="R15" s="16"/>
    </row>
    <row r="16" spans="1:21" s="4" customFormat="1" ht="15.75" customHeight="1" x14ac:dyDescent="0.35">
      <c r="A16" s="300"/>
      <c r="B16" s="303"/>
      <c r="C16" s="41" t="s">
        <v>140</v>
      </c>
      <c r="D16" s="305"/>
      <c r="E16" s="306"/>
      <c r="F16" s="41" t="s">
        <v>51</v>
      </c>
      <c r="G16" s="316"/>
      <c r="H16" s="317"/>
      <c r="I16" s="41" t="s">
        <v>133</v>
      </c>
      <c r="J16" s="269"/>
      <c r="K16" s="9" t="s">
        <v>3</v>
      </c>
      <c r="L16" s="152">
        <f t="shared" si="0"/>
        <v>0</v>
      </c>
      <c r="M16" s="152" t="str">
        <f t="shared" si="1"/>
        <v>n/a</v>
      </c>
      <c r="N16" s="16"/>
      <c r="O16" s="51">
        <f t="shared" si="2"/>
        <v>1</v>
      </c>
      <c r="P16" s="51" t="str">
        <f t="shared" si="3"/>
        <v/>
      </c>
      <c r="Q16" s="51"/>
      <c r="R16" s="16"/>
    </row>
    <row r="17" spans="1:18" s="4" customFormat="1" ht="15.75" customHeight="1" x14ac:dyDescent="0.35">
      <c r="A17" s="301"/>
      <c r="B17" s="304"/>
      <c r="C17" s="41" t="s">
        <v>140</v>
      </c>
      <c r="D17" s="305"/>
      <c r="E17" s="306"/>
      <c r="F17" s="41" t="s">
        <v>51</v>
      </c>
      <c r="G17" s="316"/>
      <c r="H17" s="317"/>
      <c r="I17" s="41" t="s">
        <v>133</v>
      </c>
      <c r="J17" s="269"/>
      <c r="K17" s="11" t="s">
        <v>3</v>
      </c>
      <c r="L17" s="152">
        <f t="shared" si="0"/>
        <v>0</v>
      </c>
      <c r="M17" s="152" t="str">
        <f t="shared" si="1"/>
        <v>n/a</v>
      </c>
      <c r="N17" s="16"/>
      <c r="O17" s="51">
        <f t="shared" si="2"/>
        <v>1</v>
      </c>
      <c r="P17" s="51" t="str">
        <f>IF(D17="co najmniej 10 m",1,IF(G17="bariera stalowa",1,IF(G17="bariera betonowa",IF(D17="co najmniej 7,5 m",1,IF(D17="co najmniej 5 m",1,1.25)),IF(G17="słupy, drzewa, inne",5,IF(G17="skarpa nasypu lub wykopu",3.75,IF(G17="głęboki rów",4.583,""))))))</f>
        <v/>
      </c>
      <c r="Q17" s="51"/>
      <c r="R17" s="16"/>
    </row>
    <row r="18" spans="1:18" s="4" customFormat="1" ht="31" x14ac:dyDescent="0.35">
      <c r="A18" s="299" t="s">
        <v>42</v>
      </c>
      <c r="B18" s="302" t="s">
        <v>47</v>
      </c>
      <c r="C18" s="61" t="s">
        <v>149</v>
      </c>
      <c r="D18" s="297"/>
      <c r="E18" s="298"/>
      <c r="F18" s="25"/>
      <c r="G18" s="62"/>
      <c r="H18" s="10"/>
      <c r="I18" s="243"/>
      <c r="J18" s="244"/>
      <c r="K18" s="245"/>
      <c r="L18" s="137">
        <f>IF(SUM(G19:G28)&gt;100,"sprawdź % długości segmentu",IF(D18="nie",1,1+0.03312*SUM(L19:L28)))</f>
        <v>1</v>
      </c>
      <c r="M18" s="197">
        <f>1/L18</f>
        <v>1</v>
      </c>
      <c r="N18" s="16"/>
      <c r="O18" s="49"/>
      <c r="P18" s="49"/>
      <c r="Q18" s="49"/>
      <c r="R18" s="16"/>
    </row>
    <row r="19" spans="1:18" s="4" customFormat="1" ht="15.75" customHeight="1" x14ac:dyDescent="0.35">
      <c r="A19" s="300"/>
      <c r="B19" s="303"/>
      <c r="C19" s="66" t="str">
        <f>IF($D$18="tak","Promień łuku 1 (R&lt;1500m)","")</f>
        <v/>
      </c>
      <c r="D19" s="71"/>
      <c r="E19" s="68" t="str">
        <f>IF($D$18="tak","m","")</f>
        <v/>
      </c>
      <c r="F19" s="66" t="str">
        <f>IF($D$18="tak","% długości segmentu","")</f>
        <v/>
      </c>
      <c r="G19" s="67"/>
      <c r="H19" s="32" t="str">
        <f>IF($D$18="tak","%","")</f>
        <v/>
      </c>
      <c r="I19" s="38"/>
      <c r="J19" s="45"/>
      <c r="K19" s="18"/>
      <c r="L19" s="151">
        <f>IF(D19&gt;0,(1746.5/D19)^2*(G19/100),0)</f>
        <v>0</v>
      </c>
      <c r="M19" s="233"/>
      <c r="N19" s="16"/>
      <c r="O19" s="49"/>
      <c r="P19" s="49"/>
      <c r="Q19" s="49"/>
      <c r="R19" s="16"/>
    </row>
    <row r="20" spans="1:18" s="4" customFormat="1" ht="15.75" customHeight="1" x14ac:dyDescent="0.35">
      <c r="A20" s="300"/>
      <c r="B20" s="303"/>
      <c r="C20" s="66" t="str">
        <f>IF($D$18="tak","Promień łuku 2 (R&lt;1500m)","")</f>
        <v/>
      </c>
      <c r="D20" s="72"/>
      <c r="E20" s="68" t="str">
        <f t="shared" ref="E20:E28" si="4">IF($D$18="tak","m","")</f>
        <v/>
      </c>
      <c r="F20" s="66" t="str">
        <f t="shared" ref="F20:F28" si="5">IF($D$18="tak","% długości segmentu","")</f>
        <v/>
      </c>
      <c r="G20" s="59"/>
      <c r="H20" s="32" t="str">
        <f t="shared" ref="H20:H28" si="6">IF($D$18="tak","%","")</f>
        <v/>
      </c>
      <c r="I20" s="38"/>
      <c r="J20" s="45"/>
      <c r="K20" s="18"/>
      <c r="L20" s="152">
        <f t="shared" ref="L20:L28" si="7">IF(D20&gt;0,(1746.5/D20)^2*(G20/100),0)</f>
        <v>0</v>
      </c>
      <c r="M20" s="234"/>
      <c r="N20" s="16"/>
      <c r="O20" s="49"/>
      <c r="P20" s="49"/>
      <c r="Q20" s="49"/>
      <c r="R20" s="16"/>
    </row>
    <row r="21" spans="1:18" s="4" customFormat="1" ht="15.75" customHeight="1" x14ac:dyDescent="0.35">
      <c r="A21" s="300"/>
      <c r="B21" s="303"/>
      <c r="C21" s="66" t="str">
        <f>IF($D$18="tak","Promień łuku 3 (R&lt;1500m)","")</f>
        <v/>
      </c>
      <c r="D21" s="72"/>
      <c r="E21" s="68" t="str">
        <f t="shared" si="4"/>
        <v/>
      </c>
      <c r="F21" s="66" t="str">
        <f t="shared" si="5"/>
        <v/>
      </c>
      <c r="G21" s="59"/>
      <c r="H21" s="32" t="str">
        <f t="shared" si="6"/>
        <v/>
      </c>
      <c r="I21" s="38"/>
      <c r="J21" s="45"/>
      <c r="K21" s="18"/>
      <c r="L21" s="152">
        <f t="shared" si="7"/>
        <v>0</v>
      </c>
      <c r="M21" s="234"/>
      <c r="N21" s="16"/>
      <c r="O21" s="49"/>
      <c r="P21" s="49"/>
      <c r="Q21" s="49"/>
      <c r="R21" s="16"/>
    </row>
    <row r="22" spans="1:18" s="4" customFormat="1" ht="15.75" customHeight="1" x14ac:dyDescent="0.35">
      <c r="A22" s="300"/>
      <c r="B22" s="303"/>
      <c r="C22" s="66" t="str">
        <f>IF($D$18="tak","Promień łuku 4 (R&lt;1500m)","")</f>
        <v/>
      </c>
      <c r="D22" s="72"/>
      <c r="E22" s="68" t="str">
        <f t="shared" si="4"/>
        <v/>
      </c>
      <c r="F22" s="66" t="str">
        <f t="shared" si="5"/>
        <v/>
      </c>
      <c r="G22" s="59"/>
      <c r="H22" s="32" t="str">
        <f t="shared" si="6"/>
        <v/>
      </c>
      <c r="I22" s="38"/>
      <c r="J22" s="45"/>
      <c r="K22" s="18"/>
      <c r="L22" s="152">
        <f t="shared" si="7"/>
        <v>0</v>
      </c>
      <c r="M22" s="234"/>
      <c r="N22" s="16"/>
      <c r="O22" s="49"/>
      <c r="P22" s="49"/>
      <c r="Q22" s="49"/>
      <c r="R22" s="16"/>
    </row>
    <row r="23" spans="1:18" s="4" customFormat="1" ht="15.75" customHeight="1" x14ac:dyDescent="0.35">
      <c r="A23" s="300"/>
      <c r="B23" s="303"/>
      <c r="C23" s="66" t="str">
        <f>IF($D$18="tak","Promień łuku 5 (R&lt;1500m)","")</f>
        <v/>
      </c>
      <c r="D23" s="72"/>
      <c r="E23" s="68" t="str">
        <f t="shared" si="4"/>
        <v/>
      </c>
      <c r="F23" s="66" t="str">
        <f t="shared" si="5"/>
        <v/>
      </c>
      <c r="G23" s="59"/>
      <c r="H23" s="32" t="str">
        <f t="shared" si="6"/>
        <v/>
      </c>
      <c r="I23" s="38"/>
      <c r="J23" s="45"/>
      <c r="K23" s="18"/>
      <c r="L23" s="152">
        <f t="shared" si="7"/>
        <v>0</v>
      </c>
      <c r="M23" s="234"/>
      <c r="N23" s="16"/>
      <c r="O23" s="49"/>
      <c r="P23" s="49"/>
      <c r="Q23" s="49"/>
      <c r="R23" s="16"/>
    </row>
    <row r="24" spans="1:18" s="4" customFormat="1" ht="15.75" customHeight="1" x14ac:dyDescent="0.35">
      <c r="A24" s="300"/>
      <c r="B24" s="303"/>
      <c r="C24" s="66" t="str">
        <f>IF($D$18="tak","Promień łuku 6 (R&lt;1500m)","")</f>
        <v/>
      </c>
      <c r="D24" s="72"/>
      <c r="E24" s="68" t="str">
        <f t="shared" si="4"/>
        <v/>
      </c>
      <c r="F24" s="66" t="str">
        <f t="shared" si="5"/>
        <v/>
      </c>
      <c r="G24" s="59"/>
      <c r="H24" s="32" t="str">
        <f t="shared" si="6"/>
        <v/>
      </c>
      <c r="I24" s="38"/>
      <c r="J24" s="45"/>
      <c r="K24" s="18"/>
      <c r="L24" s="152">
        <f t="shared" si="7"/>
        <v>0</v>
      </c>
      <c r="M24" s="234"/>
      <c r="N24" s="16"/>
      <c r="O24" s="49"/>
      <c r="P24" s="49"/>
      <c r="Q24" s="49"/>
      <c r="R24" s="16"/>
    </row>
    <row r="25" spans="1:18" s="4" customFormat="1" ht="15.75" customHeight="1" x14ac:dyDescent="0.35">
      <c r="A25" s="300"/>
      <c r="B25" s="303"/>
      <c r="C25" s="66" t="str">
        <f>IF($D$18="tak","Promień łuku 7 (R&lt;1500m)","")</f>
        <v/>
      </c>
      <c r="D25" s="72"/>
      <c r="E25" s="68" t="str">
        <f t="shared" si="4"/>
        <v/>
      </c>
      <c r="F25" s="66" t="str">
        <f t="shared" si="5"/>
        <v/>
      </c>
      <c r="G25" s="59"/>
      <c r="H25" s="32" t="str">
        <f t="shared" si="6"/>
        <v/>
      </c>
      <c r="I25" s="38"/>
      <c r="J25" s="45"/>
      <c r="K25" s="18"/>
      <c r="L25" s="152">
        <f t="shared" si="7"/>
        <v>0</v>
      </c>
      <c r="M25" s="234"/>
      <c r="N25" s="16"/>
      <c r="O25" s="49"/>
      <c r="P25" s="49"/>
      <c r="Q25" s="49"/>
      <c r="R25" s="16"/>
    </row>
    <row r="26" spans="1:18" s="4" customFormat="1" ht="15.75" customHeight="1" x14ac:dyDescent="0.35">
      <c r="A26" s="300"/>
      <c r="B26" s="303"/>
      <c r="C26" s="66" t="str">
        <f>IF($D$18="tak","Promień łuku 8 (R&lt;1500m)","")</f>
        <v/>
      </c>
      <c r="D26" s="72"/>
      <c r="E26" s="68" t="str">
        <f t="shared" si="4"/>
        <v/>
      </c>
      <c r="F26" s="66" t="str">
        <f t="shared" si="5"/>
        <v/>
      </c>
      <c r="G26" s="59"/>
      <c r="H26" s="32" t="str">
        <f t="shared" si="6"/>
        <v/>
      </c>
      <c r="I26" s="38"/>
      <c r="J26" s="45"/>
      <c r="K26" s="18"/>
      <c r="L26" s="152">
        <f t="shared" si="7"/>
        <v>0</v>
      </c>
      <c r="M26" s="234"/>
      <c r="N26" s="16"/>
      <c r="O26" s="49"/>
      <c r="P26" s="49"/>
      <c r="Q26" s="49"/>
      <c r="R26" s="16"/>
    </row>
    <row r="27" spans="1:18" s="4" customFormat="1" ht="15.75" customHeight="1" x14ac:dyDescent="0.35">
      <c r="A27" s="300"/>
      <c r="B27" s="303"/>
      <c r="C27" s="66" t="str">
        <f>IF($D$18="tak","Promień łuku 9 (R&lt;1500m)","")</f>
        <v/>
      </c>
      <c r="D27" s="72"/>
      <c r="E27" s="68" t="str">
        <f t="shared" si="4"/>
        <v/>
      </c>
      <c r="F27" s="66" t="str">
        <f t="shared" si="5"/>
        <v/>
      </c>
      <c r="G27" s="59"/>
      <c r="H27" s="32" t="str">
        <f t="shared" si="6"/>
        <v/>
      </c>
      <c r="I27" s="38"/>
      <c r="J27" s="45"/>
      <c r="K27" s="18"/>
      <c r="L27" s="152">
        <f t="shared" si="7"/>
        <v>0</v>
      </c>
      <c r="M27" s="234"/>
      <c r="N27" s="16"/>
      <c r="O27" s="49"/>
      <c r="P27" s="49"/>
      <c r="Q27" s="49"/>
      <c r="R27" s="16"/>
    </row>
    <row r="28" spans="1:18" s="4" customFormat="1" ht="15.75" customHeight="1" x14ac:dyDescent="0.35">
      <c r="A28" s="301"/>
      <c r="B28" s="304"/>
      <c r="C28" s="66" t="str">
        <f>IF($D$18="tak","Promień łuku 10 (R&lt;1500m)","")</f>
        <v/>
      </c>
      <c r="D28" s="72"/>
      <c r="E28" s="68" t="str">
        <f t="shared" si="4"/>
        <v/>
      </c>
      <c r="F28" s="66" t="str">
        <f t="shared" si="5"/>
        <v/>
      </c>
      <c r="G28" s="60"/>
      <c r="H28" s="32" t="str">
        <f t="shared" si="6"/>
        <v/>
      </c>
      <c r="I28" s="39"/>
      <c r="J28" s="46"/>
      <c r="K28" s="19"/>
      <c r="L28" s="150">
        <f t="shared" si="7"/>
        <v>0</v>
      </c>
      <c r="M28" s="235"/>
      <c r="N28" s="16"/>
      <c r="O28" s="49"/>
      <c r="P28" s="49"/>
      <c r="Q28" s="49"/>
      <c r="R28" s="16"/>
    </row>
    <row r="29" spans="1:18" s="4" customFormat="1" ht="81" customHeight="1" x14ac:dyDescent="0.35">
      <c r="A29" s="299" t="s">
        <v>39</v>
      </c>
      <c r="B29" s="302" t="s">
        <v>136</v>
      </c>
      <c r="C29" s="61" t="s">
        <v>176</v>
      </c>
      <c r="D29" s="297"/>
      <c r="E29" s="298"/>
      <c r="F29" s="246" t="str">
        <f>IF(D29="tak","Długość segmentu","")</f>
        <v/>
      </c>
      <c r="G29" s="247"/>
      <c r="H29" s="248" t="str">
        <f>IF($D$29="tak","m","")</f>
        <v/>
      </c>
      <c r="I29" s="243"/>
      <c r="J29" s="244"/>
      <c r="K29" s="245"/>
      <c r="L29" s="65" t="e">
        <f>IF(D29="nie",1,IF(SUM(G30:G32)&gt;=C8,AVERAGE(L30:L32),((C8-SUM(G30:G32))+SUM(O30:O32))/C8))</f>
        <v>#DIV/0!</v>
      </c>
      <c r="M29" s="197" t="e">
        <f>1/L29</f>
        <v>#DIV/0!</v>
      </c>
      <c r="N29" s="16"/>
      <c r="O29" s="275" t="s">
        <v>22</v>
      </c>
      <c r="P29" s="49"/>
      <c r="Q29" s="49"/>
      <c r="R29" s="16"/>
    </row>
    <row r="30" spans="1:18" s="4" customFormat="1" ht="31.5" customHeight="1" x14ac:dyDescent="0.35">
      <c r="A30" s="300"/>
      <c r="B30" s="303"/>
      <c r="C30" s="41" t="str">
        <f>IF($D$29="tak","Odległość pomiędzy nosami co najmniej","")</f>
        <v/>
      </c>
      <c r="D30" s="72"/>
      <c r="E30" s="32" t="str">
        <f>IF($D$29="tak","m","")</f>
        <v/>
      </c>
      <c r="F30" s="74"/>
      <c r="G30" s="43" t="str">
        <f>IF(D30=0,"",1000)</f>
        <v/>
      </c>
      <c r="H30" s="75"/>
      <c r="I30" s="76"/>
      <c r="J30" s="77"/>
      <c r="K30" s="75"/>
      <c r="L30" s="151" t="str">
        <f>IF(D30&gt;1600,1,IF(D30&gt;0,VLOOKUP(D30,'techniczny 1'!$A$3:$B$19,2),""))</f>
        <v/>
      </c>
      <c r="M30" s="151"/>
      <c r="N30" s="16"/>
      <c r="O30" s="276" t="str">
        <f>IF(D30&gt;0,L30*G30,"")</f>
        <v/>
      </c>
      <c r="P30" s="49"/>
      <c r="Q30" s="49"/>
      <c r="R30" s="16"/>
    </row>
    <row r="31" spans="1:18" s="4" customFormat="1" ht="31.5" customHeight="1" x14ac:dyDescent="0.35">
      <c r="A31" s="300"/>
      <c r="B31" s="303"/>
      <c r="C31" s="41" t="str">
        <f>IF($D$29="tak","Odległość pomiędzy nosami co najmniej","")</f>
        <v/>
      </c>
      <c r="D31" s="72"/>
      <c r="E31" s="32" t="str">
        <f t="shared" ref="E31:E32" si="8">IF($D$29="tak","m","")</f>
        <v/>
      </c>
      <c r="F31" s="74"/>
      <c r="G31" s="43" t="str">
        <f>IF(D31=0,"",1000)</f>
        <v/>
      </c>
      <c r="H31" s="75"/>
      <c r="I31" s="76"/>
      <c r="J31" s="77"/>
      <c r="K31" s="75"/>
      <c r="L31" s="152" t="str">
        <f>IF(D31&gt;1600,1,IF(D31&gt;0,VLOOKUP(D31,'techniczny 1'!$A$3:$B$19,2),""))</f>
        <v/>
      </c>
      <c r="M31" s="152"/>
      <c r="N31" s="16"/>
      <c r="O31" s="276" t="str">
        <f>IF(D31&gt;0,L31*G31,"")</f>
        <v/>
      </c>
      <c r="P31" s="49"/>
      <c r="Q31" s="49"/>
      <c r="R31" s="16"/>
    </row>
    <row r="32" spans="1:18" s="4" customFormat="1" ht="31.5" customHeight="1" x14ac:dyDescent="0.35">
      <c r="A32" s="301"/>
      <c r="B32" s="304"/>
      <c r="C32" s="42" t="str">
        <f>IF($D$29="tak","Odległość pomiędzy nosami co najmniej","")</f>
        <v/>
      </c>
      <c r="D32" s="72"/>
      <c r="E32" s="32" t="str">
        <f t="shared" si="8"/>
        <v/>
      </c>
      <c r="F32" s="78"/>
      <c r="G32" s="44" t="str">
        <f>IF(D32=0,"",1000)</f>
        <v/>
      </c>
      <c r="H32" s="79"/>
      <c r="I32" s="80"/>
      <c r="J32" s="81"/>
      <c r="K32" s="79"/>
      <c r="L32" s="150" t="str">
        <f>IF(D32&gt;1600,1,IF(D32&gt;0,VLOOKUP(D32,'techniczny 1'!$A$3:$B$19,2),""))</f>
        <v/>
      </c>
      <c r="M32" s="150"/>
      <c r="N32" s="16"/>
      <c r="O32" s="276" t="str">
        <f>IF(D32&gt;0,L32*G32,"")</f>
        <v/>
      </c>
      <c r="P32" s="49"/>
      <c r="Q32" s="49"/>
      <c r="R32" s="16"/>
    </row>
    <row r="33" spans="1:20" s="4" customFormat="1" ht="62.25" customHeight="1" x14ac:dyDescent="0.35">
      <c r="A33" s="141" t="s">
        <v>43</v>
      </c>
      <c r="B33" s="259" t="s">
        <v>141</v>
      </c>
      <c r="C33" s="82" t="s">
        <v>142</v>
      </c>
      <c r="D33" s="308"/>
      <c r="E33" s="309"/>
      <c r="F33" s="82" t="str">
        <f>IF(D33="tak","Czy ruch pieszych lub rowerów odbywa się na odpowiednio odseparowanej i zabezpieczonej przeznaczonej infrastrukturze?","")</f>
        <v/>
      </c>
      <c r="G33" s="314"/>
      <c r="H33" s="315"/>
      <c r="I33" s="83"/>
      <c r="J33" s="171"/>
      <c r="K33" s="172"/>
      <c r="L33" s="84"/>
      <c r="M33" s="209" t="str">
        <f>IF(D33="nie",1,IF(G33="tak",1,IF(G33="","",0.05)))</f>
        <v/>
      </c>
      <c r="N33" s="16"/>
      <c r="O33" s="49"/>
      <c r="P33" s="49"/>
      <c r="Q33" s="49"/>
      <c r="R33" s="16"/>
    </row>
    <row r="34" spans="1:20" s="16" customFormat="1" ht="46.5" x14ac:dyDescent="0.35">
      <c r="A34" s="141" t="s">
        <v>44</v>
      </c>
      <c r="B34" s="253" t="s">
        <v>134</v>
      </c>
      <c r="C34" s="85" t="s">
        <v>135</v>
      </c>
      <c r="D34" s="308"/>
      <c r="E34" s="309"/>
      <c r="F34" s="86"/>
      <c r="G34" s="310"/>
      <c r="H34" s="311"/>
      <c r="I34" s="87"/>
      <c r="J34" s="88"/>
      <c r="K34" s="89"/>
      <c r="L34" s="206"/>
      <c r="M34" s="207" t="str">
        <f>IF(D34="tak",1,IF(D34="nie",0.95,""))</f>
        <v/>
      </c>
      <c r="O34" s="49"/>
      <c r="P34" s="49"/>
      <c r="Q34" s="49"/>
    </row>
    <row r="36" spans="1:20" s="3" customFormat="1" ht="18" x14ac:dyDescent="0.35">
      <c r="C36" s="90"/>
      <c r="G36" s="13"/>
      <c r="H36" s="13"/>
      <c r="I36" s="13"/>
      <c r="N36" s="139"/>
      <c r="O36" s="52"/>
      <c r="P36" s="52"/>
      <c r="Q36" s="52"/>
      <c r="R36" s="139"/>
      <c r="S36" s="17"/>
      <c r="T36" s="17"/>
    </row>
    <row r="37" spans="1:20" ht="18" x14ac:dyDescent="0.35">
      <c r="C37" s="90"/>
      <c r="G37" s="14"/>
      <c r="H37" s="14"/>
      <c r="I37" s="14"/>
    </row>
    <row r="38" spans="1:20" ht="18" x14ac:dyDescent="0.35">
      <c r="C38" s="90"/>
      <c r="G38" s="14"/>
      <c r="H38" s="14"/>
      <c r="I38" s="14"/>
    </row>
    <row r="39" spans="1:20" x14ac:dyDescent="0.35">
      <c r="C39" s="14"/>
      <c r="D39" s="14"/>
      <c r="E39" s="14"/>
      <c r="F39" s="14"/>
      <c r="G39" s="14"/>
      <c r="H39" s="14"/>
      <c r="I39" s="14"/>
    </row>
    <row r="40" spans="1:20" x14ac:dyDescent="0.35">
      <c r="C40" s="14"/>
      <c r="D40" s="14"/>
      <c r="E40" s="14"/>
      <c r="F40" s="14"/>
      <c r="G40" s="14"/>
      <c r="H40" s="14"/>
      <c r="I40" s="14"/>
    </row>
    <row r="41" spans="1:20" x14ac:dyDescent="0.35">
      <c r="C41" s="14"/>
      <c r="D41" s="14"/>
      <c r="E41" s="14"/>
      <c r="F41" s="14"/>
      <c r="G41" s="14"/>
      <c r="H41" s="14"/>
      <c r="I41" s="14"/>
    </row>
    <row r="42" spans="1:20" x14ac:dyDescent="0.35">
      <c r="C42" s="14"/>
      <c r="D42" s="14"/>
      <c r="E42" s="14"/>
      <c r="F42" s="14"/>
      <c r="G42" s="14"/>
      <c r="H42" s="14"/>
      <c r="I42" s="14"/>
    </row>
    <row r="43" spans="1:20" x14ac:dyDescent="0.35">
      <c r="C43" s="14"/>
      <c r="D43" s="14"/>
      <c r="E43" s="14"/>
      <c r="F43" s="14"/>
      <c r="G43" s="14"/>
      <c r="H43" s="14"/>
      <c r="I43" s="14"/>
    </row>
    <row r="44" spans="1:20" x14ac:dyDescent="0.35">
      <c r="C44" s="14"/>
      <c r="D44" s="14"/>
      <c r="E44" s="14"/>
      <c r="F44" s="14"/>
      <c r="G44" s="14"/>
      <c r="H44" s="14"/>
      <c r="I44" s="14"/>
    </row>
  </sheetData>
  <mergeCells count="28">
    <mergeCell ref="G17:H17"/>
    <mergeCell ref="G12:H12"/>
    <mergeCell ref="G13:H13"/>
    <mergeCell ref="G14:H14"/>
    <mergeCell ref="G15:H15"/>
    <mergeCell ref="G16:H16"/>
    <mergeCell ref="D34:E34"/>
    <mergeCell ref="G33:H33"/>
    <mergeCell ref="G34:H34"/>
    <mergeCell ref="D18:E18"/>
    <mergeCell ref="D29:E29"/>
    <mergeCell ref="D33:E33"/>
    <mergeCell ref="D14:E14"/>
    <mergeCell ref="D15:E15"/>
    <mergeCell ref="A4:B4"/>
    <mergeCell ref="A5:B5"/>
    <mergeCell ref="A6:B6"/>
    <mergeCell ref="A12:A17"/>
    <mergeCell ref="B12:B17"/>
    <mergeCell ref="D16:E16"/>
    <mergeCell ref="D17:E17"/>
    <mergeCell ref="D11:E11"/>
    <mergeCell ref="D13:E13"/>
    <mergeCell ref="A18:A28"/>
    <mergeCell ref="B18:B28"/>
    <mergeCell ref="A29:A32"/>
    <mergeCell ref="B29:B32"/>
    <mergeCell ref="A8:B8"/>
  </mergeCells>
  <pageMargins left="0.7" right="0.7" top="0.75" bottom="0.75" header="0.3" footer="0.3"/>
  <pageSetup paperSize="8" scale="85" orientation="landscape" r:id="rId1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'techniczny 2'!$A$1:$A$2</xm:f>
          </x14:formula1>
          <xm:sqref>D29:E29 D18:E18 G33:H34 D33:E34</xm:sqref>
        </x14:dataValidation>
        <x14:dataValidation type="list" allowBlank="1" showInputMessage="1" showErrorMessage="1">
          <x14:formula1>
            <xm:f>'techniczny 2'!$B$1:$B$5</xm:f>
          </x14:formula1>
          <xm:sqref>G13:H17</xm:sqref>
        </x14:dataValidation>
        <x14:dataValidation type="list" allowBlank="1" showInputMessage="1" showErrorMessage="1">
          <x14:formula1>
            <xm:f>'techniczny 2'!$J$1:$J$3</xm:f>
          </x14:formula1>
          <xm:sqref>D11:E11</xm:sqref>
        </x14:dataValidation>
        <x14:dataValidation type="list" allowBlank="1" showInputMessage="1" showErrorMessage="1">
          <x14:formula1>
            <xm:f>'techniczny 2'!$N$1:$N$7</xm:f>
          </x14:formula1>
          <xm:sqref>D13:D17</xm:sqref>
        </x14:dataValidation>
        <x14:dataValidation type="list" allowBlank="1" showInputMessage="1" showErrorMessage="1">
          <x14:formula1>
            <xm:f>'techniczny 1'!$A$3:$A$19</xm:f>
          </x14:formula1>
          <xm:sqref>D30:D32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U43"/>
  <sheetViews>
    <sheetView showGridLines="0" zoomScale="80" zoomScaleNormal="80" workbookViewId="0"/>
  </sheetViews>
  <sheetFormatPr defaultColWidth="8.81640625" defaultRowHeight="15.5" x14ac:dyDescent="0.35"/>
  <cols>
    <col min="1" max="1" width="10.26953125" style="144" customWidth="1"/>
    <col min="2" max="2" width="22.26953125" style="1" customWidth="1"/>
    <col min="3" max="3" width="27.453125" style="1" customWidth="1"/>
    <col min="4" max="4" width="15.54296875" style="1" customWidth="1"/>
    <col min="5" max="5" width="3.81640625" style="1" customWidth="1"/>
    <col min="6" max="6" width="32.81640625" style="1" customWidth="1"/>
    <col min="7" max="7" width="15.1796875" style="1" customWidth="1"/>
    <col min="8" max="8" width="5.1796875" style="1" customWidth="1"/>
    <col min="9" max="9" width="24.1796875" style="1" bestFit="1" customWidth="1"/>
    <col min="10" max="10" width="8.26953125" style="1" customWidth="1"/>
    <col min="11" max="11" width="4.81640625" style="1" customWidth="1"/>
    <col min="12" max="12" width="11.7265625" style="1" customWidth="1"/>
    <col min="13" max="13" width="12.453125" style="1" customWidth="1"/>
    <col min="14" max="14" width="1.7265625" style="4" customWidth="1"/>
    <col min="15" max="15" width="9.7265625" style="5" customWidth="1"/>
    <col min="16" max="16" width="2.453125" style="5" customWidth="1"/>
    <col min="17" max="17" width="0.7265625" style="5" customWidth="1"/>
    <col min="18" max="18" width="5.1796875" style="4" customWidth="1"/>
    <col min="19" max="16384" width="8.81640625" style="1"/>
  </cols>
  <sheetData>
    <row r="1" spans="1:21" s="3" customFormat="1" ht="16.5" customHeight="1" x14ac:dyDescent="0.35">
      <c r="A1" s="155" t="s">
        <v>58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7"/>
      <c r="O1" s="35"/>
      <c r="P1" s="35"/>
      <c r="Q1" s="35"/>
      <c r="R1" s="17"/>
    </row>
    <row r="2" spans="1:21" s="3" customFormat="1" ht="16.5" customHeight="1" x14ac:dyDescent="0.35">
      <c r="A2" s="1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7"/>
      <c r="O2" s="35"/>
      <c r="P2" s="35"/>
      <c r="Q2" s="35"/>
      <c r="R2" s="17"/>
    </row>
    <row r="3" spans="1:21" s="3" customFormat="1" ht="16.5" customHeight="1" x14ac:dyDescent="0.35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7"/>
      <c r="O3" s="35"/>
      <c r="P3" s="35"/>
      <c r="Q3" s="35"/>
      <c r="R3" s="17"/>
    </row>
    <row r="4" spans="1:21" s="3" customFormat="1" ht="16.5" customHeight="1" x14ac:dyDescent="0.35">
      <c r="A4" s="325" t="s">
        <v>115</v>
      </c>
      <c r="B4" s="326"/>
      <c r="C4" s="193"/>
      <c r="D4" s="192"/>
      <c r="E4" s="190"/>
      <c r="F4" s="154"/>
      <c r="G4" s="154"/>
      <c r="H4" s="154"/>
      <c r="I4" s="154"/>
      <c r="J4" s="154"/>
      <c r="K4" s="154"/>
      <c r="L4" s="154"/>
      <c r="M4" s="154"/>
      <c r="N4" s="17"/>
      <c r="O4" s="35"/>
      <c r="P4" s="35"/>
      <c r="Q4" s="35"/>
      <c r="R4" s="17"/>
    </row>
    <row r="5" spans="1:21" s="3" customFormat="1" ht="16.5" customHeight="1" x14ac:dyDescent="0.35">
      <c r="A5" s="294" t="s">
        <v>116</v>
      </c>
      <c r="B5" s="294"/>
      <c r="C5" s="194" t="e">
        <f>100*M11*M12*M13*M15*M16*M23*M30*M31*M32</f>
        <v>#VALUE!</v>
      </c>
      <c r="D5" s="190"/>
      <c r="E5" s="190"/>
      <c r="F5" s="154"/>
      <c r="G5" s="154"/>
      <c r="H5" s="154"/>
      <c r="I5" s="154"/>
      <c r="J5" s="154"/>
      <c r="K5" s="154"/>
      <c r="L5" s="154"/>
      <c r="M5" s="154"/>
      <c r="N5" s="17"/>
      <c r="O5" s="35"/>
      <c r="P5" s="35"/>
      <c r="Q5" s="35"/>
      <c r="R5" s="17"/>
    </row>
    <row r="6" spans="1:21" s="3" customFormat="1" ht="16.5" customHeight="1" x14ac:dyDescent="0.35">
      <c r="A6" s="294" t="s">
        <v>114</v>
      </c>
      <c r="B6" s="294"/>
      <c r="C6" s="195" t="e">
        <f>IF(C5&gt;=80,"bezpieczna",(IF(C5&gt;=50,"średnio bezpieczna","niebezpieczna")))</f>
        <v>#VALUE!</v>
      </c>
      <c r="D6" s="191"/>
      <c r="E6" s="191"/>
      <c r="F6" s="154"/>
      <c r="G6" s="154"/>
      <c r="H6" s="154"/>
      <c r="I6" s="154"/>
      <c r="J6" s="154"/>
      <c r="K6" s="154"/>
      <c r="L6" s="154"/>
      <c r="M6" s="154"/>
      <c r="N6" s="17"/>
      <c r="O6" s="35"/>
      <c r="P6" s="35"/>
      <c r="Q6" s="35"/>
      <c r="R6" s="17"/>
    </row>
    <row r="7" spans="1:21" ht="16.5" customHeight="1" x14ac:dyDescent="0.35">
      <c r="A7" s="140"/>
      <c r="B7" s="70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1" s="6" customFormat="1" ht="16.5" customHeight="1" x14ac:dyDescent="0.35">
      <c r="A8" s="327" t="s">
        <v>60</v>
      </c>
      <c r="B8" s="327"/>
      <c r="C8" s="216"/>
      <c r="D8" s="188"/>
      <c r="E8" s="113"/>
      <c r="F8" s="112"/>
      <c r="G8" s="188"/>
      <c r="H8" s="113"/>
      <c r="I8" s="112"/>
      <c r="L8" s="117" t="s">
        <v>29</v>
      </c>
      <c r="M8" s="118">
        <f>IF(J14="tak",G14,G14+20)</f>
        <v>20</v>
      </c>
      <c r="N8" s="119" t="s">
        <v>4</v>
      </c>
      <c r="O8" s="120"/>
      <c r="P8" s="120"/>
      <c r="Q8" s="128"/>
      <c r="R8" s="128"/>
      <c r="T8" s="4"/>
      <c r="U8" s="4"/>
    </row>
    <row r="9" spans="1:21" s="116" customFormat="1" ht="16.5" customHeight="1" x14ac:dyDescent="0.35">
      <c r="A9" s="142"/>
      <c r="B9" s="26"/>
      <c r="C9" s="112"/>
      <c r="D9" s="114"/>
      <c r="E9" s="113"/>
      <c r="F9" s="112"/>
      <c r="G9" s="53"/>
      <c r="H9" s="53"/>
      <c r="I9" s="53"/>
      <c r="J9" s="53"/>
      <c r="K9" s="53"/>
      <c r="L9" s="54"/>
      <c r="M9" s="55"/>
      <c r="N9" s="115"/>
      <c r="O9" s="29"/>
      <c r="P9" s="29"/>
      <c r="Q9" s="29"/>
      <c r="R9" s="115"/>
    </row>
    <row r="10" spans="1:21" s="2" customFormat="1" ht="31" x14ac:dyDescent="0.35">
      <c r="A10" s="210" t="s">
        <v>117</v>
      </c>
      <c r="B10" s="258" t="s">
        <v>48</v>
      </c>
      <c r="C10" s="211"/>
      <c r="D10" s="212"/>
      <c r="E10" s="212"/>
      <c r="F10" s="213"/>
      <c r="G10" s="212"/>
      <c r="H10" s="212"/>
      <c r="I10" s="213"/>
      <c r="J10" s="212"/>
      <c r="K10" s="212"/>
      <c r="L10" s="195" t="s">
        <v>0</v>
      </c>
      <c r="M10" s="195" t="s">
        <v>1</v>
      </c>
      <c r="N10" s="133"/>
      <c r="O10" s="134" t="s">
        <v>6</v>
      </c>
      <c r="P10" s="134" t="s">
        <v>5</v>
      </c>
      <c r="Q10" s="134" t="s">
        <v>0</v>
      </c>
      <c r="R10" s="134"/>
      <c r="S10" s="15"/>
      <c r="T10" s="15"/>
      <c r="U10" s="15"/>
    </row>
    <row r="11" spans="1:21" s="4" customFormat="1" x14ac:dyDescent="0.35">
      <c r="A11" s="208" t="s">
        <v>76</v>
      </c>
      <c r="B11" s="257" t="s">
        <v>45</v>
      </c>
      <c r="C11" s="82" t="s">
        <v>50</v>
      </c>
      <c r="D11" s="295"/>
      <c r="E11" s="296"/>
      <c r="F11" s="96"/>
      <c r="G11" s="153"/>
      <c r="H11" s="170"/>
      <c r="I11" s="94"/>
      <c r="J11" s="95"/>
      <c r="K11" s="170"/>
      <c r="L11" s="174" t="str">
        <f>IF(D11="co najmniej 3,4 m",1,IF(D11="co najmniej 3,15 m",1.021,IF(D11="co najmniej 2,7 m",1.08,IF(D11="poniżej 2,7 m",1.12,"uzupełnij D11"))))</f>
        <v>uzupełnij D11</v>
      </c>
      <c r="M11" s="209" t="e">
        <f>1/L11</f>
        <v>#VALUE!</v>
      </c>
      <c r="O11" s="5"/>
      <c r="P11" s="5"/>
      <c r="Q11" s="5"/>
    </row>
    <row r="12" spans="1:21" s="6" customFormat="1" x14ac:dyDescent="0.35">
      <c r="A12" s="141" t="s">
        <v>68</v>
      </c>
      <c r="B12" s="255" t="s">
        <v>46</v>
      </c>
      <c r="C12" s="85" t="s">
        <v>102</v>
      </c>
      <c r="D12" s="308"/>
      <c r="E12" s="309"/>
      <c r="F12" s="86"/>
      <c r="G12" s="103"/>
      <c r="H12" s="89"/>
      <c r="I12" s="99"/>
      <c r="J12" s="110"/>
      <c r="K12" s="111"/>
      <c r="L12" s="293"/>
      <c r="M12" s="196">
        <f>MIN(1,1-0.5*(1-MIN(1,EXP(-0.4865)/EXP(-0.6869+0.0668*D12))))</f>
        <v>1</v>
      </c>
      <c r="O12" s="123"/>
      <c r="P12" s="123"/>
      <c r="Q12" s="123"/>
    </row>
    <row r="13" spans="1:21" s="4" customFormat="1" ht="47.25" customHeight="1" x14ac:dyDescent="0.35">
      <c r="A13" s="299" t="s">
        <v>69</v>
      </c>
      <c r="B13" s="322" t="s">
        <v>47</v>
      </c>
      <c r="C13" s="61" t="s">
        <v>150</v>
      </c>
      <c r="D13" s="297"/>
      <c r="E13" s="298"/>
      <c r="F13" s="25"/>
      <c r="G13" s="263"/>
      <c r="H13" s="10"/>
      <c r="I13" s="63"/>
      <c r="J13" s="64"/>
      <c r="K13" s="10"/>
      <c r="L13" s="328" t="e">
        <f>IF(D13="nie",1,1+0.7937*((0.09134*$M$8)^4)*((0.9134*$M$8)^2)/(32.2*(1.5*$D$14/0.3048)^2))</f>
        <v>#DIV/0!</v>
      </c>
      <c r="M13" s="330" t="e">
        <f>1/L13</f>
        <v>#DIV/0!</v>
      </c>
      <c r="N13" s="5"/>
    </row>
    <row r="14" spans="1:21" s="4" customFormat="1" ht="48" customHeight="1" x14ac:dyDescent="0.35">
      <c r="A14" s="301"/>
      <c r="B14" s="324"/>
      <c r="C14" s="109" t="str">
        <f>IF($D$13="tak","Promień najostrzejszego z łuków (R&lt;1000m)","")</f>
        <v/>
      </c>
      <c r="D14" s="264"/>
      <c r="E14" s="173" t="str">
        <f>IF($D$13="tak","m","")</f>
        <v/>
      </c>
      <c r="F14" s="189" t="str">
        <f>IF($D$13="tak","Dopuszczalna prędkość na najostrzejszym łuku","")</f>
        <v/>
      </c>
      <c r="G14" s="175"/>
      <c r="H14" s="173" t="str">
        <f>IF($D$13="tak","km/h","")</f>
        <v/>
      </c>
      <c r="I14" s="189" t="str">
        <f>IF($D$13="tak","Czy najostrzejszy łuk jest objęty nadzorem fotoradaru lub OPP?","")</f>
        <v/>
      </c>
      <c r="J14" s="332"/>
      <c r="K14" s="333"/>
      <c r="L14" s="329"/>
      <c r="M14" s="331"/>
      <c r="N14" s="5"/>
    </row>
    <row r="15" spans="1:21" s="4" customFormat="1" ht="31" x14ac:dyDescent="0.35">
      <c r="A15" s="141" t="s">
        <v>70</v>
      </c>
      <c r="B15" s="255" t="s">
        <v>77</v>
      </c>
      <c r="C15" s="85" t="s">
        <v>158</v>
      </c>
      <c r="D15" s="101"/>
      <c r="E15" s="12" t="s">
        <v>157</v>
      </c>
      <c r="F15" s="86"/>
      <c r="G15" s="267"/>
      <c r="H15" s="89"/>
      <c r="I15" s="87"/>
      <c r="J15" s="88"/>
      <c r="K15" s="89"/>
      <c r="L15" s="102" t="e">
        <f>IF(($D$15/(C8/1000))&gt;15,2,VLOOKUP(($D$15/(C8/1000)),'techniczny 1'!G3:H18,2))</f>
        <v>#DIV/0!</v>
      </c>
      <c r="M15" s="196" t="e">
        <f>1/L15</f>
        <v>#DIV/0!</v>
      </c>
      <c r="O15" s="5"/>
      <c r="P15" s="5"/>
      <c r="Q15" s="5"/>
    </row>
    <row r="16" spans="1:21" s="4" customFormat="1" ht="31" x14ac:dyDescent="0.35">
      <c r="A16" s="299" t="s">
        <v>71</v>
      </c>
      <c r="B16" s="322" t="s">
        <v>79</v>
      </c>
      <c r="C16" s="73" t="s">
        <v>78</v>
      </c>
      <c r="D16" s="297"/>
      <c r="E16" s="334"/>
      <c r="F16" s="106"/>
      <c r="G16" s="107"/>
      <c r="H16" s="108"/>
      <c r="I16" s="178"/>
      <c r="J16" s="179"/>
      <c r="K16" s="180"/>
      <c r="L16" s="58" t="e">
        <f>IF(SUM($G$17:$G$22)&gt;$C$8,FALSE,IF($D$16="nie",1,(($C$8-SUM($G$17:$G$22))*1+$G$17*$L$17+$G$18*$L$18+$G$19*$L$19+$G$20*$L$20+$G$21*$L$21+$G$22*$L$22)/$C$8))</f>
        <v>#DIV/0!</v>
      </c>
      <c r="M16" s="197" t="e">
        <f>1/L16</f>
        <v>#DIV/0!</v>
      </c>
      <c r="O16" s="5"/>
      <c r="P16" s="5"/>
      <c r="Q16" s="5"/>
    </row>
    <row r="17" spans="1:17" s="4" customFormat="1" ht="31.5" customHeight="1" x14ac:dyDescent="0.35">
      <c r="A17" s="300"/>
      <c r="B17" s="323"/>
      <c r="C17" s="98" t="str">
        <f>IF($D$16="tak","Typ skrzyżowania 1","")</f>
        <v/>
      </c>
      <c r="D17" s="335"/>
      <c r="E17" s="336"/>
      <c r="F17" s="146" t="str">
        <f>IF($D$16="tak","Długość skrzyżowania 1","")</f>
        <v/>
      </c>
      <c r="G17" s="67"/>
      <c r="H17" s="147" t="str">
        <f>IF($D$16="tak","m","")</f>
        <v/>
      </c>
      <c r="I17" s="105"/>
      <c r="J17" s="158"/>
      <c r="K17" s="159" t="s">
        <v>24</v>
      </c>
      <c r="L17" s="157">
        <f>IF(D17="",1,VLOOKUP(D17,'techniczny 1'!$R$3:$S$12,2,FALSE))</f>
        <v>1</v>
      </c>
      <c r="M17" s="198"/>
      <c r="O17" s="5"/>
      <c r="P17" s="5"/>
      <c r="Q17" s="5"/>
    </row>
    <row r="18" spans="1:17" s="4" customFormat="1" ht="31.5" customHeight="1" x14ac:dyDescent="0.35">
      <c r="A18" s="300"/>
      <c r="B18" s="323"/>
      <c r="C18" s="98" t="str">
        <f>IF($D$16="tak","Typ skrzyżowania 2","")</f>
        <v/>
      </c>
      <c r="D18" s="335"/>
      <c r="E18" s="336"/>
      <c r="F18" s="98" t="str">
        <f>IF($D$16="tak","Długość skrzyżowania 2","")</f>
        <v/>
      </c>
      <c r="G18" s="59"/>
      <c r="H18" s="9" t="str">
        <f t="shared" ref="H18:H22" si="0">IF($D$16="tak","m","")</f>
        <v/>
      </c>
      <c r="I18" s="105"/>
      <c r="J18" s="158"/>
      <c r="K18" s="159" t="s">
        <v>25</v>
      </c>
      <c r="L18" s="160">
        <f>IF(D18="",1,VLOOKUP(D18,'techniczny 1'!$R$3:$S$12,2,FALSE))</f>
        <v>1</v>
      </c>
      <c r="M18" s="198"/>
      <c r="O18" s="5"/>
      <c r="P18" s="5"/>
      <c r="Q18" s="5"/>
    </row>
    <row r="19" spans="1:17" s="4" customFormat="1" ht="31.5" customHeight="1" x14ac:dyDescent="0.35">
      <c r="A19" s="300"/>
      <c r="B19" s="323"/>
      <c r="C19" s="98" t="str">
        <f>IF($D$16="tak","Typ skrzyżowania 3","")</f>
        <v/>
      </c>
      <c r="D19" s="335"/>
      <c r="E19" s="336"/>
      <c r="F19" s="98" t="str">
        <f>IF($D$16="tak","Długość skrzyżowania 3","")</f>
        <v/>
      </c>
      <c r="G19" s="59"/>
      <c r="H19" s="9" t="str">
        <f t="shared" si="0"/>
        <v/>
      </c>
      <c r="I19" s="105"/>
      <c r="J19" s="158"/>
      <c r="K19" s="159" t="s">
        <v>26</v>
      </c>
      <c r="L19" s="160">
        <f>IF(D19="",1,VLOOKUP(D19,'techniczny 1'!$R$3:$S$12,2,FALSE))</f>
        <v>1</v>
      </c>
      <c r="M19" s="198"/>
      <c r="O19" s="5"/>
      <c r="P19" s="5"/>
      <c r="Q19" s="5"/>
    </row>
    <row r="20" spans="1:17" s="4" customFormat="1" ht="31.5" customHeight="1" x14ac:dyDescent="0.35">
      <c r="A20" s="300"/>
      <c r="B20" s="323"/>
      <c r="C20" s="98" t="str">
        <f>IF($D$16="tak","Typ skrzyżowania 4","")</f>
        <v/>
      </c>
      <c r="D20" s="316"/>
      <c r="E20" s="317"/>
      <c r="F20" s="98" t="str">
        <f>IF($D$16="tak","Długość skrzyżowania 4","")</f>
        <v/>
      </c>
      <c r="G20" s="379"/>
      <c r="H20" s="9" t="str">
        <f t="shared" si="0"/>
        <v/>
      </c>
      <c r="I20" s="105"/>
      <c r="J20" s="158"/>
      <c r="K20" s="159" t="s">
        <v>27</v>
      </c>
      <c r="L20" s="160">
        <f>IF(D20="",1,VLOOKUP(D20,'techniczny 1'!$R$3:$S$12,2,FALSE))</f>
        <v>1</v>
      </c>
      <c r="M20" s="198"/>
      <c r="O20" s="5"/>
      <c r="P20" s="5"/>
      <c r="Q20" s="5"/>
    </row>
    <row r="21" spans="1:17" s="4" customFormat="1" ht="31.5" customHeight="1" x14ac:dyDescent="0.35">
      <c r="A21" s="300"/>
      <c r="B21" s="323"/>
      <c r="C21" s="98" t="str">
        <f>IF($D$16="tak","Typ skrzyżowania 5","")</f>
        <v/>
      </c>
      <c r="D21" s="316"/>
      <c r="E21" s="317"/>
      <c r="F21" s="98" t="str">
        <f>IF($D$16="tak","Długość skrzyżowania 5","")</f>
        <v/>
      </c>
      <c r="G21" s="379"/>
      <c r="H21" s="9" t="str">
        <f t="shared" si="0"/>
        <v/>
      </c>
      <c r="I21" s="105"/>
      <c r="J21" s="158"/>
      <c r="K21" s="159" t="s">
        <v>177</v>
      </c>
      <c r="L21" s="160">
        <f>IF(D21="",1,VLOOKUP(D21,'techniczny 1'!$R$3:$S$12,2,FALSE))</f>
        <v>1</v>
      </c>
      <c r="M21" s="198"/>
      <c r="O21" s="5"/>
      <c r="P21" s="5"/>
      <c r="Q21" s="5"/>
    </row>
    <row r="22" spans="1:17" s="4" customFormat="1" ht="31.5" customHeight="1" x14ac:dyDescent="0.35">
      <c r="A22" s="301"/>
      <c r="B22" s="324"/>
      <c r="C22" s="98" t="str">
        <f>IF($D$16="tak","Typ skrzyżowania 6","")</f>
        <v/>
      </c>
      <c r="D22" s="346"/>
      <c r="E22" s="347"/>
      <c r="F22" s="98" t="str">
        <f>IF($D$16="tak","Długość skrzyżowania 6","")</f>
        <v/>
      </c>
      <c r="G22" s="60"/>
      <c r="H22" s="9" t="str">
        <f t="shared" si="0"/>
        <v/>
      </c>
      <c r="I22" s="83"/>
      <c r="J22" s="161"/>
      <c r="K22" s="162" t="s">
        <v>178</v>
      </c>
      <c r="L22" s="163">
        <f>IF(D22="",1,VLOOKUP(D22,'techniczny 1'!$R$3:$S$12,2,FALSE))</f>
        <v>1</v>
      </c>
      <c r="M22" s="199"/>
      <c r="O22" s="5"/>
      <c r="P22" s="5"/>
      <c r="Q22" s="5"/>
    </row>
    <row r="23" spans="1:17" s="4" customFormat="1" ht="79.5" customHeight="1" x14ac:dyDescent="0.35">
      <c r="A23" s="299" t="s">
        <v>72</v>
      </c>
      <c r="B23" s="322" t="s">
        <v>94</v>
      </c>
      <c r="C23" s="73" t="s">
        <v>95</v>
      </c>
      <c r="D23" s="342"/>
      <c r="E23" s="343"/>
      <c r="F23" s="73" t="s">
        <v>174</v>
      </c>
      <c r="G23" s="297"/>
      <c r="H23" s="298"/>
      <c r="I23" s="73" t="s">
        <v>98</v>
      </c>
      <c r="J23" s="342"/>
      <c r="K23" s="343"/>
      <c r="L23" s="65" t="e">
        <f>(3.1*L27+8.8*L26)/(3.1+8.8)</f>
        <v>#DIV/0!</v>
      </c>
      <c r="M23" s="197" t="e">
        <f>1/L23</f>
        <v>#DIV/0!</v>
      </c>
      <c r="O23" s="36"/>
      <c r="P23" s="36"/>
      <c r="Q23" s="5"/>
    </row>
    <row r="24" spans="1:17" s="4" customFormat="1" ht="79.5" customHeight="1" x14ac:dyDescent="0.35">
      <c r="A24" s="300"/>
      <c r="B24" s="323"/>
      <c r="C24" s="350"/>
      <c r="D24" s="351"/>
      <c r="E24" s="352"/>
      <c r="F24" s="98" t="str">
        <f>IF($G$23="tak","Liczba bezkolizyjnych przejść dla pieszych/przejazdów dla rowerów","")</f>
        <v/>
      </c>
      <c r="G24" s="344"/>
      <c r="H24" s="345"/>
      <c r="I24" s="98" t="str">
        <f>IF($G$23="tak","Czy na którymkolwiek z przejść lub przejazdów dopuszczalna prędkość wynosi więcej niż 70 km/h?","")</f>
        <v/>
      </c>
      <c r="J24" s="361"/>
      <c r="K24" s="362"/>
      <c r="L24" s="152"/>
      <c r="M24" s="260"/>
      <c r="O24" s="36"/>
      <c r="P24" s="36"/>
      <c r="Q24" s="5"/>
    </row>
    <row r="25" spans="1:17" s="4" customFormat="1" ht="51" customHeight="1" x14ac:dyDescent="0.35">
      <c r="A25" s="300"/>
      <c r="B25" s="323"/>
      <c r="C25" s="353"/>
      <c r="D25" s="354"/>
      <c r="E25" s="355"/>
      <c r="F25" s="98" t="str">
        <f>IF($G$23="tak","Liczba przejść dla pieszych/przejazdów dla rowerów z sygnalizacją świetlną i azylem","")</f>
        <v/>
      </c>
      <c r="G25" s="344"/>
      <c r="H25" s="345"/>
      <c r="I25" s="164"/>
      <c r="J25" s="158"/>
      <c r="K25" s="200"/>
      <c r="L25" s="160"/>
      <c r="M25" s="261"/>
      <c r="O25" s="36"/>
      <c r="P25" s="36"/>
      <c r="Q25" s="5"/>
    </row>
    <row r="26" spans="1:17" s="4" customFormat="1" ht="51" customHeight="1" x14ac:dyDescent="0.35">
      <c r="A26" s="300"/>
      <c r="B26" s="323"/>
      <c r="C26" s="353"/>
      <c r="D26" s="354"/>
      <c r="E26" s="355"/>
      <c r="F26" s="98" t="str">
        <f>IF($G$23="tak","Liczba przejść dla pieszych/przejazdów dla rowerów z sygnalizacją świetlną bez azylu","")</f>
        <v/>
      </c>
      <c r="G26" s="344"/>
      <c r="H26" s="345"/>
      <c r="I26" s="164"/>
      <c r="J26" s="158"/>
      <c r="K26" s="159" t="s">
        <v>35</v>
      </c>
      <c r="L26" s="160">
        <f>IF($D$23="pas ruchu dla rowerów",12,IF($D$23="pobocze o nawierzchni twardej o szerokości &gt; 1m",17, IF($D$23="brak przeznaczonej infrastruktury",20,1)))</f>
        <v>1</v>
      </c>
      <c r="M26" s="261"/>
      <c r="O26" s="36"/>
      <c r="P26" s="36"/>
      <c r="Q26" s="5"/>
    </row>
    <row r="27" spans="1:17" s="4" customFormat="1" ht="51" customHeight="1" x14ac:dyDescent="0.35">
      <c r="A27" s="300"/>
      <c r="B27" s="323"/>
      <c r="C27" s="353"/>
      <c r="D27" s="354"/>
      <c r="E27" s="355"/>
      <c r="F27" s="98" t="str">
        <f>IF($G$23="tak","Liczba przejść dla pieszych/przejazdów dla rowerów bez sygnalizacji świetlnej, z azylem","")</f>
        <v/>
      </c>
      <c r="G27" s="344"/>
      <c r="H27" s="345"/>
      <c r="I27" s="164"/>
      <c r="J27" s="158"/>
      <c r="K27" s="159" t="s">
        <v>36</v>
      </c>
      <c r="L27" s="160" t="e">
        <f>AVERAGE(L28:L29)</f>
        <v>#DIV/0!</v>
      </c>
      <c r="M27" s="261"/>
      <c r="O27" s="36"/>
      <c r="P27" s="36"/>
      <c r="Q27" s="5"/>
    </row>
    <row r="28" spans="1:17" s="4" customFormat="1" ht="51" customHeight="1" x14ac:dyDescent="0.35">
      <c r="A28" s="300"/>
      <c r="B28" s="323"/>
      <c r="C28" s="353"/>
      <c r="D28" s="354"/>
      <c r="E28" s="355"/>
      <c r="F28" s="98" t="str">
        <f>IF($G$23="tak","Liczba przejść dla pieszych/przejazdów dla rowerów bez sygnalizacji świetlnej i bez azylu","")</f>
        <v/>
      </c>
      <c r="G28" s="344"/>
      <c r="H28" s="345"/>
      <c r="I28" s="164"/>
      <c r="J28" s="158"/>
      <c r="K28" s="159" t="s">
        <v>37</v>
      </c>
      <c r="L28" s="160" t="e">
        <f>IF(SUM($G$24:$H$29)*100&gt;$C$8,FALSE,IF($G$23="nie",1,IF($J$24="tak",(($C$8-100*SUM($G$24:$H$29))*1+100*($G$24*1+$G$25*2.5+$G$26*3.1+$G$27*9.5+$G$28*12+$G$29*16.75))/$C$8,(($C$8-100*SUM($G$24:$H$29))*1+100*($G$24*1+$G$25*2+$G$26*2.5+$G$27*8+$G$28*10+$G$29*12))/$C$8)))</f>
        <v>#DIV/0!</v>
      </c>
      <c r="M28" s="261"/>
      <c r="O28" s="36"/>
      <c r="P28" s="36"/>
      <c r="Q28" s="5"/>
    </row>
    <row r="29" spans="1:17" s="4" customFormat="1" ht="51" customHeight="1" x14ac:dyDescent="0.35">
      <c r="A29" s="301"/>
      <c r="B29" s="324"/>
      <c r="C29" s="356"/>
      <c r="D29" s="357"/>
      <c r="E29" s="358"/>
      <c r="F29" s="109" t="str">
        <f>IF($G$23="tak","Liczba sugerowanych przejść dla pieszych","")</f>
        <v/>
      </c>
      <c r="G29" s="359"/>
      <c r="H29" s="360"/>
      <c r="I29" s="165"/>
      <c r="J29" s="158"/>
      <c r="K29" s="159" t="s">
        <v>38</v>
      </c>
      <c r="L29" s="160">
        <f>IF($J$23="brak przeznaczonej infrastruktury",20,IF($J$23="droga dla pieszych (lub droga dla pieszych i rowerów)",1,1))</f>
        <v>1</v>
      </c>
      <c r="M29" s="262"/>
      <c r="O29" s="36"/>
      <c r="P29" s="36"/>
      <c r="Q29" s="5"/>
    </row>
    <row r="30" spans="1:17" s="4" customFormat="1" ht="31" x14ac:dyDescent="0.35">
      <c r="A30" s="202" t="s">
        <v>73</v>
      </c>
      <c r="B30" s="256" t="s">
        <v>90</v>
      </c>
      <c r="C30" s="85" t="s">
        <v>91</v>
      </c>
      <c r="D30" s="341"/>
      <c r="E30" s="313"/>
      <c r="F30" s="85" t="s">
        <v>105</v>
      </c>
      <c r="G30" s="339"/>
      <c r="H30" s="340"/>
      <c r="I30" s="87"/>
      <c r="J30" s="88"/>
      <c r="K30" s="89"/>
      <c r="L30" s="100" t="b">
        <f>IF($D$30="o nawierzchni twardej",VLOOKUP($G$30,'techniczny 1'!K21:L26,2,0),IF($D$30="o nawierzchni gruntowej",VLOOKUP($G$30,'techniczny 1'!O21:P26,2,0)))</f>
        <v>0</v>
      </c>
      <c r="M30" s="196" t="e">
        <f>1/L30</f>
        <v>#DIV/0!</v>
      </c>
      <c r="O30" s="5"/>
      <c r="P30" s="5"/>
      <c r="Q30" s="5"/>
    </row>
    <row r="31" spans="1:17" s="4" customFormat="1" ht="50.25" customHeight="1" x14ac:dyDescent="0.35">
      <c r="A31" s="203" t="s">
        <v>74</v>
      </c>
      <c r="B31" s="256" t="s">
        <v>143</v>
      </c>
      <c r="C31" s="156" t="s">
        <v>64</v>
      </c>
      <c r="D31" s="348"/>
      <c r="E31" s="349"/>
      <c r="F31" s="96"/>
      <c r="G31" s="124"/>
      <c r="H31" s="170"/>
      <c r="I31" s="96"/>
      <c r="J31" s="337"/>
      <c r="K31" s="338"/>
      <c r="L31" s="125">
        <v>1</v>
      </c>
      <c r="M31" s="204">
        <f>1/L31</f>
        <v>1</v>
      </c>
      <c r="O31" s="5"/>
      <c r="P31" s="5"/>
      <c r="Q31" s="5"/>
    </row>
    <row r="32" spans="1:17" s="4" customFormat="1" ht="65.25" customHeight="1" x14ac:dyDescent="0.35">
      <c r="A32" s="202" t="s">
        <v>75</v>
      </c>
      <c r="B32" s="256" t="s">
        <v>137</v>
      </c>
      <c r="C32" s="85" t="s">
        <v>138</v>
      </c>
      <c r="D32" s="341"/>
      <c r="E32" s="309"/>
      <c r="F32" s="86"/>
      <c r="G32" s="205"/>
      <c r="H32" s="89"/>
      <c r="I32" s="87"/>
      <c r="J32" s="88"/>
      <c r="K32" s="89"/>
      <c r="L32" s="206" t="s">
        <v>2</v>
      </c>
      <c r="M32" s="207" t="str">
        <f>IF(D32="kompletne, wysokiej jakości i w dobrym stanie",1,IF(D32="kompletne, niskiej jakości lub w niedostatecznym stanie",0.95,IF(D32="niekompletne",0.9,"")))</f>
        <v/>
      </c>
      <c r="O32" s="5"/>
      <c r="P32" s="5"/>
      <c r="Q32" s="5"/>
    </row>
    <row r="33" spans="1:18" s="16" customFormat="1" x14ac:dyDescent="0.35">
      <c r="A33" s="142"/>
      <c r="B33" s="26"/>
      <c r="C33" s="27"/>
      <c r="D33" s="28"/>
      <c r="E33" s="29"/>
      <c r="F33" s="27"/>
      <c r="G33" s="28"/>
      <c r="H33" s="29"/>
      <c r="I33" s="29"/>
      <c r="J33" s="29"/>
      <c r="K33" s="29"/>
      <c r="L33" s="30"/>
      <c r="M33" s="31"/>
      <c r="O33" s="97"/>
      <c r="P33" s="5"/>
      <c r="Q33" s="5"/>
    </row>
    <row r="34" spans="1:18" s="3" customFormat="1" ht="18" x14ac:dyDescent="0.35">
      <c r="A34" s="143"/>
      <c r="B34" s="13"/>
      <c r="G34" s="13"/>
      <c r="N34" s="17"/>
      <c r="O34" s="35"/>
      <c r="P34" s="35"/>
      <c r="Q34" s="35"/>
      <c r="R34" s="17"/>
    </row>
    <row r="35" spans="1:18" x14ac:dyDescent="0.35">
      <c r="B35" s="14"/>
      <c r="G35" s="14"/>
    </row>
    <row r="36" spans="1:18" x14ac:dyDescent="0.35">
      <c r="B36" s="14"/>
      <c r="G36" s="14"/>
    </row>
    <row r="37" spans="1:18" x14ac:dyDescent="0.35">
      <c r="B37" s="14"/>
      <c r="C37" s="14"/>
      <c r="D37" s="14"/>
      <c r="E37" s="14"/>
      <c r="F37" s="14"/>
      <c r="G37" s="14"/>
    </row>
    <row r="38" spans="1:18" x14ac:dyDescent="0.35">
      <c r="B38" s="14"/>
      <c r="C38" s="14"/>
      <c r="D38" s="14"/>
      <c r="E38" s="14"/>
      <c r="F38" s="14"/>
      <c r="G38" s="14"/>
    </row>
    <row r="39" spans="1:18" x14ac:dyDescent="0.35">
      <c r="B39" s="14"/>
      <c r="C39" s="14"/>
      <c r="D39" s="14"/>
      <c r="E39" s="14"/>
      <c r="F39" s="14"/>
      <c r="G39" s="14"/>
    </row>
    <row r="40" spans="1:18" x14ac:dyDescent="0.35">
      <c r="B40" s="14"/>
      <c r="C40" s="14"/>
      <c r="D40" s="14"/>
      <c r="E40" s="14"/>
      <c r="F40" s="14"/>
      <c r="G40" s="14"/>
    </row>
    <row r="41" spans="1:18" x14ac:dyDescent="0.35">
      <c r="B41" s="14"/>
      <c r="C41" s="14"/>
      <c r="D41" s="14"/>
      <c r="E41" s="14"/>
      <c r="F41" s="14"/>
      <c r="G41" s="14"/>
    </row>
    <row r="42" spans="1:18" x14ac:dyDescent="0.35">
      <c r="B42" s="14"/>
      <c r="C42" s="14"/>
      <c r="D42" s="14"/>
      <c r="E42" s="14"/>
      <c r="F42" s="14"/>
      <c r="G42" s="14"/>
    </row>
    <row r="43" spans="1:18" x14ac:dyDescent="0.35">
      <c r="B43" s="14"/>
      <c r="C43" s="14"/>
      <c r="D43" s="14"/>
      <c r="E43" s="14"/>
      <c r="F43" s="14"/>
      <c r="G43" s="14"/>
    </row>
  </sheetData>
  <dataConsolidate/>
  <mergeCells count="39">
    <mergeCell ref="D32:E32"/>
    <mergeCell ref="J23:K23"/>
    <mergeCell ref="G26:H26"/>
    <mergeCell ref="D18:E18"/>
    <mergeCell ref="D19:E19"/>
    <mergeCell ref="D22:E22"/>
    <mergeCell ref="D23:E23"/>
    <mergeCell ref="G23:H23"/>
    <mergeCell ref="D31:E31"/>
    <mergeCell ref="G24:H24"/>
    <mergeCell ref="C24:E29"/>
    <mergeCell ref="G27:H27"/>
    <mergeCell ref="G25:H25"/>
    <mergeCell ref="G28:H28"/>
    <mergeCell ref="G29:H29"/>
    <mergeCell ref="J24:K24"/>
    <mergeCell ref="D16:E16"/>
    <mergeCell ref="D17:E17"/>
    <mergeCell ref="D11:E11"/>
    <mergeCell ref="J31:K31"/>
    <mergeCell ref="G30:H30"/>
    <mergeCell ref="D30:E30"/>
    <mergeCell ref="D20:E20"/>
    <mergeCell ref="D21:E21"/>
    <mergeCell ref="L13:L14"/>
    <mergeCell ref="M13:M14"/>
    <mergeCell ref="A6:B6"/>
    <mergeCell ref="A13:A14"/>
    <mergeCell ref="B13:B14"/>
    <mergeCell ref="J14:K14"/>
    <mergeCell ref="D12:E12"/>
    <mergeCell ref="D13:E13"/>
    <mergeCell ref="A16:A22"/>
    <mergeCell ref="B16:B22"/>
    <mergeCell ref="A23:A29"/>
    <mergeCell ref="A4:B4"/>
    <mergeCell ref="A8:B8"/>
    <mergeCell ref="A5:B5"/>
    <mergeCell ref="B23:B29"/>
  </mergeCells>
  <dataValidations count="3">
    <dataValidation type="whole" allowBlank="1" showInputMessage="1" showErrorMessage="1" sqref="G24:H29">
      <formula1>0</formula1>
      <formula2>10</formula2>
    </dataValidation>
    <dataValidation type="decimal" allowBlank="1" showInputMessage="1" showErrorMessage="1" sqref="D14">
      <formula1>30</formula1>
      <formula2>999</formula2>
    </dataValidation>
    <dataValidation type="decimal" allowBlank="1" showInputMessage="1" showErrorMessage="1" sqref="D12:E12">
      <formula1>1</formula1>
      <formula2>7</formula2>
    </dataValidation>
  </dataValidations>
  <pageMargins left="0.7" right="0.7" top="0.75" bottom="0.75" header="0.3" footer="0.3"/>
  <pageSetup paperSize="8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'techniczny 2'!$G$1:$G$10</xm:f>
          </x14:formula1>
          <xm:sqref>D17:D22 E17:E19 E22</xm:sqref>
        </x14:dataValidation>
        <x14:dataValidation type="list" allowBlank="1" showInputMessage="1" showErrorMessage="1">
          <x14:formula1>
            <xm:f>'techniczny 2'!$F$1:$F$5</xm:f>
          </x14:formula1>
          <xm:sqref>D23:E23</xm:sqref>
        </x14:dataValidation>
        <x14:dataValidation type="list" allowBlank="1" showInputMessage="1" showErrorMessage="1">
          <x14:formula1>
            <xm:f>'techniczny 2'!$D$1:$D$2</xm:f>
          </x14:formula1>
          <xm:sqref>D30:E30</xm:sqref>
        </x14:dataValidation>
        <x14:dataValidation type="list" allowBlank="1" showInputMessage="1" showErrorMessage="1">
          <x14:formula1>
            <xm:f>'techniczny 2'!$C$1:$C$3</xm:f>
          </x14:formula1>
          <xm:sqref>D32</xm:sqref>
        </x14:dataValidation>
        <x14:dataValidation type="list" allowBlank="1" showInputMessage="1" showErrorMessage="1">
          <x14:formula1>
            <xm:f>'techniczny 2'!$A$1:$A$2</xm:f>
          </x14:formula1>
          <xm:sqref>D16:E16 G9:K9 D33 G33 G23:H23 J14:K14 D13:E13 J24:K24</xm:sqref>
        </x14:dataValidation>
        <x14:dataValidation type="list" allowBlank="1" showInputMessage="1" showErrorMessage="1">
          <x14:formula1>
            <xm:f>'techniczny 2'!$H$1:$H$3</xm:f>
          </x14:formula1>
          <xm:sqref>J23:K23</xm:sqref>
        </x14:dataValidation>
        <x14:dataValidation type="list" allowBlank="1" showInputMessage="1" showErrorMessage="1">
          <x14:formula1>
            <xm:f>'techniczny 2'!$K$1:$K$4</xm:f>
          </x14:formula1>
          <xm:sqref>D11:E11</xm:sqref>
        </x14:dataValidation>
        <x14:dataValidation type="list" allowBlank="1" showInputMessage="1" showErrorMessage="1">
          <x14:formula1>
            <xm:f>'techniczny 1'!$K$3:$K$8</xm:f>
          </x14:formula1>
          <xm:sqref>G30:H30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Z44"/>
  <sheetViews>
    <sheetView showGridLines="0" zoomScale="80" zoomScaleNormal="80" workbookViewId="0"/>
  </sheetViews>
  <sheetFormatPr defaultColWidth="8.81640625" defaultRowHeight="15.5" x14ac:dyDescent="0.35"/>
  <cols>
    <col min="1" max="1" width="10.26953125" style="144" customWidth="1"/>
    <col min="2" max="2" width="22.26953125" style="1" customWidth="1"/>
    <col min="3" max="3" width="27.453125" style="1" customWidth="1"/>
    <col min="4" max="4" width="15.54296875" style="1" customWidth="1"/>
    <col min="5" max="5" width="3.81640625" style="1" customWidth="1"/>
    <col min="6" max="6" width="32.81640625" style="1" customWidth="1"/>
    <col min="7" max="7" width="15.1796875" style="1" customWidth="1"/>
    <col min="8" max="8" width="5.1796875" style="1" customWidth="1"/>
    <col min="9" max="9" width="24.1796875" style="1" bestFit="1" customWidth="1"/>
    <col min="10" max="10" width="8.26953125" style="1" customWidth="1"/>
    <col min="11" max="11" width="4.81640625" style="1" customWidth="1"/>
    <col min="12" max="12" width="11.7265625" style="1" customWidth="1"/>
    <col min="13" max="13" width="12.453125" style="1" customWidth="1"/>
    <col min="14" max="14" width="1.7265625" style="128" customWidth="1"/>
    <col min="15" max="15" width="9.7265625" style="49" customWidth="1"/>
    <col min="16" max="16" width="2.453125" style="49" customWidth="1"/>
    <col min="17" max="17" width="0.7265625" style="49" customWidth="1"/>
    <col min="18" max="18" width="5.1796875" style="128" customWidth="1"/>
    <col min="19" max="20" width="8.81640625" style="128"/>
    <col min="21" max="25" width="8.81640625" style="4"/>
    <col min="26" max="16384" width="8.81640625" style="1"/>
  </cols>
  <sheetData>
    <row r="1" spans="1:25" s="3" customFormat="1" ht="16.5" customHeight="1" x14ac:dyDescent="0.35">
      <c r="A1" s="155" t="s">
        <v>59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  <c r="N1" s="182"/>
      <c r="O1" s="52"/>
      <c r="P1" s="52"/>
      <c r="Q1" s="52"/>
      <c r="R1" s="182"/>
      <c r="S1" s="182"/>
      <c r="T1" s="182"/>
      <c r="U1" s="17"/>
      <c r="V1" s="17"/>
      <c r="W1" s="17"/>
      <c r="X1" s="17"/>
      <c r="Y1" s="17"/>
    </row>
    <row r="2" spans="1:25" s="3" customFormat="1" ht="16.5" customHeight="1" x14ac:dyDescent="0.35">
      <c r="A2" s="155"/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82"/>
      <c r="O2" s="52"/>
      <c r="P2" s="52"/>
      <c r="Q2" s="52"/>
      <c r="R2" s="182"/>
      <c r="S2" s="182"/>
      <c r="T2" s="182"/>
      <c r="U2" s="17"/>
      <c r="V2" s="17"/>
      <c r="W2" s="17"/>
      <c r="X2" s="17"/>
      <c r="Y2" s="17"/>
    </row>
    <row r="3" spans="1:25" s="3" customFormat="1" ht="16.5" customHeight="1" x14ac:dyDescent="0.35">
      <c r="A3" s="155"/>
      <c r="B3" s="154"/>
      <c r="C3" s="154"/>
      <c r="D3" s="154"/>
      <c r="E3" s="154"/>
      <c r="F3" s="154"/>
      <c r="G3" s="154"/>
      <c r="H3" s="154"/>
      <c r="I3" s="154"/>
      <c r="J3" s="154"/>
      <c r="K3" s="154"/>
      <c r="L3" s="154"/>
      <c r="M3" s="154"/>
      <c r="N3" s="182"/>
      <c r="O3" s="52"/>
      <c r="P3" s="52"/>
      <c r="Q3" s="52"/>
      <c r="R3" s="182"/>
      <c r="S3" s="182"/>
      <c r="T3" s="182"/>
      <c r="U3" s="17"/>
      <c r="V3" s="17"/>
      <c r="W3" s="17"/>
      <c r="X3" s="17"/>
      <c r="Y3" s="17"/>
    </row>
    <row r="4" spans="1:25" s="3" customFormat="1" ht="16.5" customHeight="1" x14ac:dyDescent="0.35">
      <c r="A4" s="325" t="s">
        <v>115</v>
      </c>
      <c r="B4" s="326"/>
      <c r="C4" s="193"/>
      <c r="D4" s="192"/>
      <c r="E4" s="169"/>
      <c r="F4" s="154"/>
      <c r="G4" s="154"/>
      <c r="H4" s="154"/>
      <c r="I4" s="154"/>
      <c r="J4" s="154"/>
      <c r="K4" s="154"/>
      <c r="L4" s="154"/>
      <c r="M4" s="154"/>
      <c r="N4" s="182"/>
      <c r="O4" s="52"/>
      <c r="P4" s="52"/>
      <c r="Q4" s="52"/>
      <c r="R4" s="182"/>
      <c r="S4" s="182"/>
      <c r="T4" s="182"/>
      <c r="U4" s="17"/>
      <c r="V4" s="17"/>
      <c r="W4" s="17"/>
      <c r="X4" s="17"/>
      <c r="Y4" s="17"/>
    </row>
    <row r="5" spans="1:25" s="3" customFormat="1" ht="16.5" customHeight="1" x14ac:dyDescent="0.35">
      <c r="A5" s="294" t="s">
        <v>116</v>
      </c>
      <c r="B5" s="294"/>
      <c r="C5" s="194" t="e">
        <f>100*M11*M12*M13*M15*M16*M23*M30*M32*M33</f>
        <v>#VALUE!</v>
      </c>
      <c r="D5" s="169"/>
      <c r="E5" s="169"/>
      <c r="F5" s="154"/>
      <c r="G5" s="154"/>
      <c r="H5" s="154"/>
      <c r="I5" s="154"/>
      <c r="J5" s="154"/>
      <c r="K5" s="154"/>
      <c r="L5" s="154"/>
      <c r="M5" s="154"/>
      <c r="N5" s="182"/>
      <c r="O5" s="52"/>
      <c r="P5" s="52"/>
      <c r="Q5" s="52"/>
      <c r="R5" s="182"/>
      <c r="S5" s="182"/>
      <c r="T5" s="182"/>
      <c r="U5" s="17"/>
      <c r="V5" s="17"/>
      <c r="W5" s="17"/>
      <c r="X5" s="17"/>
      <c r="Y5" s="17"/>
    </row>
    <row r="6" spans="1:25" s="3" customFormat="1" ht="16.5" customHeight="1" x14ac:dyDescent="0.35">
      <c r="A6" s="294" t="s">
        <v>114</v>
      </c>
      <c r="B6" s="294"/>
      <c r="C6" s="215" t="e">
        <f>IF(C5&gt;=80,"bezpieczna",(IF(C5&gt;=50,"średnio bezpieczna","niebezpieczna")))</f>
        <v>#VALUE!</v>
      </c>
      <c r="D6" s="214"/>
      <c r="E6" s="168"/>
      <c r="F6" s="154"/>
      <c r="G6" s="154"/>
      <c r="H6" s="154"/>
      <c r="I6" s="154"/>
      <c r="J6" s="154"/>
      <c r="K6" s="154"/>
      <c r="L6" s="154"/>
      <c r="M6" s="154"/>
      <c r="N6" s="182"/>
      <c r="O6" s="52"/>
      <c r="P6" s="52"/>
      <c r="Q6" s="52"/>
      <c r="R6" s="182"/>
      <c r="S6" s="182"/>
      <c r="T6" s="182"/>
      <c r="U6" s="17"/>
      <c r="V6" s="17"/>
      <c r="W6" s="17"/>
      <c r="X6" s="17"/>
      <c r="Y6" s="17"/>
    </row>
    <row r="7" spans="1:25" ht="16.5" customHeight="1" x14ac:dyDescent="0.35">
      <c r="A7" s="140"/>
      <c r="B7" s="70"/>
      <c r="C7" s="8"/>
      <c r="D7" s="8"/>
      <c r="E7" s="8"/>
      <c r="F7" s="8"/>
      <c r="G7" s="8"/>
      <c r="H7" s="8"/>
      <c r="I7" s="8"/>
      <c r="J7" s="8"/>
      <c r="K7" s="8"/>
      <c r="L7" s="8"/>
      <c r="M7" s="8"/>
    </row>
    <row r="8" spans="1:25" s="6" customFormat="1" ht="16.5" customHeight="1" x14ac:dyDescent="0.35">
      <c r="A8" s="327" t="s">
        <v>60</v>
      </c>
      <c r="B8" s="327"/>
      <c r="C8" s="216"/>
      <c r="L8" s="117" t="s">
        <v>29</v>
      </c>
      <c r="M8" s="118">
        <f>IF(J14="tak",G14,G14+20)</f>
        <v>20</v>
      </c>
      <c r="N8" s="129"/>
      <c r="O8" s="130"/>
      <c r="P8" s="120"/>
      <c r="Q8" s="128"/>
      <c r="R8" s="128"/>
      <c r="S8" s="128"/>
      <c r="T8" s="128"/>
      <c r="U8" s="4"/>
      <c r="V8" s="4"/>
      <c r="W8" s="4"/>
      <c r="X8" s="4"/>
      <c r="Y8" s="4"/>
    </row>
    <row r="9" spans="1:25" s="116" customFormat="1" ht="16.5" customHeight="1" x14ac:dyDescent="0.35">
      <c r="A9" s="142"/>
      <c r="B9" s="26"/>
      <c r="C9" s="112"/>
      <c r="D9" s="114"/>
      <c r="E9" s="113"/>
      <c r="F9" s="112"/>
      <c r="G9" s="53"/>
      <c r="H9" s="53"/>
      <c r="I9" s="53"/>
      <c r="J9" s="53"/>
      <c r="K9" s="53"/>
      <c r="L9" s="54"/>
      <c r="M9" s="55"/>
      <c r="N9" s="183"/>
      <c r="O9" s="184"/>
      <c r="P9" s="184"/>
      <c r="Q9" s="184"/>
      <c r="R9" s="183"/>
      <c r="S9" s="183"/>
      <c r="T9" s="183"/>
      <c r="U9" s="115"/>
      <c r="V9" s="115"/>
      <c r="W9" s="115"/>
      <c r="X9" s="115"/>
      <c r="Y9" s="115"/>
    </row>
    <row r="10" spans="1:25" s="2" customFormat="1" ht="31" x14ac:dyDescent="0.35">
      <c r="A10" s="210" t="s">
        <v>117</v>
      </c>
      <c r="B10" s="258" t="s">
        <v>48</v>
      </c>
      <c r="C10" s="211"/>
      <c r="D10" s="212"/>
      <c r="E10" s="212"/>
      <c r="F10" s="213"/>
      <c r="G10" s="212"/>
      <c r="H10" s="212"/>
      <c r="I10" s="213"/>
      <c r="J10" s="212"/>
      <c r="K10" s="212"/>
      <c r="L10" s="195" t="s">
        <v>0</v>
      </c>
      <c r="M10" s="195" t="s">
        <v>1</v>
      </c>
      <c r="N10" s="134"/>
      <c r="O10" s="134" t="s">
        <v>6</v>
      </c>
      <c r="P10" s="134" t="s">
        <v>5</v>
      </c>
      <c r="Q10" s="134" t="s">
        <v>0</v>
      </c>
      <c r="R10" s="134"/>
      <c r="S10" s="185"/>
      <c r="T10" s="185"/>
      <c r="U10" s="15"/>
      <c r="V10" s="15"/>
      <c r="W10" s="15"/>
      <c r="X10" s="15"/>
      <c r="Y10" s="15"/>
    </row>
    <row r="11" spans="1:25" s="4" customFormat="1" x14ac:dyDescent="0.35">
      <c r="A11" s="208" t="s">
        <v>76</v>
      </c>
      <c r="B11" s="257" t="s">
        <v>45</v>
      </c>
      <c r="C11" s="82" t="s">
        <v>50</v>
      </c>
      <c r="D11" s="295"/>
      <c r="E11" s="296"/>
      <c r="F11" s="96"/>
      <c r="G11" s="153"/>
      <c r="H11" s="170"/>
      <c r="I11" s="94"/>
      <c r="J11" s="95"/>
      <c r="K11" s="170"/>
      <c r="L11" s="174" t="str">
        <f>IF(D11="co najmniej 3,4 m",1,IF(D11="co najmniej 3,15 m",1.05,IF(D11="co najmniej 2,7 m",1.12,IF(D11="poniżej 2,7 m",1.19,"uzupełnij D11"))))</f>
        <v>uzupełnij D11</v>
      </c>
      <c r="M11" s="209" t="e">
        <f>1/L11</f>
        <v>#VALUE!</v>
      </c>
      <c r="N11" s="128"/>
      <c r="O11" s="49"/>
      <c r="P11" s="49"/>
      <c r="Q11" s="49"/>
      <c r="R11" s="128"/>
      <c r="S11" s="128"/>
      <c r="T11" s="128"/>
    </row>
    <row r="12" spans="1:25" s="4" customFormat="1" x14ac:dyDescent="0.35">
      <c r="A12" s="141" t="s">
        <v>68</v>
      </c>
      <c r="B12" s="255" t="s">
        <v>46</v>
      </c>
      <c r="C12" s="85" t="s">
        <v>112</v>
      </c>
      <c r="D12" s="308"/>
      <c r="E12" s="309"/>
      <c r="F12" s="85" t="s">
        <v>113</v>
      </c>
      <c r="G12" s="308"/>
      <c r="H12" s="309"/>
      <c r="I12" s="99"/>
      <c r="J12" s="110"/>
      <c r="K12" s="111"/>
      <c r="L12" s="100">
        <f>AVERAGE(MAX(1,EXP(-0.6869+0.0668*D12)/EXP(-0.4865)),MAX(1,EXP(-0.6869+0.0668*G12)/EXP(-0.4865)))</f>
        <v>1</v>
      </c>
      <c r="M12" s="196">
        <f>1/L12</f>
        <v>1</v>
      </c>
      <c r="N12" s="128"/>
      <c r="O12" s="51"/>
      <c r="P12" s="51"/>
      <c r="Q12" s="51"/>
      <c r="R12" s="128"/>
      <c r="S12" s="128"/>
      <c r="T12" s="128"/>
    </row>
    <row r="13" spans="1:25" s="4" customFormat="1" ht="47.25" customHeight="1" x14ac:dyDescent="0.35">
      <c r="A13" s="299" t="s">
        <v>69</v>
      </c>
      <c r="B13" s="322" t="s">
        <v>47</v>
      </c>
      <c r="C13" s="61" t="s">
        <v>150</v>
      </c>
      <c r="D13" s="297"/>
      <c r="E13" s="374"/>
      <c r="F13" s="63"/>
      <c r="G13" s="64"/>
      <c r="H13" s="10"/>
      <c r="I13" s="63"/>
      <c r="J13" s="64"/>
      <c r="K13" s="10"/>
      <c r="L13" s="328" t="e">
        <f>IF(D13="nie",1,1+0.7937*((0.09134*$M$8)^4)*((0.9134*$M$8)^2)/(32.2*(1.5*$D$14/0.3048)^2))</f>
        <v>#DIV/0!</v>
      </c>
      <c r="M13" s="330" t="e">
        <f>1/L13</f>
        <v>#DIV/0!</v>
      </c>
      <c r="N13" s="49"/>
      <c r="O13" s="128"/>
      <c r="P13" s="128"/>
      <c r="Q13" s="128"/>
      <c r="R13" s="128"/>
      <c r="S13" s="128"/>
      <c r="T13" s="128"/>
    </row>
    <row r="14" spans="1:25" s="4" customFormat="1" ht="48" customHeight="1" x14ac:dyDescent="0.35">
      <c r="A14" s="301"/>
      <c r="B14" s="324"/>
      <c r="C14" s="109" t="str">
        <f>IF($D$13="tak","Promień najostrzejszego z łuków (R&lt;1000m)","")</f>
        <v/>
      </c>
      <c r="D14" s="266"/>
      <c r="E14" s="173" t="str">
        <f>IF($D$13="tak","m","")</f>
        <v/>
      </c>
      <c r="F14" s="109" t="str">
        <f>IF($D$13="tak","Dopuszczalna prędkość na najostrzejszym łuku","")</f>
        <v/>
      </c>
      <c r="G14" s="175"/>
      <c r="H14" s="173" t="str">
        <f>IF($D$13="tak","km/h","")</f>
        <v/>
      </c>
      <c r="I14" s="109" t="str">
        <f>IF($D$13="tak","Czy najostrzejszy łuk jest objęty nadzorem fotoradaru lub OPP?","")</f>
        <v/>
      </c>
      <c r="J14" s="332"/>
      <c r="K14" s="333"/>
      <c r="L14" s="329"/>
      <c r="M14" s="331"/>
      <c r="N14" s="49"/>
      <c r="O14" s="128"/>
      <c r="P14" s="128"/>
      <c r="Q14" s="128"/>
      <c r="R14" s="128"/>
      <c r="S14" s="128"/>
      <c r="T14" s="128"/>
    </row>
    <row r="15" spans="1:25" s="4" customFormat="1" ht="31" x14ac:dyDescent="0.35">
      <c r="A15" s="141" t="s">
        <v>70</v>
      </c>
      <c r="B15" s="255" t="s">
        <v>77</v>
      </c>
      <c r="C15" s="85" t="s">
        <v>159</v>
      </c>
      <c r="D15" s="266"/>
      <c r="E15" s="12" t="s">
        <v>157</v>
      </c>
      <c r="F15" s="86"/>
      <c r="G15" s="265"/>
      <c r="H15" s="89"/>
      <c r="I15" s="87"/>
      <c r="J15" s="88"/>
      <c r="K15" s="89"/>
      <c r="L15" s="102" t="e">
        <f>IF(($D$15/(C8/1000))&gt;15,2,VLOOKUP(($D$15/(C8/1000)),'techniczny 1'!G3:H18,2))</f>
        <v>#DIV/0!</v>
      </c>
      <c r="M15" s="196" t="e">
        <f>1/L15</f>
        <v>#DIV/0!</v>
      </c>
      <c r="N15" s="128"/>
      <c r="O15" s="49"/>
      <c r="P15" s="49"/>
      <c r="Q15" s="49"/>
      <c r="R15" s="128"/>
      <c r="S15" s="128"/>
      <c r="T15" s="128"/>
    </row>
    <row r="16" spans="1:25" s="4" customFormat="1" ht="31" x14ac:dyDescent="0.35">
      <c r="A16" s="299" t="s">
        <v>71</v>
      </c>
      <c r="B16" s="322" t="s">
        <v>79</v>
      </c>
      <c r="C16" s="73" t="s">
        <v>78</v>
      </c>
      <c r="D16" s="297"/>
      <c r="E16" s="298"/>
      <c r="F16" s="106"/>
      <c r="G16" s="107"/>
      <c r="H16" s="108"/>
      <c r="I16" s="178"/>
      <c r="J16" s="179"/>
      <c r="K16" s="180"/>
      <c r="L16" s="58" t="e">
        <f>IF(SUM($G$17:$G$22)&gt;$C$8,FALSE,IF($D$16="nie",1,(($C$8-SUM($G$17:$G$22))*1+$G$17*$L$17+$G$18*$L$18+$G$19*$L$19+$G$20*$L$20+$G$21*$L$21+$G$22*$L$22)/$C$8))</f>
        <v>#DIV/0!</v>
      </c>
      <c r="M16" s="197" t="e">
        <f>1/L16</f>
        <v>#DIV/0!</v>
      </c>
      <c r="N16" s="128"/>
      <c r="O16" s="49"/>
      <c r="P16" s="49"/>
      <c r="Q16" s="49"/>
      <c r="R16" s="128"/>
      <c r="S16" s="128"/>
      <c r="T16" s="128"/>
    </row>
    <row r="17" spans="1:20" s="4" customFormat="1" ht="31.5" customHeight="1" x14ac:dyDescent="0.35">
      <c r="A17" s="300"/>
      <c r="B17" s="323"/>
      <c r="C17" s="98" t="str">
        <f>IF($D$16="tak","Typ skrzyżowania 1","")</f>
        <v/>
      </c>
      <c r="D17" s="335"/>
      <c r="E17" s="336"/>
      <c r="F17" s="98" t="str">
        <f>IF($D$16="tak","Długość skrzyżowania 1","")</f>
        <v/>
      </c>
      <c r="G17" s="59"/>
      <c r="H17" s="9" t="str">
        <f>IF($D$16="tak","m","")</f>
        <v/>
      </c>
      <c r="I17" s="164"/>
      <c r="J17" s="158"/>
      <c r="K17" s="159" t="s">
        <v>24</v>
      </c>
      <c r="L17" s="157">
        <f>IF(D17="",1,VLOOKUP(D17,'techniczny 1'!$R$3:$S$12,2,FALSE))</f>
        <v>1</v>
      </c>
      <c r="M17" s="198"/>
      <c r="N17" s="128"/>
      <c r="O17" s="49"/>
      <c r="P17" s="49"/>
      <c r="Q17" s="49"/>
      <c r="R17" s="128"/>
      <c r="S17" s="128"/>
      <c r="T17" s="128"/>
    </row>
    <row r="18" spans="1:20" s="4" customFormat="1" ht="31.5" customHeight="1" x14ac:dyDescent="0.35">
      <c r="A18" s="300"/>
      <c r="B18" s="323"/>
      <c r="C18" s="98" t="str">
        <f>IF($D$16="tak","Typ skrzyżowania 2","")</f>
        <v/>
      </c>
      <c r="D18" s="335"/>
      <c r="E18" s="336"/>
      <c r="F18" s="98" t="str">
        <f>IF($D$16="tak","Długość skrzyżowania 2","")</f>
        <v/>
      </c>
      <c r="G18" s="59"/>
      <c r="H18" s="9" t="str">
        <f t="shared" ref="H18:H22" si="0">IF($D$16="tak","m","")</f>
        <v/>
      </c>
      <c r="I18" s="164"/>
      <c r="J18" s="158"/>
      <c r="K18" s="159" t="s">
        <v>25</v>
      </c>
      <c r="L18" s="160">
        <f>IF(D18="",1,VLOOKUP(D18,'techniczny 1'!$R$3:$S$12,2,FALSE))</f>
        <v>1</v>
      </c>
      <c r="M18" s="198"/>
      <c r="N18" s="128"/>
      <c r="O18" s="49"/>
      <c r="P18" s="49"/>
      <c r="Q18" s="49"/>
      <c r="R18" s="128"/>
      <c r="S18" s="128"/>
      <c r="T18" s="128"/>
    </row>
    <row r="19" spans="1:20" s="4" customFormat="1" ht="31.5" customHeight="1" x14ac:dyDescent="0.35">
      <c r="A19" s="300"/>
      <c r="B19" s="323"/>
      <c r="C19" s="98" t="str">
        <f>IF($D$16="tak","Typ skrzyżowania 3","")</f>
        <v/>
      </c>
      <c r="D19" s="335"/>
      <c r="E19" s="336"/>
      <c r="F19" s="98" t="str">
        <f>IF($D$16="tak","Długość skrzyżowania 3","")</f>
        <v/>
      </c>
      <c r="G19" s="59"/>
      <c r="H19" s="9" t="str">
        <f t="shared" si="0"/>
        <v/>
      </c>
      <c r="I19" s="164"/>
      <c r="J19" s="158"/>
      <c r="K19" s="159" t="s">
        <v>26</v>
      </c>
      <c r="L19" s="160">
        <f>IF(D19="",1,VLOOKUP(D19,'techniczny 1'!$R$3:$S$12,2,FALSE))</f>
        <v>1</v>
      </c>
      <c r="M19" s="198"/>
      <c r="N19" s="128"/>
      <c r="O19" s="49"/>
      <c r="P19" s="49"/>
      <c r="Q19" s="49"/>
      <c r="R19" s="128"/>
      <c r="S19" s="128"/>
      <c r="T19" s="128"/>
    </row>
    <row r="20" spans="1:20" s="4" customFormat="1" ht="31.5" customHeight="1" x14ac:dyDescent="0.35">
      <c r="A20" s="300"/>
      <c r="B20" s="323"/>
      <c r="C20" s="98" t="str">
        <f>IF($D$16="tak","Typ skrzyżowania 4","")</f>
        <v/>
      </c>
      <c r="D20" s="335"/>
      <c r="E20" s="336"/>
      <c r="F20" s="98" t="str">
        <f>IF($D$16="tak","Długość skrzyżowania 4","")</f>
        <v/>
      </c>
      <c r="G20" s="59"/>
      <c r="H20" s="9" t="str">
        <f t="shared" si="0"/>
        <v/>
      </c>
      <c r="I20" s="164"/>
      <c r="J20" s="158"/>
      <c r="K20" s="159" t="s">
        <v>27</v>
      </c>
      <c r="L20" s="160">
        <f>IF(D20="",1,VLOOKUP(D20,'techniczny 1'!$R$3:$S$12,2,FALSE))</f>
        <v>1</v>
      </c>
      <c r="M20" s="198"/>
      <c r="N20" s="128"/>
      <c r="O20" s="49"/>
      <c r="P20" s="49"/>
      <c r="Q20" s="49"/>
      <c r="R20" s="128"/>
      <c r="S20" s="128"/>
      <c r="T20" s="128"/>
    </row>
    <row r="21" spans="1:20" s="4" customFormat="1" ht="31.5" customHeight="1" x14ac:dyDescent="0.35">
      <c r="A21" s="300"/>
      <c r="B21" s="323"/>
      <c r="C21" s="98" t="str">
        <f>IF($D$16="tak","Typ skrzyżowania 5","")</f>
        <v/>
      </c>
      <c r="D21" s="335"/>
      <c r="E21" s="336"/>
      <c r="F21" s="98" t="str">
        <f>IF($D$16="tak","Długość skrzyżowania 5","")</f>
        <v/>
      </c>
      <c r="G21" s="59"/>
      <c r="H21" s="9" t="str">
        <f t="shared" si="0"/>
        <v/>
      </c>
      <c r="I21" s="164"/>
      <c r="J21" s="158"/>
      <c r="K21" s="43" t="s">
        <v>177</v>
      </c>
      <c r="L21" s="160">
        <f>IF(D21="",1,VLOOKUP(D21,'techniczny 1'!$R$3:$S$12,2,FALSE))</f>
        <v>1</v>
      </c>
      <c r="M21" s="198"/>
      <c r="N21" s="128"/>
      <c r="O21" s="49"/>
      <c r="P21" s="49"/>
      <c r="Q21" s="49"/>
      <c r="R21" s="128"/>
      <c r="S21" s="128"/>
      <c r="T21" s="128"/>
    </row>
    <row r="22" spans="1:20" s="4" customFormat="1" ht="31.5" customHeight="1" x14ac:dyDescent="0.35">
      <c r="A22" s="301"/>
      <c r="B22" s="324"/>
      <c r="C22" s="98" t="str">
        <f>IF($D$16="tak","Typ skrzyżowania 6","")</f>
        <v/>
      </c>
      <c r="D22" s="346"/>
      <c r="E22" s="347"/>
      <c r="F22" s="98" t="str">
        <f>IF($D$16="tak","Długość skrzyżowania 6","")</f>
        <v/>
      </c>
      <c r="G22" s="60"/>
      <c r="H22" s="9" t="str">
        <f t="shared" si="0"/>
        <v/>
      </c>
      <c r="I22" s="165"/>
      <c r="J22" s="161"/>
      <c r="K22" s="162" t="s">
        <v>178</v>
      </c>
      <c r="L22" s="163">
        <f>IF(D22="",1,VLOOKUP(D22,'techniczny 1'!$R$3:$S$12,2,FALSE))</f>
        <v>1</v>
      </c>
      <c r="M22" s="199"/>
      <c r="N22" s="128"/>
      <c r="O22" s="49"/>
      <c r="P22" s="49"/>
      <c r="Q22" s="49"/>
      <c r="R22" s="128"/>
      <c r="S22" s="128"/>
      <c r="T22" s="128"/>
    </row>
    <row r="23" spans="1:20" s="4" customFormat="1" ht="79.5" customHeight="1" x14ac:dyDescent="0.35">
      <c r="A23" s="299" t="s">
        <v>72</v>
      </c>
      <c r="B23" s="322" t="s">
        <v>94</v>
      </c>
      <c r="C23" s="73" t="s">
        <v>99</v>
      </c>
      <c r="D23" s="342"/>
      <c r="E23" s="343"/>
      <c r="F23" s="73" t="s">
        <v>174</v>
      </c>
      <c r="G23" s="297" t="s">
        <v>52</v>
      </c>
      <c r="H23" s="298"/>
      <c r="I23" s="73" t="s">
        <v>100</v>
      </c>
      <c r="J23" s="371"/>
      <c r="K23" s="372"/>
      <c r="L23" s="148" t="e">
        <f>(3.1*L27+8.8*L26)/(3.1+8.8)</f>
        <v>#DIV/0!</v>
      </c>
      <c r="M23" s="197" t="e">
        <f>1/L23</f>
        <v>#DIV/0!</v>
      </c>
      <c r="N23" s="128"/>
      <c r="O23" s="186"/>
      <c r="P23" s="186"/>
      <c r="Q23" s="49"/>
      <c r="R23" s="128"/>
      <c r="S23" s="128"/>
      <c r="T23" s="128"/>
    </row>
    <row r="24" spans="1:20" s="4" customFormat="1" ht="79.5" customHeight="1" x14ac:dyDescent="0.35">
      <c r="A24" s="300"/>
      <c r="B24" s="323"/>
      <c r="C24" s="98" t="s">
        <v>173</v>
      </c>
      <c r="D24" s="316"/>
      <c r="E24" s="373"/>
      <c r="F24" s="98" t="str">
        <f>IF($G$23="tak","Liczba bezkolizyjnych przejść dla pieszych/przejazdów dla rowerów","")</f>
        <v>Liczba bezkolizyjnych przejść dla pieszych/przejazdów dla rowerów</v>
      </c>
      <c r="G24" s="344"/>
      <c r="H24" s="345"/>
      <c r="I24" s="98" t="s">
        <v>101</v>
      </c>
      <c r="J24" s="316"/>
      <c r="K24" s="373"/>
      <c r="L24" s="177"/>
      <c r="M24" s="217"/>
      <c r="N24" s="128"/>
      <c r="O24" s="186"/>
      <c r="P24" s="186"/>
      <c r="Q24" s="49"/>
      <c r="R24" s="128"/>
      <c r="S24" s="128"/>
      <c r="T24" s="128"/>
    </row>
    <row r="25" spans="1:20" s="4" customFormat="1" ht="79.5" customHeight="1" x14ac:dyDescent="0.35">
      <c r="A25" s="300"/>
      <c r="B25" s="323"/>
      <c r="C25" s="350"/>
      <c r="D25" s="351"/>
      <c r="E25" s="352"/>
      <c r="F25" s="98" t="str">
        <f>IF($G$23="tak","Liczba przejść dla pieszych/przejazdów dla rowerów z sygnalizacją świetlną i azylem","")</f>
        <v>Liczba przejść dla pieszych/przejazdów dla rowerów z sygnalizacją świetlną i azylem</v>
      </c>
      <c r="G25" s="344"/>
      <c r="H25" s="345"/>
      <c r="I25" s="98" t="str">
        <f>IF($G$23="tak","Czy na którymkolwiek z przejść lub przejazdów dopuszczalna prędkość wynosi więcej niż 70 km/h?","")</f>
        <v>Czy na którymkolwiek z przejść lub przejazdów dopuszczalna prędkość wynosi więcej niż 70 km/h?</v>
      </c>
      <c r="J25" s="361"/>
      <c r="K25" s="362"/>
      <c r="L25" s="127"/>
      <c r="M25" s="201"/>
      <c r="N25" s="128"/>
      <c r="O25" s="186"/>
      <c r="P25" s="186"/>
      <c r="Q25" s="49"/>
      <c r="R25" s="128"/>
      <c r="S25" s="128"/>
      <c r="T25" s="128"/>
    </row>
    <row r="26" spans="1:20" s="4" customFormat="1" ht="51" customHeight="1" x14ac:dyDescent="0.35">
      <c r="A26" s="300"/>
      <c r="B26" s="323"/>
      <c r="C26" s="353"/>
      <c r="D26" s="354"/>
      <c r="E26" s="355"/>
      <c r="F26" s="98" t="str">
        <f>IF($G$23="tak","Liczba przejść dla pieszych/przejazdów dla rowerów z sygnalizacją świetlną bez azylu","")</f>
        <v>Liczba przejść dla pieszych/przejazdów dla rowerów z sygnalizacją świetlną bez azylu</v>
      </c>
      <c r="G26" s="344"/>
      <c r="H26" s="345"/>
      <c r="I26" s="47"/>
      <c r="J26" s="48"/>
      <c r="K26" s="48"/>
      <c r="L26" s="160">
        <f>AVERAGE(IF($D$23="pas ruchu dla rowerów",12,IF($D$23="pobocze o nawierzchni twardej o szerokości &gt; 1m",17, IF($D$23="brak przeznaczonej infrastruktury",20,1))),IF($D$24="pas ruchu dla rowerów",12,IF($D$24="pobocze o nawierzchni twardej o szerokości &gt; 1m",17, IF($D$24="brak przeznaczonej infrastruktury",20,1))))</f>
        <v>1</v>
      </c>
      <c r="M26" s="159" t="s">
        <v>35</v>
      </c>
      <c r="N26" s="128"/>
      <c r="O26" s="186"/>
      <c r="P26" s="186"/>
      <c r="Q26" s="49"/>
      <c r="R26" s="128"/>
      <c r="S26" s="128"/>
      <c r="T26" s="128"/>
    </row>
    <row r="27" spans="1:20" s="4" customFormat="1" ht="51" customHeight="1" x14ac:dyDescent="0.35">
      <c r="A27" s="300"/>
      <c r="B27" s="323"/>
      <c r="C27" s="353"/>
      <c r="D27" s="354"/>
      <c r="E27" s="355"/>
      <c r="F27" s="98" t="str">
        <f>IF($G$23="tak","Liczba przejść dla pieszych/przejazdów dla rowerów bez sygnalizacji świetlnej, z azylem","")</f>
        <v>Liczba przejść dla pieszych/przejazdów dla rowerów bez sygnalizacji świetlnej, z azylem</v>
      </c>
      <c r="G27" s="344"/>
      <c r="H27" s="345"/>
      <c r="I27" s="47"/>
      <c r="J27" s="48"/>
      <c r="K27" s="48"/>
      <c r="L27" s="160" t="e">
        <f>AVERAGE(L28:L29)</f>
        <v>#DIV/0!</v>
      </c>
      <c r="M27" s="159" t="s">
        <v>36</v>
      </c>
      <c r="N27" s="128"/>
      <c r="O27" s="186"/>
      <c r="P27" s="186"/>
      <c r="Q27" s="49"/>
      <c r="R27" s="128"/>
      <c r="S27" s="128"/>
      <c r="T27" s="128"/>
    </row>
    <row r="28" spans="1:20" s="4" customFormat="1" ht="51" customHeight="1" x14ac:dyDescent="0.35">
      <c r="A28" s="300"/>
      <c r="B28" s="323"/>
      <c r="C28" s="353"/>
      <c r="D28" s="354"/>
      <c r="E28" s="355"/>
      <c r="F28" s="98" t="str">
        <f>IF($G$23="tak","Liczba przejść dla pieszych/przejazdów dla rowerów bez sygnalizacji świetlnej i bez azylu","")</f>
        <v>Liczba przejść dla pieszych/przejazdów dla rowerów bez sygnalizacji świetlnej i bez azylu</v>
      </c>
      <c r="G28" s="344"/>
      <c r="H28" s="345"/>
      <c r="I28" s="47"/>
      <c r="J28" s="48"/>
      <c r="K28" s="48"/>
      <c r="L28" s="160" t="e">
        <f>IF(SUM($G$24:$H$29)*100&gt;$C$8,FALSE,IF($G$23="nie",1,IF($J$25="tak",(($C$8-100*SUM($G$24:$H$29))*1+100*($G$24*1+$G$25*2.5+$G$26*3.1+$G$27*9.5+$G$28*12+$G$29*16.75))/$C$8,(($C$8-100*SUM($G$24:$H$29))*1+100*($G$24*1+$G$25*2+$G$26*2.5+$G$27*8+$G$28*10+$G$29*12))/$C$8)))</f>
        <v>#DIV/0!</v>
      </c>
      <c r="M28" s="159" t="s">
        <v>37</v>
      </c>
      <c r="N28" s="128"/>
      <c r="O28" s="186"/>
      <c r="P28" s="186"/>
      <c r="Q28" s="49"/>
      <c r="R28" s="128"/>
      <c r="S28" s="128"/>
      <c r="T28" s="128"/>
    </row>
    <row r="29" spans="1:20" s="4" customFormat="1" ht="51" customHeight="1" x14ac:dyDescent="0.35">
      <c r="A29" s="301"/>
      <c r="B29" s="324"/>
      <c r="C29" s="356"/>
      <c r="D29" s="357"/>
      <c r="E29" s="358"/>
      <c r="F29" s="109" t="str">
        <f>IF($G$23="tak","Liczba sugerowanych przejść dla pieszych","")</f>
        <v>Liczba sugerowanych przejść dla pieszych</v>
      </c>
      <c r="G29" s="359"/>
      <c r="H29" s="360"/>
      <c r="I29" s="57"/>
      <c r="J29" s="181"/>
      <c r="K29" s="48"/>
      <c r="L29" s="160">
        <f>AVERAGE(IF($J$23="brak przeznaczonej infrastruktury",20,IF($J$23="droga dla pieszych (lub droga dla pieszych i rowerów)",1,1)),IF($J$24="brak przeznaczonej infrastruktury",20,IF($J$24="droga dla pieszych",1,1)))</f>
        <v>1</v>
      </c>
      <c r="M29" s="159" t="s">
        <v>38</v>
      </c>
      <c r="N29" s="128"/>
      <c r="O29" s="186"/>
      <c r="P29" s="186"/>
      <c r="Q29" s="49"/>
      <c r="R29" s="128"/>
      <c r="S29" s="128"/>
      <c r="T29" s="128"/>
    </row>
    <row r="30" spans="1:20" s="4" customFormat="1" ht="31.5" customHeight="1" x14ac:dyDescent="0.35">
      <c r="A30" s="367" t="s">
        <v>73</v>
      </c>
      <c r="B30" s="369" t="s">
        <v>90</v>
      </c>
      <c r="C30" s="73" t="s">
        <v>92</v>
      </c>
      <c r="D30" s="342"/>
      <c r="E30" s="343"/>
      <c r="F30" s="73" t="s">
        <v>103</v>
      </c>
      <c r="G30" s="363"/>
      <c r="H30" s="364"/>
      <c r="I30" s="286"/>
      <c r="J30" s="244"/>
      <c r="K30" s="245"/>
      <c r="L30" s="65">
        <f>AVERAGE(IF($D$30="o nawierzchni twardej",VLOOKUP($G$30,'techniczny 1'!K3:L8,2,0),IF($D$30="o nawierzchni gruntowej",VLOOKUP($G$30,'techniczny 1'!O3:P8,2,0))),IF($D$31="o nawierzchni twardej",VLOOKUP($G$31,'techniczny 1'!K3:L8,2,0),IF($D$31="o nawierzchni gruntowej",VLOOKUP($G$31,'techniczny 1'!O3:P8,2,0))))</f>
        <v>0</v>
      </c>
      <c r="M30" s="292" t="str">
        <f>IF(L30&lt;1,"uzupełnij pobocza",1/L30)</f>
        <v>uzupełnij pobocza</v>
      </c>
      <c r="N30" s="128"/>
      <c r="O30" s="49"/>
      <c r="P30" s="49"/>
      <c r="Q30" s="49"/>
      <c r="R30" s="128"/>
      <c r="S30" s="128"/>
      <c r="T30" s="128"/>
    </row>
    <row r="31" spans="1:20" s="4" customFormat="1" x14ac:dyDescent="0.35">
      <c r="A31" s="368"/>
      <c r="B31" s="370"/>
      <c r="C31" s="109" t="s">
        <v>93</v>
      </c>
      <c r="D31" s="377"/>
      <c r="E31" s="378"/>
      <c r="F31" s="109" t="s">
        <v>104</v>
      </c>
      <c r="G31" s="365"/>
      <c r="H31" s="366"/>
      <c r="I31" s="287"/>
      <c r="J31" s="95"/>
      <c r="K31" s="176"/>
      <c r="L31" s="122"/>
      <c r="M31" s="218"/>
      <c r="N31" s="128"/>
      <c r="O31" s="49"/>
      <c r="P31" s="49"/>
      <c r="Q31" s="49"/>
      <c r="R31" s="128"/>
      <c r="S31" s="128"/>
      <c r="T31" s="128"/>
    </row>
    <row r="32" spans="1:20" s="4" customFormat="1" ht="50.25" customHeight="1" x14ac:dyDescent="0.35">
      <c r="A32" s="202" t="s">
        <v>74</v>
      </c>
      <c r="B32" s="256" t="s">
        <v>143</v>
      </c>
      <c r="C32" s="85" t="s">
        <v>67</v>
      </c>
      <c r="D32" s="308"/>
      <c r="E32" s="309"/>
      <c r="F32" s="85" t="str">
        <f>IF($D$32="nie","Długość odcinka, na którym występuje nachylenie drogi przekraczające 4%","")</f>
        <v/>
      </c>
      <c r="G32" s="121"/>
      <c r="H32" s="11" t="str">
        <f>IF($D$32="nie","m","")</f>
        <v/>
      </c>
      <c r="I32" s="85" t="str">
        <f>IF($D$32="tak","",IF($G$32=0,"","Czy występuje dodatkowy pas ruchu do wyprzedzania?"))</f>
        <v/>
      </c>
      <c r="J32" s="375"/>
      <c r="K32" s="376"/>
      <c r="L32" s="100">
        <f>IF($D$32="tak",1,IF($G$32&lt;500.5,1,IF($J$32="tak, w dwóch kierunkach",1,IF($J$32="tak, w jednym kierunku",1.149*$G$32/$C$8+1*($C$8-$G$32)/$C$8,IF($J$32="nie",1.502*$G$32/$C$8+1*($C$8-$G$32)/$C$8)))))</f>
        <v>1</v>
      </c>
      <c r="M32" s="219">
        <f>1/L32</f>
        <v>1</v>
      </c>
      <c r="N32" s="128"/>
      <c r="O32" s="49"/>
      <c r="P32" s="49"/>
      <c r="Q32" s="49"/>
      <c r="R32" s="128"/>
      <c r="S32" s="128"/>
      <c r="T32" s="128"/>
    </row>
    <row r="33" spans="1:26" s="4" customFormat="1" ht="50.25" customHeight="1" x14ac:dyDescent="0.35">
      <c r="A33" s="202" t="s">
        <v>75</v>
      </c>
      <c r="B33" s="256" t="s">
        <v>137</v>
      </c>
      <c r="C33" s="85" t="s">
        <v>138</v>
      </c>
      <c r="D33" s="375"/>
      <c r="E33" s="376"/>
      <c r="F33" s="86"/>
      <c r="G33" s="205"/>
      <c r="H33" s="89"/>
      <c r="I33" s="87"/>
      <c r="J33" s="88"/>
      <c r="K33" s="89"/>
      <c r="L33" s="206" t="s">
        <v>2</v>
      </c>
      <c r="M33" s="207" t="str">
        <f>IF(D33="kompletne, wysokiej jakości i w dobrym stanie",1,IF(D33="kompletne, niskiej jakości lub w niedostatecznym stanie",0.95,IF(D33="niekompletne",0.9,"")))</f>
        <v/>
      </c>
      <c r="N33" s="128"/>
      <c r="O33" s="49"/>
      <c r="P33" s="49"/>
      <c r="Q33" s="49"/>
      <c r="R33" s="128"/>
      <c r="S33" s="128"/>
      <c r="T33" s="128"/>
    </row>
    <row r="34" spans="1:26" s="16" customFormat="1" x14ac:dyDescent="0.35">
      <c r="A34" s="142"/>
      <c r="B34" s="26"/>
      <c r="C34" s="27"/>
      <c r="D34" s="28"/>
      <c r="E34" s="29"/>
      <c r="F34" s="27"/>
      <c r="G34" s="28"/>
      <c r="H34" s="29"/>
      <c r="I34" s="29"/>
      <c r="J34" s="29"/>
      <c r="K34" s="29"/>
      <c r="L34" s="30"/>
      <c r="M34" s="31"/>
      <c r="N34" s="50"/>
      <c r="O34" s="187"/>
      <c r="P34" s="49"/>
      <c r="Q34" s="49"/>
      <c r="R34" s="50"/>
      <c r="S34" s="50"/>
      <c r="T34" s="50"/>
    </row>
    <row r="35" spans="1:26" s="3" customFormat="1" ht="18" x14ac:dyDescent="0.35">
      <c r="A35" s="143"/>
      <c r="B35" s="13"/>
      <c r="G35" s="13"/>
      <c r="N35" s="182"/>
      <c r="O35" s="52"/>
      <c r="P35" s="52"/>
      <c r="Q35" s="52"/>
      <c r="R35" s="182"/>
      <c r="S35" s="182"/>
      <c r="T35" s="182"/>
      <c r="U35" s="17"/>
      <c r="V35" s="17"/>
      <c r="W35" s="17"/>
      <c r="X35" s="17"/>
      <c r="Y35" s="17"/>
      <c r="Z35" s="17"/>
    </row>
    <row r="36" spans="1:26" x14ac:dyDescent="0.35">
      <c r="B36" s="14"/>
      <c r="G36" s="14"/>
      <c r="Z36" s="4"/>
    </row>
    <row r="37" spans="1:26" x14ac:dyDescent="0.35">
      <c r="B37" s="14"/>
      <c r="G37" s="14"/>
      <c r="Z37" s="4"/>
    </row>
    <row r="38" spans="1:26" x14ac:dyDescent="0.35">
      <c r="B38" s="14"/>
      <c r="C38" s="14"/>
      <c r="D38" s="14"/>
      <c r="E38" s="14"/>
      <c r="F38" s="14"/>
      <c r="G38" s="14"/>
      <c r="Z38" s="4"/>
    </row>
    <row r="39" spans="1:26" x14ac:dyDescent="0.35">
      <c r="B39" s="14"/>
      <c r="C39" s="14"/>
      <c r="D39" s="14"/>
      <c r="E39" s="14"/>
      <c r="F39" s="14"/>
      <c r="G39" s="14"/>
      <c r="Z39" s="4"/>
    </row>
    <row r="40" spans="1:26" x14ac:dyDescent="0.35">
      <c r="B40" s="14"/>
      <c r="C40" s="14"/>
      <c r="D40" s="14"/>
      <c r="E40" s="14"/>
      <c r="F40" s="14"/>
      <c r="G40" s="14"/>
      <c r="Z40" s="4"/>
    </row>
    <row r="41" spans="1:26" x14ac:dyDescent="0.35">
      <c r="B41" s="14"/>
      <c r="C41" s="14"/>
      <c r="D41" s="14"/>
      <c r="E41" s="14"/>
      <c r="F41" s="14"/>
      <c r="G41" s="14"/>
    </row>
    <row r="42" spans="1:26" x14ac:dyDescent="0.35">
      <c r="B42" s="14"/>
      <c r="C42" s="14"/>
      <c r="D42" s="14"/>
      <c r="E42" s="14"/>
      <c r="F42" s="14"/>
      <c r="G42" s="14"/>
    </row>
    <row r="43" spans="1:26" x14ac:dyDescent="0.35">
      <c r="B43" s="14"/>
      <c r="C43" s="14"/>
      <c r="D43" s="14"/>
      <c r="E43" s="14"/>
      <c r="F43" s="14"/>
      <c r="G43" s="14"/>
    </row>
    <row r="44" spans="1:26" x14ac:dyDescent="0.35">
      <c r="B44" s="14"/>
      <c r="C44" s="14"/>
      <c r="D44" s="14"/>
      <c r="E44" s="14"/>
      <c r="F44" s="14"/>
      <c r="G44" s="14"/>
    </row>
  </sheetData>
  <dataConsolidate/>
  <mergeCells count="46">
    <mergeCell ref="L13:L14"/>
    <mergeCell ref="M13:M14"/>
    <mergeCell ref="D13:E13"/>
    <mergeCell ref="D33:E33"/>
    <mergeCell ref="D16:E16"/>
    <mergeCell ref="D17:E17"/>
    <mergeCell ref="D18:E18"/>
    <mergeCell ref="D24:E24"/>
    <mergeCell ref="D22:E22"/>
    <mergeCell ref="D21:E21"/>
    <mergeCell ref="D30:E30"/>
    <mergeCell ref="D23:E23"/>
    <mergeCell ref="J14:K14"/>
    <mergeCell ref="J32:K32"/>
    <mergeCell ref="D32:E32"/>
    <mergeCell ref="D31:E31"/>
    <mergeCell ref="G12:H12"/>
    <mergeCell ref="G24:H24"/>
    <mergeCell ref="G25:H25"/>
    <mergeCell ref="G28:H28"/>
    <mergeCell ref="G29:H29"/>
    <mergeCell ref="G23:H23"/>
    <mergeCell ref="J23:K23"/>
    <mergeCell ref="J24:K24"/>
    <mergeCell ref="G26:H26"/>
    <mergeCell ref="G27:H27"/>
    <mergeCell ref="C25:E29"/>
    <mergeCell ref="J25:K25"/>
    <mergeCell ref="A4:B4"/>
    <mergeCell ref="A5:B5"/>
    <mergeCell ref="A6:B6"/>
    <mergeCell ref="A8:B8"/>
    <mergeCell ref="A13:A14"/>
    <mergeCell ref="A16:A22"/>
    <mergeCell ref="B16:B22"/>
    <mergeCell ref="D12:E12"/>
    <mergeCell ref="D11:E11"/>
    <mergeCell ref="B13:B14"/>
    <mergeCell ref="D19:E19"/>
    <mergeCell ref="D20:E20"/>
    <mergeCell ref="G30:H30"/>
    <mergeCell ref="G31:H31"/>
    <mergeCell ref="A30:A31"/>
    <mergeCell ref="A23:A29"/>
    <mergeCell ref="B30:B31"/>
    <mergeCell ref="B23:B29"/>
  </mergeCells>
  <dataValidations count="4">
    <dataValidation type="decimal" allowBlank="1" showInputMessage="1" showErrorMessage="1" sqref="G12:H12 D12:E12">
      <formula1>1</formula1>
      <formula2>7</formula2>
    </dataValidation>
    <dataValidation type="decimal" allowBlank="1" showInputMessage="1" showErrorMessage="1" sqref="D14">
      <formula1>30</formula1>
      <formula2>999</formula2>
    </dataValidation>
    <dataValidation type="whole" allowBlank="1" showInputMessage="1" showErrorMessage="1" sqref="G24:H29">
      <formula1>0</formula1>
      <formula2>10</formula2>
    </dataValidation>
    <dataValidation type="decimal" allowBlank="1" showInputMessage="1" showErrorMessage="1" sqref="G32">
      <formula1>0</formula1>
      <formula2>C8</formula2>
    </dataValidation>
  </dataValidations>
  <pageMargins left="0.7" right="0.7" top="0.75" bottom="0.75" header="0.3" footer="0.3"/>
  <pageSetup paperSize="8" scale="84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'techniczny 2'!$A$1:$A$2</xm:f>
          </x14:formula1>
          <xm:sqref>D32:E32 D16:E16 G9:K9 D34 G34 G23:H23 J14:K14 D13:E13 J25:K25</xm:sqref>
        </x14:dataValidation>
        <x14:dataValidation type="list" allowBlank="1" showInputMessage="1" showErrorMessage="1">
          <x14:formula1>
            <xm:f>'techniczny 2'!$C$1:$C$3</xm:f>
          </x14:formula1>
          <xm:sqref>D33</xm:sqref>
        </x14:dataValidation>
        <x14:dataValidation type="list" allowBlank="1" showInputMessage="1" showErrorMessage="1">
          <x14:formula1>
            <xm:f>'techniczny 2'!$D$1:$D$2</xm:f>
          </x14:formula1>
          <xm:sqref>D30:E31</xm:sqref>
        </x14:dataValidation>
        <x14:dataValidation type="list" allowBlank="1" showInputMessage="1" showErrorMessage="1">
          <x14:formula1>
            <xm:f>'techniczny 2'!$E$1:$E$3</xm:f>
          </x14:formula1>
          <xm:sqref>J32:K32</xm:sqref>
        </x14:dataValidation>
        <x14:dataValidation type="list" allowBlank="1" showInputMessage="1" showErrorMessage="1">
          <x14:formula1>
            <xm:f>'techniczny 2'!$F$1:$F$5</xm:f>
          </x14:formula1>
          <xm:sqref>D23:E24</xm:sqref>
        </x14:dataValidation>
        <x14:dataValidation type="list" allowBlank="1" showInputMessage="1" showErrorMessage="1">
          <x14:formula1>
            <xm:f>'techniczny 2'!$G$1:$G$10</xm:f>
          </x14:formula1>
          <xm:sqref>D17:E22</xm:sqref>
        </x14:dataValidation>
        <x14:dataValidation type="list" allowBlank="1" showInputMessage="1" showErrorMessage="1">
          <x14:formula1>
            <xm:f>'techniczny 2'!$H$1:$H$3</xm:f>
          </x14:formula1>
          <xm:sqref>J23:K24</xm:sqref>
        </x14:dataValidation>
        <x14:dataValidation type="list" allowBlank="1" showInputMessage="1" showErrorMessage="1">
          <x14:formula1>
            <xm:f>'techniczny 2'!$K$1:$K$4</xm:f>
          </x14:formula1>
          <xm:sqref>D11:E11</xm:sqref>
        </x14:dataValidation>
        <x14:dataValidation type="list" allowBlank="1" showInputMessage="1" showErrorMessage="1">
          <x14:formula1>
            <xm:f>'techniczny 1'!$K$3:$K$8</xm:f>
          </x14:formula1>
          <xm:sqref>G30:H31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</sheetPr>
  <dimension ref="A1:J1"/>
  <sheetViews>
    <sheetView zoomScale="85" zoomScaleNormal="85" workbookViewId="0"/>
  </sheetViews>
  <sheetFormatPr defaultRowHeight="15.5" x14ac:dyDescent="0.35"/>
  <cols>
    <col min="1" max="8" width="18.26953125" style="252" customWidth="1"/>
    <col min="9" max="10" width="18.26953125" style="254" customWidth="1"/>
  </cols>
  <sheetData>
    <row r="1" spans="1:10" s="251" customFormat="1" ht="62" x14ac:dyDescent="0.35">
      <c r="A1" s="250" t="s">
        <v>126</v>
      </c>
      <c r="B1" s="250" t="s">
        <v>151</v>
      </c>
      <c r="C1" s="250" t="s">
        <v>115</v>
      </c>
      <c r="D1" s="250" t="s">
        <v>131</v>
      </c>
      <c r="E1" s="250" t="s">
        <v>132</v>
      </c>
      <c r="F1" s="250" t="s">
        <v>118</v>
      </c>
      <c r="G1" s="250" t="s">
        <v>124</v>
      </c>
      <c r="H1" s="250" t="s">
        <v>119</v>
      </c>
      <c r="I1" s="250" t="s">
        <v>120</v>
      </c>
      <c r="J1" s="250" t="s">
        <v>125</v>
      </c>
    </row>
  </sheetData>
  <conditionalFormatting sqref="I1:J1048576">
    <cfRule type="containsText" dxfId="2" priority="1" operator="containsText" text="średnio bezpieczna">
      <formula>NOT(ISERROR(SEARCH("średnio bezpieczna",I1)))</formula>
    </cfRule>
    <cfRule type="containsText" dxfId="1" priority="2" operator="containsText" text="bezpieczna">
      <formula>NOT(ISERROR(SEARCH("bezpieczna",I1)))</formula>
    </cfRule>
    <cfRule type="containsText" dxfId="0" priority="3" operator="containsText" text="niebezpieczna">
      <formula>NOT(ISERROR(SEARCH("niebezpieczna",I1)))</formula>
    </cfRule>
  </conditionalFormatting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'techniczny 2'!$L$1:$L$3</xm:f>
          </x14:formula1>
          <xm:sqref>I2:J1048576</xm:sqref>
        </x14:dataValidation>
        <x14:dataValidation type="list" allowBlank="1" showInputMessage="1" showErrorMessage="1">
          <x14:formula1>
            <xm:f>'techniczny 2'!$M$1:$M$4</xm:f>
          </x14:formula1>
          <xm:sqref>A2:B1048576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40"/>
  <sheetViews>
    <sheetView showGridLines="0" zoomScale="115" zoomScaleNormal="115" workbookViewId="0">
      <selection activeCell="J13" sqref="J13"/>
    </sheetView>
  </sheetViews>
  <sheetFormatPr defaultRowHeight="15.5" x14ac:dyDescent="0.35"/>
  <cols>
    <col min="1" max="1" width="16.26953125" customWidth="1"/>
    <col min="2" max="2" width="12.453125" customWidth="1"/>
    <col min="3" max="3" width="2.81640625" customWidth="1"/>
    <col min="4" max="4" width="16.26953125" customWidth="1"/>
    <col min="5" max="5" width="12.453125" customWidth="1"/>
    <col min="6" max="6" width="2.81640625" customWidth="1"/>
    <col min="7" max="7" width="22.1796875" customWidth="1"/>
    <col min="8" max="8" width="17.453125" customWidth="1"/>
    <col min="9" max="9" width="2.81640625" customWidth="1"/>
    <col min="10" max="10" width="12.81640625" bestFit="1" customWidth="1"/>
    <col min="11" max="11" width="10.1796875" bestFit="1" customWidth="1"/>
    <col min="13" max="13" width="2.81640625" customWidth="1"/>
    <col min="14" max="14" width="12.81640625" bestFit="1" customWidth="1"/>
    <col min="15" max="15" width="10.1796875" bestFit="1" customWidth="1"/>
    <col min="17" max="17" width="2.81640625" customWidth="1"/>
    <col min="18" max="18" width="33.453125" bestFit="1" customWidth="1"/>
    <col min="19" max="19" width="10.26953125" bestFit="1" customWidth="1"/>
  </cols>
  <sheetData>
    <row r="1" spans="1:19" ht="16" thickBot="1" x14ac:dyDescent="0.4">
      <c r="A1" s="24" t="s">
        <v>21</v>
      </c>
      <c r="B1" s="24"/>
      <c r="D1" s="24" t="s">
        <v>23</v>
      </c>
      <c r="E1" s="24"/>
      <c r="G1" s="24" t="s">
        <v>8</v>
      </c>
      <c r="H1" s="24"/>
      <c r="J1" s="24" t="s">
        <v>30</v>
      </c>
      <c r="K1" s="24"/>
      <c r="L1" s="24"/>
      <c r="N1" s="24" t="s">
        <v>31</v>
      </c>
      <c r="O1" s="24"/>
      <c r="P1" s="24"/>
      <c r="R1" s="24" t="s">
        <v>28</v>
      </c>
      <c r="S1" s="24"/>
    </row>
    <row r="2" spans="1:19" ht="54.5" thickBot="1" x14ac:dyDescent="0.4">
      <c r="A2" s="20" t="s">
        <v>7</v>
      </c>
      <c r="B2" s="20" t="s">
        <v>0</v>
      </c>
      <c r="D2" s="20" t="s">
        <v>7</v>
      </c>
      <c r="E2" s="20" t="s">
        <v>0</v>
      </c>
      <c r="G2" s="20" t="s">
        <v>9</v>
      </c>
      <c r="H2" s="20" t="s">
        <v>16</v>
      </c>
      <c r="J2" s="20" t="s">
        <v>10</v>
      </c>
      <c r="K2" s="20" t="s">
        <v>17</v>
      </c>
      <c r="L2" s="20" t="s">
        <v>16</v>
      </c>
      <c r="N2" s="20" t="s">
        <v>10</v>
      </c>
      <c r="O2" s="20" t="s">
        <v>17</v>
      </c>
      <c r="P2" s="20" t="s">
        <v>16</v>
      </c>
      <c r="R2" s="20" t="s">
        <v>18</v>
      </c>
      <c r="S2" s="20" t="s">
        <v>16</v>
      </c>
    </row>
    <row r="3" spans="1:19" ht="27.5" thickBot="1" x14ac:dyDescent="0.4">
      <c r="A3" s="21">
        <v>140</v>
      </c>
      <c r="B3" s="22">
        <v>1.609</v>
      </c>
      <c r="D3" s="21">
        <v>140</v>
      </c>
      <c r="E3" s="22">
        <v>1.2909999999999999</v>
      </c>
      <c r="G3" s="21">
        <v>0</v>
      </c>
      <c r="H3" s="34">
        <v>1</v>
      </c>
      <c r="J3" s="37" t="s">
        <v>32</v>
      </c>
      <c r="K3" s="284" t="s">
        <v>171</v>
      </c>
      <c r="L3" s="285">
        <v>1.2110000000000001</v>
      </c>
      <c r="N3" s="37" t="s">
        <v>32</v>
      </c>
      <c r="O3" s="284" t="s">
        <v>171</v>
      </c>
      <c r="P3" s="285">
        <v>1.2110000000000001</v>
      </c>
      <c r="R3" s="56" t="s">
        <v>80</v>
      </c>
      <c r="S3" s="34">
        <v>1</v>
      </c>
    </row>
    <row r="4" spans="1:19" ht="41" thickBot="1" x14ac:dyDescent="0.4">
      <c r="A4" s="21">
        <v>200</v>
      </c>
      <c r="B4" s="22">
        <v>1.395</v>
      </c>
      <c r="D4" s="21">
        <v>200</v>
      </c>
      <c r="E4" s="22">
        <v>1.24</v>
      </c>
      <c r="G4" s="21">
        <v>1</v>
      </c>
      <c r="H4" s="33">
        <v>1.0449999999999999</v>
      </c>
      <c r="J4" s="37" t="s">
        <v>15</v>
      </c>
      <c r="K4" s="284" t="s">
        <v>170</v>
      </c>
      <c r="L4" s="285">
        <v>1.127</v>
      </c>
      <c r="N4" s="37" t="s">
        <v>15</v>
      </c>
      <c r="O4" s="284" t="s">
        <v>170</v>
      </c>
      <c r="P4" s="285">
        <v>1.1359999999999999</v>
      </c>
      <c r="R4" s="56" t="s">
        <v>81</v>
      </c>
      <c r="S4" s="34">
        <v>1</v>
      </c>
    </row>
    <row r="5" spans="1:19" ht="41" thickBot="1" x14ac:dyDescent="0.4">
      <c r="A5" s="21">
        <v>260</v>
      </c>
      <c r="B5" s="22">
        <v>1.2989999999999999</v>
      </c>
      <c r="D5" s="21">
        <v>260</v>
      </c>
      <c r="E5" s="22">
        <v>1.2050000000000001</v>
      </c>
      <c r="G5" s="21">
        <v>2</v>
      </c>
      <c r="H5" s="33">
        <v>1.093</v>
      </c>
      <c r="J5" s="37" t="s">
        <v>14</v>
      </c>
      <c r="K5" s="284" t="s">
        <v>169</v>
      </c>
      <c r="L5" s="285">
        <v>1.097</v>
      </c>
      <c r="N5" s="37" t="s">
        <v>14</v>
      </c>
      <c r="O5" s="284" t="s">
        <v>169</v>
      </c>
      <c r="P5" s="285">
        <v>1.1060000000000001</v>
      </c>
      <c r="R5" s="56" t="s">
        <v>82</v>
      </c>
      <c r="S5" s="34">
        <v>1</v>
      </c>
    </row>
    <row r="6" spans="1:19" ht="41" thickBot="1" x14ac:dyDescent="0.4">
      <c r="A6" s="21">
        <v>320</v>
      </c>
      <c r="B6" s="22">
        <v>1.236</v>
      </c>
      <c r="D6" s="21">
        <v>320</v>
      </c>
      <c r="E6" s="22">
        <v>1.173</v>
      </c>
      <c r="G6" s="21">
        <v>3</v>
      </c>
      <c r="H6" s="33">
        <v>1.1439999999999999</v>
      </c>
      <c r="J6" s="37" t="s">
        <v>13</v>
      </c>
      <c r="K6" s="284" t="s">
        <v>168</v>
      </c>
      <c r="L6" s="285">
        <v>1.0629999999999999</v>
      </c>
      <c r="N6" s="37" t="s">
        <v>13</v>
      </c>
      <c r="O6" s="284" t="s">
        <v>168</v>
      </c>
      <c r="P6" s="285">
        <v>1.077</v>
      </c>
      <c r="R6" s="56" t="s">
        <v>83</v>
      </c>
      <c r="S6" s="34">
        <v>1.044</v>
      </c>
    </row>
    <row r="7" spans="1:19" ht="41" thickBot="1" x14ac:dyDescent="0.4">
      <c r="A7" s="21">
        <v>380</v>
      </c>
      <c r="B7" s="22">
        <v>1.1950000000000001</v>
      </c>
      <c r="D7" s="21">
        <v>380</v>
      </c>
      <c r="E7" s="22">
        <v>1.151</v>
      </c>
      <c r="G7" s="21">
        <v>4</v>
      </c>
      <c r="H7" s="33">
        <v>1.1970000000000001</v>
      </c>
      <c r="J7" s="37" t="s">
        <v>12</v>
      </c>
      <c r="K7" s="284" t="s">
        <v>167</v>
      </c>
      <c r="L7" s="285">
        <v>1</v>
      </c>
      <c r="N7" s="37" t="s">
        <v>12</v>
      </c>
      <c r="O7" s="284" t="s">
        <v>167</v>
      </c>
      <c r="P7" s="285">
        <v>1.0169999999999999</v>
      </c>
      <c r="R7" s="56" t="s">
        <v>84</v>
      </c>
      <c r="S7" s="34">
        <v>1.1299999999999999</v>
      </c>
    </row>
    <row r="8" spans="1:19" ht="41" thickBot="1" x14ac:dyDescent="0.4">
      <c r="A8" s="21">
        <v>440</v>
      </c>
      <c r="B8" s="22">
        <v>1.1659999999999999</v>
      </c>
      <c r="D8" s="21">
        <v>440</v>
      </c>
      <c r="E8" s="22">
        <v>1.151</v>
      </c>
      <c r="G8" s="21">
        <v>5</v>
      </c>
      <c r="H8" s="33">
        <v>1.2529999999999999</v>
      </c>
      <c r="J8" s="37" t="s">
        <v>11</v>
      </c>
      <c r="K8" s="284" t="s">
        <v>166</v>
      </c>
      <c r="L8" s="285">
        <v>1</v>
      </c>
      <c r="N8" s="37" t="s">
        <v>11</v>
      </c>
      <c r="O8" s="284" t="s">
        <v>166</v>
      </c>
      <c r="P8" s="285">
        <v>1.0169999999999999</v>
      </c>
      <c r="R8" s="56" t="s">
        <v>85</v>
      </c>
      <c r="S8" s="34">
        <v>1.391</v>
      </c>
    </row>
    <row r="9" spans="1:19" ht="16" thickBot="1" x14ac:dyDescent="0.4">
      <c r="A9" s="21">
        <v>500</v>
      </c>
      <c r="B9" s="22">
        <v>1.1439999999999999</v>
      </c>
      <c r="D9" s="21">
        <v>500</v>
      </c>
      <c r="E9" s="22">
        <v>1.1060000000000001</v>
      </c>
      <c r="G9" s="21">
        <v>6</v>
      </c>
      <c r="H9" s="33">
        <v>1.3120000000000001</v>
      </c>
      <c r="R9" s="56" t="s">
        <v>86</v>
      </c>
      <c r="S9" s="34">
        <v>1</v>
      </c>
    </row>
    <row r="10" spans="1:19" ht="16" thickBot="1" x14ac:dyDescent="0.4">
      <c r="A10" s="21">
        <v>560</v>
      </c>
      <c r="B10" s="22">
        <v>1.1279999999999999</v>
      </c>
      <c r="D10" s="21">
        <v>560</v>
      </c>
      <c r="E10" s="22">
        <v>1.1060000000000001</v>
      </c>
      <c r="G10" s="21">
        <v>7</v>
      </c>
      <c r="H10" s="33">
        <v>1.3740000000000001</v>
      </c>
      <c r="R10" s="56" t="s">
        <v>87</v>
      </c>
      <c r="S10" s="34">
        <v>1.42</v>
      </c>
    </row>
    <row r="11" spans="1:19" ht="16" thickBot="1" x14ac:dyDescent="0.4">
      <c r="A11" s="21">
        <v>620</v>
      </c>
      <c r="B11" s="22">
        <v>1.115</v>
      </c>
      <c r="D11" s="21">
        <v>620</v>
      </c>
      <c r="E11" s="22">
        <v>1.0660000000000001</v>
      </c>
      <c r="G11" s="21">
        <v>8</v>
      </c>
      <c r="H11" s="33">
        <v>1.4390000000000001</v>
      </c>
      <c r="R11" s="56" t="s">
        <v>88</v>
      </c>
      <c r="S11" s="34">
        <v>1.5149999999999999</v>
      </c>
    </row>
    <row r="12" spans="1:19" ht="16" thickBot="1" x14ac:dyDescent="0.4">
      <c r="A12" s="21">
        <v>700</v>
      </c>
      <c r="B12" s="22">
        <v>1.101</v>
      </c>
      <c r="D12" s="21">
        <v>700</v>
      </c>
      <c r="E12" s="22">
        <v>1.0660000000000001</v>
      </c>
      <c r="G12" s="21">
        <v>9</v>
      </c>
      <c r="H12" s="33">
        <v>1.508</v>
      </c>
      <c r="R12" s="56" t="s">
        <v>89</v>
      </c>
      <c r="S12" s="34">
        <v>2.1779999999999999</v>
      </c>
    </row>
    <row r="13" spans="1:19" ht="16" thickBot="1" x14ac:dyDescent="0.4">
      <c r="A13" s="21">
        <v>800</v>
      </c>
      <c r="B13" s="22">
        <v>1.0880000000000001</v>
      </c>
      <c r="D13" s="21">
        <v>800</v>
      </c>
      <c r="E13" s="22">
        <v>1.0660000000000001</v>
      </c>
      <c r="G13" s="21">
        <v>10</v>
      </c>
      <c r="H13" s="33">
        <v>1.581</v>
      </c>
    </row>
    <row r="14" spans="1:19" ht="16" thickBot="1" x14ac:dyDescent="0.4">
      <c r="A14" s="21">
        <v>900</v>
      </c>
      <c r="B14" s="22">
        <v>1.077</v>
      </c>
      <c r="D14" s="21">
        <v>900</v>
      </c>
      <c r="E14" s="22">
        <v>1.032</v>
      </c>
      <c r="G14" s="21">
        <v>11</v>
      </c>
      <c r="H14" s="33">
        <v>1.6579999999999999</v>
      </c>
    </row>
    <row r="15" spans="1:19" ht="16" thickBot="1" x14ac:dyDescent="0.4">
      <c r="A15" s="21">
        <v>1000</v>
      </c>
      <c r="B15" s="22">
        <v>1.069</v>
      </c>
      <c r="D15" s="21">
        <v>1000</v>
      </c>
      <c r="E15" s="22">
        <v>1.032</v>
      </c>
      <c r="G15" s="21">
        <v>12</v>
      </c>
      <c r="H15" s="33">
        <v>1.7390000000000001</v>
      </c>
    </row>
    <row r="16" spans="1:19" ht="16" thickBot="1" x14ac:dyDescent="0.4">
      <c r="A16" s="21">
        <v>1100</v>
      </c>
      <c r="B16" s="22">
        <v>1.0629999999999999</v>
      </c>
      <c r="D16" s="21">
        <v>1100</v>
      </c>
      <c r="E16" s="22">
        <v>1.032</v>
      </c>
      <c r="G16" s="21">
        <v>13</v>
      </c>
      <c r="H16" s="33">
        <v>1.825</v>
      </c>
    </row>
    <row r="17" spans="1:16" ht="16" thickBot="1" x14ac:dyDescent="0.4">
      <c r="A17" s="21">
        <v>1200</v>
      </c>
      <c r="B17" s="22">
        <v>1.0569999999999999</v>
      </c>
      <c r="D17" s="21">
        <v>1200</v>
      </c>
      <c r="E17" s="22">
        <v>1.032</v>
      </c>
      <c r="G17" s="21">
        <v>14</v>
      </c>
      <c r="H17" s="33">
        <v>1.9159999999999999</v>
      </c>
    </row>
    <row r="18" spans="1:16" ht="16" thickBot="1" x14ac:dyDescent="0.4">
      <c r="A18" s="21">
        <v>1400</v>
      </c>
      <c r="B18" s="22">
        <v>1.0489999999999999</v>
      </c>
      <c r="D18" s="21">
        <v>1400</v>
      </c>
      <c r="E18" s="22">
        <v>1.032</v>
      </c>
      <c r="G18" s="21">
        <v>15</v>
      </c>
      <c r="H18" s="34">
        <v>2</v>
      </c>
      <c r="P18" s="104"/>
    </row>
    <row r="19" spans="1:16" ht="16" thickBot="1" x14ac:dyDescent="0.4">
      <c r="A19" s="21">
        <v>1600</v>
      </c>
      <c r="B19" s="22">
        <v>1.0429999999999999</v>
      </c>
      <c r="D19" s="21">
        <v>1600</v>
      </c>
      <c r="E19" s="22">
        <v>1.032</v>
      </c>
      <c r="J19" s="24" t="s">
        <v>33</v>
      </c>
      <c r="K19" s="24"/>
      <c r="L19" s="24"/>
      <c r="N19" s="24" t="s">
        <v>34</v>
      </c>
      <c r="O19" s="24"/>
      <c r="P19" s="24"/>
    </row>
    <row r="20" spans="1:16" ht="41" thickBot="1" x14ac:dyDescent="0.4">
      <c r="J20" s="20" t="s">
        <v>10</v>
      </c>
      <c r="K20" s="20" t="s">
        <v>17</v>
      </c>
      <c r="L20" s="20" t="s">
        <v>16</v>
      </c>
      <c r="N20" s="20" t="s">
        <v>10</v>
      </c>
      <c r="O20" s="20" t="s">
        <v>17</v>
      </c>
      <c r="P20" s="20" t="s">
        <v>16</v>
      </c>
    </row>
    <row r="21" spans="1:16" ht="27.5" thickBot="1" x14ac:dyDescent="0.4">
      <c r="G21" s="23"/>
      <c r="J21" s="37" t="s">
        <v>32</v>
      </c>
      <c r="K21" s="284" t="s">
        <v>171</v>
      </c>
      <c r="L21" s="285">
        <v>1.18</v>
      </c>
      <c r="N21" s="37" t="s">
        <v>32</v>
      </c>
      <c r="O21" s="284" t="s">
        <v>171</v>
      </c>
      <c r="P21" s="285">
        <v>1.18</v>
      </c>
    </row>
    <row r="22" spans="1:16" ht="41" thickBot="1" x14ac:dyDescent="0.4">
      <c r="J22" s="37" t="s">
        <v>15</v>
      </c>
      <c r="K22" s="284" t="s">
        <v>170</v>
      </c>
      <c r="L22" s="285">
        <v>1.1299999999999999</v>
      </c>
      <c r="N22" s="37" t="s">
        <v>15</v>
      </c>
      <c r="O22" s="284" t="s">
        <v>170</v>
      </c>
      <c r="P22" s="285">
        <v>1.139</v>
      </c>
    </row>
    <row r="23" spans="1:16" ht="41" thickBot="1" x14ac:dyDescent="0.4">
      <c r="J23" s="37" t="s">
        <v>14</v>
      </c>
      <c r="K23" s="284" t="s">
        <v>169</v>
      </c>
      <c r="L23" s="285">
        <v>1.1100000000000001</v>
      </c>
      <c r="N23" s="37" t="s">
        <v>14</v>
      </c>
      <c r="O23" s="284" t="s">
        <v>169</v>
      </c>
      <c r="P23" s="285">
        <v>1.119</v>
      </c>
    </row>
    <row r="24" spans="1:16" ht="41" thickBot="1" x14ac:dyDescent="0.4">
      <c r="C24" s="23"/>
      <c r="F24" s="23"/>
      <c r="J24" s="37" t="s">
        <v>13</v>
      </c>
      <c r="K24" s="284" t="s">
        <v>168</v>
      </c>
      <c r="L24" s="285">
        <v>1.0900000000000001</v>
      </c>
      <c r="N24" s="37" t="s">
        <v>13</v>
      </c>
      <c r="O24" s="284" t="s">
        <v>168</v>
      </c>
      <c r="P24" s="285">
        <v>1.1040000000000001</v>
      </c>
    </row>
    <row r="25" spans="1:16" ht="41" thickBot="1" x14ac:dyDescent="0.4">
      <c r="J25" s="37" t="s">
        <v>12</v>
      </c>
      <c r="K25" s="284" t="s">
        <v>167</v>
      </c>
      <c r="L25" s="285">
        <v>1.04</v>
      </c>
      <c r="N25" s="37" t="s">
        <v>12</v>
      </c>
      <c r="O25" s="284" t="s">
        <v>167</v>
      </c>
      <c r="P25" s="285">
        <v>1.0580000000000001</v>
      </c>
    </row>
    <row r="26" spans="1:16" ht="41" thickBot="1" x14ac:dyDescent="0.4">
      <c r="J26" s="37" t="s">
        <v>11</v>
      </c>
      <c r="K26" s="284" t="s">
        <v>166</v>
      </c>
      <c r="L26" s="285">
        <v>1</v>
      </c>
      <c r="N26" s="37" t="s">
        <v>11</v>
      </c>
      <c r="O26" s="284" t="s">
        <v>166</v>
      </c>
      <c r="P26" s="285">
        <v>1.0249999999999999</v>
      </c>
    </row>
    <row r="40" spans="1:1" x14ac:dyDescent="0.35">
      <c r="A40" s="23"/>
    </row>
  </sheetData>
  <sortState ref="E3:E19">
    <sortCondition descending="1" ref="E3"/>
  </sortState>
  <pageMargins left="0.7" right="0.7" top="0.75" bottom="0.75" header="0.3" footer="0.3"/>
  <pageSetup paperSize="9" scale="3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10"/>
  <sheetViews>
    <sheetView zoomScale="70" zoomScaleNormal="70" workbookViewId="0">
      <selection activeCell="G41" sqref="G41"/>
    </sheetView>
  </sheetViews>
  <sheetFormatPr defaultColWidth="18.81640625" defaultRowHeight="15.5" x14ac:dyDescent="0.35"/>
  <cols>
    <col min="1" max="1" width="7.453125" style="145" customWidth="1"/>
    <col min="2" max="2" width="18.81640625" style="145"/>
    <col min="3" max="3" width="49.81640625" style="145" customWidth="1"/>
    <col min="4" max="4" width="23.453125" style="145" customWidth="1"/>
    <col min="5" max="5" width="22.1796875" style="145" bestFit="1" customWidth="1"/>
    <col min="6" max="6" width="51.453125" style="145" bestFit="1" customWidth="1"/>
    <col min="7" max="7" width="65.26953125" style="145" bestFit="1" customWidth="1"/>
    <col min="8" max="16" width="18.81640625" style="145"/>
    <col min="17" max="17" width="20.26953125" style="145" bestFit="1" customWidth="1"/>
    <col min="18" max="20" width="18.81640625" style="145"/>
    <col min="21" max="21" width="20.26953125" style="145" bestFit="1" customWidth="1"/>
    <col min="22" max="29" width="18.81640625" style="145"/>
    <col min="30" max="30" width="3.54296875" style="145" customWidth="1"/>
    <col min="31" max="31" width="18.81640625" style="145"/>
    <col min="32" max="32" width="4.7265625" style="145" customWidth="1"/>
    <col min="33" max="16384" width="18.81640625" style="145"/>
  </cols>
  <sheetData>
    <row r="1" spans="1:32" x14ac:dyDescent="0.35">
      <c r="A1" s="145" t="s">
        <v>52</v>
      </c>
      <c r="B1" s="145" t="s">
        <v>54</v>
      </c>
      <c r="C1" s="145" t="s">
        <v>61</v>
      </c>
      <c r="D1" s="145" t="s">
        <v>144</v>
      </c>
      <c r="E1" s="145" t="s">
        <v>65</v>
      </c>
      <c r="F1" s="145" t="s">
        <v>96</v>
      </c>
      <c r="G1" s="145" t="s">
        <v>80</v>
      </c>
      <c r="H1" s="145" t="s">
        <v>97</v>
      </c>
      <c r="I1" s="145" t="s">
        <v>106</v>
      </c>
      <c r="J1" s="145" t="s">
        <v>107</v>
      </c>
      <c r="K1" s="145" t="s">
        <v>107</v>
      </c>
      <c r="L1" s="145" t="s">
        <v>121</v>
      </c>
      <c r="M1" s="145" t="s">
        <v>127</v>
      </c>
      <c r="N1" s="145" t="s">
        <v>160</v>
      </c>
      <c r="P1" s="251"/>
      <c r="Q1" s="251"/>
      <c r="R1" s="251"/>
      <c r="S1" s="251"/>
      <c r="T1" s="251"/>
      <c r="U1" s="251"/>
      <c r="V1" s="251"/>
      <c r="W1" s="251"/>
      <c r="X1" s="288"/>
      <c r="Y1" s="251"/>
      <c r="Z1" s="251"/>
      <c r="AA1" s="251"/>
      <c r="AB1" s="289"/>
      <c r="AD1"/>
      <c r="AF1"/>
    </row>
    <row r="2" spans="1:32" x14ac:dyDescent="0.35">
      <c r="A2" s="145" t="s">
        <v>53</v>
      </c>
      <c r="B2" s="145" t="s">
        <v>55</v>
      </c>
      <c r="C2" s="145" t="s">
        <v>62</v>
      </c>
      <c r="D2" s="145" t="s">
        <v>145</v>
      </c>
      <c r="E2" s="145" t="s">
        <v>66</v>
      </c>
      <c r="F2" s="145" t="s">
        <v>152</v>
      </c>
      <c r="G2" s="145" t="s">
        <v>81</v>
      </c>
      <c r="H2" s="145" t="s">
        <v>153</v>
      </c>
      <c r="I2" s="145" t="s">
        <v>146</v>
      </c>
      <c r="J2" s="145" t="s">
        <v>108</v>
      </c>
      <c r="K2" s="145" t="s">
        <v>108</v>
      </c>
      <c r="L2" s="145" t="s">
        <v>122</v>
      </c>
      <c r="M2" s="145" t="s">
        <v>128</v>
      </c>
      <c r="N2" s="145" t="s">
        <v>161</v>
      </c>
      <c r="P2" s="288"/>
      <c r="Q2" s="290"/>
      <c r="R2" s="290"/>
      <c r="S2" s="288"/>
      <c r="T2" s="288"/>
      <c r="U2" s="290"/>
      <c r="V2" s="290"/>
      <c r="W2" s="251"/>
      <c r="X2" s="288"/>
      <c r="Y2" s="251"/>
      <c r="Z2" s="251"/>
      <c r="AA2" s="251"/>
      <c r="AB2" s="289"/>
      <c r="AD2"/>
      <c r="AF2"/>
    </row>
    <row r="3" spans="1:32" x14ac:dyDescent="0.35">
      <c r="B3" s="145" t="s">
        <v>56</v>
      </c>
      <c r="C3" s="145" t="s">
        <v>63</v>
      </c>
      <c r="E3" s="145" t="s">
        <v>53</v>
      </c>
      <c r="F3" s="145" t="s">
        <v>154</v>
      </c>
      <c r="G3" s="145" t="s">
        <v>82</v>
      </c>
      <c r="H3" s="145" t="s">
        <v>175</v>
      </c>
      <c r="I3" s="145" t="s">
        <v>147</v>
      </c>
      <c r="J3" s="145" t="s">
        <v>109</v>
      </c>
      <c r="K3" s="145" t="s">
        <v>110</v>
      </c>
      <c r="L3" s="145" t="s">
        <v>123</v>
      </c>
      <c r="M3" s="145" t="s">
        <v>129</v>
      </c>
      <c r="N3" s="145" t="s">
        <v>162</v>
      </c>
      <c r="P3" s="288"/>
      <c r="Q3" s="291"/>
      <c r="R3" s="291"/>
      <c r="S3" s="251"/>
      <c r="T3" s="288"/>
      <c r="U3" s="291"/>
      <c r="V3" s="291"/>
      <c r="W3" s="251"/>
      <c r="X3" s="288"/>
      <c r="Y3" s="251"/>
      <c r="Z3" s="251"/>
      <c r="AA3" s="251"/>
      <c r="AB3" s="289"/>
      <c r="AD3"/>
      <c r="AF3"/>
    </row>
    <row r="4" spans="1:32" x14ac:dyDescent="0.35">
      <c r="B4" s="145" t="s">
        <v>155</v>
      </c>
      <c r="F4" s="145" t="s">
        <v>172</v>
      </c>
      <c r="G4" s="145" t="s">
        <v>83</v>
      </c>
      <c r="K4" s="145" t="s">
        <v>111</v>
      </c>
      <c r="M4" s="145" t="s">
        <v>130</v>
      </c>
      <c r="N4" s="145" t="s">
        <v>146</v>
      </c>
      <c r="P4" s="288"/>
      <c r="Q4" s="291"/>
      <c r="R4" s="291"/>
      <c r="S4" s="251"/>
      <c r="T4" s="288"/>
      <c r="U4" s="291"/>
      <c r="V4" s="291"/>
      <c r="W4" s="251"/>
      <c r="X4" s="288"/>
      <c r="Y4" s="251"/>
      <c r="Z4" s="251"/>
      <c r="AA4" s="251"/>
      <c r="AB4" s="289"/>
      <c r="AD4"/>
      <c r="AF4"/>
    </row>
    <row r="5" spans="1:32" x14ac:dyDescent="0.35">
      <c r="B5" s="145" t="s">
        <v>156</v>
      </c>
      <c r="F5" s="145" t="s">
        <v>175</v>
      </c>
      <c r="G5" s="145" t="s">
        <v>84</v>
      </c>
      <c r="N5" s="145" t="s">
        <v>163</v>
      </c>
      <c r="P5" s="288"/>
      <c r="Q5" s="291"/>
      <c r="R5" s="291"/>
      <c r="S5" s="251"/>
      <c r="T5" s="288"/>
      <c r="U5" s="291"/>
      <c r="V5" s="291"/>
      <c r="W5" s="251"/>
      <c r="X5" s="288"/>
      <c r="Y5" s="251"/>
      <c r="Z5" s="251"/>
      <c r="AA5" s="251"/>
      <c r="AB5" s="289"/>
      <c r="AD5"/>
      <c r="AF5"/>
    </row>
    <row r="6" spans="1:32" x14ac:dyDescent="0.35">
      <c r="G6" s="145" t="s">
        <v>85</v>
      </c>
      <c r="N6" s="145" t="s">
        <v>164</v>
      </c>
      <c r="P6" s="288"/>
      <c r="Q6" s="291"/>
      <c r="R6" s="291"/>
      <c r="S6" s="251"/>
      <c r="T6" s="288"/>
      <c r="U6" s="291"/>
      <c r="V6" s="291"/>
      <c r="W6" s="251"/>
      <c r="X6" s="288"/>
      <c r="Y6" s="251"/>
      <c r="Z6" s="251"/>
      <c r="AA6" s="251"/>
      <c r="AB6" s="289"/>
      <c r="AD6"/>
      <c r="AE6"/>
      <c r="AF6"/>
    </row>
    <row r="7" spans="1:32" x14ac:dyDescent="0.35">
      <c r="G7" s="145" t="s">
        <v>86</v>
      </c>
      <c r="N7" s="145" t="s">
        <v>165</v>
      </c>
      <c r="P7" s="288"/>
      <c r="Q7" s="291"/>
      <c r="R7" s="291"/>
      <c r="S7" s="251"/>
      <c r="T7" s="288"/>
      <c r="U7" s="291"/>
      <c r="V7" s="291"/>
      <c r="W7" s="251"/>
      <c r="X7" s="251"/>
      <c r="Y7" s="251"/>
      <c r="Z7" s="251"/>
      <c r="AA7" s="251"/>
      <c r="AB7" s="289"/>
      <c r="AD7"/>
      <c r="AE7"/>
      <c r="AF7"/>
    </row>
    <row r="8" spans="1:32" x14ac:dyDescent="0.35">
      <c r="G8" s="145" t="s">
        <v>87</v>
      </c>
      <c r="P8" s="288"/>
      <c r="Q8" s="251"/>
      <c r="R8" s="251"/>
      <c r="S8" s="251"/>
      <c r="T8" s="251"/>
      <c r="U8" s="251"/>
      <c r="V8" s="251"/>
      <c r="W8" s="251"/>
      <c r="X8" s="251"/>
      <c r="Y8" s="251"/>
      <c r="Z8" s="251"/>
      <c r="AA8" s="251"/>
      <c r="AB8" s="289"/>
    </row>
    <row r="9" spans="1:32" x14ac:dyDescent="0.35">
      <c r="G9" s="145" t="s">
        <v>88</v>
      </c>
      <c r="P9" s="288"/>
      <c r="Q9" s="288"/>
      <c r="R9" s="288"/>
      <c r="S9" s="288"/>
      <c r="T9" s="288"/>
      <c r="U9" s="288"/>
      <c r="V9" s="288"/>
      <c r="W9" s="288"/>
      <c r="X9" s="288"/>
      <c r="Y9" s="288"/>
      <c r="Z9" s="288"/>
      <c r="AA9" s="288"/>
      <c r="AB9" s="288"/>
    </row>
    <row r="10" spans="1:32" x14ac:dyDescent="0.35">
      <c r="G10" s="145" t="s">
        <v>89</v>
      </c>
    </row>
  </sheetData>
  <pageMargins left="0.7" right="0.7" top="0.75" bottom="0.75" header="0.3" footer="0.3"/>
  <pageSetup paperSize="9" scale="2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8</vt:i4>
      </vt:variant>
    </vt:vector>
  </HeadingPairs>
  <TitlesOfParts>
    <vt:vector size="8" baseType="lpstr">
      <vt:lpstr>Instrukcja</vt:lpstr>
      <vt:lpstr>A autostrada miejska</vt:lpstr>
      <vt:lpstr>B autostrada zamiejska</vt:lpstr>
      <vt:lpstr>C pozostała dwujezdniowa</vt:lpstr>
      <vt:lpstr>D pozostała jednojezdniowa</vt:lpstr>
      <vt:lpstr>E zbiorczy</vt:lpstr>
      <vt:lpstr>techniczny 1</vt:lpstr>
      <vt:lpstr>techniczny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Tassos Dragomanovits</dc:creator>
  <cp:lastModifiedBy>Panek Mariola</cp:lastModifiedBy>
  <cp:lastPrinted>2024-03-25T12:32:06Z</cp:lastPrinted>
  <dcterms:created xsi:type="dcterms:W3CDTF">2021-09-09T13:37:36Z</dcterms:created>
  <dcterms:modified xsi:type="dcterms:W3CDTF">2024-06-13T07:11:20Z</dcterms:modified>
</cp:coreProperties>
</file>