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0" windowWidth="12000" windowHeight="6570" tabRatio="775"/>
  </bookViews>
  <sheets>
    <sheet name="Tab.1. bilans_Polska" sheetId="24" r:id="rId1"/>
    <sheet name="Tab 1 (1-6)" sheetId="34" r:id="rId2"/>
    <sheet name="Tab.2. l.d.m.m._Polska" sheetId="14" r:id="rId3"/>
    <sheet name="Tab.2.d.gm.pm._SUMARYCZNIEprzes" sheetId="83" r:id="rId4"/>
    <sheet name="Tabl.2. (1-7)(8-11)" sheetId="31" r:id="rId5"/>
    <sheet name="Tab.3. Mieszkańcy_Polska " sheetId="29" r:id="rId6"/>
    <sheet name="Tab.3 (1)" sheetId="35" r:id="rId7"/>
    <sheet name="Tab. 3 (2)" sheetId="36" r:id="rId8"/>
    <sheet name="Tab. 3 (3)" sheetId="37" r:id="rId9"/>
    <sheet name="Tab. 3 (4)" sheetId="38" r:id="rId10"/>
    <sheet name="Tab. 3 (5)" sheetId="39" r:id="rId11"/>
    <sheet name="Tab. 3 (6)" sheetId="40" r:id="rId12"/>
    <sheet name="Tab. 3 (7)" sheetId="41" r:id="rId13"/>
    <sheet name="Tab. 3 (8)" sheetId="42" r:id="rId14"/>
    <sheet name="Tab. 3 (9)" sheetId="43" r:id="rId15"/>
    <sheet name="Tab. 3 (10)" sheetId="44" r:id="rId16"/>
    <sheet name="Tab. 3 (11)" sheetId="45" r:id="rId17"/>
    <sheet name="Tab. 3 (12)" sheetId="46" r:id="rId18"/>
    <sheet name="Tab. 3 (13)" sheetId="47" r:id="rId19"/>
    <sheet name="Tab. 3 (14)" sheetId="48" r:id="rId20"/>
    <sheet name="Tab. 3 (15)" sheetId="49" r:id="rId21"/>
    <sheet name="Tab. 3 (16)" sheetId="50" r:id="rId22"/>
    <sheet name="Tab. 3 (17)" sheetId="52" r:id="rId23"/>
    <sheet name="Tab. 3 (18)" sheetId="53" r:id="rId24"/>
    <sheet name="Tab. 3 (19)" sheetId="54" r:id="rId25"/>
    <sheet name="Tab. 3 (20)" sheetId="55" r:id="rId26"/>
    <sheet name="Tab. 3 (21)" sheetId="56" r:id="rId27"/>
    <sheet name="Tab.4. Losóbzatr_Polska" sheetId="16" r:id="rId28"/>
    <sheet name="Tab. 4 (1)" sheetId="57" r:id="rId29"/>
    <sheet name="Tab. 4 (2)" sheetId="58" r:id="rId30"/>
    <sheet name="Tab. 4 (3)" sheetId="59" r:id="rId31"/>
    <sheet name="Tab.5. zatr.umowa,etaty_Polska" sheetId="17" r:id="rId32"/>
    <sheet name="Tab. 5 (1)" sheetId="60" r:id="rId33"/>
    <sheet name="Tab. 5 (2)" sheetId="61" r:id="rId34"/>
    <sheet name="Tab. 5 (3)" sheetId="62" r:id="rId35"/>
    <sheet name="Tab. 5 (4)" sheetId="63" r:id="rId36"/>
    <sheet name="Tab. 5 (5)" sheetId="64" r:id="rId37"/>
    <sheet name="Tab. 5 (6)" sheetId="65" r:id="rId38"/>
    <sheet name="Tab.6. umieszcz.oczek_Polska" sheetId="18" r:id="rId39"/>
    <sheet name="Tab. 6 (1)" sheetId="66" r:id="rId40"/>
    <sheet name="Tab. 6 (2)" sheetId="67" r:id="rId41"/>
    <sheet name="Tab. 6 (3)" sheetId="68" r:id="rId42"/>
    <sheet name="Tab.7. Środ.d.s._Polska" sheetId="25" r:id="rId43"/>
    <sheet name="Tab. 7 (1)" sheetId="69" r:id="rId44"/>
    <sheet name="Tab. 7 (2)" sheetId="70" r:id="rId45"/>
    <sheet name="Tab.8. l.os.zatr środ_Polska" sheetId="20" r:id="rId46"/>
    <sheet name="Tab. 8 (1)" sheetId="71" r:id="rId47"/>
    <sheet name="Tab.9. zatr.umową,etaty środow" sheetId="22" r:id="rId48"/>
    <sheet name="Tab. 9 (1)" sheetId="72" r:id="rId49"/>
    <sheet name="Tab. 9 (2)" sheetId="73" r:id="rId50"/>
    <sheet name="Tab.10. Mieszk.chron_Polska" sheetId="23" r:id="rId51"/>
    <sheet name="Tab. 10 (1)" sheetId="74" r:id="rId52"/>
    <sheet name="Tab. 10 (2)" sheetId="75" r:id="rId53"/>
    <sheet name="Tab. 11 dane zrodlowe" sheetId="76" r:id="rId54"/>
    <sheet name="Tab. 11 (1)" sheetId="82" r:id="rId55"/>
    <sheet name="Tab. 11 (2)" sheetId="77" r:id="rId56"/>
    <sheet name="Tab. 11 (3)" sheetId="78" r:id="rId57"/>
    <sheet name="Tab. 11 (4)" sheetId="79" r:id="rId58"/>
    <sheet name="Tab. 11 (5)" sheetId="80" r:id="rId59"/>
    <sheet name="Tablice 7 i 10" sheetId="33" r:id="rId60"/>
  </sheets>
  <definedNames>
    <definedName name="_xlnm.Print_Area" localSheetId="1">'Tab 1 (1-6)'!$A$1:$M$30</definedName>
    <definedName name="_xlnm.Print_Area" localSheetId="51">'Tab. 10 (1)'!$A$1:$K$31</definedName>
    <definedName name="_xlnm.Print_Area" localSheetId="52">'Tab. 10 (2)'!$A$1:$J$31</definedName>
    <definedName name="_xlnm.Print_Area" localSheetId="54">'Tab. 11 (1)'!$A$1:$K$31</definedName>
    <definedName name="_xlnm.Print_Area" localSheetId="55">'Tab. 11 (2)'!$A$1:$K$31</definedName>
    <definedName name="_xlnm.Print_Area" localSheetId="56">'Tab. 11 (3)'!$A$1:$K$31</definedName>
    <definedName name="_xlnm.Print_Area" localSheetId="57">'Tab. 11 (4)'!$A$1:$K$31</definedName>
    <definedName name="_xlnm.Print_Area" localSheetId="58">'Tab. 11 (5)'!$A$1:$K$31</definedName>
    <definedName name="_xlnm.Print_Area" localSheetId="53">'Tab. 11 dane zrodlowe'!$B$1:$K$24</definedName>
    <definedName name="_xlnm.Print_Area" localSheetId="18">'Tab. 3 (13)'!$A$1:$K$32</definedName>
    <definedName name="_xlnm.Print_Area" localSheetId="19">'Tab. 3 (14)'!$A$1:$K$32</definedName>
    <definedName name="_xlnm.Print_Area" localSheetId="20">'Tab. 3 (15)'!$A$1:$K$32</definedName>
    <definedName name="_xlnm.Print_Area" localSheetId="21">'Tab. 3 (16)'!$A$1:$L$33</definedName>
    <definedName name="_xlnm.Print_Area" localSheetId="22">'Tab. 3 (17)'!$A$1:$L$33</definedName>
    <definedName name="_xlnm.Print_Area" localSheetId="23">'Tab. 3 (18)'!$A$1:$L$33</definedName>
    <definedName name="_xlnm.Print_Area" localSheetId="24">'Tab. 3 (19)'!$A$1:$I$32</definedName>
    <definedName name="_xlnm.Print_Area" localSheetId="25">'Tab. 3 (20)'!$A$1:$I$32</definedName>
    <definedName name="_xlnm.Print_Area" localSheetId="26">'Tab. 3 (21)'!$A$1:$I$32</definedName>
    <definedName name="_xlnm.Print_Area" localSheetId="12">'Tab. 3 (7)'!$A$1:$E$31</definedName>
    <definedName name="_xlnm.Print_Area" localSheetId="13">'Tab. 3 (8)'!$A$1:$E$31</definedName>
    <definedName name="_xlnm.Print_Area" localSheetId="14">'Tab. 3 (9)'!$A$1:$E$31</definedName>
    <definedName name="_xlnm.Print_Area" localSheetId="28">'Tab. 4 (1)'!$A$1:$K$32</definedName>
    <definedName name="_xlnm.Print_Area" localSheetId="29">'Tab. 4 (2)'!$A$1:$K$32</definedName>
    <definedName name="_xlnm.Print_Area" localSheetId="30">'Tab. 4 (3)'!$A$1:$K$32</definedName>
    <definedName name="_xlnm.Print_Area" localSheetId="32">'Tab. 5 (1)'!$A$1:$M$31</definedName>
    <definedName name="_xlnm.Print_Area" localSheetId="33">'Tab. 5 (2)'!$A$1:$M$31</definedName>
    <definedName name="_xlnm.Print_Area" localSheetId="34">'Tab. 5 (3)'!$A$1:$M$31</definedName>
    <definedName name="_xlnm.Print_Area" localSheetId="35">'Tab. 5 (4)'!$A$1:$M$31</definedName>
    <definedName name="_xlnm.Print_Area" localSheetId="36">'Tab. 5 (5)'!$A$1:$M$31</definedName>
    <definedName name="_xlnm.Print_Area" localSheetId="37">'Tab. 5 (6)'!$A$1:$M$31</definedName>
    <definedName name="_xlnm.Print_Area" localSheetId="39">'Tab. 6 (1)'!$A$1:$I$31</definedName>
    <definedName name="_xlnm.Print_Area" localSheetId="40">'Tab. 6 (2)'!$A$1:$I$31</definedName>
    <definedName name="_xlnm.Print_Area" localSheetId="41">'Tab. 6 (3)'!$A$1:$E$31</definedName>
    <definedName name="_xlnm.Print_Area" localSheetId="43">'Tab. 7 (1)'!$A$1:$K$31</definedName>
    <definedName name="_xlnm.Print_Area" localSheetId="44">'Tab. 7 (2)'!$A$1:$J$31</definedName>
    <definedName name="_xlnm.Print_Area" localSheetId="46">'Tab. 8 (1)'!$A$1:$K$31</definedName>
    <definedName name="_xlnm.Print_Area" localSheetId="48">'Tab. 9 (1)'!$A$1:$M$31</definedName>
    <definedName name="_xlnm.Print_Area" localSheetId="49">'Tab. 9 (2)'!$A$1:$M$31</definedName>
    <definedName name="_xlnm.Print_Area" localSheetId="0">'Tab.1. bilans_Polska'!$B$1:$E$48</definedName>
    <definedName name="_xlnm.Print_Area" localSheetId="50">'Tab.10. Mieszk.chron_Polska'!$B$1:$E$30</definedName>
    <definedName name="_xlnm.Print_Area" localSheetId="2">'Tab.2. l.d.m.m._Polska'!$B$1:$O$32</definedName>
    <definedName name="_xlnm.Print_Area" localSheetId="3">Tab.2.d.gm.pm._SUMARYCZNIEprzes!$B$1:$O$32</definedName>
    <definedName name="_xlnm.Print_Area" localSheetId="5">'Tab.3. Mieszkańcy_Polska '!$B$1:$I$73</definedName>
    <definedName name="_xlnm.Print_Area" localSheetId="27">'Tab.4. Losóbzatr_Polska'!$B$1:$E$24</definedName>
    <definedName name="_xlnm.Print_Area" localSheetId="31">'Tab.5. zatr.umowa,etaty_Polska'!$B$1:$H$29</definedName>
    <definedName name="_xlnm.Print_Area" localSheetId="38">'Tab.6. umieszcz.oczek_Polska'!$B$1:$D$26</definedName>
    <definedName name="_xlnm.Print_Area" localSheetId="42">'Tab.7. Środ.d.s._Polska'!$B$1:$E$26</definedName>
    <definedName name="_xlnm.Print_Area" localSheetId="45">'Tab.8. l.os.zatr środ_Polska'!$B$1:$C$26</definedName>
    <definedName name="_xlnm.Print_Area" localSheetId="47">'Tab.9. zatr.umową,etaty środow'!$B$1:$D$27</definedName>
    <definedName name="_xlnm.Print_Area" localSheetId="4">'Tabl.2. (1-7)(8-11)'!$A$1:$N$30</definedName>
  </definedNames>
  <calcPr calcId="145621"/>
</workbook>
</file>

<file path=xl/calcChain.xml><?xml version="1.0" encoding="utf-8"?>
<calcChain xmlns="http://schemas.openxmlformats.org/spreadsheetml/2006/main">
  <c r="I1014" i="29" l="1"/>
  <c r="I26" i="37"/>
  <c r="H134" i="29"/>
  <c r="I134" i="29"/>
  <c r="O345" i="14"/>
  <c r="H15" i="31"/>
  <c r="V14" i="31"/>
  <c r="AJ14" i="31"/>
  <c r="AX14" i="31"/>
  <c r="BL14" i="31"/>
  <c r="BZ14" i="31"/>
  <c r="CN14" i="31"/>
  <c r="DB14" i="31"/>
  <c r="DP14" i="31"/>
  <c r="ED14" i="31"/>
  <c r="DZ14" i="31"/>
  <c r="ER14" i="31"/>
  <c r="V15" i="31"/>
  <c r="AJ15" i="31"/>
  <c r="AX15" i="31"/>
  <c r="BL15" i="31"/>
  <c r="BZ15" i="31"/>
  <c r="CN15" i="31"/>
  <c r="CJ15" i="31"/>
  <c r="DB15" i="31"/>
  <c r="DP15" i="31"/>
  <c r="ED15" i="31"/>
  <c r="ER15" i="31"/>
  <c r="EN15" i="31"/>
  <c r="V16" i="31"/>
  <c r="AJ16" i="31"/>
  <c r="AX16" i="31"/>
  <c r="BL16" i="31"/>
  <c r="BZ16" i="31"/>
  <c r="CN16" i="31"/>
  <c r="DB16" i="31"/>
  <c r="DP16" i="31"/>
  <c r="ED16" i="31"/>
  <c r="ER16" i="31"/>
  <c r="V17" i="31"/>
  <c r="AJ17" i="31"/>
  <c r="AX17" i="31"/>
  <c r="AT17" i="31"/>
  <c r="BL17" i="31"/>
  <c r="BZ17" i="31"/>
  <c r="CN17" i="31"/>
  <c r="DB17" i="31"/>
  <c r="DP17" i="31"/>
  <c r="ED17" i="31"/>
  <c r="ER17" i="31"/>
  <c r="EN17" i="31"/>
  <c r="V18" i="31"/>
  <c r="AJ18" i="31"/>
  <c r="AX18" i="31"/>
  <c r="AT18" i="31"/>
  <c r="BL18" i="31"/>
  <c r="BH18" i="31"/>
  <c r="BZ18" i="31"/>
  <c r="CN18" i="31"/>
  <c r="DB18" i="31"/>
  <c r="DP18" i="31"/>
  <c r="ED18" i="31"/>
  <c r="ER18" i="31"/>
  <c r="V19" i="31"/>
  <c r="AJ19" i="31"/>
  <c r="AF19" i="31"/>
  <c r="AX19" i="31"/>
  <c r="BL19" i="31"/>
  <c r="BZ19" i="31"/>
  <c r="BV19" i="31"/>
  <c r="CN19" i="31"/>
  <c r="DB19" i="31"/>
  <c r="DP19" i="31"/>
  <c r="ED19" i="31"/>
  <c r="ER19" i="31"/>
  <c r="V20" i="31"/>
  <c r="AJ20" i="31"/>
  <c r="AX20" i="31"/>
  <c r="AT20" i="31"/>
  <c r="BL20" i="31"/>
  <c r="BZ20" i="31"/>
  <c r="CN20" i="31"/>
  <c r="DB20" i="31"/>
  <c r="DP20" i="31"/>
  <c r="ED20" i="31"/>
  <c r="ER20" i="31"/>
  <c r="V21" i="31"/>
  <c r="AJ21" i="31"/>
  <c r="AX21" i="31"/>
  <c r="BL21" i="31"/>
  <c r="BZ21" i="31"/>
  <c r="CN21" i="31"/>
  <c r="DB21" i="31"/>
  <c r="DP21" i="31"/>
  <c r="DL21" i="31"/>
  <c r="D21" i="31"/>
  <c r="ED21" i="31"/>
  <c r="ER21" i="31"/>
  <c r="V22" i="31"/>
  <c r="AJ22" i="31"/>
  <c r="AX22" i="31"/>
  <c r="BL22" i="31"/>
  <c r="BH22" i="31"/>
  <c r="BZ22" i="31"/>
  <c r="BV22" i="31"/>
  <c r="CN22" i="31"/>
  <c r="DB22" i="31"/>
  <c r="DP22" i="31"/>
  <c r="ED22" i="31"/>
  <c r="ER22" i="31"/>
  <c r="V23" i="31"/>
  <c r="AJ23" i="31"/>
  <c r="AX23" i="31"/>
  <c r="BL23" i="31"/>
  <c r="BZ23" i="31"/>
  <c r="CN23" i="31"/>
  <c r="DB23" i="31"/>
  <c r="DP23" i="31"/>
  <c r="ED23" i="31"/>
  <c r="ER23" i="31"/>
  <c r="V24" i="31"/>
  <c r="AJ24" i="31"/>
  <c r="AX24" i="31"/>
  <c r="BL24" i="31"/>
  <c r="BZ24" i="31"/>
  <c r="CN24" i="31"/>
  <c r="DB24" i="31"/>
  <c r="DP24" i="31"/>
  <c r="ED24" i="31"/>
  <c r="ER24" i="31"/>
  <c r="V25" i="31"/>
  <c r="AJ25" i="31"/>
  <c r="AF25" i="31"/>
  <c r="AX25" i="31"/>
  <c r="BL25" i="31"/>
  <c r="BZ25" i="31"/>
  <c r="CN25" i="31"/>
  <c r="CJ25" i="31"/>
  <c r="DB25" i="31"/>
  <c r="CX25" i="31"/>
  <c r="DP25" i="31"/>
  <c r="ED25" i="31"/>
  <c r="ER25" i="31"/>
  <c r="V26" i="31"/>
  <c r="R26" i="31"/>
  <c r="AJ26" i="31"/>
  <c r="AX26" i="31"/>
  <c r="BL26" i="31"/>
  <c r="BZ26" i="31"/>
  <c r="CN26" i="31"/>
  <c r="DB26" i="31"/>
  <c r="DP26" i="31"/>
  <c r="ED26" i="31"/>
  <c r="ER26" i="31"/>
  <c r="V27" i="31"/>
  <c r="AJ27" i="31"/>
  <c r="AX27" i="31"/>
  <c r="BL27" i="31"/>
  <c r="BZ27" i="31"/>
  <c r="CN27" i="31"/>
  <c r="DB27" i="31"/>
  <c r="DP27" i="31"/>
  <c r="ED27" i="31"/>
  <c r="ER27" i="31"/>
  <c r="V28" i="31"/>
  <c r="V30" i="31"/>
  <c r="AJ28" i="31"/>
  <c r="AX28" i="31"/>
  <c r="AX30" i="31"/>
  <c r="BL28" i="31"/>
  <c r="BZ28" i="31"/>
  <c r="BV28" i="31"/>
  <c r="CN28" i="31"/>
  <c r="CJ28" i="31"/>
  <c r="DB28" i="31"/>
  <c r="DP28" i="31"/>
  <c r="DL28" i="31"/>
  <c r="ED28" i="31"/>
  <c r="ER28" i="31"/>
  <c r="V29" i="31"/>
  <c r="AJ29" i="31"/>
  <c r="AJ30" i="31"/>
  <c r="AX29" i="31"/>
  <c r="BL29" i="31"/>
  <c r="BZ29" i="31"/>
  <c r="BZ30" i="31"/>
  <c r="BV30" i="31"/>
  <c r="CN29" i="31"/>
  <c r="CN30" i="31"/>
  <c r="CJ30" i="31"/>
  <c r="DB29" i="31"/>
  <c r="DB30" i="31"/>
  <c r="DP29" i="31"/>
  <c r="ED29" i="31"/>
  <c r="ER29" i="31"/>
  <c r="ER30" i="31"/>
  <c r="Y14" i="31"/>
  <c r="AM14" i="31"/>
  <c r="AE14" i="31"/>
  <c r="BA14" i="31"/>
  <c r="BO14" i="31"/>
  <c r="CC14" i="31"/>
  <c r="CQ14" i="31"/>
  <c r="DE14" i="31"/>
  <c r="DS14" i="31"/>
  <c r="EG14" i="31"/>
  <c r="EU14" i="31"/>
  <c r="Y15" i="31"/>
  <c r="AM15" i="31"/>
  <c r="BA15" i="31"/>
  <c r="BO15" i="31"/>
  <c r="BG15" i="31"/>
  <c r="CC15" i="31"/>
  <c r="CQ15" i="31"/>
  <c r="DE15" i="31"/>
  <c r="DS15" i="31"/>
  <c r="EG15" i="31"/>
  <c r="EU15" i="31"/>
  <c r="Y16" i="31"/>
  <c r="AM16" i="31"/>
  <c r="BA16" i="31"/>
  <c r="BO16" i="31"/>
  <c r="CC16" i="31"/>
  <c r="CQ16" i="31"/>
  <c r="DE16" i="31"/>
  <c r="DS16" i="31"/>
  <c r="EG16" i="31"/>
  <c r="EU16" i="31"/>
  <c r="Y17" i="31"/>
  <c r="AM17" i="31"/>
  <c r="BA17" i="31"/>
  <c r="BO17" i="31"/>
  <c r="CC17" i="31"/>
  <c r="CQ17" i="31"/>
  <c r="DE17" i="31"/>
  <c r="DS17" i="31"/>
  <c r="EG17" i="31"/>
  <c r="EU17" i="31"/>
  <c r="Y18" i="31"/>
  <c r="AM18" i="31"/>
  <c r="BA18" i="31"/>
  <c r="BO18" i="31"/>
  <c r="CC18" i="31"/>
  <c r="CQ18" i="31"/>
  <c r="DE18" i="31"/>
  <c r="DS18" i="31"/>
  <c r="EG18" i="31"/>
  <c r="EU18" i="31"/>
  <c r="Y19" i="31"/>
  <c r="AM19" i="31"/>
  <c r="BA19" i="31"/>
  <c r="BO19" i="31"/>
  <c r="BG19" i="31"/>
  <c r="CC19" i="31"/>
  <c r="CQ19" i="31"/>
  <c r="DE19" i="31"/>
  <c r="DS19" i="31"/>
  <c r="EG19" i="31"/>
  <c r="EU19" i="31"/>
  <c r="Y20" i="31"/>
  <c r="Q20" i="31"/>
  <c r="AM20" i="31"/>
  <c r="BA20" i="31"/>
  <c r="BO20" i="31"/>
  <c r="CC20" i="31"/>
  <c r="CQ20" i="31"/>
  <c r="DE20" i="31"/>
  <c r="DS20" i="31"/>
  <c r="DK20" i="31"/>
  <c r="EG20" i="31"/>
  <c r="EU20" i="31"/>
  <c r="Y21" i="31"/>
  <c r="AM21" i="31"/>
  <c r="BA21" i="31"/>
  <c r="BO21" i="31"/>
  <c r="BG21" i="31"/>
  <c r="CC21" i="31"/>
  <c r="CQ21" i="31"/>
  <c r="DE21" i="31"/>
  <c r="DS21" i="31"/>
  <c r="EG21" i="31"/>
  <c r="EU21" i="31"/>
  <c r="Y22" i="31"/>
  <c r="AM22" i="31"/>
  <c r="BA22" i="31"/>
  <c r="BO22" i="31"/>
  <c r="CC22" i="31"/>
  <c r="CQ22" i="31"/>
  <c r="DE22" i="31"/>
  <c r="K22" i="31"/>
  <c r="DS22" i="31"/>
  <c r="EG22" i="31"/>
  <c r="EU22" i="31"/>
  <c r="Y23" i="31"/>
  <c r="AM23" i="31"/>
  <c r="BA23" i="31"/>
  <c r="K23" i="31"/>
  <c r="BO23" i="31"/>
  <c r="CC23" i="31"/>
  <c r="CQ23" i="31"/>
  <c r="CI23" i="31"/>
  <c r="DE23" i="31"/>
  <c r="DS23" i="31"/>
  <c r="EG23" i="31"/>
  <c r="EU23" i="31"/>
  <c r="Y24" i="31"/>
  <c r="AM24" i="31"/>
  <c r="BA24" i="31"/>
  <c r="BO24" i="31"/>
  <c r="CC24" i="31"/>
  <c r="CQ24" i="31"/>
  <c r="DE24" i="31"/>
  <c r="DS24" i="31"/>
  <c r="EG24" i="31"/>
  <c r="EU24" i="31"/>
  <c r="Y25" i="31"/>
  <c r="AM25" i="31"/>
  <c r="BA25" i="31"/>
  <c r="BO25" i="31"/>
  <c r="BG25" i="31"/>
  <c r="CC25" i="31"/>
  <c r="BU25" i="31"/>
  <c r="CQ25" i="31"/>
  <c r="CI25" i="31"/>
  <c r="DE25" i="31"/>
  <c r="CW25" i="31"/>
  <c r="DS25" i="31"/>
  <c r="EG25" i="31"/>
  <c r="EU25" i="31"/>
  <c r="Y26" i="31"/>
  <c r="AM26" i="31"/>
  <c r="BA26" i="31"/>
  <c r="BO26" i="31"/>
  <c r="CC26" i="31"/>
  <c r="CQ26" i="31"/>
  <c r="DE26" i="31"/>
  <c r="CW26" i="31"/>
  <c r="DS26" i="31"/>
  <c r="EG26" i="31"/>
  <c r="EU26" i="31"/>
  <c r="Y27" i="31"/>
  <c r="AM27" i="31"/>
  <c r="BA27" i="31"/>
  <c r="BO27" i="31"/>
  <c r="CC27" i="31"/>
  <c r="CQ27" i="31"/>
  <c r="DE27" i="31"/>
  <c r="DS27" i="31"/>
  <c r="EG27" i="31"/>
  <c r="DY27" i="31"/>
  <c r="EU27" i="31"/>
  <c r="Y28" i="31"/>
  <c r="Y30" i="31"/>
  <c r="AM28" i="31"/>
  <c r="BA28" i="31"/>
  <c r="BO28" i="31"/>
  <c r="CC28" i="31"/>
  <c r="CQ28" i="31"/>
  <c r="CQ30" i="31"/>
  <c r="DE28" i="31"/>
  <c r="DS28" i="31"/>
  <c r="EG28" i="31"/>
  <c r="EU28" i="31"/>
  <c r="Y29" i="31"/>
  <c r="AM29" i="31"/>
  <c r="AM30" i="31"/>
  <c r="BA29" i="31"/>
  <c r="BA30" i="31"/>
  <c r="BO29" i="31"/>
  <c r="BG29" i="31"/>
  <c r="CC29" i="31"/>
  <c r="CC30" i="31"/>
  <c r="CQ29" i="31"/>
  <c r="DE29" i="31"/>
  <c r="DE30" i="31"/>
  <c r="CW30" i="31"/>
  <c r="DS29" i="31"/>
  <c r="EG29" i="31"/>
  <c r="EG30" i="31"/>
  <c r="DY30" i="31"/>
  <c r="EU29" i="31"/>
  <c r="EU30" i="31"/>
  <c r="EM30" i="31"/>
  <c r="Z14" i="31"/>
  <c r="AN14" i="31"/>
  <c r="BB14" i="31"/>
  <c r="BP14" i="31"/>
  <c r="CD14" i="31"/>
  <c r="CR14" i="31"/>
  <c r="DF14" i="31"/>
  <c r="DT14" i="31"/>
  <c r="DL14" i="31"/>
  <c r="EH14" i="31"/>
  <c r="EV14" i="31"/>
  <c r="Z15" i="31"/>
  <c r="AN15" i="31"/>
  <c r="BB15" i="31"/>
  <c r="BP15" i="31"/>
  <c r="CD15" i="31"/>
  <c r="CR15" i="31"/>
  <c r="DF15" i="31"/>
  <c r="DT15" i="31"/>
  <c r="EH15" i="31"/>
  <c r="EV15" i="31"/>
  <c r="Z16" i="31"/>
  <c r="AN16" i="31"/>
  <c r="BB16" i="31"/>
  <c r="BP16" i="31"/>
  <c r="CD16" i="31"/>
  <c r="CR16" i="31"/>
  <c r="DF16" i="31"/>
  <c r="DT16" i="31"/>
  <c r="EH16" i="31"/>
  <c r="EV16" i="31"/>
  <c r="Z17" i="31"/>
  <c r="AN17" i="31"/>
  <c r="BB17" i="31"/>
  <c r="BP17" i="31"/>
  <c r="BH17" i="31"/>
  <c r="CD17" i="31"/>
  <c r="BV17" i="31"/>
  <c r="CR17" i="31"/>
  <c r="DF17" i="31"/>
  <c r="DT17" i="31"/>
  <c r="DL17" i="31"/>
  <c r="EH17" i="31"/>
  <c r="DZ17" i="31"/>
  <c r="EV17" i="31"/>
  <c r="Z18" i="31"/>
  <c r="AN18" i="31"/>
  <c r="AF18" i="31"/>
  <c r="BB18" i="31"/>
  <c r="BP18" i="31"/>
  <c r="CD18" i="31"/>
  <c r="BV18" i="31"/>
  <c r="CR18" i="31"/>
  <c r="DF18" i="31"/>
  <c r="DT18" i="31"/>
  <c r="EH18" i="31"/>
  <c r="EV18" i="31"/>
  <c r="Z19" i="31"/>
  <c r="AN19" i="31"/>
  <c r="BB19" i="31"/>
  <c r="BP19" i="31"/>
  <c r="CD19" i="31"/>
  <c r="CR19" i="31"/>
  <c r="DF19" i="31"/>
  <c r="DT19" i="31"/>
  <c r="DL19" i="31"/>
  <c r="EH19" i="31"/>
  <c r="EV19" i="31"/>
  <c r="Z20" i="31"/>
  <c r="AN20" i="31"/>
  <c r="BB20" i="31"/>
  <c r="BP20" i="31"/>
  <c r="CD20" i="31"/>
  <c r="CR20" i="31"/>
  <c r="DF20" i="31"/>
  <c r="DT20" i="31"/>
  <c r="EH20" i="31"/>
  <c r="DZ20" i="31"/>
  <c r="EV20" i="31"/>
  <c r="Z21" i="31"/>
  <c r="AN21" i="31"/>
  <c r="BB21" i="31"/>
  <c r="AT21" i="31"/>
  <c r="BP21" i="31"/>
  <c r="BH21" i="31"/>
  <c r="CD21" i="31"/>
  <c r="CR21" i="31"/>
  <c r="DF21" i="31"/>
  <c r="CX21" i="31"/>
  <c r="DT21" i="31"/>
  <c r="EH21" i="31"/>
  <c r="EV21" i="31"/>
  <c r="Z22" i="31"/>
  <c r="AN22" i="31"/>
  <c r="BB22" i="31"/>
  <c r="BP22" i="31"/>
  <c r="CD22" i="31"/>
  <c r="CR22" i="31"/>
  <c r="DF22" i="31"/>
  <c r="DT22" i="31"/>
  <c r="EH22" i="31"/>
  <c r="EV22" i="31"/>
  <c r="Z23" i="31"/>
  <c r="AN23" i="31"/>
  <c r="BB23" i="31"/>
  <c r="BP23" i="31"/>
  <c r="CD23" i="31"/>
  <c r="CR23" i="31"/>
  <c r="CJ23" i="31"/>
  <c r="DF23" i="31"/>
  <c r="DT23" i="31"/>
  <c r="EH23" i="31"/>
  <c r="EV23" i="31"/>
  <c r="EN23" i="31"/>
  <c r="Z24" i="31"/>
  <c r="R24" i="31"/>
  <c r="AN24" i="31"/>
  <c r="AF24" i="31"/>
  <c r="BB24" i="31"/>
  <c r="BP24" i="31"/>
  <c r="CD24" i="31"/>
  <c r="CR24" i="31"/>
  <c r="DF24" i="31"/>
  <c r="DT24" i="31"/>
  <c r="DL24" i="31"/>
  <c r="EH24" i="31"/>
  <c r="EV24" i="31"/>
  <c r="Z25" i="31"/>
  <c r="AN25" i="31"/>
  <c r="BB25" i="31"/>
  <c r="AT25" i="31"/>
  <c r="BP25" i="31"/>
  <c r="CD25" i="31"/>
  <c r="BV25" i="31"/>
  <c r="CR25" i="31"/>
  <c r="DF25" i="31"/>
  <c r="DT25" i="31"/>
  <c r="DL25" i="31"/>
  <c r="EH25" i="31"/>
  <c r="EV25" i="31"/>
  <c r="Z26" i="31"/>
  <c r="AN26" i="31"/>
  <c r="BB26" i="31"/>
  <c r="AT26" i="31"/>
  <c r="BP26" i="31"/>
  <c r="BH26" i="31"/>
  <c r="CD26" i="31"/>
  <c r="CD30" i="31"/>
  <c r="CR26" i="31"/>
  <c r="DF26" i="31"/>
  <c r="DT26" i="31"/>
  <c r="EH26" i="31"/>
  <c r="EV26" i="31"/>
  <c r="Z27" i="31"/>
  <c r="AN27" i="31"/>
  <c r="AF27" i="31"/>
  <c r="BB27" i="31"/>
  <c r="BP27" i="31"/>
  <c r="CD27" i="31"/>
  <c r="CR27" i="31"/>
  <c r="DF27" i="31"/>
  <c r="CX27" i="31"/>
  <c r="DT27" i="31"/>
  <c r="DL27" i="31"/>
  <c r="EH27" i="31"/>
  <c r="DZ27" i="31"/>
  <c r="EV27" i="31"/>
  <c r="Z28" i="31"/>
  <c r="R28" i="31"/>
  <c r="AN28" i="31"/>
  <c r="BB28" i="31"/>
  <c r="AT28" i="31"/>
  <c r="BP28" i="31"/>
  <c r="BH28" i="31"/>
  <c r="CD28" i="31"/>
  <c r="CR28" i="31"/>
  <c r="DF28" i="31"/>
  <c r="DT28" i="31"/>
  <c r="EH28" i="31"/>
  <c r="EH30" i="31"/>
  <c r="EV28" i="31"/>
  <c r="Z29" i="31"/>
  <c r="AN29" i="31"/>
  <c r="BB29" i="31"/>
  <c r="BB30" i="31"/>
  <c r="BP29" i="31"/>
  <c r="CD29" i="31"/>
  <c r="BV29" i="31"/>
  <c r="CR29" i="31"/>
  <c r="CR30" i="31"/>
  <c r="DF29" i="31"/>
  <c r="DF30" i="31"/>
  <c r="DT29" i="31"/>
  <c r="DL29" i="31"/>
  <c r="EH29" i="31"/>
  <c r="EV29" i="31"/>
  <c r="EV30" i="31"/>
  <c r="U14" i="31"/>
  <c r="AI14" i="31"/>
  <c r="AW14" i="31"/>
  <c r="BK14" i="31"/>
  <c r="BY14" i="31"/>
  <c r="CM14" i="31"/>
  <c r="DA14" i="31"/>
  <c r="DO14" i="31"/>
  <c r="DK14" i="31"/>
  <c r="EC14" i="31"/>
  <c r="EQ14" i="31"/>
  <c r="EM14" i="31"/>
  <c r="U15" i="31"/>
  <c r="AI15" i="31"/>
  <c r="AE15" i="31"/>
  <c r="AW15" i="31"/>
  <c r="BK15" i="31"/>
  <c r="BY15" i="31"/>
  <c r="CM15" i="31"/>
  <c r="DA15" i="31"/>
  <c r="DO15" i="31"/>
  <c r="DK15" i="31"/>
  <c r="EC15" i="31"/>
  <c r="EQ15" i="31"/>
  <c r="U16" i="31"/>
  <c r="AI16" i="31"/>
  <c r="AW16" i="31"/>
  <c r="AS16" i="31"/>
  <c r="BK16" i="31"/>
  <c r="BY16" i="31"/>
  <c r="CM16" i="31"/>
  <c r="G16" i="31"/>
  <c r="DA16" i="31"/>
  <c r="DO16" i="31"/>
  <c r="EC16" i="31"/>
  <c r="EQ16" i="31"/>
  <c r="U17" i="31"/>
  <c r="AI17" i="31"/>
  <c r="AW17" i="31"/>
  <c r="BK17" i="31"/>
  <c r="BG17" i="31"/>
  <c r="BY17" i="31"/>
  <c r="CM17" i="31"/>
  <c r="DA17" i="31"/>
  <c r="DO17" i="31"/>
  <c r="EC17" i="31"/>
  <c r="EQ17" i="31"/>
  <c r="EM17" i="31"/>
  <c r="U18" i="31"/>
  <c r="AI18" i="31"/>
  <c r="AW18" i="31"/>
  <c r="BK18" i="31"/>
  <c r="BY18" i="31"/>
  <c r="CM18" i="31"/>
  <c r="DA18" i="31"/>
  <c r="DO18" i="31"/>
  <c r="EC18" i="31"/>
  <c r="EQ18" i="31"/>
  <c r="U19" i="31"/>
  <c r="AI19" i="31"/>
  <c r="AE19" i="31"/>
  <c r="AW19" i="31"/>
  <c r="BK19" i="31"/>
  <c r="BY19" i="31"/>
  <c r="CM19" i="31"/>
  <c r="DA19" i="31"/>
  <c r="DO19" i="31"/>
  <c r="EC19" i="31"/>
  <c r="EQ19" i="31"/>
  <c r="U20" i="31"/>
  <c r="AI20" i="31"/>
  <c r="AW20" i="31"/>
  <c r="AS20" i="31"/>
  <c r="BK20" i="31"/>
  <c r="BY20" i="31"/>
  <c r="CM20" i="31"/>
  <c r="DA20" i="31"/>
  <c r="CW20" i="31"/>
  <c r="DO20" i="31"/>
  <c r="EC20" i="31"/>
  <c r="EQ20" i="31"/>
  <c r="U21" i="31"/>
  <c r="Q21" i="31"/>
  <c r="AI21" i="31"/>
  <c r="AW21" i="31"/>
  <c r="AS21" i="31"/>
  <c r="BK21" i="31"/>
  <c r="BY21" i="31"/>
  <c r="BU21" i="31"/>
  <c r="CM21" i="31"/>
  <c r="DA21" i="31"/>
  <c r="DO21" i="31"/>
  <c r="EC21" i="31"/>
  <c r="DY21" i="31"/>
  <c r="EQ21" i="31"/>
  <c r="U22" i="31"/>
  <c r="AI22" i="31"/>
  <c r="AE22" i="31"/>
  <c r="AW22" i="31"/>
  <c r="AS22" i="31"/>
  <c r="BK22" i="31"/>
  <c r="BY22" i="31"/>
  <c r="BU22" i="31"/>
  <c r="CM22" i="31"/>
  <c r="DA22" i="31"/>
  <c r="CW22" i="31"/>
  <c r="DO22" i="31"/>
  <c r="EC22" i="31"/>
  <c r="EQ22" i="31"/>
  <c r="EM22" i="31"/>
  <c r="U23" i="31"/>
  <c r="U30" i="31"/>
  <c r="Q30" i="31"/>
  <c r="AI23" i="31"/>
  <c r="AW23" i="31"/>
  <c r="BK23" i="31"/>
  <c r="BY23" i="31"/>
  <c r="CM23" i="31"/>
  <c r="DA23" i="31"/>
  <c r="DO23" i="31"/>
  <c r="EC23" i="31"/>
  <c r="EQ23" i="31"/>
  <c r="EM23" i="31"/>
  <c r="U24" i="31"/>
  <c r="AI24" i="31"/>
  <c r="AW24" i="31"/>
  <c r="AS24" i="31"/>
  <c r="BK24" i="31"/>
  <c r="BY24" i="31"/>
  <c r="CM24" i="31"/>
  <c r="DA24" i="31"/>
  <c r="DO24" i="31"/>
  <c r="DK24" i="31"/>
  <c r="EC24" i="31"/>
  <c r="EQ24" i="31"/>
  <c r="U25" i="31"/>
  <c r="Q25" i="31"/>
  <c r="AI25" i="31"/>
  <c r="AE25" i="31"/>
  <c r="AW25" i="31"/>
  <c r="BK25" i="31"/>
  <c r="BY25" i="31"/>
  <c r="CM25" i="31"/>
  <c r="DA25" i="31"/>
  <c r="DO25" i="31"/>
  <c r="DK25" i="31"/>
  <c r="EC25" i="31"/>
  <c r="DY25" i="31"/>
  <c r="EQ25" i="31"/>
  <c r="EM25" i="31"/>
  <c r="U26" i="31"/>
  <c r="AI26" i="31"/>
  <c r="AE26" i="31"/>
  <c r="AW26" i="31"/>
  <c r="BK26" i="31"/>
  <c r="BY26" i="31"/>
  <c r="CM26" i="31"/>
  <c r="DA26" i="31"/>
  <c r="DO26" i="31"/>
  <c r="DK26" i="31"/>
  <c r="EC26" i="31"/>
  <c r="EQ26" i="31"/>
  <c r="EM26" i="31"/>
  <c r="U27" i="31"/>
  <c r="Q27" i="31"/>
  <c r="AI27" i="31"/>
  <c r="AW27" i="31"/>
  <c r="BK27" i="31"/>
  <c r="BY27" i="31"/>
  <c r="CM27" i="31"/>
  <c r="DA27" i="31"/>
  <c r="CW27" i="31"/>
  <c r="DO27" i="31"/>
  <c r="DK27" i="31"/>
  <c r="EC27" i="31"/>
  <c r="EC30" i="31"/>
  <c r="EQ27" i="31"/>
  <c r="U28" i="31"/>
  <c r="AI28" i="31"/>
  <c r="AW28" i="31"/>
  <c r="AW30" i="31"/>
  <c r="BK28" i="31"/>
  <c r="BY28" i="31"/>
  <c r="CM28" i="31"/>
  <c r="CI28" i="31"/>
  <c r="DA28" i="31"/>
  <c r="DO28" i="31"/>
  <c r="DK28" i="31"/>
  <c r="EC28" i="31"/>
  <c r="EQ28" i="31"/>
  <c r="EM28" i="31"/>
  <c r="U29" i="31"/>
  <c r="Q29" i="31"/>
  <c r="AI29" i="31"/>
  <c r="AE29" i="31"/>
  <c r="AW29" i="31"/>
  <c r="BK29" i="31"/>
  <c r="BK30" i="31"/>
  <c r="BY29" i="31"/>
  <c r="BU29" i="31"/>
  <c r="CM29" i="31"/>
  <c r="DA29" i="31"/>
  <c r="DO29" i="31"/>
  <c r="DK29" i="31"/>
  <c r="EC29" i="31"/>
  <c r="DY29" i="31"/>
  <c r="EQ29" i="31"/>
  <c r="B11" i="83"/>
  <c r="D15" i="83"/>
  <c r="R29" i="31"/>
  <c r="K164" i="76"/>
  <c r="J164" i="76"/>
  <c r="J19" i="82"/>
  <c r="I164" i="76"/>
  <c r="I19" i="82"/>
  <c r="C19" i="82"/>
  <c r="K135" i="76"/>
  <c r="K18" i="82"/>
  <c r="E18" i="82"/>
  <c r="J135" i="76"/>
  <c r="J18" i="82"/>
  <c r="I135" i="76"/>
  <c r="I18" i="82"/>
  <c r="K48" i="76"/>
  <c r="J48" i="76"/>
  <c r="D48" i="76"/>
  <c r="J15" i="82"/>
  <c r="I48" i="76"/>
  <c r="I15" i="82"/>
  <c r="H48" i="76"/>
  <c r="E48" i="76"/>
  <c r="H15" i="82"/>
  <c r="G48" i="76"/>
  <c r="G15" i="82"/>
  <c r="F48" i="76"/>
  <c r="A7" i="82"/>
  <c r="D401" i="17"/>
  <c r="L25" i="63"/>
  <c r="C618" i="24"/>
  <c r="E24" i="34"/>
  <c r="D24" i="34"/>
  <c r="E309" i="14"/>
  <c r="E273" i="14"/>
  <c r="H519" i="29"/>
  <c r="H520" i="29"/>
  <c r="I519" i="29"/>
  <c r="H22" i="53"/>
  <c r="I65" i="29"/>
  <c r="I66" i="29"/>
  <c r="I67" i="29"/>
  <c r="I68" i="29"/>
  <c r="H65" i="29"/>
  <c r="H66" i="29"/>
  <c r="G66" i="29"/>
  <c r="H67" i="29"/>
  <c r="H68" i="29"/>
  <c r="H367" i="29"/>
  <c r="H368" i="29"/>
  <c r="G369" i="29"/>
  <c r="I20" i="50"/>
  <c r="G372" i="29"/>
  <c r="L20" i="50"/>
  <c r="I1279" i="29"/>
  <c r="H32" i="53"/>
  <c r="H1279" i="29"/>
  <c r="H32" i="52"/>
  <c r="G1281" i="29"/>
  <c r="I32" i="50"/>
  <c r="G1282" i="29"/>
  <c r="J32" i="50"/>
  <c r="G1283" i="29"/>
  <c r="K32" i="50"/>
  <c r="G1284" i="29"/>
  <c r="L32" i="50"/>
  <c r="I1203" i="29"/>
  <c r="H1203" i="29"/>
  <c r="H31" i="52"/>
  <c r="G1205" i="29"/>
  <c r="I31" i="50"/>
  <c r="G1206" i="29"/>
  <c r="J31" i="50"/>
  <c r="G1207" i="29"/>
  <c r="K31" i="50"/>
  <c r="G1208" i="29"/>
  <c r="L31" i="50"/>
  <c r="I1127" i="29"/>
  <c r="H30" i="53"/>
  <c r="H1127" i="29"/>
  <c r="H30" i="52"/>
  <c r="G1129" i="29"/>
  <c r="I30" i="50"/>
  <c r="G1130" i="29"/>
  <c r="J30" i="50"/>
  <c r="G1131" i="29"/>
  <c r="K30" i="50"/>
  <c r="G1132" i="29"/>
  <c r="I1051" i="29"/>
  <c r="H1051" i="29"/>
  <c r="G1053" i="29"/>
  <c r="I29" i="50"/>
  <c r="G1054" i="29"/>
  <c r="J29" i="50"/>
  <c r="G1055" i="29"/>
  <c r="G1056" i="29"/>
  <c r="L29" i="50"/>
  <c r="I975" i="29"/>
  <c r="I976" i="29"/>
  <c r="H975" i="29"/>
  <c r="H976" i="29"/>
  <c r="G977" i="29"/>
  <c r="I28" i="50"/>
  <c r="G978" i="29"/>
  <c r="J28" i="50"/>
  <c r="G979" i="29"/>
  <c r="G980" i="29"/>
  <c r="L28" i="50"/>
  <c r="I899" i="29"/>
  <c r="I900" i="29"/>
  <c r="H899" i="29"/>
  <c r="H900" i="29"/>
  <c r="G901" i="29"/>
  <c r="I27" i="50"/>
  <c r="G902" i="29"/>
  <c r="J27" i="50"/>
  <c r="G903" i="29"/>
  <c r="G904" i="29"/>
  <c r="L27" i="50"/>
  <c r="I823" i="29"/>
  <c r="H823" i="29"/>
  <c r="G825" i="29"/>
  <c r="I26" i="50"/>
  <c r="G826" i="29"/>
  <c r="J26" i="50"/>
  <c r="G827" i="29"/>
  <c r="K26" i="50"/>
  <c r="G828" i="29"/>
  <c r="L26" i="50"/>
  <c r="I747" i="29"/>
  <c r="I748" i="29"/>
  <c r="H747" i="29"/>
  <c r="H748" i="29"/>
  <c r="G749" i="29"/>
  <c r="I25" i="50"/>
  <c r="G750" i="29"/>
  <c r="G751" i="29"/>
  <c r="G752" i="29"/>
  <c r="L25" i="50"/>
  <c r="I671" i="29"/>
  <c r="I672" i="29"/>
  <c r="H671" i="29"/>
  <c r="H24" i="52"/>
  <c r="G673" i="29"/>
  <c r="G674" i="29"/>
  <c r="J24" i="50"/>
  <c r="G675" i="29"/>
  <c r="K24" i="50"/>
  <c r="G676" i="29"/>
  <c r="L24" i="50"/>
  <c r="I595" i="29"/>
  <c r="I596" i="29"/>
  <c r="H595" i="29"/>
  <c r="H23" i="52"/>
  <c r="G597" i="29"/>
  <c r="I23" i="50"/>
  <c r="G598" i="29"/>
  <c r="J23" i="50"/>
  <c r="G599" i="29"/>
  <c r="K23" i="50"/>
  <c r="G600" i="29"/>
  <c r="L23" i="50"/>
  <c r="I439" i="29"/>
  <c r="H439" i="29"/>
  <c r="I1274" i="29"/>
  <c r="I1275" i="29"/>
  <c r="H1274" i="29"/>
  <c r="H1275" i="29"/>
  <c r="G1276" i="29"/>
  <c r="E32" i="50"/>
  <c r="G1277" i="29"/>
  <c r="F32" i="50"/>
  <c r="G1278" i="29"/>
  <c r="G32" i="50"/>
  <c r="I1198" i="29"/>
  <c r="D31" i="53"/>
  <c r="H1198" i="29"/>
  <c r="G1200" i="29"/>
  <c r="E31" i="50"/>
  <c r="G1201" i="29"/>
  <c r="F31" i="50"/>
  <c r="G1202" i="29"/>
  <c r="I1122" i="29"/>
  <c r="I1120" i="29"/>
  <c r="C30" i="53"/>
  <c r="H1122" i="29"/>
  <c r="D30" i="52"/>
  <c r="G1124" i="29"/>
  <c r="G1125" i="29"/>
  <c r="F30" i="50"/>
  <c r="G1126" i="29"/>
  <c r="G30" i="50"/>
  <c r="I1046" i="29"/>
  <c r="H1046" i="29"/>
  <c r="G1048" i="29"/>
  <c r="E29" i="50"/>
  <c r="G1049" i="29"/>
  <c r="F29" i="50"/>
  <c r="G1050" i="29"/>
  <c r="G29" i="50"/>
  <c r="I970" i="29"/>
  <c r="I971" i="29"/>
  <c r="H970" i="29"/>
  <c r="D28" i="52"/>
  <c r="G972" i="29"/>
  <c r="E28" i="50"/>
  <c r="G973" i="29"/>
  <c r="F28" i="50"/>
  <c r="G974" i="29"/>
  <c r="G28" i="50"/>
  <c r="I894" i="29"/>
  <c r="I895" i="29"/>
  <c r="H894" i="29"/>
  <c r="G896" i="29"/>
  <c r="E27" i="50"/>
  <c r="G897" i="29"/>
  <c r="G898" i="29"/>
  <c r="G27" i="50"/>
  <c r="I818" i="29"/>
  <c r="H818" i="29"/>
  <c r="H819" i="29"/>
  <c r="G821" i="29"/>
  <c r="F26" i="50"/>
  <c r="G822" i="29"/>
  <c r="G26" i="50"/>
  <c r="G820" i="29"/>
  <c r="I742" i="29"/>
  <c r="I743" i="29"/>
  <c r="H742" i="29"/>
  <c r="G744" i="29"/>
  <c r="E25" i="50"/>
  <c r="G745" i="29"/>
  <c r="F25" i="50"/>
  <c r="G746" i="29"/>
  <c r="G25" i="50"/>
  <c r="I666" i="29"/>
  <c r="H666" i="29"/>
  <c r="H667" i="29"/>
  <c r="G668" i="29"/>
  <c r="E24" i="50"/>
  <c r="G669" i="29"/>
  <c r="G670" i="29"/>
  <c r="I590" i="29"/>
  <c r="H590" i="29"/>
  <c r="G592" i="29"/>
  <c r="E23" i="50"/>
  <c r="G593" i="29"/>
  <c r="G594" i="29"/>
  <c r="G23" i="50"/>
  <c r="G523" i="29"/>
  <c r="K22" i="50"/>
  <c r="G521" i="29"/>
  <c r="G524" i="29"/>
  <c r="L22" i="50"/>
  <c r="I515" i="29"/>
  <c r="H515" i="29"/>
  <c r="I404" i="29"/>
  <c r="H404" i="29"/>
  <c r="H400" i="29"/>
  <c r="C12" i="34"/>
  <c r="E59" i="24"/>
  <c r="D184" i="23"/>
  <c r="AP10" i="34"/>
  <c r="H19" i="29"/>
  <c r="H22" i="29"/>
  <c r="G22" i="29"/>
  <c r="H23" i="29"/>
  <c r="H26" i="29"/>
  <c r="H27" i="29"/>
  <c r="H28" i="29"/>
  <c r="H29" i="29"/>
  <c r="H36" i="29"/>
  <c r="H37" i="29"/>
  <c r="H38" i="29"/>
  <c r="H39" i="29"/>
  <c r="H40" i="29"/>
  <c r="I19" i="29"/>
  <c r="I22" i="29"/>
  <c r="I23" i="29"/>
  <c r="I26" i="29"/>
  <c r="I27" i="29"/>
  <c r="G27" i="29"/>
  <c r="I28" i="29"/>
  <c r="I29" i="29"/>
  <c r="G29" i="29"/>
  <c r="I36" i="29"/>
  <c r="I37" i="29"/>
  <c r="I38" i="29"/>
  <c r="I39" i="29"/>
  <c r="I40" i="29"/>
  <c r="H33" i="29"/>
  <c r="G33" i="29"/>
  <c r="I33" i="29"/>
  <c r="I1012" i="29"/>
  <c r="I1008" i="29"/>
  <c r="G1008" i="29"/>
  <c r="H1008" i="29"/>
  <c r="H1012" i="29"/>
  <c r="G1012" i="29"/>
  <c r="C10" i="70"/>
  <c r="D30" i="72"/>
  <c r="F30" i="72"/>
  <c r="H30" i="72"/>
  <c r="H31" i="72"/>
  <c r="J30" i="72"/>
  <c r="J31" i="72"/>
  <c r="L30" i="72"/>
  <c r="L31" i="72"/>
  <c r="D29" i="72"/>
  <c r="F29" i="72"/>
  <c r="H29" i="72"/>
  <c r="J29" i="72"/>
  <c r="L29" i="72"/>
  <c r="D28" i="72"/>
  <c r="F28" i="72"/>
  <c r="H28" i="72"/>
  <c r="J28" i="72"/>
  <c r="L28" i="72"/>
  <c r="D27" i="72"/>
  <c r="F27" i="72"/>
  <c r="H27" i="72"/>
  <c r="J27" i="72"/>
  <c r="L27" i="72"/>
  <c r="D26" i="72"/>
  <c r="F26" i="72"/>
  <c r="H26" i="72"/>
  <c r="J26" i="72"/>
  <c r="L26" i="72"/>
  <c r="D25" i="72"/>
  <c r="F25" i="72"/>
  <c r="H25" i="72"/>
  <c r="J25" i="72"/>
  <c r="L25" i="72"/>
  <c r="D24" i="72"/>
  <c r="F24" i="72"/>
  <c r="H24" i="72"/>
  <c r="J24" i="72"/>
  <c r="L24" i="72"/>
  <c r="D23" i="72"/>
  <c r="F23" i="72"/>
  <c r="H23" i="72"/>
  <c r="J23" i="72"/>
  <c r="L23" i="72"/>
  <c r="D22" i="72"/>
  <c r="F22" i="72"/>
  <c r="H22" i="72"/>
  <c r="J22" i="72"/>
  <c r="L22" i="72"/>
  <c r="D21" i="72"/>
  <c r="F21" i="72"/>
  <c r="C21" i="72"/>
  <c r="H21" i="72"/>
  <c r="J21" i="72"/>
  <c r="L21" i="72"/>
  <c r="D20" i="72"/>
  <c r="F20" i="72"/>
  <c r="H20" i="72"/>
  <c r="J20" i="72"/>
  <c r="L20" i="72"/>
  <c r="D19" i="72"/>
  <c r="F19" i="72"/>
  <c r="H19" i="72"/>
  <c r="J19" i="72"/>
  <c r="L19" i="72"/>
  <c r="D18" i="72"/>
  <c r="F18" i="72"/>
  <c r="H18" i="72"/>
  <c r="J18" i="72"/>
  <c r="L18" i="72"/>
  <c r="C18" i="72"/>
  <c r="D17" i="72"/>
  <c r="F17" i="72"/>
  <c r="H17" i="72"/>
  <c r="J17" i="72"/>
  <c r="L17" i="72"/>
  <c r="D15" i="72"/>
  <c r="F15" i="72"/>
  <c r="H15" i="72"/>
  <c r="J15" i="72"/>
  <c r="L15" i="72"/>
  <c r="D16" i="72"/>
  <c r="F16" i="72"/>
  <c r="H16" i="72"/>
  <c r="J16" i="72"/>
  <c r="L16" i="72"/>
  <c r="F30" i="71"/>
  <c r="D30" i="71"/>
  <c r="D31" i="71"/>
  <c r="H30" i="71"/>
  <c r="J30" i="71"/>
  <c r="J31" i="71"/>
  <c r="J29" i="71"/>
  <c r="H29" i="71"/>
  <c r="F29" i="71"/>
  <c r="J28" i="71"/>
  <c r="H28" i="71"/>
  <c r="F28" i="71"/>
  <c r="F31" i="71"/>
  <c r="D28" i="71"/>
  <c r="C28" i="71"/>
  <c r="E28" i="71"/>
  <c r="J27" i="71"/>
  <c r="H27" i="71"/>
  <c r="F27" i="71"/>
  <c r="F26" i="71"/>
  <c r="H26" i="71"/>
  <c r="J26" i="71"/>
  <c r="F25" i="71"/>
  <c r="D25" i="71"/>
  <c r="C25" i="71"/>
  <c r="K25" i="71"/>
  <c r="H25" i="71"/>
  <c r="J25" i="71"/>
  <c r="F24" i="71"/>
  <c r="H24" i="71"/>
  <c r="J24" i="71"/>
  <c r="F23" i="71"/>
  <c r="H23" i="71"/>
  <c r="J23" i="71"/>
  <c r="F22" i="71"/>
  <c r="D22" i="71"/>
  <c r="H22" i="71"/>
  <c r="J22" i="71"/>
  <c r="F21" i="71"/>
  <c r="H21" i="71"/>
  <c r="J21" i="71"/>
  <c r="F20" i="71"/>
  <c r="D20" i="71"/>
  <c r="C20" i="71"/>
  <c r="H20" i="71"/>
  <c r="J20" i="71"/>
  <c r="F19" i="71"/>
  <c r="H19" i="71"/>
  <c r="J19" i="71"/>
  <c r="F18" i="71"/>
  <c r="H18" i="71"/>
  <c r="J18" i="71"/>
  <c r="F17" i="71"/>
  <c r="D17" i="71"/>
  <c r="C17" i="71"/>
  <c r="G17" i="71"/>
  <c r="H17" i="71"/>
  <c r="J17" i="71"/>
  <c r="F15" i="71"/>
  <c r="H15" i="71"/>
  <c r="J15" i="71"/>
  <c r="F16" i="71"/>
  <c r="D16" i="71"/>
  <c r="H16" i="71"/>
  <c r="J16" i="71"/>
  <c r="C531" i="18"/>
  <c r="C30" i="68"/>
  <c r="C31" i="68"/>
  <c r="D531" i="18"/>
  <c r="D30" i="68"/>
  <c r="D31" i="68"/>
  <c r="C499" i="18"/>
  <c r="C29" i="68"/>
  <c r="D499" i="18"/>
  <c r="D29" i="68"/>
  <c r="C467" i="18"/>
  <c r="C28" i="68"/>
  <c r="D467" i="18"/>
  <c r="D28" i="68"/>
  <c r="D435" i="18"/>
  <c r="D27" i="68"/>
  <c r="C435" i="18"/>
  <c r="C27" i="68"/>
  <c r="C403" i="18"/>
  <c r="C26" i="68"/>
  <c r="D403" i="18"/>
  <c r="D26" i="68"/>
  <c r="C371" i="18"/>
  <c r="C25" i="68"/>
  <c r="D371" i="18"/>
  <c r="D25" i="68"/>
  <c r="C339" i="18"/>
  <c r="C24" i="68"/>
  <c r="D339" i="18"/>
  <c r="D24" i="68"/>
  <c r="C307" i="18"/>
  <c r="C23" i="68"/>
  <c r="D307" i="18"/>
  <c r="D23" i="68"/>
  <c r="C275" i="18"/>
  <c r="C22" i="68"/>
  <c r="D275" i="18"/>
  <c r="D22" i="68"/>
  <c r="C243" i="18"/>
  <c r="D243" i="18"/>
  <c r="D21" i="68"/>
  <c r="C211" i="18"/>
  <c r="C20" i="68"/>
  <c r="D211" i="18"/>
  <c r="D20" i="68"/>
  <c r="D179" i="18"/>
  <c r="D19" i="68"/>
  <c r="C179" i="18"/>
  <c r="C19" i="68"/>
  <c r="C147" i="18"/>
  <c r="C18" i="68"/>
  <c r="D147" i="18"/>
  <c r="D18" i="68"/>
  <c r="C115" i="18"/>
  <c r="C17" i="68"/>
  <c r="D115" i="18"/>
  <c r="D17" i="68"/>
  <c r="C51" i="18"/>
  <c r="C15" i="68"/>
  <c r="D51" i="18"/>
  <c r="D15" i="68"/>
  <c r="C83" i="18"/>
  <c r="C16" i="68"/>
  <c r="D83" i="18"/>
  <c r="D16" i="68"/>
  <c r="T14" i="34"/>
  <c r="C452" i="20"/>
  <c r="C196" i="18"/>
  <c r="G209" i="17"/>
  <c r="N220" i="14"/>
  <c r="E329" i="24"/>
  <c r="B13" i="24"/>
  <c r="B716" i="24"/>
  <c r="B878" i="24"/>
  <c r="B12" i="24"/>
  <c r="B877" i="24"/>
  <c r="B824" i="24"/>
  <c r="B823" i="24"/>
  <c r="B770" i="24"/>
  <c r="B715" i="24"/>
  <c r="B662" i="24"/>
  <c r="B608" i="24"/>
  <c r="B607" i="24"/>
  <c r="B554" i="24"/>
  <c r="B500" i="24"/>
  <c r="B499" i="24"/>
  <c r="B392" i="24"/>
  <c r="B391" i="24"/>
  <c r="B338" i="24"/>
  <c r="B283" i="24"/>
  <c r="B230" i="24"/>
  <c r="B176" i="24"/>
  <c r="B175" i="24"/>
  <c r="B122" i="24"/>
  <c r="B68" i="24"/>
  <c r="B67" i="24"/>
  <c r="M10" i="37"/>
  <c r="H10" i="37"/>
  <c r="G10" i="37"/>
  <c r="D11" i="37"/>
  <c r="C11" i="37"/>
  <c r="M10" i="36"/>
  <c r="H10" i="36"/>
  <c r="G10" i="36"/>
  <c r="D11" i="36"/>
  <c r="C11" i="36"/>
  <c r="M10" i="35"/>
  <c r="H10" i="35"/>
  <c r="G10" i="35"/>
  <c r="D11" i="35"/>
  <c r="C11" i="35"/>
  <c r="A8" i="31"/>
  <c r="BL10" i="34"/>
  <c r="BA10" i="34"/>
  <c r="Z10" i="34"/>
  <c r="AM10" i="34"/>
  <c r="AH10" i="34"/>
  <c r="AD10" i="34"/>
  <c r="P12" i="34"/>
  <c r="AC12" i="34"/>
  <c r="M10" i="34"/>
  <c r="H10" i="34"/>
  <c r="U10" i="34"/>
  <c r="D10" i="34"/>
  <c r="Q10" i="34"/>
  <c r="D17" i="18"/>
  <c r="D529" i="18"/>
  <c r="C17" i="18"/>
  <c r="D497" i="18"/>
  <c r="D465" i="18"/>
  <c r="D433" i="18"/>
  <c r="D401" i="18"/>
  <c r="D369" i="18"/>
  <c r="D337" i="18"/>
  <c r="D305" i="18"/>
  <c r="D273" i="18"/>
  <c r="D241" i="18"/>
  <c r="D209" i="18"/>
  <c r="D177" i="18"/>
  <c r="D145" i="18"/>
  <c r="D113" i="18"/>
  <c r="D81" i="18"/>
  <c r="D49" i="18"/>
  <c r="B13" i="17"/>
  <c r="B47" i="17"/>
  <c r="B455" i="17"/>
  <c r="B11" i="16"/>
  <c r="B272" i="16"/>
  <c r="B388" i="16"/>
  <c r="B156" i="16"/>
  <c r="B40" i="16"/>
  <c r="B24" i="25"/>
  <c r="B536" i="25"/>
  <c r="B22" i="25"/>
  <c r="B472" i="25"/>
  <c r="B440" i="25"/>
  <c r="B408" i="25"/>
  <c r="B344" i="25"/>
  <c r="B312" i="25"/>
  <c r="B280" i="25"/>
  <c r="B216" i="25"/>
  <c r="B184" i="25"/>
  <c r="B152" i="25"/>
  <c r="B88" i="25"/>
  <c r="B20" i="25"/>
  <c r="B52" i="25"/>
  <c r="B84" i="25"/>
  <c r="B116" i="25"/>
  <c r="B148" i="25"/>
  <c r="B180" i="25"/>
  <c r="B212" i="25"/>
  <c r="B244" i="25"/>
  <c r="B276" i="25"/>
  <c r="B308" i="25"/>
  <c r="B340" i="25"/>
  <c r="B372" i="25"/>
  <c r="B404" i="25"/>
  <c r="B436" i="25"/>
  <c r="B468" i="25"/>
  <c r="B500" i="25"/>
  <c r="B532" i="25"/>
  <c r="B19" i="25"/>
  <c r="B51" i="25"/>
  <c r="B83" i="25"/>
  <c r="B115" i="25"/>
  <c r="B147" i="25"/>
  <c r="B179" i="25"/>
  <c r="B211" i="25"/>
  <c r="B243" i="25"/>
  <c r="B275" i="25"/>
  <c r="B307" i="25"/>
  <c r="B339" i="25"/>
  <c r="B371" i="25"/>
  <c r="B403" i="25"/>
  <c r="B435" i="25"/>
  <c r="B467" i="25"/>
  <c r="B499" i="25"/>
  <c r="B531" i="25"/>
  <c r="B18" i="25"/>
  <c r="B17" i="25"/>
  <c r="B529" i="25"/>
  <c r="B16" i="25"/>
  <c r="B465" i="25"/>
  <c r="B434" i="25"/>
  <c r="B433" i="25"/>
  <c r="B401" i="25"/>
  <c r="B337" i="25"/>
  <c r="B305" i="25"/>
  <c r="B273" i="25"/>
  <c r="B209" i="25"/>
  <c r="B177" i="25"/>
  <c r="B145" i="25"/>
  <c r="B81" i="25"/>
  <c r="B49" i="25"/>
  <c r="B30" i="29"/>
  <c r="B24" i="29"/>
  <c r="B1164" i="29"/>
  <c r="B20" i="29"/>
  <c r="B19" i="29"/>
  <c r="B1170" i="29"/>
  <c r="B1159" i="29"/>
  <c r="B1018" i="29"/>
  <c r="B1007" i="29"/>
  <c r="B866" i="29"/>
  <c r="B855" i="29"/>
  <c r="B780" i="29"/>
  <c r="B632" i="29"/>
  <c r="B627" i="29"/>
  <c r="B480" i="29"/>
  <c r="B404" i="29"/>
  <c r="B399" i="29"/>
  <c r="B252" i="29"/>
  <c r="B247" i="29"/>
  <c r="B96" i="29"/>
  <c r="E11" i="29"/>
  <c r="E771" i="29"/>
  <c r="E1075" i="29"/>
  <c r="E467" i="29"/>
  <c r="E163" i="29"/>
  <c r="B11" i="14"/>
  <c r="B227" i="14"/>
  <c r="AN8" i="34"/>
  <c r="N8" i="34"/>
  <c r="A8" i="34"/>
  <c r="AA8" i="34"/>
  <c r="BJ8" i="34"/>
  <c r="AY8" i="34"/>
  <c r="B37" i="24"/>
  <c r="B901" i="24"/>
  <c r="B33" i="24"/>
  <c r="B249" i="24"/>
  <c r="B26" i="24"/>
  <c r="B621" i="24"/>
  <c r="B21" i="24"/>
  <c r="B886" i="24"/>
  <c r="B20" i="24"/>
  <c r="B885" i="24"/>
  <c r="B843" i="24"/>
  <c r="B832" i="24"/>
  <c r="B793" i="24"/>
  <c r="B789" i="24"/>
  <c r="B778" i="24"/>
  <c r="B777" i="24"/>
  <c r="B739" i="24"/>
  <c r="B735" i="24"/>
  <c r="B724" i="24"/>
  <c r="B723" i="24"/>
  <c r="B685" i="24"/>
  <c r="B681" i="24"/>
  <c r="B670" i="24"/>
  <c r="B616" i="24"/>
  <c r="B577" i="24"/>
  <c r="B567" i="24"/>
  <c r="B562" i="24"/>
  <c r="B561" i="24"/>
  <c r="B523" i="24"/>
  <c r="B519" i="24"/>
  <c r="B508" i="24"/>
  <c r="B507" i="24"/>
  <c r="B469" i="24"/>
  <c r="B465" i="24"/>
  <c r="B454" i="24"/>
  <c r="B453" i="24"/>
  <c r="B415" i="24"/>
  <c r="B405" i="24"/>
  <c r="B400" i="24"/>
  <c r="B399" i="24"/>
  <c r="B361" i="24"/>
  <c r="B357" i="24"/>
  <c r="B346" i="24"/>
  <c r="B307" i="24"/>
  <c r="B303" i="24"/>
  <c r="B292" i="24"/>
  <c r="B291" i="24"/>
  <c r="B253" i="24"/>
  <c r="B238" i="24"/>
  <c r="B237" i="24"/>
  <c r="B199" i="24"/>
  <c r="B184" i="24"/>
  <c r="B183" i="24"/>
  <c r="B145" i="24"/>
  <c r="B135" i="24"/>
  <c r="B130" i="24"/>
  <c r="B91" i="24"/>
  <c r="B81" i="24"/>
  <c r="B76" i="24"/>
  <c r="B75" i="24"/>
  <c r="D11" i="68"/>
  <c r="C11" i="68"/>
  <c r="A8" i="68"/>
  <c r="B23" i="23"/>
  <c r="B443" i="23"/>
  <c r="B413" i="23"/>
  <c r="B203" i="23"/>
  <c r="B53" i="23"/>
  <c r="B21" i="23"/>
  <c r="B411" i="23"/>
  <c r="B471" i="23"/>
  <c r="B351" i="23"/>
  <c r="B321" i="23"/>
  <c r="B231" i="23"/>
  <c r="B171" i="23"/>
  <c r="B81" i="23"/>
  <c r="B51" i="23"/>
  <c r="B19" i="23"/>
  <c r="B18" i="23"/>
  <c r="B17" i="23"/>
  <c r="B347" i="23"/>
  <c r="B497" i="23"/>
  <c r="B16" i="23"/>
  <c r="B496" i="23"/>
  <c r="B469" i="23"/>
  <c r="B467" i="23"/>
  <c r="B437" i="23"/>
  <c r="B409" i="23"/>
  <c r="B407" i="23"/>
  <c r="B379" i="23"/>
  <c r="B378" i="23"/>
  <c r="B349" i="23"/>
  <c r="B318" i="23"/>
  <c r="B317" i="23"/>
  <c r="B289" i="23"/>
  <c r="B259" i="23"/>
  <c r="B229" i="23"/>
  <c r="B227" i="23"/>
  <c r="B197" i="23"/>
  <c r="B169" i="23"/>
  <c r="B167" i="23"/>
  <c r="B139" i="23"/>
  <c r="B109" i="23"/>
  <c r="B108" i="23"/>
  <c r="B107" i="23"/>
  <c r="B48" i="23"/>
  <c r="B47" i="23"/>
  <c r="B15" i="23"/>
  <c r="B495" i="23"/>
  <c r="B405" i="23"/>
  <c r="B345" i="23"/>
  <c r="B225" i="23"/>
  <c r="B105" i="23"/>
  <c r="B8" i="23"/>
  <c r="B398" i="23"/>
  <c r="A8" i="33"/>
  <c r="I18" i="75"/>
  <c r="H18" i="75"/>
  <c r="F18" i="75"/>
  <c r="G18" i="75"/>
  <c r="C138" i="23"/>
  <c r="F16" i="33"/>
  <c r="C18" i="75"/>
  <c r="D138" i="23"/>
  <c r="D18" i="75"/>
  <c r="E138" i="23"/>
  <c r="E18" i="75"/>
  <c r="I11" i="75"/>
  <c r="H11" i="75"/>
  <c r="F10" i="75"/>
  <c r="C10" i="75"/>
  <c r="I10" i="74"/>
  <c r="F10" i="74"/>
  <c r="C10" i="74"/>
  <c r="I11" i="70"/>
  <c r="H11" i="70"/>
  <c r="F10" i="70"/>
  <c r="C10" i="69"/>
  <c r="I10" i="69"/>
  <c r="F10" i="69"/>
  <c r="A7" i="69"/>
  <c r="C4" i="18"/>
  <c r="B9" i="18"/>
  <c r="B457" i="18"/>
  <c r="B329" i="18"/>
  <c r="B297" i="18"/>
  <c r="B201" i="18"/>
  <c r="B73" i="18"/>
  <c r="B41" i="18"/>
  <c r="B11" i="18"/>
  <c r="B491" i="18"/>
  <c r="B459" i="18"/>
  <c r="B363" i="18"/>
  <c r="B299" i="18"/>
  <c r="B203" i="18"/>
  <c r="B107" i="18"/>
  <c r="B43" i="18"/>
  <c r="B9" i="25"/>
  <c r="B457" i="25"/>
  <c r="B521" i="25"/>
  <c r="B489" i="25"/>
  <c r="B425" i="25"/>
  <c r="B393" i="25"/>
  <c r="B361" i="25"/>
  <c r="B297" i="25"/>
  <c r="B265" i="25"/>
  <c r="B233" i="25"/>
  <c r="B169" i="25"/>
  <c r="B137" i="25"/>
  <c r="B105" i="25"/>
  <c r="B41" i="25"/>
  <c r="C4" i="20"/>
  <c r="B13" i="20"/>
  <c r="B333" i="20"/>
  <c r="B461" i="20"/>
  <c r="B301" i="20"/>
  <c r="B205" i="20"/>
  <c r="B77" i="20"/>
  <c r="B11" i="22"/>
  <c r="B363" i="22"/>
  <c r="B235" i="22"/>
  <c r="B107" i="22"/>
  <c r="B12" i="76"/>
  <c r="B418" i="76"/>
  <c r="B476" i="76"/>
  <c r="B447" i="76"/>
  <c r="B389" i="76"/>
  <c r="B360" i="76"/>
  <c r="B331" i="76"/>
  <c r="B273" i="76"/>
  <c r="B244" i="76"/>
  <c r="B215" i="76"/>
  <c r="B157" i="76"/>
  <c r="B128" i="76"/>
  <c r="B99" i="76"/>
  <c r="B41" i="76"/>
  <c r="A7" i="80"/>
  <c r="A7" i="79"/>
  <c r="A7" i="78"/>
  <c r="A7" i="77"/>
  <c r="A7" i="75"/>
  <c r="A7" i="74"/>
  <c r="A8" i="73"/>
  <c r="A8" i="72"/>
  <c r="A8" i="71"/>
  <c r="A7" i="70"/>
  <c r="A7" i="67"/>
  <c r="A7" i="66"/>
  <c r="A7" i="65"/>
  <c r="A7" i="64"/>
  <c r="A7" i="63"/>
  <c r="A7" i="62"/>
  <c r="A7" i="61"/>
  <c r="A7" i="60"/>
  <c r="A7" i="59"/>
  <c r="A7" i="58"/>
  <c r="A7" i="57"/>
  <c r="A8" i="56"/>
  <c r="A8" i="55"/>
  <c r="A8" i="54"/>
  <c r="A9" i="53"/>
  <c r="A9" i="52"/>
  <c r="A9" i="50"/>
  <c r="A8" i="49"/>
  <c r="A8" i="48"/>
  <c r="A8" i="47"/>
  <c r="A8" i="46"/>
  <c r="A8" i="45"/>
  <c r="A8" i="44"/>
  <c r="A8" i="43"/>
  <c r="A8" i="42"/>
  <c r="A8" i="41"/>
  <c r="A7" i="40"/>
  <c r="A7" i="39"/>
  <c r="A7" i="38"/>
  <c r="A7" i="36"/>
  <c r="A7" i="37"/>
  <c r="A7" i="35"/>
  <c r="C459" i="16"/>
  <c r="J30" i="57"/>
  <c r="H47" i="29"/>
  <c r="H48" i="29"/>
  <c r="G48" i="29"/>
  <c r="H49" i="29"/>
  <c r="H45" i="29"/>
  <c r="H50" i="29"/>
  <c r="H51" i="29"/>
  <c r="G51" i="29"/>
  <c r="I47" i="29"/>
  <c r="I48" i="29"/>
  <c r="I49" i="29"/>
  <c r="I50" i="29"/>
  <c r="G50" i="29"/>
  <c r="I51" i="29"/>
  <c r="H139" i="29"/>
  <c r="H140" i="29"/>
  <c r="I139" i="29"/>
  <c r="I140" i="29"/>
  <c r="H121" i="29"/>
  <c r="D16" i="48"/>
  <c r="H119" i="29"/>
  <c r="C16" i="48"/>
  <c r="I16" i="48"/>
  <c r="I121" i="29"/>
  <c r="C16" i="46"/>
  <c r="H100" i="29"/>
  <c r="H107" i="29"/>
  <c r="H96" i="29"/>
  <c r="I100" i="29"/>
  <c r="I96" i="29"/>
  <c r="H215" i="29"/>
  <c r="H18" i="52"/>
  <c r="I215" i="29"/>
  <c r="I208" i="29"/>
  <c r="H197" i="29"/>
  <c r="H195" i="29"/>
  <c r="C17" i="48"/>
  <c r="I197" i="29"/>
  <c r="H176" i="29"/>
  <c r="H172" i="29"/>
  <c r="I176" i="29"/>
  <c r="I172" i="29"/>
  <c r="I173" i="29"/>
  <c r="H291" i="29"/>
  <c r="H19" i="52"/>
  <c r="I291" i="29"/>
  <c r="H273" i="29"/>
  <c r="D18" i="48"/>
  <c r="I273" i="29"/>
  <c r="I271" i="29"/>
  <c r="C18" i="49"/>
  <c r="H252" i="29"/>
  <c r="H248" i="29"/>
  <c r="H249" i="29"/>
  <c r="I252" i="29"/>
  <c r="I248" i="29"/>
  <c r="I367" i="29"/>
  <c r="H328" i="29"/>
  <c r="G328" i="29"/>
  <c r="H324" i="29"/>
  <c r="I328" i="29"/>
  <c r="I335" i="29"/>
  <c r="I324" i="29"/>
  <c r="H349" i="29"/>
  <c r="D19" i="48"/>
  <c r="I349" i="29"/>
  <c r="D19" i="49"/>
  <c r="I443" i="29"/>
  <c r="I444" i="29"/>
  <c r="H443" i="29"/>
  <c r="H425" i="29"/>
  <c r="I425" i="29"/>
  <c r="D20" i="49"/>
  <c r="I400" i="29"/>
  <c r="I512" i="29"/>
  <c r="C22" i="53"/>
  <c r="H501" i="29"/>
  <c r="H499" i="29"/>
  <c r="C21" i="48"/>
  <c r="I21" i="48"/>
  <c r="I501" i="29"/>
  <c r="I499" i="29"/>
  <c r="C21" i="49"/>
  <c r="H480" i="29"/>
  <c r="H476" i="29"/>
  <c r="H477" i="29"/>
  <c r="I480" i="29"/>
  <c r="I476" i="29"/>
  <c r="I477" i="29"/>
  <c r="H577" i="29"/>
  <c r="D22" i="48"/>
  <c r="I577" i="29"/>
  <c r="C22" i="46"/>
  <c r="H556" i="29"/>
  <c r="H552" i="29"/>
  <c r="I556" i="29"/>
  <c r="I552" i="29"/>
  <c r="H653" i="29"/>
  <c r="I653" i="29"/>
  <c r="D23" i="49"/>
  <c r="H632" i="29"/>
  <c r="H628" i="29"/>
  <c r="G628" i="29"/>
  <c r="I632" i="29"/>
  <c r="I628" i="29"/>
  <c r="I729" i="29"/>
  <c r="I727" i="29"/>
  <c r="C24" i="49"/>
  <c r="H729" i="29"/>
  <c r="C24" i="45"/>
  <c r="K24" i="45"/>
  <c r="H708" i="29"/>
  <c r="H704" i="29"/>
  <c r="I708" i="29"/>
  <c r="I704" i="29"/>
  <c r="I705" i="29"/>
  <c r="H805" i="29"/>
  <c r="I805" i="29"/>
  <c r="C25" i="46"/>
  <c r="H784" i="29"/>
  <c r="H780" i="29"/>
  <c r="H781" i="29"/>
  <c r="I784" i="29"/>
  <c r="I780" i="29"/>
  <c r="H881" i="29"/>
  <c r="H879" i="29"/>
  <c r="I881" i="29"/>
  <c r="C26" i="46"/>
  <c r="H860" i="29"/>
  <c r="H856" i="29"/>
  <c r="H867" i="29"/>
  <c r="M24" i="36"/>
  <c r="N24" i="36"/>
  <c r="I860" i="29"/>
  <c r="G860" i="29"/>
  <c r="I856" i="29"/>
  <c r="H1236" i="29"/>
  <c r="H1237" i="29"/>
  <c r="H1240" i="29"/>
  <c r="G1240" i="29"/>
  <c r="I1236" i="29"/>
  <c r="I1240" i="29"/>
  <c r="H1261" i="29"/>
  <c r="D31" i="48"/>
  <c r="I1261" i="29"/>
  <c r="D31" i="49"/>
  <c r="H1160" i="29"/>
  <c r="H1171" i="29"/>
  <c r="H1164" i="29"/>
  <c r="I1160" i="29"/>
  <c r="I1171" i="29"/>
  <c r="M28" i="37"/>
  <c r="N28" i="37"/>
  <c r="I1164" i="29"/>
  <c r="H1185" i="29"/>
  <c r="I1185" i="29"/>
  <c r="I1183" i="29"/>
  <c r="C30" i="49"/>
  <c r="H1084" i="29"/>
  <c r="H1095" i="29"/>
  <c r="H1098" i="29"/>
  <c r="H1088" i="29"/>
  <c r="I1084" i="29"/>
  <c r="I1096" i="29"/>
  <c r="I1088" i="29"/>
  <c r="G1088" i="29"/>
  <c r="H1109" i="29"/>
  <c r="D29" i="48"/>
  <c r="I1109" i="29"/>
  <c r="I1107" i="29"/>
  <c r="C29" i="49"/>
  <c r="E29" i="49"/>
  <c r="H1033" i="29"/>
  <c r="I1033" i="29"/>
  <c r="H957" i="29"/>
  <c r="H955" i="29"/>
  <c r="C27" i="48"/>
  <c r="E27" i="48"/>
  <c r="I957" i="29"/>
  <c r="C27" i="46"/>
  <c r="H936" i="29"/>
  <c r="H932" i="29"/>
  <c r="G932" i="29"/>
  <c r="C404" i="18"/>
  <c r="I936" i="29"/>
  <c r="I943" i="29"/>
  <c r="M25" i="37"/>
  <c r="I932" i="29"/>
  <c r="E218" i="25"/>
  <c r="M21" i="14"/>
  <c r="E21" i="14"/>
  <c r="I21" i="14"/>
  <c r="E597" i="14"/>
  <c r="E561" i="14"/>
  <c r="E525" i="14"/>
  <c r="E489" i="14"/>
  <c r="E453" i="14"/>
  <c r="E417" i="14"/>
  <c r="E381" i="14"/>
  <c r="E345" i="14"/>
  <c r="E57" i="14"/>
  <c r="E93" i="14"/>
  <c r="E129" i="14"/>
  <c r="E165" i="14"/>
  <c r="E201" i="14"/>
  <c r="E202" i="14"/>
  <c r="L597" i="14"/>
  <c r="M598" i="14"/>
  <c r="H597" i="14"/>
  <c r="K597" i="14"/>
  <c r="G606" i="14"/>
  <c r="G607" i="14"/>
  <c r="G608" i="14"/>
  <c r="G605" i="14"/>
  <c r="G604" i="14"/>
  <c r="G603" i="14"/>
  <c r="G602" i="14"/>
  <c r="G601" i="14"/>
  <c r="G600" i="14"/>
  <c r="G599" i="14"/>
  <c r="O597" i="14"/>
  <c r="J597" i="14"/>
  <c r="F606" i="14"/>
  <c r="F607" i="14"/>
  <c r="F599" i="14"/>
  <c r="F600" i="14"/>
  <c r="F601" i="14"/>
  <c r="F602" i="14"/>
  <c r="F603" i="14"/>
  <c r="F604" i="14"/>
  <c r="F605" i="14"/>
  <c r="F608" i="14"/>
  <c r="N597" i="14"/>
  <c r="D599" i="14"/>
  <c r="D600" i="14"/>
  <c r="D597" i="14"/>
  <c r="E598" i="14"/>
  <c r="D601" i="14"/>
  <c r="D602" i="14"/>
  <c r="D603" i="14"/>
  <c r="D604" i="14"/>
  <c r="D605" i="14"/>
  <c r="D606" i="14"/>
  <c r="D607" i="14"/>
  <c r="D608" i="14"/>
  <c r="L561" i="14"/>
  <c r="M562" i="14"/>
  <c r="H561" i="14"/>
  <c r="I562" i="14"/>
  <c r="K561" i="14"/>
  <c r="G572" i="14"/>
  <c r="G571" i="14"/>
  <c r="G570" i="14"/>
  <c r="G569" i="14"/>
  <c r="G568" i="14"/>
  <c r="G567" i="14"/>
  <c r="G566" i="14"/>
  <c r="G565" i="14"/>
  <c r="G564" i="14"/>
  <c r="G563" i="14"/>
  <c r="O561" i="14"/>
  <c r="J561" i="14"/>
  <c r="F563" i="14"/>
  <c r="F564" i="14"/>
  <c r="F565" i="14"/>
  <c r="F566" i="14"/>
  <c r="F567" i="14"/>
  <c r="F568" i="14"/>
  <c r="F569" i="14"/>
  <c r="F570" i="14"/>
  <c r="F571" i="14"/>
  <c r="F572" i="14"/>
  <c r="N561" i="14"/>
  <c r="D563" i="14"/>
  <c r="D564" i="14"/>
  <c r="D565" i="14"/>
  <c r="D566" i="14"/>
  <c r="D567" i="14"/>
  <c r="D568" i="14"/>
  <c r="D569" i="14"/>
  <c r="D570" i="14"/>
  <c r="D571" i="14"/>
  <c r="D572" i="14"/>
  <c r="L525" i="14"/>
  <c r="M526" i="14"/>
  <c r="H525" i="14"/>
  <c r="I526" i="14"/>
  <c r="K525" i="14"/>
  <c r="G536" i="14"/>
  <c r="G535" i="14"/>
  <c r="G534" i="14"/>
  <c r="G533" i="14"/>
  <c r="G532" i="14"/>
  <c r="G531" i="14"/>
  <c r="G530" i="14"/>
  <c r="G529" i="14"/>
  <c r="G528" i="14"/>
  <c r="G527" i="14"/>
  <c r="O525" i="14"/>
  <c r="J525" i="14"/>
  <c r="F536" i="14"/>
  <c r="F535" i="14"/>
  <c r="F534" i="14"/>
  <c r="F533" i="14"/>
  <c r="F527" i="14"/>
  <c r="F528" i="14"/>
  <c r="F529" i="14"/>
  <c r="F530" i="14"/>
  <c r="F531" i="14"/>
  <c r="F532" i="14"/>
  <c r="N525" i="14"/>
  <c r="D527" i="14"/>
  <c r="D528" i="14"/>
  <c r="D529" i="14"/>
  <c r="D530" i="14"/>
  <c r="D531" i="14"/>
  <c r="D532" i="14"/>
  <c r="D533" i="14"/>
  <c r="D534" i="14"/>
  <c r="D535" i="14"/>
  <c r="D536" i="14"/>
  <c r="L489" i="14"/>
  <c r="H489" i="14"/>
  <c r="I490" i="14"/>
  <c r="K489" i="14"/>
  <c r="G497" i="14"/>
  <c r="G496" i="14"/>
  <c r="G500" i="14"/>
  <c r="G499" i="14"/>
  <c r="G498" i="14"/>
  <c r="G495" i="14"/>
  <c r="G494" i="14"/>
  <c r="G493" i="14"/>
  <c r="G492" i="14"/>
  <c r="G491" i="14"/>
  <c r="O489" i="14"/>
  <c r="J489" i="14"/>
  <c r="F497" i="14"/>
  <c r="F496" i="14"/>
  <c r="F500" i="14"/>
  <c r="F499" i="14"/>
  <c r="F498" i="14"/>
  <c r="F491" i="14"/>
  <c r="F492" i="14"/>
  <c r="F493" i="14"/>
  <c r="F494" i="14"/>
  <c r="F495" i="14"/>
  <c r="N489" i="14"/>
  <c r="D497" i="14"/>
  <c r="D496" i="14"/>
  <c r="D498" i="14"/>
  <c r="D499" i="14"/>
  <c r="D500" i="14"/>
  <c r="D495" i="14"/>
  <c r="D494" i="14"/>
  <c r="D493" i="14"/>
  <c r="D492" i="14"/>
  <c r="D491" i="14"/>
  <c r="L453" i="14"/>
  <c r="M454" i="14"/>
  <c r="H453" i="14"/>
  <c r="I454" i="14"/>
  <c r="K453" i="14"/>
  <c r="G464" i="14"/>
  <c r="G463" i="14"/>
  <c r="G462" i="14"/>
  <c r="G461" i="14"/>
  <c r="G460" i="14"/>
  <c r="G459" i="14"/>
  <c r="G458" i="14"/>
  <c r="G457" i="14"/>
  <c r="G456" i="14"/>
  <c r="G455" i="14"/>
  <c r="O453" i="14"/>
  <c r="J453" i="14"/>
  <c r="F455" i="14"/>
  <c r="F456" i="14"/>
  <c r="F457" i="14"/>
  <c r="F458" i="14"/>
  <c r="F459" i="14"/>
  <c r="F460" i="14"/>
  <c r="F461" i="14"/>
  <c r="F462" i="14"/>
  <c r="F463" i="14"/>
  <c r="F464" i="14"/>
  <c r="N453" i="14"/>
  <c r="D455" i="14"/>
  <c r="D456" i="14"/>
  <c r="D457" i="14"/>
  <c r="D458" i="14"/>
  <c r="D459" i="14"/>
  <c r="D460" i="14"/>
  <c r="D461" i="14"/>
  <c r="D462" i="14"/>
  <c r="D463" i="14"/>
  <c r="D464" i="14"/>
  <c r="L417" i="14"/>
  <c r="M418" i="14"/>
  <c r="H417" i="14"/>
  <c r="K417" i="14"/>
  <c r="G428" i="14"/>
  <c r="G427" i="14"/>
  <c r="G426" i="14"/>
  <c r="G425" i="14"/>
  <c r="G424" i="14"/>
  <c r="G423" i="14"/>
  <c r="G422" i="14"/>
  <c r="G421" i="14"/>
  <c r="G420" i="14"/>
  <c r="G419" i="14"/>
  <c r="O417" i="14"/>
  <c r="J417" i="14"/>
  <c r="F419" i="14"/>
  <c r="F420" i="14"/>
  <c r="F421" i="14"/>
  <c r="F422" i="14"/>
  <c r="F423" i="14"/>
  <c r="F424" i="14"/>
  <c r="F425" i="14"/>
  <c r="F426" i="14"/>
  <c r="F427" i="14"/>
  <c r="F428" i="14"/>
  <c r="N417" i="14"/>
  <c r="D419" i="14"/>
  <c r="D420" i="14"/>
  <c r="D421" i="14"/>
  <c r="D422" i="14"/>
  <c r="D423" i="14"/>
  <c r="D424" i="14"/>
  <c r="D425" i="14"/>
  <c r="D426" i="14"/>
  <c r="D427" i="14"/>
  <c r="D428" i="14"/>
  <c r="L381" i="14"/>
  <c r="M382" i="14"/>
  <c r="H381" i="14"/>
  <c r="I382" i="14"/>
  <c r="K381" i="14"/>
  <c r="G392" i="14"/>
  <c r="G391" i="14"/>
  <c r="G390" i="14"/>
  <c r="G389" i="14"/>
  <c r="G388" i="14"/>
  <c r="G387" i="14"/>
  <c r="G386" i="14"/>
  <c r="G385" i="14"/>
  <c r="G384" i="14"/>
  <c r="G383" i="14"/>
  <c r="O381" i="14"/>
  <c r="J381" i="14"/>
  <c r="F392" i="14"/>
  <c r="F391" i="14"/>
  <c r="F390" i="14"/>
  <c r="F389" i="14"/>
  <c r="F388" i="14"/>
  <c r="F387" i="14"/>
  <c r="F386" i="14"/>
  <c r="F385" i="14"/>
  <c r="F384" i="14"/>
  <c r="F383" i="14"/>
  <c r="N381" i="14"/>
  <c r="D383" i="14"/>
  <c r="D384" i="14"/>
  <c r="D385" i="14"/>
  <c r="D386" i="14"/>
  <c r="D387" i="14"/>
  <c r="D388" i="14"/>
  <c r="D389" i="14"/>
  <c r="D390" i="14"/>
  <c r="D391" i="14"/>
  <c r="D392" i="14"/>
  <c r="L345" i="14"/>
  <c r="M346" i="14"/>
  <c r="H345" i="14"/>
  <c r="I346" i="14"/>
  <c r="K345" i="14"/>
  <c r="G347" i="14"/>
  <c r="G348" i="14"/>
  <c r="G349" i="14"/>
  <c r="G350" i="14"/>
  <c r="G351" i="14"/>
  <c r="G352" i="14"/>
  <c r="G353" i="14"/>
  <c r="G354" i="14"/>
  <c r="G355" i="14"/>
  <c r="G356" i="14"/>
  <c r="J345" i="14"/>
  <c r="J337" i="14"/>
  <c r="F347" i="14"/>
  <c r="F348" i="14"/>
  <c r="F349" i="14"/>
  <c r="F350" i="14"/>
  <c r="F351" i="14"/>
  <c r="F352" i="14"/>
  <c r="F353" i="14"/>
  <c r="F354" i="14"/>
  <c r="F355" i="14"/>
  <c r="F356" i="14"/>
  <c r="N345" i="14"/>
  <c r="N337" i="14"/>
  <c r="D347" i="14"/>
  <c r="D348" i="14"/>
  <c r="D349" i="14"/>
  <c r="D350" i="14"/>
  <c r="D351" i="14"/>
  <c r="D352" i="14"/>
  <c r="D353" i="14"/>
  <c r="D354" i="14"/>
  <c r="D355" i="14"/>
  <c r="D356" i="14"/>
  <c r="L309" i="14"/>
  <c r="M310" i="14"/>
  <c r="H309" i="14"/>
  <c r="I310" i="14"/>
  <c r="K309" i="14"/>
  <c r="G320" i="14"/>
  <c r="G319" i="14"/>
  <c r="G318" i="14"/>
  <c r="G317" i="14"/>
  <c r="G316" i="14"/>
  <c r="G315" i="14"/>
  <c r="G314" i="14"/>
  <c r="G313" i="14"/>
  <c r="G312" i="14"/>
  <c r="G311" i="14"/>
  <c r="O309" i="14"/>
  <c r="J309" i="14"/>
  <c r="J301" i="14"/>
  <c r="F317" i="14"/>
  <c r="F318" i="14"/>
  <c r="F319" i="14"/>
  <c r="F320" i="14"/>
  <c r="F311" i="14"/>
  <c r="F312" i="14"/>
  <c r="F313" i="14"/>
  <c r="F314" i="14"/>
  <c r="F315" i="14"/>
  <c r="F316" i="14"/>
  <c r="N309" i="14"/>
  <c r="N301" i="14"/>
  <c r="D311" i="14"/>
  <c r="D312" i="14"/>
  <c r="D313" i="14"/>
  <c r="D314" i="14"/>
  <c r="D315" i="14"/>
  <c r="D316" i="14"/>
  <c r="D317" i="14"/>
  <c r="D318" i="14"/>
  <c r="D319" i="14"/>
  <c r="D320" i="14"/>
  <c r="L273" i="14"/>
  <c r="M274" i="14"/>
  <c r="H273" i="14"/>
  <c r="I274" i="14"/>
  <c r="K273" i="14"/>
  <c r="G284" i="14"/>
  <c r="G283" i="14"/>
  <c r="G282" i="14"/>
  <c r="G281" i="14"/>
  <c r="G280" i="14"/>
  <c r="G279" i="14"/>
  <c r="G278" i="14"/>
  <c r="G277" i="14"/>
  <c r="G276" i="14"/>
  <c r="G275" i="14"/>
  <c r="O273" i="14"/>
  <c r="J273" i="14"/>
  <c r="F275" i="14"/>
  <c r="F276" i="14"/>
  <c r="F277" i="14"/>
  <c r="F278" i="14"/>
  <c r="F279" i="14"/>
  <c r="F280" i="14"/>
  <c r="F281" i="14"/>
  <c r="F282" i="14"/>
  <c r="F283" i="14"/>
  <c r="F284" i="14"/>
  <c r="N273" i="14"/>
  <c r="D275" i="14"/>
  <c r="D276" i="14"/>
  <c r="D277" i="14"/>
  <c r="D278" i="14"/>
  <c r="D279" i="14"/>
  <c r="D280" i="14"/>
  <c r="D281" i="14"/>
  <c r="D282" i="14"/>
  <c r="D283" i="14"/>
  <c r="D284" i="14"/>
  <c r="L23" i="14"/>
  <c r="L24" i="14"/>
  <c r="L25" i="14"/>
  <c r="L26" i="14"/>
  <c r="L27" i="14"/>
  <c r="L28" i="14"/>
  <c r="L29" i="14"/>
  <c r="L30" i="14"/>
  <c r="L31" i="14"/>
  <c r="L32" i="14"/>
  <c r="H23" i="14"/>
  <c r="H24" i="14"/>
  <c r="H25" i="14"/>
  <c r="H26" i="14"/>
  <c r="H27" i="14"/>
  <c r="H28" i="14"/>
  <c r="D28" i="14"/>
  <c r="H29" i="14"/>
  <c r="D29" i="14"/>
  <c r="H30" i="14"/>
  <c r="H31" i="14"/>
  <c r="H32" i="14"/>
  <c r="K23" i="14"/>
  <c r="K24" i="14"/>
  <c r="K25" i="14"/>
  <c r="K26" i="14"/>
  <c r="K27" i="14"/>
  <c r="K28" i="14"/>
  <c r="K29" i="14"/>
  <c r="K30" i="14"/>
  <c r="K31" i="14"/>
  <c r="K32" i="14"/>
  <c r="O23" i="14"/>
  <c r="G23" i="14"/>
  <c r="O24" i="14"/>
  <c r="O25" i="14"/>
  <c r="O26" i="14"/>
  <c r="G26" i="14"/>
  <c r="O27" i="14"/>
  <c r="O28" i="14"/>
  <c r="O29" i="14"/>
  <c r="O30" i="14"/>
  <c r="O31" i="14"/>
  <c r="O32" i="14"/>
  <c r="J23" i="14"/>
  <c r="J24" i="14"/>
  <c r="J25" i="14"/>
  <c r="J26" i="14"/>
  <c r="J27" i="14"/>
  <c r="J28" i="14"/>
  <c r="J29" i="14"/>
  <c r="J30" i="14"/>
  <c r="J31" i="14"/>
  <c r="J32" i="14"/>
  <c r="N23" i="14"/>
  <c r="N24" i="14"/>
  <c r="F24" i="14"/>
  <c r="N25" i="14"/>
  <c r="N26" i="14"/>
  <c r="N27" i="14"/>
  <c r="N28" i="14"/>
  <c r="N29" i="14"/>
  <c r="N30" i="14"/>
  <c r="N31" i="14"/>
  <c r="F31" i="14"/>
  <c r="N32" i="14"/>
  <c r="L57" i="14"/>
  <c r="M58" i="14"/>
  <c r="H57" i="14"/>
  <c r="I58" i="14"/>
  <c r="K57" i="14"/>
  <c r="O57" i="14"/>
  <c r="G59" i="14"/>
  <c r="G60" i="14"/>
  <c r="G61" i="14"/>
  <c r="G62" i="14"/>
  <c r="G63" i="14"/>
  <c r="G64" i="14"/>
  <c r="G65" i="14"/>
  <c r="G66" i="14"/>
  <c r="G67" i="14"/>
  <c r="G68" i="14"/>
  <c r="J57" i="14"/>
  <c r="N57" i="14"/>
  <c r="F59" i="14"/>
  <c r="F60" i="14"/>
  <c r="F61" i="14"/>
  <c r="F62" i="14"/>
  <c r="F63" i="14"/>
  <c r="F64" i="14"/>
  <c r="F65" i="14"/>
  <c r="F66" i="14"/>
  <c r="F67" i="14"/>
  <c r="F68" i="14"/>
  <c r="D59" i="14"/>
  <c r="D60" i="14"/>
  <c r="D61" i="14"/>
  <c r="D62" i="14"/>
  <c r="D63" i="14"/>
  <c r="D64" i="14"/>
  <c r="D65" i="14"/>
  <c r="D66" i="14"/>
  <c r="D67" i="14"/>
  <c r="D68" i="14"/>
  <c r="L93" i="14"/>
  <c r="M94" i="14"/>
  <c r="H93" i="14"/>
  <c r="I94" i="14"/>
  <c r="K93" i="14"/>
  <c r="O93" i="14"/>
  <c r="G95" i="14"/>
  <c r="G96" i="14"/>
  <c r="G97" i="14"/>
  <c r="G98" i="14"/>
  <c r="G99" i="14"/>
  <c r="G100" i="14"/>
  <c r="G101" i="14"/>
  <c r="G102" i="14"/>
  <c r="G103" i="14"/>
  <c r="G104" i="14"/>
  <c r="J93" i="14"/>
  <c r="J85" i="14"/>
  <c r="N93" i="14"/>
  <c r="F95" i="14"/>
  <c r="F96" i="14"/>
  <c r="F93" i="14"/>
  <c r="F94" i="14"/>
  <c r="F97" i="14"/>
  <c r="F98" i="14"/>
  <c r="F99" i="14"/>
  <c r="F100" i="14"/>
  <c r="F101" i="14"/>
  <c r="F102" i="14"/>
  <c r="F103" i="14"/>
  <c r="F104" i="14"/>
  <c r="D95" i="14"/>
  <c r="D96" i="14"/>
  <c r="D97" i="14"/>
  <c r="D98" i="14"/>
  <c r="D99" i="14"/>
  <c r="D100" i="14"/>
  <c r="D101" i="14"/>
  <c r="D102" i="14"/>
  <c r="D103" i="14"/>
  <c r="D104" i="14"/>
  <c r="L129" i="14"/>
  <c r="M130" i="14"/>
  <c r="H129" i="14"/>
  <c r="I130" i="14"/>
  <c r="K129" i="14"/>
  <c r="O129" i="14"/>
  <c r="G131" i="14"/>
  <c r="G132" i="14"/>
  <c r="G133" i="14"/>
  <c r="G134" i="14"/>
  <c r="G135" i="14"/>
  <c r="G136" i="14"/>
  <c r="G137" i="14"/>
  <c r="G138" i="14"/>
  <c r="G139" i="14"/>
  <c r="G140" i="14"/>
  <c r="J129" i="14"/>
  <c r="J121" i="14"/>
  <c r="N129" i="14"/>
  <c r="N121" i="14"/>
  <c r="F131" i="14"/>
  <c r="F132" i="14"/>
  <c r="F133" i="14"/>
  <c r="F134" i="14"/>
  <c r="F135" i="14"/>
  <c r="F136" i="14"/>
  <c r="F137" i="14"/>
  <c r="F138" i="14"/>
  <c r="F139" i="14"/>
  <c r="F140" i="14"/>
  <c r="D131" i="14"/>
  <c r="D132" i="14"/>
  <c r="D133" i="14"/>
  <c r="D134" i="14"/>
  <c r="D135" i="14"/>
  <c r="D136" i="14"/>
  <c r="D137" i="14"/>
  <c r="D138" i="14"/>
  <c r="D139" i="14"/>
  <c r="D140" i="14"/>
  <c r="L165" i="14"/>
  <c r="M166" i="14"/>
  <c r="H165" i="14"/>
  <c r="I166" i="14"/>
  <c r="K165" i="14"/>
  <c r="G168" i="14"/>
  <c r="G169" i="14"/>
  <c r="G167" i="14"/>
  <c r="G170" i="14"/>
  <c r="G171" i="14"/>
  <c r="G172" i="14"/>
  <c r="G173" i="14"/>
  <c r="G174" i="14"/>
  <c r="G175" i="14"/>
  <c r="G176" i="14"/>
  <c r="O165" i="14"/>
  <c r="J165" i="14"/>
  <c r="N165" i="14"/>
  <c r="F167" i="14"/>
  <c r="F168" i="14"/>
  <c r="F169" i="14"/>
  <c r="F170" i="14"/>
  <c r="F171" i="14"/>
  <c r="F172" i="14"/>
  <c r="F173" i="14"/>
  <c r="F174" i="14"/>
  <c r="F175" i="14"/>
  <c r="F176" i="14"/>
  <c r="D167" i="14"/>
  <c r="D168" i="14"/>
  <c r="D169" i="14"/>
  <c r="D170" i="14"/>
  <c r="D171" i="14"/>
  <c r="D172" i="14"/>
  <c r="D173" i="14"/>
  <c r="D174" i="14"/>
  <c r="D175" i="14"/>
  <c r="D176" i="14"/>
  <c r="L201" i="14"/>
  <c r="M202" i="14"/>
  <c r="H201" i="14"/>
  <c r="I202" i="14"/>
  <c r="K201" i="14"/>
  <c r="O201" i="14"/>
  <c r="G203" i="14"/>
  <c r="G204" i="14"/>
  <c r="G205" i="14"/>
  <c r="G206" i="14"/>
  <c r="G207" i="14"/>
  <c r="G208" i="14"/>
  <c r="G209" i="14"/>
  <c r="G210" i="14"/>
  <c r="G211" i="14"/>
  <c r="G212" i="14"/>
  <c r="J201" i="14"/>
  <c r="N201" i="14"/>
  <c r="F203" i="14"/>
  <c r="F204" i="14"/>
  <c r="F205" i="14"/>
  <c r="F206" i="14"/>
  <c r="F207" i="14"/>
  <c r="F208" i="14"/>
  <c r="F209" i="14"/>
  <c r="F210" i="14"/>
  <c r="F211" i="14"/>
  <c r="F212" i="14"/>
  <c r="D203" i="14"/>
  <c r="D204" i="14"/>
  <c r="D205" i="14"/>
  <c r="D206" i="14"/>
  <c r="D207" i="14"/>
  <c r="D208" i="14"/>
  <c r="D209" i="14"/>
  <c r="D210" i="14"/>
  <c r="D211" i="14"/>
  <c r="D212" i="14"/>
  <c r="E237" i="14"/>
  <c r="L237" i="14"/>
  <c r="M238" i="14"/>
  <c r="H237" i="14"/>
  <c r="I238" i="14"/>
  <c r="D239" i="14"/>
  <c r="D240" i="14"/>
  <c r="D241" i="14"/>
  <c r="D242" i="14"/>
  <c r="D243" i="14"/>
  <c r="D244" i="14"/>
  <c r="D245" i="14"/>
  <c r="D246" i="14"/>
  <c r="D247" i="14"/>
  <c r="D248" i="14"/>
  <c r="E240" i="14"/>
  <c r="H97" i="29"/>
  <c r="CI14" i="31"/>
  <c r="H12" i="31"/>
  <c r="ED12" i="31"/>
  <c r="DB12" i="31"/>
  <c r="AX12" i="31"/>
  <c r="V12" i="31"/>
  <c r="EN12" i="31"/>
  <c r="DZ12" i="31"/>
  <c r="DL12" i="31"/>
  <c r="CX12" i="31"/>
  <c r="CJ12" i="31"/>
  <c r="R12" i="31"/>
  <c r="BV12" i="31"/>
  <c r="BH12" i="31"/>
  <c r="AT12" i="31"/>
  <c r="AF12" i="31"/>
  <c r="EM12" i="31"/>
  <c r="DY12" i="31"/>
  <c r="DK12" i="31"/>
  <c r="CW12" i="31"/>
  <c r="CI12" i="31"/>
  <c r="BU12" i="31"/>
  <c r="BG12" i="31"/>
  <c r="AS12" i="31"/>
  <c r="AE12" i="31"/>
  <c r="Q12" i="31"/>
  <c r="L12" i="31"/>
  <c r="C12" i="31"/>
  <c r="O237" i="14"/>
  <c r="N237" i="14"/>
  <c r="K237" i="14"/>
  <c r="J237" i="14"/>
  <c r="I23" i="14"/>
  <c r="I24" i="14"/>
  <c r="I25" i="14"/>
  <c r="I26" i="14"/>
  <c r="I27" i="14"/>
  <c r="E27" i="14"/>
  <c r="I28" i="14"/>
  <c r="I29" i="14"/>
  <c r="I30" i="14"/>
  <c r="I31" i="14"/>
  <c r="E31" i="14"/>
  <c r="I32" i="14"/>
  <c r="M23" i="14"/>
  <c r="M24" i="14"/>
  <c r="M25" i="14"/>
  <c r="M26" i="14"/>
  <c r="M27" i="14"/>
  <c r="M28" i="14"/>
  <c r="E28" i="14"/>
  <c r="M29" i="14"/>
  <c r="M30" i="14"/>
  <c r="E30" i="14"/>
  <c r="M31" i="14"/>
  <c r="M32" i="14"/>
  <c r="E608" i="14"/>
  <c r="E607" i="14"/>
  <c r="E606" i="14"/>
  <c r="E605" i="14"/>
  <c r="E604" i="14"/>
  <c r="E603" i="14"/>
  <c r="E602" i="14"/>
  <c r="E601" i="14"/>
  <c r="E600" i="14"/>
  <c r="E599" i="14"/>
  <c r="D591" i="14"/>
  <c r="E572" i="14"/>
  <c r="E571" i="14"/>
  <c r="E570" i="14"/>
  <c r="E569" i="14"/>
  <c r="E568" i="14"/>
  <c r="E567" i="14"/>
  <c r="E566" i="14"/>
  <c r="E565" i="14"/>
  <c r="E564" i="14"/>
  <c r="E563" i="14"/>
  <c r="D555" i="14"/>
  <c r="E536" i="14"/>
  <c r="E535" i="14"/>
  <c r="E534" i="14"/>
  <c r="E533" i="14"/>
  <c r="E532" i="14"/>
  <c r="E531" i="14"/>
  <c r="E530" i="14"/>
  <c r="E529" i="14"/>
  <c r="E528" i="14"/>
  <c r="E527" i="14"/>
  <c r="D519" i="14"/>
  <c r="E500" i="14"/>
  <c r="E499" i="14"/>
  <c r="E498" i="14"/>
  <c r="E497" i="14"/>
  <c r="E496" i="14"/>
  <c r="E495" i="14"/>
  <c r="E494" i="14"/>
  <c r="E493" i="14"/>
  <c r="E492" i="14"/>
  <c r="E491" i="14"/>
  <c r="D483" i="14"/>
  <c r="E464" i="14"/>
  <c r="E463" i="14"/>
  <c r="E462" i="14"/>
  <c r="E461" i="14"/>
  <c r="E460" i="14"/>
  <c r="E459" i="14"/>
  <c r="E458" i="14"/>
  <c r="E457" i="14"/>
  <c r="E456" i="14"/>
  <c r="E455" i="14"/>
  <c r="D447" i="14"/>
  <c r="E428" i="14"/>
  <c r="E427" i="14"/>
  <c r="E426" i="14"/>
  <c r="E425" i="14"/>
  <c r="E424" i="14"/>
  <c r="E423" i="14"/>
  <c r="E422" i="14"/>
  <c r="E421" i="14"/>
  <c r="E420" i="14"/>
  <c r="E419" i="14"/>
  <c r="D411" i="14"/>
  <c r="E392" i="14"/>
  <c r="E391" i="14"/>
  <c r="E390" i="14"/>
  <c r="E389" i="14"/>
  <c r="E388" i="14"/>
  <c r="E387" i="14"/>
  <c r="E386" i="14"/>
  <c r="E385" i="14"/>
  <c r="E384" i="14"/>
  <c r="E383" i="14"/>
  <c r="D375" i="14"/>
  <c r="E356" i="14"/>
  <c r="E355" i="14"/>
  <c r="E354" i="14"/>
  <c r="E353" i="14"/>
  <c r="E352" i="14"/>
  <c r="E351" i="14"/>
  <c r="E350" i="14"/>
  <c r="E349" i="14"/>
  <c r="E348" i="14"/>
  <c r="E347" i="14"/>
  <c r="D339" i="14"/>
  <c r="E320" i="14"/>
  <c r="E319" i="14"/>
  <c r="E318" i="14"/>
  <c r="E317" i="14"/>
  <c r="E316" i="14"/>
  <c r="E315" i="14"/>
  <c r="E314" i="14"/>
  <c r="E313" i="14"/>
  <c r="E312" i="14"/>
  <c r="E311" i="14"/>
  <c r="D303" i="14"/>
  <c r="E284" i="14"/>
  <c r="E283" i="14"/>
  <c r="E282" i="14"/>
  <c r="E281" i="14"/>
  <c r="E280" i="14"/>
  <c r="E279" i="14"/>
  <c r="E278" i="14"/>
  <c r="E277" i="14"/>
  <c r="E276" i="14"/>
  <c r="E275" i="14"/>
  <c r="D267" i="14"/>
  <c r="G248" i="14"/>
  <c r="F248" i="14"/>
  <c r="E248" i="14"/>
  <c r="G247" i="14"/>
  <c r="F247" i="14"/>
  <c r="E247" i="14"/>
  <c r="G246" i="14"/>
  <c r="F246" i="14"/>
  <c r="E246" i="14"/>
  <c r="G245" i="14"/>
  <c r="F245" i="14"/>
  <c r="E245" i="14"/>
  <c r="G244" i="14"/>
  <c r="F244" i="14"/>
  <c r="E244" i="14"/>
  <c r="G243" i="14"/>
  <c r="F243" i="14"/>
  <c r="E243" i="14"/>
  <c r="G242" i="14"/>
  <c r="F242" i="14"/>
  <c r="E242" i="14"/>
  <c r="G241" i="14"/>
  <c r="F241" i="14"/>
  <c r="E241" i="14"/>
  <c r="G240" i="14"/>
  <c r="F240" i="14"/>
  <c r="G239" i="14"/>
  <c r="F239" i="14"/>
  <c r="E239" i="14"/>
  <c r="D231" i="14"/>
  <c r="E212" i="14"/>
  <c r="E211" i="14"/>
  <c r="E210" i="14"/>
  <c r="E209" i="14"/>
  <c r="E208" i="14"/>
  <c r="E207" i="14"/>
  <c r="E206" i="14"/>
  <c r="E205" i="14"/>
  <c r="E204" i="14"/>
  <c r="E203" i="14"/>
  <c r="D195" i="14"/>
  <c r="E176" i="14"/>
  <c r="E175" i="14"/>
  <c r="E174" i="14"/>
  <c r="E173" i="14"/>
  <c r="E172" i="14"/>
  <c r="E171" i="14"/>
  <c r="E170" i="14"/>
  <c r="E169" i="14"/>
  <c r="E168" i="14"/>
  <c r="E167" i="14"/>
  <c r="D159" i="14"/>
  <c r="E140" i="14"/>
  <c r="E139" i="14"/>
  <c r="E138" i="14"/>
  <c r="E137" i="14"/>
  <c r="E136" i="14"/>
  <c r="E135" i="14"/>
  <c r="E134" i="14"/>
  <c r="E133" i="14"/>
  <c r="E132" i="14"/>
  <c r="E131" i="14"/>
  <c r="D123" i="14"/>
  <c r="E104" i="14"/>
  <c r="E103" i="14"/>
  <c r="E102" i="14"/>
  <c r="E101" i="14"/>
  <c r="E100" i="14"/>
  <c r="E99" i="14"/>
  <c r="E98" i="14"/>
  <c r="E97" i="14"/>
  <c r="E96" i="14"/>
  <c r="E95" i="14"/>
  <c r="D87" i="14"/>
  <c r="E68" i="14"/>
  <c r="E67" i="14"/>
  <c r="E66" i="14"/>
  <c r="E65" i="14"/>
  <c r="E64" i="14"/>
  <c r="E63" i="14"/>
  <c r="E62" i="14"/>
  <c r="E61" i="14"/>
  <c r="E60" i="14"/>
  <c r="E59" i="14"/>
  <c r="D51" i="14"/>
  <c r="D15" i="14"/>
  <c r="I60" i="29"/>
  <c r="I62" i="29"/>
  <c r="G62" i="29"/>
  <c r="I71" i="29"/>
  <c r="I72" i="29"/>
  <c r="I73" i="29"/>
  <c r="H60" i="29"/>
  <c r="H69" i="29"/>
  <c r="H62" i="29"/>
  <c r="H71" i="29"/>
  <c r="H72" i="29"/>
  <c r="H73" i="29"/>
  <c r="G73" i="29"/>
  <c r="BD15" i="31"/>
  <c r="BC15" i="31"/>
  <c r="AZ15" i="31"/>
  <c r="AY15" i="31"/>
  <c r="H30" i="70"/>
  <c r="I30" i="70"/>
  <c r="I31" i="70"/>
  <c r="H29" i="70"/>
  <c r="I29" i="70"/>
  <c r="H28" i="70"/>
  <c r="J28" i="70"/>
  <c r="I28" i="70"/>
  <c r="H27" i="70"/>
  <c r="I27" i="70"/>
  <c r="H26" i="70"/>
  <c r="I26" i="70"/>
  <c r="H25" i="70"/>
  <c r="I25" i="70"/>
  <c r="J25" i="70"/>
  <c r="H24" i="70"/>
  <c r="I24" i="70"/>
  <c r="H23" i="70"/>
  <c r="I23" i="70"/>
  <c r="H22" i="70"/>
  <c r="I22" i="70"/>
  <c r="H21" i="70"/>
  <c r="J21" i="70"/>
  <c r="I21" i="70"/>
  <c r="H20" i="70"/>
  <c r="J20" i="70"/>
  <c r="I20" i="70"/>
  <c r="H19" i="70"/>
  <c r="J19" i="70"/>
  <c r="I19" i="70"/>
  <c r="H18" i="70"/>
  <c r="I18" i="70"/>
  <c r="J18" i="70"/>
  <c r="H17" i="70"/>
  <c r="I17" i="70"/>
  <c r="H15" i="70"/>
  <c r="J15" i="70"/>
  <c r="I15" i="70"/>
  <c r="H16" i="70"/>
  <c r="I16" i="70"/>
  <c r="E886" i="24"/>
  <c r="E891" i="24"/>
  <c r="E26" i="24"/>
  <c r="D886" i="24"/>
  <c r="D891" i="24"/>
  <c r="D896" i="24"/>
  <c r="D898" i="24"/>
  <c r="C885" i="24"/>
  <c r="C888" i="24"/>
  <c r="C889" i="24"/>
  <c r="C890" i="24"/>
  <c r="C25" i="24"/>
  <c r="G29" i="34"/>
  <c r="G30" i="34"/>
  <c r="C893" i="24"/>
  <c r="C894" i="24"/>
  <c r="C895" i="24"/>
  <c r="C891" i="24"/>
  <c r="K29" i="34"/>
  <c r="E832" i="24"/>
  <c r="E837" i="24"/>
  <c r="D832" i="24"/>
  <c r="D21" i="24"/>
  <c r="D837" i="24"/>
  <c r="C831" i="24"/>
  <c r="C834" i="24"/>
  <c r="C835" i="24"/>
  <c r="C24" i="24"/>
  <c r="C836" i="24"/>
  <c r="G28" i="34"/>
  <c r="C839" i="24"/>
  <c r="I28" i="34"/>
  <c r="H28" i="34"/>
  <c r="C840" i="24"/>
  <c r="C841" i="24"/>
  <c r="E778" i="24"/>
  <c r="E783" i="24"/>
  <c r="D778" i="24"/>
  <c r="D783" i="24"/>
  <c r="C777" i="24"/>
  <c r="C27" i="34"/>
  <c r="C780" i="24"/>
  <c r="E27" i="34"/>
  <c r="C781" i="24"/>
  <c r="F27" i="34"/>
  <c r="C782" i="24"/>
  <c r="G27" i="34"/>
  <c r="C785" i="24"/>
  <c r="I27" i="34"/>
  <c r="C786" i="24"/>
  <c r="C787" i="24"/>
  <c r="C783" i="24"/>
  <c r="E724" i="24"/>
  <c r="E729" i="24"/>
  <c r="D724" i="24"/>
  <c r="D734" i="24"/>
  <c r="D736" i="24"/>
  <c r="D729" i="24"/>
  <c r="C723" i="24"/>
  <c r="C26" i="34"/>
  <c r="C726" i="24"/>
  <c r="C724" i="24"/>
  <c r="E26" i="34"/>
  <c r="C727" i="24"/>
  <c r="F26" i="34"/>
  <c r="C728" i="24"/>
  <c r="G26" i="34"/>
  <c r="C731" i="24"/>
  <c r="C732" i="24"/>
  <c r="J26" i="34"/>
  <c r="H26" i="34"/>
  <c r="C733" i="24"/>
  <c r="K26" i="34"/>
  <c r="E670" i="24"/>
  <c r="E675" i="24"/>
  <c r="D670" i="24"/>
  <c r="D675" i="24"/>
  <c r="C672" i="24"/>
  <c r="E25" i="34"/>
  <c r="C673" i="24"/>
  <c r="C674" i="24"/>
  <c r="G25" i="34"/>
  <c r="C677" i="24"/>
  <c r="C28" i="24"/>
  <c r="I25" i="34"/>
  <c r="C678" i="24"/>
  <c r="J25" i="34"/>
  <c r="C679" i="24"/>
  <c r="C669" i="24"/>
  <c r="C25" i="34"/>
  <c r="E616" i="24"/>
  <c r="E621" i="24"/>
  <c r="D616" i="24"/>
  <c r="D621" i="24"/>
  <c r="C615" i="24"/>
  <c r="C24" i="34"/>
  <c r="C619" i="24"/>
  <c r="F24" i="34"/>
  <c r="C620" i="24"/>
  <c r="C623" i="24"/>
  <c r="I24" i="34"/>
  <c r="C624" i="24"/>
  <c r="J24" i="34"/>
  <c r="C625" i="24"/>
  <c r="K24" i="34"/>
  <c r="E562" i="24"/>
  <c r="E567" i="24"/>
  <c r="D562" i="24"/>
  <c r="D567" i="24"/>
  <c r="D26" i="24"/>
  <c r="C561" i="24"/>
  <c r="C23" i="34"/>
  <c r="C564" i="24"/>
  <c r="E23" i="34"/>
  <c r="C565" i="24"/>
  <c r="F23" i="34"/>
  <c r="C566" i="24"/>
  <c r="C569" i="24"/>
  <c r="C570" i="24"/>
  <c r="C571" i="24"/>
  <c r="E508" i="24"/>
  <c r="E513" i="24"/>
  <c r="D508" i="24"/>
  <c r="D513" i="24"/>
  <c r="C507" i="24"/>
  <c r="C510" i="24"/>
  <c r="C511" i="24"/>
  <c r="C512" i="24"/>
  <c r="G22" i="34"/>
  <c r="C515" i="24"/>
  <c r="C516" i="24"/>
  <c r="J22" i="34"/>
  <c r="C517" i="24"/>
  <c r="K22" i="34"/>
  <c r="E454" i="24"/>
  <c r="E459" i="24"/>
  <c r="D454" i="24"/>
  <c r="D459" i="24"/>
  <c r="C456" i="24"/>
  <c r="C454" i="24"/>
  <c r="C457" i="24"/>
  <c r="F21" i="34"/>
  <c r="C458" i="24"/>
  <c r="G21" i="34"/>
  <c r="C461" i="24"/>
  <c r="C462" i="24"/>
  <c r="J21" i="34"/>
  <c r="C463" i="24"/>
  <c r="K21" i="34"/>
  <c r="C453" i="24"/>
  <c r="C21" i="34"/>
  <c r="E405" i="24"/>
  <c r="E400" i="24"/>
  <c r="D405" i="24"/>
  <c r="D400" i="24"/>
  <c r="C399" i="24"/>
  <c r="C20" i="34"/>
  <c r="C407" i="24"/>
  <c r="C408" i="24"/>
  <c r="J20" i="34"/>
  <c r="C409" i="24"/>
  <c r="K20" i="34"/>
  <c r="C402" i="24"/>
  <c r="C403" i="24"/>
  <c r="C400" i="24"/>
  <c r="C404" i="24"/>
  <c r="E346" i="24"/>
  <c r="E351" i="24"/>
  <c r="D346" i="24"/>
  <c r="D351" i="24"/>
  <c r="C345" i="24"/>
  <c r="C19" i="34"/>
  <c r="C348" i="24"/>
  <c r="C349" i="24"/>
  <c r="F19" i="34"/>
  <c r="C350" i="24"/>
  <c r="C353" i="24"/>
  <c r="I19" i="34"/>
  <c r="C354" i="24"/>
  <c r="J19" i="34"/>
  <c r="C355" i="24"/>
  <c r="E297" i="24"/>
  <c r="E292" i="24"/>
  <c r="E302" i="24"/>
  <c r="D297" i="24"/>
  <c r="D292" i="24"/>
  <c r="C299" i="24"/>
  <c r="I18" i="34"/>
  <c r="C300" i="24"/>
  <c r="J18" i="34"/>
  <c r="C301" i="24"/>
  <c r="K18" i="34"/>
  <c r="C294" i="24"/>
  <c r="C295" i="24"/>
  <c r="C296" i="24"/>
  <c r="G18" i="34"/>
  <c r="C291" i="24"/>
  <c r="C18" i="34"/>
  <c r="E243" i="24"/>
  <c r="E238" i="24"/>
  <c r="D243" i="24"/>
  <c r="D238" i="24"/>
  <c r="C245" i="24"/>
  <c r="C243" i="24"/>
  <c r="C246" i="24"/>
  <c r="J17" i="34"/>
  <c r="C247" i="24"/>
  <c r="C240" i="24"/>
  <c r="E17" i="34"/>
  <c r="C241" i="24"/>
  <c r="F17" i="34"/>
  <c r="C242" i="24"/>
  <c r="C237" i="24"/>
  <c r="C17" i="34"/>
  <c r="E184" i="24"/>
  <c r="E189" i="24"/>
  <c r="D184" i="24"/>
  <c r="D189" i="24"/>
  <c r="C183" i="24"/>
  <c r="C16" i="34"/>
  <c r="C186" i="24"/>
  <c r="E16" i="34"/>
  <c r="C187" i="24"/>
  <c r="F16" i="34"/>
  <c r="C188" i="24"/>
  <c r="C191" i="24"/>
  <c r="I16" i="34"/>
  <c r="C192" i="24"/>
  <c r="C193" i="24"/>
  <c r="K16" i="34"/>
  <c r="E130" i="24"/>
  <c r="E135" i="24"/>
  <c r="D130" i="24"/>
  <c r="D135" i="24"/>
  <c r="F85" i="14"/>
  <c r="E76" i="24"/>
  <c r="E81" i="24"/>
  <c r="D76" i="24"/>
  <c r="D81" i="24"/>
  <c r="C75" i="24"/>
  <c r="C78" i="24"/>
  <c r="E14" i="34"/>
  <c r="C79" i="24"/>
  <c r="F14" i="34"/>
  <c r="C80" i="24"/>
  <c r="C83" i="24"/>
  <c r="C84" i="24"/>
  <c r="J14" i="34"/>
  <c r="C85" i="24"/>
  <c r="C132" i="24"/>
  <c r="E15" i="34"/>
  <c r="C133" i="24"/>
  <c r="F15" i="34"/>
  <c r="C134" i="24"/>
  <c r="C137" i="24"/>
  <c r="C138" i="24"/>
  <c r="J15" i="34"/>
  <c r="C139" i="24"/>
  <c r="K15" i="34"/>
  <c r="C129" i="24"/>
  <c r="E21" i="23"/>
  <c r="E25" i="23"/>
  <c r="E23" i="23"/>
  <c r="C78" i="23"/>
  <c r="C16" i="75"/>
  <c r="D78" i="23"/>
  <c r="D16" i="75"/>
  <c r="E78" i="23"/>
  <c r="E16" i="75"/>
  <c r="I16" i="75"/>
  <c r="H16" i="75"/>
  <c r="F16" i="75"/>
  <c r="G16" i="75"/>
  <c r="G1252" i="29"/>
  <c r="D30" i="38"/>
  <c r="G1253" i="29"/>
  <c r="F30" i="38"/>
  <c r="G1254" i="29"/>
  <c r="H30" i="38"/>
  <c r="G1255" i="29"/>
  <c r="G1256" i="29"/>
  <c r="L30" i="38"/>
  <c r="G1176" i="29"/>
  <c r="D29" i="38"/>
  <c r="G1177" i="29"/>
  <c r="F29" i="38"/>
  <c r="G1178" i="29"/>
  <c r="H29" i="38"/>
  <c r="G1179" i="29"/>
  <c r="J29" i="38"/>
  <c r="G1180" i="29"/>
  <c r="L29" i="38"/>
  <c r="G1100" i="29"/>
  <c r="D28" i="38"/>
  <c r="G1101" i="29"/>
  <c r="G1102" i="29"/>
  <c r="H28" i="38"/>
  <c r="G1103" i="29"/>
  <c r="J28" i="38"/>
  <c r="G1104" i="29"/>
  <c r="L28" i="38"/>
  <c r="G1024" i="29"/>
  <c r="D27" i="38"/>
  <c r="G1025" i="29"/>
  <c r="F27" i="38"/>
  <c r="G1026" i="29"/>
  <c r="H27" i="38"/>
  <c r="G1027" i="29"/>
  <c r="J27" i="38"/>
  <c r="G1028" i="29"/>
  <c r="G948" i="29"/>
  <c r="D26" i="38"/>
  <c r="G949" i="29"/>
  <c r="F26" i="38"/>
  <c r="G950" i="29"/>
  <c r="H26" i="38"/>
  <c r="G951" i="29"/>
  <c r="J26" i="38"/>
  <c r="G952" i="29"/>
  <c r="L26" i="38"/>
  <c r="G872" i="29"/>
  <c r="G873" i="29"/>
  <c r="F25" i="38"/>
  <c r="G874" i="29"/>
  <c r="H25" i="38"/>
  <c r="G875" i="29"/>
  <c r="J25" i="38"/>
  <c r="G876" i="29"/>
  <c r="L25" i="38"/>
  <c r="G796" i="29"/>
  <c r="D24" i="38"/>
  <c r="G797" i="29"/>
  <c r="G798" i="29"/>
  <c r="H24" i="38"/>
  <c r="G799" i="29"/>
  <c r="J24" i="38"/>
  <c r="G800" i="29"/>
  <c r="L24" i="38"/>
  <c r="G720" i="29"/>
  <c r="D23" i="38"/>
  <c r="G721" i="29"/>
  <c r="F23" i="38"/>
  <c r="G722" i="29"/>
  <c r="H23" i="38"/>
  <c r="G723" i="29"/>
  <c r="J23" i="38"/>
  <c r="G724" i="29"/>
  <c r="L23" i="38"/>
  <c r="G644" i="29"/>
  <c r="D22" i="38"/>
  <c r="G645" i="29"/>
  <c r="F22" i="38"/>
  <c r="G646" i="29"/>
  <c r="G647" i="29"/>
  <c r="J22" i="38"/>
  <c r="G648" i="29"/>
  <c r="L22" i="38"/>
  <c r="G568" i="29"/>
  <c r="D21" i="38"/>
  <c r="G569" i="29"/>
  <c r="G570" i="29"/>
  <c r="H21" i="38"/>
  <c r="G571" i="29"/>
  <c r="J21" i="38"/>
  <c r="G572" i="29"/>
  <c r="L21" i="38"/>
  <c r="G112" i="29"/>
  <c r="D15" i="38"/>
  <c r="G113" i="29"/>
  <c r="F15" i="38"/>
  <c r="G114" i="29"/>
  <c r="H15" i="38"/>
  <c r="G115" i="29"/>
  <c r="J15" i="38"/>
  <c r="G116" i="29"/>
  <c r="L15" i="38"/>
  <c r="G188" i="29"/>
  <c r="D16" i="38"/>
  <c r="G189" i="29"/>
  <c r="F16" i="38"/>
  <c r="G190" i="29"/>
  <c r="H16" i="38"/>
  <c r="G191" i="29"/>
  <c r="J16" i="38"/>
  <c r="G192" i="29"/>
  <c r="G264" i="29"/>
  <c r="D17" i="38"/>
  <c r="G265" i="29"/>
  <c r="F17" i="38"/>
  <c r="G266" i="29"/>
  <c r="H17" i="38"/>
  <c r="G267" i="29"/>
  <c r="J17" i="38"/>
  <c r="G268" i="29"/>
  <c r="L17" i="38"/>
  <c r="G340" i="29"/>
  <c r="D18" i="38"/>
  <c r="G341" i="29"/>
  <c r="F18" i="38"/>
  <c r="G342" i="29"/>
  <c r="H18" i="38"/>
  <c r="G343" i="29"/>
  <c r="J18" i="38"/>
  <c r="G344" i="29"/>
  <c r="G416" i="29"/>
  <c r="D19" i="38"/>
  <c r="G417" i="29"/>
  <c r="F19" i="38"/>
  <c r="G418" i="29"/>
  <c r="H19" i="38"/>
  <c r="G419" i="29"/>
  <c r="J19" i="38"/>
  <c r="G420" i="29"/>
  <c r="L19" i="38"/>
  <c r="G496" i="29"/>
  <c r="G492" i="29"/>
  <c r="D20" i="38"/>
  <c r="C20" i="38"/>
  <c r="K20" i="38"/>
  <c r="G493" i="29"/>
  <c r="F20" i="38"/>
  <c r="G494" i="29"/>
  <c r="H20" i="38"/>
  <c r="G495" i="29"/>
  <c r="J20" i="38"/>
  <c r="D397" i="17"/>
  <c r="D25" i="63"/>
  <c r="D398" i="17"/>
  <c r="D399" i="17"/>
  <c r="K399" i="17"/>
  <c r="D400" i="17"/>
  <c r="J25" i="63"/>
  <c r="E538" i="25"/>
  <c r="E506" i="25"/>
  <c r="E474" i="25"/>
  <c r="E442" i="25"/>
  <c r="E410" i="25"/>
  <c r="E378" i="25"/>
  <c r="E346" i="25"/>
  <c r="E314" i="25"/>
  <c r="E282" i="25"/>
  <c r="E22" i="25"/>
  <c r="E24" i="25"/>
  <c r="E58" i="25"/>
  <c r="E90" i="25"/>
  <c r="E122" i="25"/>
  <c r="E154" i="25"/>
  <c r="E186" i="25"/>
  <c r="E250" i="25"/>
  <c r="C24" i="20"/>
  <c r="C25" i="20"/>
  <c r="C22" i="20"/>
  <c r="C21" i="22"/>
  <c r="C22" i="22"/>
  <c r="C23" i="22"/>
  <c r="C24" i="22"/>
  <c r="C25" i="22"/>
  <c r="C54" i="20"/>
  <c r="C51" i="22"/>
  <c r="C86" i="20"/>
  <c r="C84" i="22"/>
  <c r="C83" i="22"/>
  <c r="C118" i="20"/>
  <c r="C115" i="22"/>
  <c r="C116" i="22"/>
  <c r="C150" i="20"/>
  <c r="C147" i="22"/>
  <c r="C179" i="22"/>
  <c r="C182" i="20"/>
  <c r="C214" i="20"/>
  <c r="C211" i="22"/>
  <c r="C212" i="22"/>
  <c r="C246" i="20"/>
  <c r="C243" i="22"/>
  <c r="C278" i="20"/>
  <c r="C275" i="22"/>
  <c r="C276" i="22"/>
  <c r="C310" i="20"/>
  <c r="C307" i="22"/>
  <c r="C342" i="20"/>
  <c r="C339" i="22"/>
  <c r="C374" i="20"/>
  <c r="C372" i="20"/>
  <c r="C371" i="22"/>
  <c r="C372" i="22"/>
  <c r="C406" i="20"/>
  <c r="C403" i="22"/>
  <c r="C438" i="20"/>
  <c r="C435" i="22"/>
  <c r="C470" i="20"/>
  <c r="C467" i="22"/>
  <c r="C468" i="22"/>
  <c r="C502" i="20"/>
  <c r="C500" i="20"/>
  <c r="C499" i="22"/>
  <c r="C534" i="20"/>
  <c r="C531" i="22"/>
  <c r="C21" i="18"/>
  <c r="C22" i="18"/>
  <c r="C23" i="18"/>
  <c r="C24" i="18"/>
  <c r="C25" i="18"/>
  <c r="C26" i="18"/>
  <c r="E484" i="16"/>
  <c r="G565" i="17"/>
  <c r="G566" i="17"/>
  <c r="D484" i="16"/>
  <c r="E565" i="17"/>
  <c r="C30" i="61"/>
  <c r="C486" i="16"/>
  <c r="C487" i="16"/>
  <c r="C484" i="16"/>
  <c r="C567" i="17"/>
  <c r="C568" i="17"/>
  <c r="F30" i="60"/>
  <c r="C569" i="17"/>
  <c r="J569" i="17"/>
  <c r="C570" i="17"/>
  <c r="C571" i="17"/>
  <c r="E455" i="16"/>
  <c r="G531" i="17"/>
  <c r="D455" i="16"/>
  <c r="D453" i="16"/>
  <c r="C30" i="58"/>
  <c r="E531" i="17"/>
  <c r="C29" i="61"/>
  <c r="C457" i="16"/>
  <c r="C458" i="16"/>
  <c r="H30" i="57"/>
  <c r="C533" i="17"/>
  <c r="J533" i="17"/>
  <c r="C534" i="17"/>
  <c r="C24" i="17"/>
  <c r="C535" i="17"/>
  <c r="C536" i="17"/>
  <c r="C537" i="17"/>
  <c r="L29" i="60"/>
  <c r="E426" i="16"/>
  <c r="E424" i="16"/>
  <c r="C29" i="59"/>
  <c r="G497" i="17"/>
  <c r="D426" i="16"/>
  <c r="E498" i="17"/>
  <c r="D424" i="16"/>
  <c r="C29" i="58"/>
  <c r="E497" i="17"/>
  <c r="C28" i="61"/>
  <c r="C428" i="16"/>
  <c r="F29" i="57"/>
  <c r="C429" i="16"/>
  <c r="C426" i="16"/>
  <c r="C499" i="17"/>
  <c r="C500" i="17"/>
  <c r="C501" i="17"/>
  <c r="J501" i="17"/>
  <c r="C502" i="17"/>
  <c r="C26" i="17"/>
  <c r="C503" i="17"/>
  <c r="L28" i="60"/>
  <c r="E397" i="16"/>
  <c r="G463" i="17"/>
  <c r="C27" i="62"/>
  <c r="D397" i="16"/>
  <c r="D395" i="16"/>
  <c r="C28" i="58"/>
  <c r="E463" i="17"/>
  <c r="C27" i="61"/>
  <c r="C399" i="16"/>
  <c r="C400" i="16"/>
  <c r="H28" i="57"/>
  <c r="C465" i="17"/>
  <c r="D27" i="60"/>
  <c r="C466" i="17"/>
  <c r="F27" i="60"/>
  <c r="C467" i="17"/>
  <c r="C468" i="17"/>
  <c r="C469" i="17"/>
  <c r="J469" i="17"/>
  <c r="E368" i="16"/>
  <c r="E366" i="16"/>
  <c r="C27" i="59"/>
  <c r="G429" i="17"/>
  <c r="G430" i="17"/>
  <c r="D368" i="16"/>
  <c r="E429" i="17"/>
  <c r="C26" i="61"/>
  <c r="G26" i="61"/>
  <c r="C370" i="16"/>
  <c r="C371" i="16"/>
  <c r="H27" i="57"/>
  <c r="C431" i="17"/>
  <c r="J431" i="17"/>
  <c r="D26" i="60"/>
  <c r="C432" i="17"/>
  <c r="C433" i="17"/>
  <c r="H26" i="60"/>
  <c r="C434" i="17"/>
  <c r="J26" i="60"/>
  <c r="C435" i="17"/>
  <c r="L26" i="60"/>
  <c r="E339" i="16"/>
  <c r="G396" i="17"/>
  <c r="G395" i="17"/>
  <c r="D339" i="16"/>
  <c r="E395" i="17"/>
  <c r="C25" i="61"/>
  <c r="G25" i="61"/>
  <c r="C341" i="16"/>
  <c r="C342" i="16"/>
  <c r="H26" i="57"/>
  <c r="C397" i="17"/>
  <c r="C398" i="17"/>
  <c r="C399" i="17"/>
  <c r="J399" i="17"/>
  <c r="C400" i="17"/>
  <c r="C401" i="17"/>
  <c r="E310" i="16"/>
  <c r="G361" i="17"/>
  <c r="D310" i="16"/>
  <c r="E361" i="17"/>
  <c r="C24" i="61"/>
  <c r="C312" i="16"/>
  <c r="F25" i="57"/>
  <c r="C313" i="16"/>
  <c r="H25" i="57"/>
  <c r="C363" i="17"/>
  <c r="D24" i="60"/>
  <c r="C364" i="17"/>
  <c r="C365" i="17"/>
  <c r="J365" i="17"/>
  <c r="C366" i="17"/>
  <c r="C367" i="17"/>
  <c r="J367" i="17"/>
  <c r="E281" i="16"/>
  <c r="G327" i="17"/>
  <c r="D281" i="16"/>
  <c r="D279" i="16"/>
  <c r="C24" i="58"/>
  <c r="E327" i="17"/>
  <c r="C23" i="61"/>
  <c r="C283" i="16"/>
  <c r="C284" i="16"/>
  <c r="C329" i="17"/>
  <c r="D23" i="60"/>
  <c r="C330" i="17"/>
  <c r="F23" i="60"/>
  <c r="C331" i="17"/>
  <c r="C332" i="17"/>
  <c r="J23" i="60"/>
  <c r="C333" i="17"/>
  <c r="L23" i="60"/>
  <c r="E252" i="16"/>
  <c r="E250" i="16"/>
  <c r="C23" i="59"/>
  <c r="G293" i="17"/>
  <c r="D252" i="16"/>
  <c r="E293" i="17"/>
  <c r="C22" i="61"/>
  <c r="C254" i="16"/>
  <c r="C255" i="16"/>
  <c r="C252" i="16"/>
  <c r="C295" i="17"/>
  <c r="D22" i="60"/>
  <c r="C296" i="17"/>
  <c r="C297" i="17"/>
  <c r="C298" i="17"/>
  <c r="J298" i="17"/>
  <c r="C299" i="17"/>
  <c r="L22" i="60"/>
  <c r="E223" i="16"/>
  <c r="G259" i="17"/>
  <c r="D223" i="16"/>
  <c r="E260" i="17"/>
  <c r="E259" i="17"/>
  <c r="C225" i="16"/>
  <c r="F22" i="57"/>
  <c r="C226" i="16"/>
  <c r="H22" i="57"/>
  <c r="C261" i="17"/>
  <c r="D21" i="60"/>
  <c r="C262" i="17"/>
  <c r="C263" i="17"/>
  <c r="J263" i="17"/>
  <c r="C264" i="17"/>
  <c r="J21" i="60"/>
  <c r="C265" i="17"/>
  <c r="E23" i="16"/>
  <c r="E22" i="16"/>
  <c r="C22" i="16"/>
  <c r="G23" i="17"/>
  <c r="G24" i="17"/>
  <c r="G25" i="17"/>
  <c r="G26" i="17"/>
  <c r="G27" i="17"/>
  <c r="D22" i="16"/>
  <c r="D23" i="16"/>
  <c r="C23" i="16"/>
  <c r="C20" i="16"/>
  <c r="D20" i="16"/>
  <c r="E23" i="17"/>
  <c r="E24" i="17"/>
  <c r="E25" i="17"/>
  <c r="E26" i="17"/>
  <c r="E21" i="17"/>
  <c r="E27" i="17"/>
  <c r="C227" i="17"/>
  <c r="C57" i="17"/>
  <c r="C91" i="17"/>
  <c r="J91" i="17"/>
  <c r="C125" i="17"/>
  <c r="C159" i="17"/>
  <c r="D18" i="60"/>
  <c r="C193" i="17"/>
  <c r="J193" i="17"/>
  <c r="C194" i="17"/>
  <c r="F19" i="60"/>
  <c r="C228" i="17"/>
  <c r="C58" i="17"/>
  <c r="C92" i="17"/>
  <c r="F16" i="60"/>
  <c r="C126" i="17"/>
  <c r="J126" i="17"/>
  <c r="C160" i="17"/>
  <c r="C195" i="17"/>
  <c r="J195" i="17"/>
  <c r="C229" i="17"/>
  <c r="J229" i="17"/>
  <c r="C59" i="17"/>
  <c r="H15" i="60"/>
  <c r="C93" i="17"/>
  <c r="H16" i="60"/>
  <c r="C127" i="17"/>
  <c r="J127" i="17"/>
  <c r="C161" i="17"/>
  <c r="H18" i="60"/>
  <c r="C230" i="17"/>
  <c r="J230" i="17"/>
  <c r="C60" i="17"/>
  <c r="J15" i="60"/>
  <c r="C94" i="17"/>
  <c r="J16" i="60"/>
  <c r="C128" i="17"/>
  <c r="C162" i="17"/>
  <c r="C196" i="17"/>
  <c r="J19" i="60"/>
  <c r="C231" i="17"/>
  <c r="J231" i="17"/>
  <c r="C61" i="17"/>
  <c r="C95" i="17"/>
  <c r="C129" i="17"/>
  <c r="L17" i="60"/>
  <c r="C163" i="17"/>
  <c r="L18" i="60"/>
  <c r="C197" i="17"/>
  <c r="J197" i="17"/>
  <c r="C51" i="16"/>
  <c r="C49" i="16"/>
  <c r="C52" i="16"/>
  <c r="D49" i="16"/>
  <c r="E55" i="17"/>
  <c r="C15" i="61"/>
  <c r="E49" i="16"/>
  <c r="G55" i="17"/>
  <c r="G56" i="17"/>
  <c r="C81" i="16"/>
  <c r="C80" i="16"/>
  <c r="D78" i="16"/>
  <c r="E89" i="17"/>
  <c r="C16" i="61"/>
  <c r="E78" i="16"/>
  <c r="G89" i="17"/>
  <c r="C16" i="62"/>
  <c r="E107" i="16"/>
  <c r="E105" i="16"/>
  <c r="C18" i="59"/>
  <c r="G123" i="17"/>
  <c r="C17" i="62"/>
  <c r="D107" i="16"/>
  <c r="D105" i="16"/>
  <c r="E123" i="17"/>
  <c r="C17" i="61"/>
  <c r="C109" i="16"/>
  <c r="C110" i="16"/>
  <c r="H18" i="57"/>
  <c r="C138" i="16"/>
  <c r="C139" i="16"/>
  <c r="C136" i="16"/>
  <c r="D136" i="16"/>
  <c r="E157" i="17"/>
  <c r="C18" i="61"/>
  <c r="E136" i="16"/>
  <c r="G157" i="17"/>
  <c r="C18" i="62"/>
  <c r="E165" i="16"/>
  <c r="G191" i="17"/>
  <c r="G192" i="17"/>
  <c r="E191" i="17"/>
  <c r="C19" i="61"/>
  <c r="D165" i="16"/>
  <c r="C167" i="16"/>
  <c r="C168" i="16"/>
  <c r="C165" i="16"/>
  <c r="C196" i="16"/>
  <c r="F21" i="57"/>
  <c r="C197" i="16"/>
  <c r="H21" i="57"/>
  <c r="E225" i="17"/>
  <c r="D194" i="16"/>
  <c r="D192" i="16"/>
  <c r="C21" i="58"/>
  <c r="E226" i="17"/>
  <c r="G225" i="17"/>
  <c r="C20" i="62"/>
  <c r="E194" i="16"/>
  <c r="E192" i="16"/>
  <c r="C21" i="59"/>
  <c r="BT29" i="34"/>
  <c r="BT30" i="34"/>
  <c r="BT28" i="34"/>
  <c r="BT27" i="34"/>
  <c r="BT26" i="34"/>
  <c r="BT25" i="34"/>
  <c r="BT24" i="34"/>
  <c r="BT23" i="34"/>
  <c r="BT22" i="34"/>
  <c r="BT21" i="34"/>
  <c r="BT20" i="34"/>
  <c r="BT19" i="34"/>
  <c r="BT18" i="34"/>
  <c r="BT17" i="34"/>
  <c r="BT16" i="34"/>
  <c r="BT15" i="34"/>
  <c r="BT14" i="34"/>
  <c r="BS29" i="34"/>
  <c r="BS30" i="34"/>
  <c r="BS28" i="34"/>
  <c r="BS27" i="34"/>
  <c r="BS26" i="34"/>
  <c r="BS25" i="34"/>
  <c r="BS24" i="34"/>
  <c r="BS23" i="34"/>
  <c r="BS22" i="34"/>
  <c r="BS21" i="34"/>
  <c r="BS20" i="34"/>
  <c r="BS19" i="34"/>
  <c r="BS18" i="34"/>
  <c r="BS17" i="34"/>
  <c r="BS15" i="34"/>
  <c r="BS16" i="34"/>
  <c r="BS14" i="34"/>
  <c r="BR29" i="34"/>
  <c r="BR28" i="34"/>
  <c r="BR30" i="34"/>
  <c r="BR27" i="34"/>
  <c r="BQ27" i="34"/>
  <c r="BR26" i="34"/>
  <c r="BQ26" i="34"/>
  <c r="BR25" i="34"/>
  <c r="BQ25" i="34"/>
  <c r="BR24" i="34"/>
  <c r="BQ24" i="34"/>
  <c r="BR23" i="34"/>
  <c r="BR22" i="34"/>
  <c r="BQ22" i="34"/>
  <c r="BR21" i="34"/>
  <c r="BR20" i="34"/>
  <c r="BR19" i="34"/>
  <c r="BQ19" i="34"/>
  <c r="BR18" i="34"/>
  <c r="BR17" i="34"/>
  <c r="BQ17" i="34"/>
  <c r="BR16" i="34"/>
  <c r="BR15" i="34"/>
  <c r="BQ15" i="34"/>
  <c r="BR14" i="34"/>
  <c r="BP29" i="34"/>
  <c r="BP30" i="34"/>
  <c r="BP28" i="34"/>
  <c r="BP27" i="34"/>
  <c r="BP26" i="34"/>
  <c r="BP25" i="34"/>
  <c r="BP24" i="34"/>
  <c r="BP23" i="34"/>
  <c r="BP22" i="34"/>
  <c r="BP21" i="34"/>
  <c r="BP20" i="34"/>
  <c r="BP19" i="34"/>
  <c r="BP18" i="34"/>
  <c r="BP17" i="34"/>
  <c r="BP16" i="34"/>
  <c r="BP15" i="34"/>
  <c r="BP14" i="34"/>
  <c r="BO29" i="34"/>
  <c r="BO30" i="34"/>
  <c r="BO28" i="34"/>
  <c r="BO27" i="34"/>
  <c r="BO26" i="34"/>
  <c r="BO25" i="34"/>
  <c r="BO24" i="34"/>
  <c r="BO23" i="34"/>
  <c r="BO22" i="34"/>
  <c r="BO21" i="34"/>
  <c r="BO20" i="34"/>
  <c r="BO19" i="34"/>
  <c r="BO18" i="34"/>
  <c r="BO17" i="34"/>
  <c r="BO16" i="34"/>
  <c r="BO15" i="34"/>
  <c r="BM15" i="34"/>
  <c r="BO14" i="34"/>
  <c r="BN29" i="34"/>
  <c r="BN28" i="34"/>
  <c r="BM28" i="34"/>
  <c r="BN27" i="34"/>
  <c r="BM27" i="34"/>
  <c r="BN26" i="34"/>
  <c r="BN25" i="34"/>
  <c r="BN24" i="34"/>
  <c r="BM24" i="34"/>
  <c r="BN23" i="34"/>
  <c r="BN22" i="34"/>
  <c r="BM22" i="34"/>
  <c r="BN21" i="34"/>
  <c r="BN20" i="34"/>
  <c r="BN19" i="34"/>
  <c r="BN18" i="34"/>
  <c r="BN17" i="34"/>
  <c r="BM17" i="34"/>
  <c r="BN16" i="34"/>
  <c r="BM16" i="34"/>
  <c r="BN15" i="34"/>
  <c r="BN14" i="34"/>
  <c r="BM14" i="34"/>
  <c r="BI29" i="34"/>
  <c r="BI30" i="34"/>
  <c r="BI28" i="34"/>
  <c r="BI27" i="34"/>
  <c r="BI26" i="34"/>
  <c r="BI25" i="34"/>
  <c r="BI24" i="34"/>
  <c r="BI23" i="34"/>
  <c r="BI22" i="34"/>
  <c r="BI21" i="34"/>
  <c r="BI20" i="34"/>
  <c r="BI19" i="34"/>
  <c r="BI18" i="34"/>
  <c r="BI17" i="34"/>
  <c r="BI16" i="34"/>
  <c r="BI15" i="34"/>
  <c r="BI14" i="34"/>
  <c r="BH29" i="34"/>
  <c r="BH28" i="34"/>
  <c r="BH27" i="34"/>
  <c r="BH30" i="34"/>
  <c r="BH26" i="34"/>
  <c r="BH25" i="34"/>
  <c r="BH24" i="34"/>
  <c r="BH23" i="34"/>
  <c r="BH22" i="34"/>
  <c r="BH21" i="34"/>
  <c r="BH20" i="34"/>
  <c r="BH19" i="34"/>
  <c r="BF19" i="34"/>
  <c r="BH18" i="34"/>
  <c r="BH17" i="34"/>
  <c r="BH16" i="34"/>
  <c r="BF16" i="34"/>
  <c r="BH15" i="34"/>
  <c r="BH14" i="34"/>
  <c r="BG29" i="34"/>
  <c r="BG30" i="34"/>
  <c r="BG28" i="34"/>
  <c r="BF28" i="34"/>
  <c r="BG27" i="34"/>
  <c r="BG26" i="34"/>
  <c r="BF26" i="34"/>
  <c r="BG25" i="34"/>
  <c r="BF25" i="34"/>
  <c r="BG24" i="34"/>
  <c r="BG23" i="34"/>
  <c r="BF23" i="34"/>
  <c r="BG22" i="34"/>
  <c r="BG21" i="34"/>
  <c r="BF21" i="34"/>
  <c r="BG20" i="34"/>
  <c r="BF20" i="34"/>
  <c r="BG19" i="34"/>
  <c r="BG18" i="34"/>
  <c r="BG17" i="34"/>
  <c r="BG16" i="34"/>
  <c r="BG15" i="34"/>
  <c r="BF15" i="34"/>
  <c r="BG14" i="34"/>
  <c r="BE29" i="34"/>
  <c r="BE28" i="34"/>
  <c r="BE30" i="34"/>
  <c r="BE27" i="34"/>
  <c r="BE26" i="34"/>
  <c r="BE25" i="34"/>
  <c r="BE24" i="34"/>
  <c r="BE23" i="34"/>
  <c r="BE22" i="34"/>
  <c r="BE21" i="34"/>
  <c r="BE20" i="34"/>
  <c r="BE19" i="34"/>
  <c r="BB19" i="34"/>
  <c r="BA19" i="34"/>
  <c r="BE18" i="34"/>
  <c r="BE17" i="34"/>
  <c r="BE16" i="34"/>
  <c r="BE15" i="34"/>
  <c r="BE14" i="34"/>
  <c r="BD29" i="34"/>
  <c r="BD30" i="34"/>
  <c r="BD28" i="34"/>
  <c r="BD27" i="34"/>
  <c r="BD26" i="34"/>
  <c r="BD25" i="34"/>
  <c r="BD24" i="34"/>
  <c r="BD23" i="34"/>
  <c r="BD22" i="34"/>
  <c r="BD21" i="34"/>
  <c r="BD20" i="34"/>
  <c r="BB20" i="34"/>
  <c r="BD19" i="34"/>
  <c r="BD18" i="34"/>
  <c r="BD17" i="34"/>
  <c r="BD16" i="34"/>
  <c r="BD15" i="34"/>
  <c r="BB15" i="34"/>
  <c r="BD14" i="34"/>
  <c r="BC29" i="34"/>
  <c r="BC30" i="34"/>
  <c r="BB29" i="34"/>
  <c r="BB30" i="34"/>
  <c r="BC28" i="34"/>
  <c r="BC27" i="34"/>
  <c r="BC26" i="34"/>
  <c r="BB26" i="34"/>
  <c r="BC25" i="34"/>
  <c r="BC24" i="34"/>
  <c r="BC23" i="34"/>
  <c r="BC22" i="34"/>
  <c r="BC21" i="34"/>
  <c r="BC20" i="34"/>
  <c r="BC19" i="34"/>
  <c r="BC18" i="34"/>
  <c r="BC17" i="34"/>
  <c r="BC16" i="34"/>
  <c r="BC15" i="34"/>
  <c r="BC14" i="34"/>
  <c r="AK29" i="34"/>
  <c r="AK28" i="34"/>
  <c r="AK27" i="34"/>
  <c r="AK30" i="34"/>
  <c r="AK26" i="34"/>
  <c r="AK25" i="34"/>
  <c r="AK24" i="34"/>
  <c r="AK23" i="34"/>
  <c r="AK22" i="34"/>
  <c r="AK21" i="34"/>
  <c r="AH21" i="34"/>
  <c r="AK20" i="34"/>
  <c r="AK19" i="34"/>
  <c r="AK18" i="34"/>
  <c r="AK17" i="34"/>
  <c r="AK16" i="34"/>
  <c r="AK15" i="34"/>
  <c r="AK14" i="34"/>
  <c r="AJ29" i="34"/>
  <c r="AJ28" i="34"/>
  <c r="AJ30" i="34"/>
  <c r="AJ27" i="34"/>
  <c r="AJ26" i="34"/>
  <c r="AJ25" i="34"/>
  <c r="AJ24" i="34"/>
  <c r="AJ23" i="34"/>
  <c r="AJ22" i="34"/>
  <c r="AJ21" i="34"/>
  <c r="AJ20" i="34"/>
  <c r="AJ19" i="34"/>
  <c r="AJ18" i="34"/>
  <c r="AJ17" i="34"/>
  <c r="AJ16" i="34"/>
  <c r="AJ15" i="34"/>
  <c r="AJ14" i="34"/>
  <c r="AH14" i="34"/>
  <c r="AI29" i="34"/>
  <c r="AH29" i="34"/>
  <c r="AI28" i="34"/>
  <c r="AH28" i="34"/>
  <c r="AI27" i="34"/>
  <c r="AI26" i="34"/>
  <c r="AH26" i="34"/>
  <c r="AI25" i="34"/>
  <c r="AI24" i="34"/>
  <c r="AI23" i="34"/>
  <c r="AH23" i="34"/>
  <c r="AI22" i="34"/>
  <c r="AH22" i="34"/>
  <c r="AI21" i="34"/>
  <c r="AI20" i="34"/>
  <c r="AH20" i="34"/>
  <c r="AI19" i="34"/>
  <c r="AI18" i="34"/>
  <c r="AH18" i="34"/>
  <c r="AI17" i="34"/>
  <c r="AI16" i="34"/>
  <c r="AI15" i="34"/>
  <c r="AI14" i="34"/>
  <c r="AG29" i="34"/>
  <c r="AG30" i="34"/>
  <c r="AG28" i="34"/>
  <c r="AG27" i="34"/>
  <c r="AG26" i="34"/>
  <c r="AG25" i="34"/>
  <c r="AG24" i="34"/>
  <c r="AG23" i="34"/>
  <c r="AG22" i="34"/>
  <c r="AG21" i="34"/>
  <c r="AG20" i="34"/>
  <c r="AG19" i="34"/>
  <c r="AG18" i="34"/>
  <c r="AG17" i="34"/>
  <c r="AG16" i="34"/>
  <c r="AG15" i="34"/>
  <c r="AG14" i="34"/>
  <c r="AF29" i="34"/>
  <c r="AF30" i="34"/>
  <c r="AF28" i="34"/>
  <c r="AF27" i="34"/>
  <c r="AF26" i="34"/>
  <c r="AF25" i="34"/>
  <c r="AF24" i="34"/>
  <c r="AF23" i="34"/>
  <c r="AF22" i="34"/>
  <c r="AF21" i="34"/>
  <c r="AF20" i="34"/>
  <c r="AF19" i="34"/>
  <c r="AF18" i="34"/>
  <c r="AF17" i="34"/>
  <c r="AF16" i="34"/>
  <c r="AF15" i="34"/>
  <c r="AF14" i="34"/>
  <c r="AE29" i="34"/>
  <c r="AD29" i="34"/>
  <c r="AE28" i="34"/>
  <c r="AD28" i="34"/>
  <c r="AE27" i="34"/>
  <c r="AE26" i="34"/>
  <c r="AE25" i="34"/>
  <c r="AE24" i="34"/>
  <c r="AD24" i="34"/>
  <c r="AE23" i="34"/>
  <c r="AE22" i="34"/>
  <c r="AE21" i="34"/>
  <c r="AE20" i="34"/>
  <c r="AE19" i="34"/>
  <c r="AE18" i="34"/>
  <c r="AE17" i="34"/>
  <c r="AE16" i="34"/>
  <c r="AE15" i="34"/>
  <c r="AD15" i="34"/>
  <c r="AE14" i="34"/>
  <c r="AC29" i="34"/>
  <c r="AC28" i="34"/>
  <c r="AC27" i="34"/>
  <c r="AC26" i="34"/>
  <c r="AC25" i="34"/>
  <c r="AC24" i="34"/>
  <c r="AC23" i="34"/>
  <c r="AC22" i="34"/>
  <c r="AC21" i="34"/>
  <c r="AC20" i="34"/>
  <c r="AC19" i="34"/>
  <c r="AC18" i="34"/>
  <c r="AC17" i="34"/>
  <c r="AC16" i="34"/>
  <c r="AC15" i="34"/>
  <c r="AC14" i="34"/>
  <c r="X29" i="34"/>
  <c r="X28" i="34"/>
  <c r="X30" i="34"/>
  <c r="X27" i="34"/>
  <c r="X26" i="34"/>
  <c r="X25" i="34"/>
  <c r="X24" i="34"/>
  <c r="X23" i="34"/>
  <c r="X22" i="34"/>
  <c r="X21" i="34"/>
  <c r="X20" i="34"/>
  <c r="X19" i="34"/>
  <c r="X18" i="34"/>
  <c r="X17" i="34"/>
  <c r="X16" i="34"/>
  <c r="X15" i="34"/>
  <c r="X14" i="34"/>
  <c r="W29" i="34"/>
  <c r="U29" i="34"/>
  <c r="U30" i="34"/>
  <c r="W28" i="34"/>
  <c r="W27" i="34"/>
  <c r="W26" i="34"/>
  <c r="W25" i="34"/>
  <c r="U25" i="34"/>
  <c r="W24" i="34"/>
  <c r="W23" i="34"/>
  <c r="W22" i="34"/>
  <c r="W21" i="34"/>
  <c r="W20" i="34"/>
  <c r="U20" i="34"/>
  <c r="W19" i="34"/>
  <c r="W18" i="34"/>
  <c r="W16" i="34"/>
  <c r="W17" i="34"/>
  <c r="W15" i="34"/>
  <c r="W14" i="34"/>
  <c r="U14" i="34"/>
  <c r="V29" i="34"/>
  <c r="V28" i="34"/>
  <c r="V27" i="34"/>
  <c r="U27" i="34"/>
  <c r="V26" i="34"/>
  <c r="U26" i="34"/>
  <c r="V25" i="34"/>
  <c r="V24" i="34"/>
  <c r="U24" i="34"/>
  <c r="V23" i="34"/>
  <c r="U23" i="34"/>
  <c r="V22" i="34"/>
  <c r="V21" i="34"/>
  <c r="V20" i="34"/>
  <c r="V19" i="34"/>
  <c r="V18" i="34"/>
  <c r="V17" i="34"/>
  <c r="V16" i="34"/>
  <c r="V15" i="34"/>
  <c r="V14" i="34"/>
  <c r="S29" i="34"/>
  <c r="S28" i="34"/>
  <c r="S27" i="34"/>
  <c r="S26" i="34"/>
  <c r="S25" i="34"/>
  <c r="S30" i="34"/>
  <c r="S24" i="34"/>
  <c r="S23" i="34"/>
  <c r="S22" i="34"/>
  <c r="S21" i="34"/>
  <c r="S20" i="34"/>
  <c r="S19" i="34"/>
  <c r="S18" i="34"/>
  <c r="S17" i="34"/>
  <c r="S16" i="34"/>
  <c r="S15" i="34"/>
  <c r="S14" i="34"/>
  <c r="T29" i="34"/>
  <c r="T30" i="34"/>
  <c r="T28" i="34"/>
  <c r="T27" i="34"/>
  <c r="T26" i="34"/>
  <c r="T25" i="34"/>
  <c r="Q25" i="34"/>
  <c r="T24" i="34"/>
  <c r="T23" i="34"/>
  <c r="Q23" i="34"/>
  <c r="T22" i="34"/>
  <c r="T21" i="34"/>
  <c r="T20" i="34"/>
  <c r="T19" i="34"/>
  <c r="T18" i="34"/>
  <c r="Q18" i="34"/>
  <c r="T17" i="34"/>
  <c r="T16" i="34"/>
  <c r="T15" i="34"/>
  <c r="R29" i="34"/>
  <c r="R30" i="34"/>
  <c r="Q29" i="34"/>
  <c r="R28" i="34"/>
  <c r="Q28" i="34"/>
  <c r="R27" i="34"/>
  <c r="Q27" i="34"/>
  <c r="R26" i="34"/>
  <c r="Q26" i="34"/>
  <c r="R25" i="34"/>
  <c r="R24" i="34"/>
  <c r="R23" i="34"/>
  <c r="R22" i="34"/>
  <c r="R21" i="34"/>
  <c r="R20" i="34"/>
  <c r="R19" i="34"/>
  <c r="R18" i="34"/>
  <c r="R17" i="34"/>
  <c r="R16" i="34"/>
  <c r="R15" i="34"/>
  <c r="R14" i="34"/>
  <c r="Q14" i="34"/>
  <c r="P29" i="34"/>
  <c r="P30" i="34"/>
  <c r="P28" i="34"/>
  <c r="P27" i="34"/>
  <c r="P26" i="34"/>
  <c r="P25" i="34"/>
  <c r="P24" i="34"/>
  <c r="P23" i="34"/>
  <c r="P22" i="34"/>
  <c r="P21" i="34"/>
  <c r="P20" i="34"/>
  <c r="P19" i="34"/>
  <c r="P18" i="34"/>
  <c r="P17" i="34"/>
  <c r="P16" i="34"/>
  <c r="P15" i="34"/>
  <c r="P14" i="34"/>
  <c r="I14" i="34"/>
  <c r="C95" i="24"/>
  <c r="AR14" i="34"/>
  <c r="C96" i="24"/>
  <c r="AS14" i="34"/>
  <c r="C97" i="24"/>
  <c r="AT14" i="34"/>
  <c r="C101" i="24"/>
  <c r="AW14" i="34"/>
  <c r="C102" i="24"/>
  <c r="C100" i="24"/>
  <c r="AV14" i="34"/>
  <c r="C149" i="24"/>
  <c r="AR15" i="34"/>
  <c r="C150" i="24"/>
  <c r="AS15" i="34"/>
  <c r="C151" i="24"/>
  <c r="AT15" i="34"/>
  <c r="C155" i="24"/>
  <c r="AW15" i="34"/>
  <c r="C156" i="24"/>
  <c r="AX15" i="34"/>
  <c r="C154" i="24"/>
  <c r="C152" i="24"/>
  <c r="AV15" i="34"/>
  <c r="C203" i="24"/>
  <c r="AR16" i="34"/>
  <c r="C204" i="24"/>
  <c r="AS16" i="34"/>
  <c r="C205" i="24"/>
  <c r="AT16" i="34"/>
  <c r="C209" i="24"/>
  <c r="AW16" i="34"/>
  <c r="C210" i="24"/>
  <c r="AX16" i="34"/>
  <c r="C208" i="24"/>
  <c r="C206" i="24"/>
  <c r="AV16" i="34"/>
  <c r="AU16" i="34"/>
  <c r="C257" i="24"/>
  <c r="C255" i="24"/>
  <c r="C258" i="24"/>
  <c r="AS17" i="34"/>
  <c r="C259" i="24"/>
  <c r="AT17" i="34"/>
  <c r="C263" i="24"/>
  <c r="AW17" i="34"/>
  <c r="C264" i="24"/>
  <c r="C262" i="24"/>
  <c r="AV17" i="34"/>
  <c r="C260" i="24"/>
  <c r="F18" i="34"/>
  <c r="C311" i="24"/>
  <c r="AR18" i="34"/>
  <c r="C312" i="24"/>
  <c r="AS18" i="34"/>
  <c r="C313" i="24"/>
  <c r="AT18" i="34"/>
  <c r="C317" i="24"/>
  <c r="AW18" i="34"/>
  <c r="C318" i="24"/>
  <c r="AX18" i="34"/>
  <c r="C316" i="24"/>
  <c r="AV18" i="34"/>
  <c r="K19" i="34"/>
  <c r="C365" i="24"/>
  <c r="AR19" i="34"/>
  <c r="C366" i="24"/>
  <c r="AS19" i="34"/>
  <c r="C367" i="24"/>
  <c r="AT19" i="34"/>
  <c r="C371" i="24"/>
  <c r="AW19" i="34"/>
  <c r="C372" i="24"/>
  <c r="C370" i="24"/>
  <c r="AV19" i="34"/>
  <c r="E20" i="34"/>
  <c r="G20" i="34"/>
  <c r="C419" i="24"/>
  <c r="C420" i="24"/>
  <c r="AS20" i="34"/>
  <c r="C421" i="24"/>
  <c r="AT20" i="34"/>
  <c r="C425" i="24"/>
  <c r="AW20" i="34"/>
  <c r="C426" i="24"/>
  <c r="C424" i="24"/>
  <c r="C473" i="24"/>
  <c r="C474" i="24"/>
  <c r="C475" i="24"/>
  <c r="AT21" i="34"/>
  <c r="C479" i="24"/>
  <c r="AW21" i="34"/>
  <c r="C480" i="24"/>
  <c r="AX21" i="34"/>
  <c r="C478" i="24"/>
  <c r="E22" i="34"/>
  <c r="I22" i="34"/>
  <c r="C527" i="24"/>
  <c r="C528" i="24"/>
  <c r="C529" i="24"/>
  <c r="AT22" i="34"/>
  <c r="C533" i="24"/>
  <c r="AW22" i="34"/>
  <c r="C534" i="24"/>
  <c r="C532" i="24"/>
  <c r="G23" i="34"/>
  <c r="I23" i="34"/>
  <c r="C581" i="24"/>
  <c r="AR23" i="34"/>
  <c r="C582" i="24"/>
  <c r="C583" i="24"/>
  <c r="C587" i="24"/>
  <c r="AW23" i="34"/>
  <c r="C588" i="24"/>
  <c r="C586" i="24"/>
  <c r="AV23" i="34"/>
  <c r="G24" i="34"/>
  <c r="C635" i="24"/>
  <c r="C636" i="24"/>
  <c r="AS24" i="34"/>
  <c r="C637" i="24"/>
  <c r="C641" i="24"/>
  <c r="AW24" i="34"/>
  <c r="C642" i="24"/>
  <c r="AX24" i="34"/>
  <c r="C640" i="24"/>
  <c r="AV24" i="34"/>
  <c r="K25" i="34"/>
  <c r="C689" i="24"/>
  <c r="C687" i="24"/>
  <c r="C690" i="24"/>
  <c r="C691" i="24"/>
  <c r="C695" i="24"/>
  <c r="AW25" i="34"/>
  <c r="C696" i="24"/>
  <c r="AX25" i="34"/>
  <c r="C694" i="24"/>
  <c r="I26" i="34"/>
  <c r="C743" i="24"/>
  <c r="C741" i="24"/>
  <c r="C744" i="24"/>
  <c r="AS26" i="34"/>
  <c r="C745" i="24"/>
  <c r="AT26" i="34"/>
  <c r="C749" i="24"/>
  <c r="AW26" i="34"/>
  <c r="C750" i="24"/>
  <c r="AX26" i="34"/>
  <c r="C748" i="24"/>
  <c r="AV26" i="34"/>
  <c r="J27" i="34"/>
  <c r="C797" i="24"/>
  <c r="C795" i="24"/>
  <c r="C798" i="24"/>
  <c r="AS27" i="34"/>
  <c r="C799" i="24"/>
  <c r="C803" i="24"/>
  <c r="C804" i="24"/>
  <c r="C48" i="24"/>
  <c r="C802" i="24"/>
  <c r="C800" i="24"/>
  <c r="E28" i="34"/>
  <c r="F28" i="34"/>
  <c r="K28" i="34"/>
  <c r="C851" i="24"/>
  <c r="C849" i="24"/>
  <c r="C852" i="24"/>
  <c r="AS28" i="34"/>
  <c r="AS30" i="34"/>
  <c r="C853" i="24"/>
  <c r="C43" i="24"/>
  <c r="C857" i="24"/>
  <c r="C47" i="24"/>
  <c r="C858" i="24"/>
  <c r="AX28" i="34"/>
  <c r="C856" i="24"/>
  <c r="AV28" i="34"/>
  <c r="J29" i="34"/>
  <c r="J30" i="34"/>
  <c r="I29" i="34"/>
  <c r="I30" i="34"/>
  <c r="C905" i="24"/>
  <c r="C903" i="24"/>
  <c r="C39" i="24"/>
  <c r="AR29" i="34"/>
  <c r="AR30" i="34"/>
  <c r="C906" i="24"/>
  <c r="AS29" i="34"/>
  <c r="C907" i="24"/>
  <c r="AT29" i="34"/>
  <c r="C911" i="24"/>
  <c r="AW29" i="34"/>
  <c r="C912" i="24"/>
  <c r="C910" i="24"/>
  <c r="C908" i="24"/>
  <c r="C44" i="24"/>
  <c r="K30" i="74"/>
  <c r="K29" i="74"/>
  <c r="K31" i="74"/>
  <c r="K28" i="74"/>
  <c r="K27" i="74"/>
  <c r="K26" i="74"/>
  <c r="K25" i="74"/>
  <c r="K24" i="74"/>
  <c r="K23" i="74"/>
  <c r="K22" i="74"/>
  <c r="K21" i="74"/>
  <c r="K20" i="74"/>
  <c r="K19" i="74"/>
  <c r="K18" i="74"/>
  <c r="K17" i="74"/>
  <c r="K16" i="74"/>
  <c r="K15" i="74"/>
  <c r="J30" i="74"/>
  <c r="J29" i="74"/>
  <c r="J28" i="74"/>
  <c r="J31" i="74"/>
  <c r="J27" i="74"/>
  <c r="J26" i="74"/>
  <c r="J25" i="74"/>
  <c r="J24" i="74"/>
  <c r="J23" i="74"/>
  <c r="J22" i="74"/>
  <c r="J21" i="74"/>
  <c r="J20" i="74"/>
  <c r="J19" i="74"/>
  <c r="J18" i="74"/>
  <c r="J17" i="74"/>
  <c r="J16" i="74"/>
  <c r="J15" i="74"/>
  <c r="I30" i="74"/>
  <c r="I29" i="74"/>
  <c r="I28" i="74"/>
  <c r="I27" i="74"/>
  <c r="I31" i="74"/>
  <c r="I26" i="74"/>
  <c r="I25" i="74"/>
  <c r="I24" i="74"/>
  <c r="I23" i="74"/>
  <c r="I22" i="74"/>
  <c r="I21" i="74"/>
  <c r="I20" i="74"/>
  <c r="I19" i="74"/>
  <c r="I18" i="74"/>
  <c r="I17" i="74"/>
  <c r="I16" i="74"/>
  <c r="I15" i="74"/>
  <c r="F30" i="74"/>
  <c r="F31" i="74"/>
  <c r="F29" i="74"/>
  <c r="F28" i="74"/>
  <c r="F27" i="74"/>
  <c r="F26" i="74"/>
  <c r="F25" i="74"/>
  <c r="F24" i="74"/>
  <c r="F23" i="74"/>
  <c r="F22" i="74"/>
  <c r="F21" i="74"/>
  <c r="F20" i="74"/>
  <c r="F19" i="74"/>
  <c r="F18" i="74"/>
  <c r="F17" i="74"/>
  <c r="F16" i="74"/>
  <c r="F15" i="74"/>
  <c r="G30" i="74"/>
  <c r="G29" i="74"/>
  <c r="G31" i="74"/>
  <c r="G28" i="74"/>
  <c r="G27" i="74"/>
  <c r="G26" i="74"/>
  <c r="G25" i="74"/>
  <c r="G24" i="74"/>
  <c r="G23" i="74"/>
  <c r="G22" i="74"/>
  <c r="G21" i="74"/>
  <c r="G20" i="74"/>
  <c r="G19" i="74"/>
  <c r="G18" i="74"/>
  <c r="G17" i="74"/>
  <c r="G16" i="74"/>
  <c r="G15" i="74"/>
  <c r="H30" i="74"/>
  <c r="H29" i="74"/>
  <c r="H28" i="74"/>
  <c r="H27" i="74"/>
  <c r="H26" i="74"/>
  <c r="H25" i="74"/>
  <c r="H24" i="74"/>
  <c r="H23" i="74"/>
  <c r="H22" i="74"/>
  <c r="H31" i="74"/>
  <c r="H21" i="74"/>
  <c r="H20" i="74"/>
  <c r="H19" i="74"/>
  <c r="H18" i="74"/>
  <c r="H17" i="74"/>
  <c r="H16" i="74"/>
  <c r="H15" i="74"/>
  <c r="E30" i="74"/>
  <c r="E29" i="74"/>
  <c r="E28" i="74"/>
  <c r="E27" i="74"/>
  <c r="E31" i="74"/>
  <c r="E26" i="74"/>
  <c r="E25" i="74"/>
  <c r="E24" i="74"/>
  <c r="E23" i="74"/>
  <c r="E22" i="74"/>
  <c r="E21" i="74"/>
  <c r="E20" i="74"/>
  <c r="E19" i="74"/>
  <c r="E18" i="74"/>
  <c r="E17" i="74"/>
  <c r="E16" i="74"/>
  <c r="E15" i="74"/>
  <c r="D30" i="74"/>
  <c r="D29" i="74"/>
  <c r="D28" i="74"/>
  <c r="D27" i="74"/>
  <c r="D26" i="74"/>
  <c r="D25" i="74"/>
  <c r="D24" i="74"/>
  <c r="D23" i="74"/>
  <c r="D22" i="74"/>
  <c r="D31" i="74"/>
  <c r="D21" i="74"/>
  <c r="D20" i="74"/>
  <c r="D19" i="74"/>
  <c r="D18" i="74"/>
  <c r="D17" i="74"/>
  <c r="D16" i="74"/>
  <c r="D15" i="74"/>
  <c r="C15" i="74"/>
  <c r="C30" i="74"/>
  <c r="C29" i="74"/>
  <c r="C28" i="74"/>
  <c r="C27" i="74"/>
  <c r="C31" i="74"/>
  <c r="C26" i="74"/>
  <c r="C25" i="74"/>
  <c r="C24" i="74"/>
  <c r="C23" i="74"/>
  <c r="C22" i="74"/>
  <c r="C21" i="74"/>
  <c r="C20" i="74"/>
  <c r="C19" i="74"/>
  <c r="C18" i="74"/>
  <c r="C17" i="74"/>
  <c r="C16" i="74"/>
  <c r="I30" i="75"/>
  <c r="H30" i="75"/>
  <c r="H31" i="75"/>
  <c r="C498" i="23"/>
  <c r="F28" i="33"/>
  <c r="D498" i="23"/>
  <c r="G28" i="33"/>
  <c r="E498" i="23"/>
  <c r="E30" i="75"/>
  <c r="F30" i="75"/>
  <c r="F31" i="75"/>
  <c r="G30" i="75"/>
  <c r="I29" i="75"/>
  <c r="H29" i="75"/>
  <c r="F29" i="75"/>
  <c r="G29" i="75"/>
  <c r="G31" i="75"/>
  <c r="I28" i="75"/>
  <c r="H28" i="75"/>
  <c r="F28" i="75"/>
  <c r="G28" i="75"/>
  <c r="I27" i="75"/>
  <c r="H27" i="75"/>
  <c r="F27" i="75"/>
  <c r="G27" i="75"/>
  <c r="I26" i="75"/>
  <c r="I31" i="75"/>
  <c r="H26" i="75"/>
  <c r="I17" i="75"/>
  <c r="H17" i="75"/>
  <c r="F17" i="75"/>
  <c r="G17" i="75"/>
  <c r="I22" i="75"/>
  <c r="H22" i="75"/>
  <c r="F22" i="75"/>
  <c r="G22" i="75"/>
  <c r="I21" i="75"/>
  <c r="H21" i="75"/>
  <c r="F21" i="75"/>
  <c r="G21" i="75"/>
  <c r="I24" i="75"/>
  <c r="H24" i="75"/>
  <c r="F24" i="75"/>
  <c r="G24" i="75"/>
  <c r="I20" i="75"/>
  <c r="H20" i="75"/>
  <c r="F20" i="75"/>
  <c r="G20" i="75"/>
  <c r="H23" i="75"/>
  <c r="I23" i="75"/>
  <c r="F23" i="75"/>
  <c r="G23" i="75"/>
  <c r="I25" i="75"/>
  <c r="H25" i="75"/>
  <c r="F25" i="75"/>
  <c r="G25" i="75"/>
  <c r="I19" i="75"/>
  <c r="I15" i="75"/>
  <c r="H19" i="75"/>
  <c r="H15" i="75"/>
  <c r="G26" i="75"/>
  <c r="G19" i="75"/>
  <c r="G15" i="75"/>
  <c r="F26" i="75"/>
  <c r="F19" i="75"/>
  <c r="F15" i="75"/>
  <c r="E48" i="23"/>
  <c r="E15" i="75"/>
  <c r="C48" i="23"/>
  <c r="C15" i="75"/>
  <c r="D48" i="23"/>
  <c r="D15" i="75"/>
  <c r="E108" i="23"/>
  <c r="E17" i="75"/>
  <c r="C108" i="23"/>
  <c r="C17" i="75"/>
  <c r="D108" i="23"/>
  <c r="D17" i="75"/>
  <c r="E168" i="23"/>
  <c r="H17" i="33"/>
  <c r="E19" i="75"/>
  <c r="C168" i="23"/>
  <c r="F17" i="33"/>
  <c r="D168" i="23"/>
  <c r="G17" i="33"/>
  <c r="C198" i="23"/>
  <c r="C20" i="75"/>
  <c r="D198" i="23"/>
  <c r="G18" i="33"/>
  <c r="E198" i="23"/>
  <c r="E20" i="75"/>
  <c r="E228" i="23"/>
  <c r="E21" i="75"/>
  <c r="C228" i="23"/>
  <c r="C21" i="75"/>
  <c r="D228" i="23"/>
  <c r="G19" i="33"/>
  <c r="C258" i="23"/>
  <c r="C22" i="75"/>
  <c r="D258" i="23"/>
  <c r="D22" i="75"/>
  <c r="E258" i="23"/>
  <c r="E22" i="75"/>
  <c r="E288" i="23"/>
  <c r="E23" i="75"/>
  <c r="C288" i="23"/>
  <c r="C23" i="75"/>
  <c r="D288" i="23"/>
  <c r="D23" i="75"/>
  <c r="C318" i="23"/>
  <c r="C24" i="75"/>
  <c r="D318" i="23"/>
  <c r="D24" i="75"/>
  <c r="E318" i="23"/>
  <c r="E24" i="75"/>
  <c r="E348" i="23"/>
  <c r="H23" i="33"/>
  <c r="E25" i="75"/>
  <c r="C348" i="23"/>
  <c r="C25" i="75"/>
  <c r="D348" i="23"/>
  <c r="D25" i="75"/>
  <c r="C378" i="23"/>
  <c r="C26" i="75"/>
  <c r="D378" i="23"/>
  <c r="D26" i="75"/>
  <c r="E378" i="23"/>
  <c r="E26" i="75"/>
  <c r="E408" i="23"/>
  <c r="H25" i="33"/>
  <c r="E27" i="75"/>
  <c r="C408" i="23"/>
  <c r="C27" i="75"/>
  <c r="D408" i="23"/>
  <c r="D27" i="75"/>
  <c r="D31" i="75"/>
  <c r="C438" i="23"/>
  <c r="F26" i="33"/>
  <c r="C28" i="75"/>
  <c r="K28" i="75"/>
  <c r="J28" i="75"/>
  <c r="D438" i="23"/>
  <c r="G26" i="33"/>
  <c r="D28" i="75"/>
  <c r="E438" i="23"/>
  <c r="E28" i="75"/>
  <c r="E468" i="23"/>
  <c r="E29" i="75"/>
  <c r="C468" i="23"/>
  <c r="C29" i="75"/>
  <c r="D468" i="23"/>
  <c r="D29" i="75"/>
  <c r="K30" i="77"/>
  <c r="K29" i="77"/>
  <c r="K28" i="77"/>
  <c r="K27" i="77"/>
  <c r="K26" i="77"/>
  <c r="K25" i="77"/>
  <c r="K31" i="77"/>
  <c r="K24" i="77"/>
  <c r="E24" i="77"/>
  <c r="K23" i="77"/>
  <c r="K22" i="77"/>
  <c r="K21" i="77"/>
  <c r="K20" i="77"/>
  <c r="K19" i="77"/>
  <c r="K18" i="77"/>
  <c r="K17" i="77"/>
  <c r="J30" i="77"/>
  <c r="J29" i="77"/>
  <c r="J31" i="77"/>
  <c r="J28" i="77"/>
  <c r="J27" i="77"/>
  <c r="J26" i="77"/>
  <c r="J25" i="77"/>
  <c r="J24" i="77"/>
  <c r="J23" i="77"/>
  <c r="J22" i="77"/>
  <c r="J21" i="77"/>
  <c r="J20" i="77"/>
  <c r="J19" i="77"/>
  <c r="J18" i="77"/>
  <c r="J17" i="77"/>
  <c r="I30" i="77"/>
  <c r="C30" i="77"/>
  <c r="C31" i="77"/>
  <c r="I29" i="77"/>
  <c r="I28" i="77"/>
  <c r="I27" i="77"/>
  <c r="I26" i="77"/>
  <c r="I25" i="77"/>
  <c r="I24" i="77"/>
  <c r="I23" i="77"/>
  <c r="I22" i="77"/>
  <c r="I21" i="77"/>
  <c r="C21" i="77"/>
  <c r="I20" i="77"/>
  <c r="I19" i="77"/>
  <c r="I18" i="77"/>
  <c r="I17" i="77"/>
  <c r="H30" i="77"/>
  <c r="H31" i="77"/>
  <c r="H29" i="77"/>
  <c r="E29" i="77"/>
  <c r="H28" i="77"/>
  <c r="E28" i="77"/>
  <c r="H27" i="77"/>
  <c r="H26" i="77"/>
  <c r="E26" i="77"/>
  <c r="H25" i="77"/>
  <c r="E25" i="77"/>
  <c r="H24" i="77"/>
  <c r="H23" i="77"/>
  <c r="H22" i="77"/>
  <c r="H21" i="77"/>
  <c r="H20" i="77"/>
  <c r="H19" i="77"/>
  <c r="E19" i="77"/>
  <c r="H18" i="77"/>
  <c r="H17" i="77"/>
  <c r="E17" i="77"/>
  <c r="G30" i="77"/>
  <c r="G29" i="77"/>
  <c r="D29" i="77"/>
  <c r="G28" i="77"/>
  <c r="G27" i="77"/>
  <c r="D27" i="77"/>
  <c r="G26" i="77"/>
  <c r="D26" i="77"/>
  <c r="G25" i="77"/>
  <c r="G24" i="77"/>
  <c r="D24" i="77"/>
  <c r="G23" i="77"/>
  <c r="D23" i="77"/>
  <c r="G22" i="77"/>
  <c r="G21" i="77"/>
  <c r="G20" i="77"/>
  <c r="D20" i="77"/>
  <c r="G19" i="77"/>
  <c r="G18" i="77"/>
  <c r="D18" i="77"/>
  <c r="G17" i="77"/>
  <c r="D17" i="77"/>
  <c r="F30" i="77"/>
  <c r="F29" i="77"/>
  <c r="C29" i="77"/>
  <c r="F28" i="77"/>
  <c r="C28" i="77"/>
  <c r="F27" i="77"/>
  <c r="F26" i="77"/>
  <c r="C26" i="77"/>
  <c r="F25" i="77"/>
  <c r="F24" i="77"/>
  <c r="C24" i="77"/>
  <c r="F23" i="77"/>
  <c r="F22" i="77"/>
  <c r="C22" i="77"/>
  <c r="F21" i="77"/>
  <c r="F20" i="77"/>
  <c r="F19" i="77"/>
  <c r="C19" i="77"/>
  <c r="F18" i="77"/>
  <c r="F17" i="77"/>
  <c r="K16" i="77"/>
  <c r="J16" i="77"/>
  <c r="D16" i="77"/>
  <c r="I16" i="77"/>
  <c r="C16" i="77"/>
  <c r="H16" i="77"/>
  <c r="E16" i="77"/>
  <c r="G16" i="77"/>
  <c r="F16" i="77"/>
  <c r="K15" i="77"/>
  <c r="J15" i="77"/>
  <c r="I15" i="77"/>
  <c r="H15" i="77"/>
  <c r="G15" i="77"/>
  <c r="F15" i="77"/>
  <c r="D30" i="77"/>
  <c r="D31" i="77"/>
  <c r="E22" i="77"/>
  <c r="D22" i="77"/>
  <c r="C20" i="77"/>
  <c r="C17" i="77"/>
  <c r="F30" i="78"/>
  <c r="F29" i="78"/>
  <c r="F28" i="78"/>
  <c r="F31" i="78"/>
  <c r="F27" i="78"/>
  <c r="F26" i="78"/>
  <c r="F25" i="78"/>
  <c r="F24" i="78"/>
  <c r="F23" i="78"/>
  <c r="F22" i="78"/>
  <c r="F21" i="78"/>
  <c r="C21" i="78"/>
  <c r="F20" i="78"/>
  <c r="F19" i="78"/>
  <c r="F18" i="78"/>
  <c r="F17" i="78"/>
  <c r="C17" i="78"/>
  <c r="F16" i="78"/>
  <c r="C16" i="78"/>
  <c r="F15" i="78"/>
  <c r="G30" i="78"/>
  <c r="D30" i="78"/>
  <c r="D31" i="78"/>
  <c r="G29" i="78"/>
  <c r="G28" i="78"/>
  <c r="G27" i="78"/>
  <c r="D27" i="78"/>
  <c r="G26" i="78"/>
  <c r="D26" i="78"/>
  <c r="G25" i="78"/>
  <c r="G24" i="78"/>
  <c r="G23" i="78"/>
  <c r="G31" i="78"/>
  <c r="G22" i="78"/>
  <c r="G21" i="78"/>
  <c r="G20" i="78"/>
  <c r="G19" i="78"/>
  <c r="G18" i="78"/>
  <c r="G17" i="78"/>
  <c r="G16" i="78"/>
  <c r="D16" i="78"/>
  <c r="G15" i="78"/>
  <c r="H30" i="78"/>
  <c r="H29" i="78"/>
  <c r="H31" i="78"/>
  <c r="H28" i="78"/>
  <c r="H27" i="78"/>
  <c r="E27" i="78"/>
  <c r="H26" i="78"/>
  <c r="H25" i="78"/>
  <c r="H24" i="78"/>
  <c r="H23" i="78"/>
  <c r="H22" i="78"/>
  <c r="H21" i="78"/>
  <c r="H20" i="78"/>
  <c r="H19" i="78"/>
  <c r="H18" i="78"/>
  <c r="H17" i="78"/>
  <c r="H16" i="78"/>
  <c r="H15" i="78"/>
  <c r="E15" i="78"/>
  <c r="I30" i="78"/>
  <c r="I29" i="78"/>
  <c r="C29" i="78"/>
  <c r="C31" i="78"/>
  <c r="I28" i="78"/>
  <c r="I27" i="78"/>
  <c r="I31" i="78"/>
  <c r="C27" i="78"/>
  <c r="I26" i="78"/>
  <c r="I25" i="78"/>
  <c r="C25" i="78"/>
  <c r="I24" i="78"/>
  <c r="I23" i="78"/>
  <c r="I22" i="78"/>
  <c r="I21" i="78"/>
  <c r="I20" i="78"/>
  <c r="I19" i="78"/>
  <c r="I18" i="78"/>
  <c r="I17" i="78"/>
  <c r="I16" i="78"/>
  <c r="I15" i="78"/>
  <c r="J30" i="78"/>
  <c r="J29" i="78"/>
  <c r="J31" i="78"/>
  <c r="J28" i="78"/>
  <c r="D28" i="78"/>
  <c r="J27" i="78"/>
  <c r="J26" i="78"/>
  <c r="J25" i="78"/>
  <c r="D25" i="78"/>
  <c r="J24" i="78"/>
  <c r="D24" i="78"/>
  <c r="J23" i="78"/>
  <c r="J22" i="78"/>
  <c r="J21" i="78"/>
  <c r="J20" i="78"/>
  <c r="D20" i="78"/>
  <c r="J19" i="78"/>
  <c r="J18" i="78"/>
  <c r="J17" i="78"/>
  <c r="J16" i="78"/>
  <c r="J15" i="78"/>
  <c r="D15" i="78"/>
  <c r="K30" i="78"/>
  <c r="K31" i="78"/>
  <c r="K29" i="78"/>
  <c r="K28" i="78"/>
  <c r="K27" i="78"/>
  <c r="K26" i="78"/>
  <c r="K25" i="78"/>
  <c r="K24" i="78"/>
  <c r="K23" i="78"/>
  <c r="K22" i="78"/>
  <c r="K21" i="78"/>
  <c r="K20" i="78"/>
  <c r="E20" i="78"/>
  <c r="K19" i="78"/>
  <c r="K18" i="78"/>
  <c r="K17" i="78"/>
  <c r="E17" i="78"/>
  <c r="K16" i="78"/>
  <c r="K15" i="78"/>
  <c r="E18" i="78"/>
  <c r="F30" i="79"/>
  <c r="F29" i="79"/>
  <c r="F28" i="79"/>
  <c r="F27" i="79"/>
  <c r="F26" i="79"/>
  <c r="F25" i="79"/>
  <c r="C25" i="79"/>
  <c r="F24" i="79"/>
  <c r="F23" i="79"/>
  <c r="F22" i="79"/>
  <c r="F21" i="79"/>
  <c r="F20" i="79"/>
  <c r="F19" i="79"/>
  <c r="F18" i="79"/>
  <c r="C18" i="79"/>
  <c r="F17" i="79"/>
  <c r="F16" i="79"/>
  <c r="C16" i="79"/>
  <c r="F15" i="79"/>
  <c r="G30" i="79"/>
  <c r="D30" i="79"/>
  <c r="D31" i="79"/>
  <c r="G29" i="79"/>
  <c r="G28" i="79"/>
  <c r="D28" i="79"/>
  <c r="G27" i="79"/>
  <c r="G26" i="79"/>
  <c r="G25" i="79"/>
  <c r="G24" i="79"/>
  <c r="G23" i="79"/>
  <c r="G22" i="79"/>
  <c r="G21" i="79"/>
  <c r="D21" i="79"/>
  <c r="G20" i="79"/>
  <c r="G19" i="79"/>
  <c r="G18" i="79"/>
  <c r="G17" i="79"/>
  <c r="D17" i="79"/>
  <c r="G16" i="79"/>
  <c r="G15" i="79"/>
  <c r="H30" i="79"/>
  <c r="H29" i="79"/>
  <c r="H28" i="79"/>
  <c r="H27" i="79"/>
  <c r="H31" i="79"/>
  <c r="H26" i="79"/>
  <c r="H25" i="79"/>
  <c r="E25" i="79"/>
  <c r="H24" i="79"/>
  <c r="E24" i="79"/>
  <c r="H23" i="79"/>
  <c r="H22" i="79"/>
  <c r="H21" i="79"/>
  <c r="E21" i="79"/>
  <c r="H20" i="79"/>
  <c r="H19" i="79"/>
  <c r="H18" i="79"/>
  <c r="E18" i="79"/>
  <c r="H17" i="79"/>
  <c r="E17" i="79"/>
  <c r="H16" i="79"/>
  <c r="H15" i="79"/>
  <c r="I30" i="79"/>
  <c r="I29" i="79"/>
  <c r="I28" i="79"/>
  <c r="C28" i="79"/>
  <c r="I27" i="79"/>
  <c r="I31" i="79"/>
  <c r="I26" i="79"/>
  <c r="I25" i="79"/>
  <c r="I24" i="79"/>
  <c r="I23" i="79"/>
  <c r="I22" i="79"/>
  <c r="C22" i="79"/>
  <c r="I21" i="79"/>
  <c r="I20" i="79"/>
  <c r="C20" i="79"/>
  <c r="I19" i="79"/>
  <c r="I18" i="79"/>
  <c r="I17" i="79"/>
  <c r="C17" i="79"/>
  <c r="I16" i="79"/>
  <c r="I15" i="79"/>
  <c r="J30" i="79"/>
  <c r="J29" i="79"/>
  <c r="J28" i="79"/>
  <c r="J31" i="79"/>
  <c r="J27" i="79"/>
  <c r="J26" i="79"/>
  <c r="D26" i="79"/>
  <c r="J25" i="79"/>
  <c r="J24" i="79"/>
  <c r="J23" i="79"/>
  <c r="D23" i="79"/>
  <c r="J22" i="79"/>
  <c r="J21" i="79"/>
  <c r="J20" i="79"/>
  <c r="J19" i="79"/>
  <c r="J18" i="79"/>
  <c r="J17" i="79"/>
  <c r="J16" i="79"/>
  <c r="J15" i="79"/>
  <c r="K30" i="79"/>
  <c r="E30" i="79"/>
  <c r="E31" i="79"/>
  <c r="K29" i="79"/>
  <c r="K28" i="79"/>
  <c r="E28" i="79"/>
  <c r="K27" i="79"/>
  <c r="K26" i="79"/>
  <c r="E26" i="79"/>
  <c r="K25" i="79"/>
  <c r="K24" i="79"/>
  <c r="K23" i="79"/>
  <c r="K22" i="79"/>
  <c r="E22" i="79"/>
  <c r="K21" i="79"/>
  <c r="K20" i="79"/>
  <c r="E20" i="79"/>
  <c r="K19" i="79"/>
  <c r="K18" i="79"/>
  <c r="K17" i="79"/>
  <c r="K16" i="79"/>
  <c r="K15" i="79"/>
  <c r="C30" i="79"/>
  <c r="C31" i="79"/>
  <c r="C27" i="79"/>
  <c r="C26" i="79"/>
  <c r="D22" i="79"/>
  <c r="C15" i="79"/>
  <c r="F30" i="80"/>
  <c r="F31" i="80"/>
  <c r="F29" i="80"/>
  <c r="F28" i="80"/>
  <c r="F27" i="80"/>
  <c r="F26" i="80"/>
  <c r="F25" i="80"/>
  <c r="F24" i="80"/>
  <c r="F23" i="80"/>
  <c r="F22" i="80"/>
  <c r="F21" i="80"/>
  <c r="F20" i="80"/>
  <c r="F19" i="80"/>
  <c r="F18" i="80"/>
  <c r="F17" i="80"/>
  <c r="C17" i="80"/>
  <c r="F16" i="80"/>
  <c r="F15" i="80"/>
  <c r="G30" i="80"/>
  <c r="G29" i="80"/>
  <c r="D29" i="80"/>
  <c r="G28" i="80"/>
  <c r="G31" i="80"/>
  <c r="G27" i="80"/>
  <c r="G26" i="80"/>
  <c r="G25" i="80"/>
  <c r="D25" i="80"/>
  <c r="G24" i="80"/>
  <c r="G23" i="80"/>
  <c r="D23" i="80"/>
  <c r="G22" i="80"/>
  <c r="G21" i="80"/>
  <c r="G20" i="80"/>
  <c r="G19" i="80"/>
  <c r="D19" i="80"/>
  <c r="G18" i="80"/>
  <c r="D18" i="80"/>
  <c r="G17" i="80"/>
  <c r="D17" i="80"/>
  <c r="G16" i="80"/>
  <c r="D16" i="80"/>
  <c r="G15" i="80"/>
  <c r="H30" i="80"/>
  <c r="E30" i="80"/>
  <c r="E31" i="80"/>
  <c r="H29" i="80"/>
  <c r="E29" i="80"/>
  <c r="H28" i="80"/>
  <c r="H31" i="80"/>
  <c r="H27" i="80"/>
  <c r="H26" i="80"/>
  <c r="H25" i="80"/>
  <c r="H24" i="80"/>
  <c r="H23" i="80"/>
  <c r="H22" i="80"/>
  <c r="E22" i="80"/>
  <c r="H21" i="80"/>
  <c r="H20" i="80"/>
  <c r="H19" i="80"/>
  <c r="H18" i="80"/>
  <c r="H17" i="80"/>
  <c r="E17" i="80"/>
  <c r="H16" i="80"/>
  <c r="E16" i="80"/>
  <c r="H15" i="80"/>
  <c r="E15" i="80"/>
  <c r="I30" i="80"/>
  <c r="I31" i="80"/>
  <c r="I29" i="80"/>
  <c r="I28" i="80"/>
  <c r="I27" i="80"/>
  <c r="I26" i="80"/>
  <c r="C26" i="80"/>
  <c r="I25" i="80"/>
  <c r="C25" i="80"/>
  <c r="I24" i="80"/>
  <c r="I23" i="80"/>
  <c r="I22" i="80"/>
  <c r="I21" i="80"/>
  <c r="I20" i="80"/>
  <c r="C20" i="80"/>
  <c r="I19" i="80"/>
  <c r="I18" i="80"/>
  <c r="C18" i="80"/>
  <c r="I17" i="80"/>
  <c r="I16" i="80"/>
  <c r="I15" i="80"/>
  <c r="C15" i="80"/>
  <c r="J30" i="80"/>
  <c r="D30" i="80"/>
  <c r="D31" i="80"/>
  <c r="J29" i="80"/>
  <c r="J31" i="80"/>
  <c r="J28" i="80"/>
  <c r="J27" i="80"/>
  <c r="D27" i="80"/>
  <c r="J26" i="80"/>
  <c r="J25" i="80"/>
  <c r="J24" i="80"/>
  <c r="J23" i="80"/>
  <c r="J22" i="80"/>
  <c r="J21" i="80"/>
  <c r="J20" i="80"/>
  <c r="J19" i="80"/>
  <c r="J18" i="80"/>
  <c r="J17" i="80"/>
  <c r="J16" i="80"/>
  <c r="J15" i="80"/>
  <c r="K30" i="80"/>
  <c r="K29" i="80"/>
  <c r="K28" i="80"/>
  <c r="K31" i="80"/>
  <c r="K27" i="80"/>
  <c r="E27" i="80"/>
  <c r="K26" i="80"/>
  <c r="K25" i="80"/>
  <c r="K24" i="80"/>
  <c r="K23" i="80"/>
  <c r="K22" i="80"/>
  <c r="K21" i="80"/>
  <c r="K20" i="80"/>
  <c r="E20" i="80"/>
  <c r="K19" i="80"/>
  <c r="K18" i="80"/>
  <c r="E18" i="80"/>
  <c r="K17" i="80"/>
  <c r="K16" i="80"/>
  <c r="K15" i="80"/>
  <c r="E28" i="80"/>
  <c r="C19" i="80"/>
  <c r="K483" i="76"/>
  <c r="E483" i="76"/>
  <c r="J483" i="76"/>
  <c r="I483" i="76"/>
  <c r="I30" i="82"/>
  <c r="H483" i="76"/>
  <c r="H30" i="82"/>
  <c r="H31" i="82"/>
  <c r="G483" i="76"/>
  <c r="G30" i="82"/>
  <c r="G31" i="82"/>
  <c r="F483" i="76"/>
  <c r="K454" i="76"/>
  <c r="K29" i="82"/>
  <c r="J454" i="76"/>
  <c r="J29" i="82"/>
  <c r="I454" i="76"/>
  <c r="I29" i="82"/>
  <c r="H454" i="76"/>
  <c r="G454" i="76"/>
  <c r="F454" i="76"/>
  <c r="F29" i="82"/>
  <c r="K425" i="76"/>
  <c r="J425" i="76"/>
  <c r="J28" i="82"/>
  <c r="I425" i="76"/>
  <c r="I28" i="82"/>
  <c r="H425" i="76"/>
  <c r="H28" i="82"/>
  <c r="G425" i="76"/>
  <c r="G28" i="82"/>
  <c r="D28" i="82"/>
  <c r="F425" i="76"/>
  <c r="F19" i="76"/>
  <c r="K396" i="76"/>
  <c r="K27" i="82"/>
  <c r="J396" i="76"/>
  <c r="I396" i="76"/>
  <c r="I27" i="82"/>
  <c r="H396" i="76"/>
  <c r="G396" i="76"/>
  <c r="G27" i="82"/>
  <c r="F396" i="76"/>
  <c r="K367" i="76"/>
  <c r="K26" i="82"/>
  <c r="J367" i="76"/>
  <c r="J26" i="82"/>
  <c r="I367" i="76"/>
  <c r="I26" i="82"/>
  <c r="H367" i="76"/>
  <c r="H26" i="82"/>
  <c r="G367" i="76"/>
  <c r="F367" i="76"/>
  <c r="K338" i="76"/>
  <c r="K25" i="82"/>
  <c r="J338" i="76"/>
  <c r="J25" i="82"/>
  <c r="I338" i="76"/>
  <c r="I25" i="82"/>
  <c r="H338" i="76"/>
  <c r="H25" i="82"/>
  <c r="G338" i="76"/>
  <c r="G25" i="82"/>
  <c r="F338" i="76"/>
  <c r="F25" i="82"/>
  <c r="K309" i="76"/>
  <c r="K24" i="82"/>
  <c r="J309" i="76"/>
  <c r="J24" i="82"/>
  <c r="I309" i="76"/>
  <c r="I24" i="82"/>
  <c r="H309" i="76"/>
  <c r="H24" i="82"/>
  <c r="E24" i="82"/>
  <c r="G309" i="76"/>
  <c r="G24" i="82"/>
  <c r="F309" i="76"/>
  <c r="F24" i="82"/>
  <c r="K280" i="76"/>
  <c r="K23" i="82"/>
  <c r="J280" i="76"/>
  <c r="J23" i="82"/>
  <c r="I280" i="76"/>
  <c r="C280" i="76"/>
  <c r="I23" i="82"/>
  <c r="H280" i="76"/>
  <c r="H23" i="82"/>
  <c r="E23" i="82"/>
  <c r="G280" i="76"/>
  <c r="F280" i="76"/>
  <c r="F23" i="82"/>
  <c r="K251" i="76"/>
  <c r="K22" i="82"/>
  <c r="J251" i="76"/>
  <c r="J22" i="82"/>
  <c r="I251" i="76"/>
  <c r="I22" i="82"/>
  <c r="H251" i="76"/>
  <c r="H22" i="82"/>
  <c r="G251" i="76"/>
  <c r="F251" i="76"/>
  <c r="K222" i="76"/>
  <c r="K21" i="82"/>
  <c r="J222" i="76"/>
  <c r="I222" i="76"/>
  <c r="H222" i="76"/>
  <c r="H21" i="82"/>
  <c r="G222" i="76"/>
  <c r="G21" i="82"/>
  <c r="F222" i="76"/>
  <c r="F21" i="82"/>
  <c r="K193" i="76"/>
  <c r="J193" i="76"/>
  <c r="J20" i="82"/>
  <c r="I193" i="76"/>
  <c r="I20" i="82"/>
  <c r="H193" i="76"/>
  <c r="H20" i="82"/>
  <c r="G193" i="76"/>
  <c r="G20" i="82"/>
  <c r="F193" i="76"/>
  <c r="F20" i="82"/>
  <c r="H164" i="76"/>
  <c r="G164" i="76"/>
  <c r="D164" i="76"/>
  <c r="F164" i="76"/>
  <c r="F19" i="82"/>
  <c r="H135" i="76"/>
  <c r="G135" i="76"/>
  <c r="G18" i="82"/>
  <c r="F135" i="76"/>
  <c r="F18" i="82"/>
  <c r="K106" i="76"/>
  <c r="K17" i="82"/>
  <c r="J106" i="76"/>
  <c r="I106" i="76"/>
  <c r="I17" i="82"/>
  <c r="H106" i="76"/>
  <c r="H17" i="82"/>
  <c r="G106" i="76"/>
  <c r="F106" i="76"/>
  <c r="C106" i="76"/>
  <c r="K77" i="76"/>
  <c r="K16" i="82"/>
  <c r="J77" i="76"/>
  <c r="D77" i="76"/>
  <c r="J16" i="82"/>
  <c r="I77" i="76"/>
  <c r="I16" i="82"/>
  <c r="H77" i="76"/>
  <c r="H16" i="82"/>
  <c r="G77" i="76"/>
  <c r="G16" i="82"/>
  <c r="F77" i="76"/>
  <c r="F16" i="82"/>
  <c r="K24" i="76"/>
  <c r="J24" i="76"/>
  <c r="I24" i="76"/>
  <c r="H24" i="76"/>
  <c r="E24" i="76"/>
  <c r="G24" i="76"/>
  <c r="D24" i="76"/>
  <c r="F24" i="76"/>
  <c r="C24" i="76"/>
  <c r="K23" i="76"/>
  <c r="E23" i="76"/>
  <c r="J23" i="76"/>
  <c r="I23" i="76"/>
  <c r="H23" i="76"/>
  <c r="G23" i="76"/>
  <c r="D23" i="76"/>
  <c r="F23" i="76"/>
  <c r="K22" i="76"/>
  <c r="J22" i="76"/>
  <c r="I22" i="76"/>
  <c r="H22" i="76"/>
  <c r="E22" i="76"/>
  <c r="G22" i="76"/>
  <c r="D22" i="76"/>
  <c r="F22" i="76"/>
  <c r="C22" i="76"/>
  <c r="K21" i="76"/>
  <c r="J21" i="76"/>
  <c r="I21" i="76"/>
  <c r="H21" i="76"/>
  <c r="G21" i="76"/>
  <c r="D21" i="76"/>
  <c r="F21" i="76"/>
  <c r="C21" i="76"/>
  <c r="E488" i="76"/>
  <c r="D488" i="76"/>
  <c r="C488" i="76"/>
  <c r="E487" i="76"/>
  <c r="D487" i="76"/>
  <c r="C487" i="76"/>
  <c r="E486" i="76"/>
  <c r="D486" i="76"/>
  <c r="C486" i="76"/>
  <c r="E485" i="76"/>
  <c r="D485" i="76"/>
  <c r="C485" i="76"/>
  <c r="E459" i="76"/>
  <c r="D459" i="76"/>
  <c r="C459" i="76"/>
  <c r="E458" i="76"/>
  <c r="D458" i="76"/>
  <c r="C458" i="76"/>
  <c r="E457" i="76"/>
  <c r="D457" i="76"/>
  <c r="C457" i="76"/>
  <c r="E456" i="76"/>
  <c r="D456" i="76"/>
  <c r="C456" i="76"/>
  <c r="E430" i="76"/>
  <c r="D430" i="76"/>
  <c r="C430" i="76"/>
  <c r="E429" i="76"/>
  <c r="D429" i="76"/>
  <c r="C429" i="76"/>
  <c r="E428" i="76"/>
  <c r="D428" i="76"/>
  <c r="C428" i="76"/>
  <c r="E427" i="76"/>
  <c r="D427" i="76"/>
  <c r="C427" i="76"/>
  <c r="E401" i="76"/>
  <c r="D401" i="76"/>
  <c r="C401" i="76"/>
  <c r="E400" i="76"/>
  <c r="D400" i="76"/>
  <c r="C400" i="76"/>
  <c r="E399" i="76"/>
  <c r="D399" i="76"/>
  <c r="C399" i="76"/>
  <c r="E398" i="76"/>
  <c r="D398" i="76"/>
  <c r="C398" i="76"/>
  <c r="E372" i="76"/>
  <c r="D372" i="76"/>
  <c r="C372" i="76"/>
  <c r="E371" i="76"/>
  <c r="D371" i="76"/>
  <c r="C371" i="76"/>
  <c r="E370" i="76"/>
  <c r="D370" i="76"/>
  <c r="C370" i="76"/>
  <c r="E369" i="76"/>
  <c r="D369" i="76"/>
  <c r="C369" i="76"/>
  <c r="E343" i="76"/>
  <c r="D343" i="76"/>
  <c r="C343" i="76"/>
  <c r="E342" i="76"/>
  <c r="D342" i="76"/>
  <c r="C342" i="76"/>
  <c r="E341" i="76"/>
  <c r="D341" i="76"/>
  <c r="C341" i="76"/>
  <c r="E340" i="76"/>
  <c r="D340" i="76"/>
  <c r="C340" i="76"/>
  <c r="D338" i="76"/>
  <c r="E314" i="76"/>
  <c r="D314" i="76"/>
  <c r="C314" i="76"/>
  <c r="E313" i="76"/>
  <c r="D313" i="76"/>
  <c r="C313" i="76"/>
  <c r="E312" i="76"/>
  <c r="D312" i="76"/>
  <c r="C312" i="76"/>
  <c r="E311" i="76"/>
  <c r="D311" i="76"/>
  <c r="C311" i="76"/>
  <c r="E285" i="76"/>
  <c r="D285" i="76"/>
  <c r="C285" i="76"/>
  <c r="E284" i="76"/>
  <c r="D284" i="76"/>
  <c r="C284" i="76"/>
  <c r="E283" i="76"/>
  <c r="D283" i="76"/>
  <c r="C283" i="76"/>
  <c r="E282" i="76"/>
  <c r="D282" i="76"/>
  <c r="C282" i="76"/>
  <c r="E256" i="76"/>
  <c r="D256" i="76"/>
  <c r="C256" i="76"/>
  <c r="E255" i="76"/>
  <c r="D255" i="76"/>
  <c r="C255" i="76"/>
  <c r="E254" i="76"/>
  <c r="D254" i="76"/>
  <c r="C254" i="76"/>
  <c r="E253" i="76"/>
  <c r="D253" i="76"/>
  <c r="C253" i="76"/>
  <c r="E227" i="76"/>
  <c r="D227" i="76"/>
  <c r="C227" i="76"/>
  <c r="E226" i="76"/>
  <c r="D226" i="76"/>
  <c r="C226" i="76"/>
  <c r="E225" i="76"/>
  <c r="D225" i="76"/>
  <c r="C225" i="76"/>
  <c r="E224" i="76"/>
  <c r="D224" i="76"/>
  <c r="C224" i="76"/>
  <c r="E198" i="76"/>
  <c r="D198" i="76"/>
  <c r="C198" i="76"/>
  <c r="E197" i="76"/>
  <c r="D197" i="76"/>
  <c r="C197" i="76"/>
  <c r="E196" i="76"/>
  <c r="D196" i="76"/>
  <c r="C196" i="76"/>
  <c r="E195" i="76"/>
  <c r="D195" i="76"/>
  <c r="C195" i="76"/>
  <c r="E193" i="76"/>
  <c r="E169" i="76"/>
  <c r="D169" i="76"/>
  <c r="C169" i="76"/>
  <c r="E168" i="76"/>
  <c r="D168" i="76"/>
  <c r="C168" i="76"/>
  <c r="E167" i="76"/>
  <c r="D167" i="76"/>
  <c r="C167" i="76"/>
  <c r="E166" i="76"/>
  <c r="D166" i="76"/>
  <c r="C166" i="76"/>
  <c r="C164" i="76"/>
  <c r="E140" i="76"/>
  <c r="D140" i="76"/>
  <c r="C140" i="76"/>
  <c r="E139" i="76"/>
  <c r="D139" i="76"/>
  <c r="C139" i="76"/>
  <c r="E138" i="76"/>
  <c r="D138" i="76"/>
  <c r="C138" i="76"/>
  <c r="E137" i="76"/>
  <c r="D137" i="76"/>
  <c r="C137" i="76"/>
  <c r="C135" i="76"/>
  <c r="E111" i="76"/>
  <c r="D111" i="76"/>
  <c r="C111" i="76"/>
  <c r="E110" i="76"/>
  <c r="D110" i="76"/>
  <c r="C110" i="76"/>
  <c r="E109" i="76"/>
  <c r="D109" i="76"/>
  <c r="C109" i="76"/>
  <c r="E108" i="76"/>
  <c r="D108" i="76"/>
  <c r="C108" i="76"/>
  <c r="E82" i="76"/>
  <c r="D82" i="76"/>
  <c r="C82" i="76"/>
  <c r="E81" i="76"/>
  <c r="D81" i="76"/>
  <c r="C81" i="76"/>
  <c r="E80" i="76"/>
  <c r="D80" i="76"/>
  <c r="C80" i="76"/>
  <c r="E79" i="76"/>
  <c r="D79" i="76"/>
  <c r="C79" i="76"/>
  <c r="C77" i="76"/>
  <c r="E53" i="76"/>
  <c r="D53" i="76"/>
  <c r="C53" i="76"/>
  <c r="E52" i="76"/>
  <c r="D52" i="76"/>
  <c r="C52" i="76"/>
  <c r="E51" i="76"/>
  <c r="D51" i="76"/>
  <c r="C51" i="76"/>
  <c r="E50" i="76"/>
  <c r="D50" i="76"/>
  <c r="C50" i="76"/>
  <c r="G124" i="29"/>
  <c r="F16" i="44"/>
  <c r="G125" i="29"/>
  <c r="H16" i="44"/>
  <c r="G201" i="29"/>
  <c r="H17" i="44"/>
  <c r="G277" i="29"/>
  <c r="H18" i="44"/>
  <c r="G353" i="29"/>
  <c r="H19" i="44"/>
  <c r="G429" i="29"/>
  <c r="H20" i="44"/>
  <c r="G505" i="29"/>
  <c r="H21" i="44"/>
  <c r="G581" i="29"/>
  <c r="H22" i="44"/>
  <c r="G657" i="29"/>
  <c r="H23" i="44"/>
  <c r="G733" i="29"/>
  <c r="H24" i="44"/>
  <c r="G809" i="29"/>
  <c r="H25" i="44"/>
  <c r="G885" i="29"/>
  <c r="H26" i="44"/>
  <c r="G961" i="29"/>
  <c r="H27" i="44"/>
  <c r="G1037" i="29"/>
  <c r="H28" i="44"/>
  <c r="G1113" i="29"/>
  <c r="H29" i="44"/>
  <c r="G1189" i="29"/>
  <c r="H30" i="44"/>
  <c r="G1265" i="29"/>
  <c r="H31" i="44"/>
  <c r="G126" i="29"/>
  <c r="J16" i="44"/>
  <c r="G202" i="29"/>
  <c r="J17" i="44"/>
  <c r="G278" i="29"/>
  <c r="J18" i="44"/>
  <c r="G354" i="29"/>
  <c r="J19" i="44"/>
  <c r="G430" i="29"/>
  <c r="J20" i="44"/>
  <c r="G506" i="29"/>
  <c r="J21" i="44"/>
  <c r="G582" i="29"/>
  <c r="J22" i="44"/>
  <c r="G658" i="29"/>
  <c r="J23" i="44"/>
  <c r="G734" i="29"/>
  <c r="J24" i="44"/>
  <c r="G810" i="29"/>
  <c r="J25" i="44"/>
  <c r="G886" i="29"/>
  <c r="J26" i="44"/>
  <c r="G962" i="29"/>
  <c r="J27" i="44"/>
  <c r="G1038" i="29"/>
  <c r="J28" i="44"/>
  <c r="G1114" i="29"/>
  <c r="J29" i="44"/>
  <c r="G1190" i="29"/>
  <c r="J30" i="44"/>
  <c r="G1266" i="29"/>
  <c r="J31" i="44"/>
  <c r="K31" i="44"/>
  <c r="G123" i="29"/>
  <c r="D16" i="44"/>
  <c r="G199" i="29"/>
  <c r="D17" i="44"/>
  <c r="G275" i="29"/>
  <c r="D18" i="44"/>
  <c r="G351" i="29"/>
  <c r="D19" i="44"/>
  <c r="G427" i="29"/>
  <c r="D20" i="44"/>
  <c r="G503" i="29"/>
  <c r="D21" i="44"/>
  <c r="G579" i="29"/>
  <c r="D22" i="44"/>
  <c r="G655" i="29"/>
  <c r="D23" i="44"/>
  <c r="G731" i="29"/>
  <c r="D24" i="44"/>
  <c r="G807" i="29"/>
  <c r="D25" i="44"/>
  <c r="G883" i="29"/>
  <c r="D26" i="44"/>
  <c r="G959" i="29"/>
  <c r="D27" i="44"/>
  <c r="G1035" i="29"/>
  <c r="D28" i="44"/>
  <c r="G1111" i="29"/>
  <c r="D29" i="44"/>
  <c r="G1187" i="29"/>
  <c r="D30" i="44"/>
  <c r="G1263" i="29"/>
  <c r="D31" i="44"/>
  <c r="G200" i="29"/>
  <c r="F17" i="44"/>
  <c r="G276" i="29"/>
  <c r="F18" i="44"/>
  <c r="G352" i="29"/>
  <c r="F19" i="44"/>
  <c r="G428" i="29"/>
  <c r="F20" i="44"/>
  <c r="G504" i="29"/>
  <c r="F21" i="44"/>
  <c r="G580" i="29"/>
  <c r="F22" i="44"/>
  <c r="G656" i="29"/>
  <c r="F23" i="44"/>
  <c r="G732" i="29"/>
  <c r="F24" i="44"/>
  <c r="G808" i="29"/>
  <c r="F25" i="44"/>
  <c r="G884" i="29"/>
  <c r="F26" i="44"/>
  <c r="G960" i="29"/>
  <c r="F27" i="44"/>
  <c r="G1036" i="29"/>
  <c r="F28" i="44"/>
  <c r="G1112" i="29"/>
  <c r="F29" i="44"/>
  <c r="G29" i="44"/>
  <c r="G1188" i="29"/>
  <c r="F30" i="44"/>
  <c r="G1264" i="29"/>
  <c r="F31" i="44"/>
  <c r="G31" i="44"/>
  <c r="J31" i="45"/>
  <c r="J32" i="45"/>
  <c r="H31" i="45"/>
  <c r="F31" i="45"/>
  <c r="D31" i="45"/>
  <c r="J30" i="45"/>
  <c r="H30" i="45"/>
  <c r="F30" i="45"/>
  <c r="D30" i="45"/>
  <c r="J29" i="45"/>
  <c r="H29" i="45"/>
  <c r="F29" i="45"/>
  <c r="D29" i="45"/>
  <c r="J28" i="45"/>
  <c r="H28" i="45"/>
  <c r="F28" i="45"/>
  <c r="D28" i="45"/>
  <c r="J27" i="45"/>
  <c r="H27" i="45"/>
  <c r="F27" i="45"/>
  <c r="D27" i="45"/>
  <c r="J26" i="45"/>
  <c r="H26" i="45"/>
  <c r="F26" i="45"/>
  <c r="D26" i="45"/>
  <c r="J25" i="45"/>
  <c r="H25" i="45"/>
  <c r="F25" i="45"/>
  <c r="D25" i="45"/>
  <c r="J24" i="45"/>
  <c r="H24" i="45"/>
  <c r="F24" i="45"/>
  <c r="D24" i="45"/>
  <c r="J23" i="45"/>
  <c r="H23" i="45"/>
  <c r="F23" i="45"/>
  <c r="D23" i="45"/>
  <c r="J22" i="45"/>
  <c r="H22" i="45"/>
  <c r="F22" i="45"/>
  <c r="D22" i="45"/>
  <c r="J21" i="45"/>
  <c r="H21" i="45"/>
  <c r="F21" i="45"/>
  <c r="D21" i="45"/>
  <c r="J20" i="45"/>
  <c r="H20" i="45"/>
  <c r="F20" i="45"/>
  <c r="D20" i="45"/>
  <c r="J19" i="45"/>
  <c r="H19" i="45"/>
  <c r="F19" i="45"/>
  <c r="D19" i="45"/>
  <c r="J18" i="45"/>
  <c r="H18" i="45"/>
  <c r="F18" i="45"/>
  <c r="D18" i="45"/>
  <c r="J17" i="45"/>
  <c r="H17" i="45"/>
  <c r="F17" i="45"/>
  <c r="D17" i="45"/>
  <c r="J16" i="45"/>
  <c r="H16" i="45"/>
  <c r="H32" i="45"/>
  <c r="F16" i="45"/>
  <c r="F32" i="45"/>
  <c r="D16" i="45"/>
  <c r="D32" i="45"/>
  <c r="C17" i="45"/>
  <c r="G17" i="45"/>
  <c r="C29" i="45"/>
  <c r="J31" i="46"/>
  <c r="H31" i="46"/>
  <c r="F31" i="46"/>
  <c r="D31" i="46"/>
  <c r="J30" i="46"/>
  <c r="K30" i="46"/>
  <c r="H30" i="46"/>
  <c r="F30" i="46"/>
  <c r="G30" i="46"/>
  <c r="D30" i="46"/>
  <c r="J29" i="46"/>
  <c r="H29" i="46"/>
  <c r="F29" i="46"/>
  <c r="D29" i="46"/>
  <c r="J28" i="46"/>
  <c r="H28" i="46"/>
  <c r="F28" i="46"/>
  <c r="D28" i="46"/>
  <c r="J27" i="46"/>
  <c r="H27" i="46"/>
  <c r="I27" i="46"/>
  <c r="F27" i="46"/>
  <c r="G27" i="46"/>
  <c r="D27" i="46"/>
  <c r="J26" i="46"/>
  <c r="K26" i="46"/>
  <c r="H26" i="46"/>
  <c r="F26" i="46"/>
  <c r="D26" i="46"/>
  <c r="J25" i="46"/>
  <c r="H25" i="46"/>
  <c r="F25" i="46"/>
  <c r="D25" i="46"/>
  <c r="J24" i="46"/>
  <c r="H24" i="46"/>
  <c r="F24" i="46"/>
  <c r="D24" i="46"/>
  <c r="J23" i="46"/>
  <c r="H23" i="46"/>
  <c r="F23" i="46"/>
  <c r="D23" i="46"/>
  <c r="J22" i="46"/>
  <c r="K22" i="46"/>
  <c r="H22" i="46"/>
  <c r="F22" i="46"/>
  <c r="D22" i="46"/>
  <c r="J21" i="46"/>
  <c r="K21" i="46"/>
  <c r="H21" i="46"/>
  <c r="F21" i="46"/>
  <c r="D21" i="46"/>
  <c r="J20" i="46"/>
  <c r="H20" i="46"/>
  <c r="F20" i="46"/>
  <c r="G20" i="46"/>
  <c r="D20" i="46"/>
  <c r="J19" i="46"/>
  <c r="H19" i="46"/>
  <c r="F19" i="46"/>
  <c r="D19" i="46"/>
  <c r="J18" i="46"/>
  <c r="H18" i="46"/>
  <c r="F18" i="46"/>
  <c r="D18" i="46"/>
  <c r="J17" i="46"/>
  <c r="H17" i="46"/>
  <c r="F17" i="46"/>
  <c r="D17" i="46"/>
  <c r="J16" i="46"/>
  <c r="H16" i="46"/>
  <c r="F16" i="46"/>
  <c r="G16" i="46"/>
  <c r="D16" i="46"/>
  <c r="C21" i="46"/>
  <c r="I21" i="46"/>
  <c r="C29" i="46"/>
  <c r="C30" i="46"/>
  <c r="E30" i="46"/>
  <c r="G128" i="29"/>
  <c r="H16" i="47"/>
  <c r="G204" i="29"/>
  <c r="H17" i="47"/>
  <c r="G280" i="29"/>
  <c r="H18" i="47"/>
  <c r="G356" i="29"/>
  <c r="H19" i="47"/>
  <c r="G432" i="29"/>
  <c r="H20" i="47"/>
  <c r="G508" i="29"/>
  <c r="H21" i="47"/>
  <c r="G584" i="29"/>
  <c r="H22" i="47"/>
  <c r="G660" i="29"/>
  <c r="H23" i="47"/>
  <c r="G736" i="29"/>
  <c r="H24" i="47"/>
  <c r="G812" i="29"/>
  <c r="H25" i="47"/>
  <c r="G888" i="29"/>
  <c r="H26" i="47"/>
  <c r="G964" i="29"/>
  <c r="H27" i="47"/>
  <c r="G1040" i="29"/>
  <c r="H28" i="47"/>
  <c r="G1116" i="29"/>
  <c r="H29" i="47"/>
  <c r="G1192" i="29"/>
  <c r="H30" i="47"/>
  <c r="G1268" i="29"/>
  <c r="H31" i="47"/>
  <c r="G127" i="29"/>
  <c r="F16" i="47"/>
  <c r="G203" i="29"/>
  <c r="F17" i="47"/>
  <c r="G279" i="29"/>
  <c r="F18" i="47"/>
  <c r="G355" i="29"/>
  <c r="F19" i="47"/>
  <c r="G431" i="29"/>
  <c r="F20" i="47"/>
  <c r="G507" i="29"/>
  <c r="F21" i="47"/>
  <c r="G583" i="29"/>
  <c r="F22" i="47"/>
  <c r="G659" i="29"/>
  <c r="F23" i="47"/>
  <c r="G735" i="29"/>
  <c r="F24" i="47"/>
  <c r="G811" i="29"/>
  <c r="F25" i="47"/>
  <c r="G887" i="29"/>
  <c r="F26" i="47"/>
  <c r="G963" i="29"/>
  <c r="F27" i="47"/>
  <c r="G1039" i="29"/>
  <c r="F28" i="47"/>
  <c r="G1115" i="29"/>
  <c r="F29" i="47"/>
  <c r="G1191" i="29"/>
  <c r="F30" i="47"/>
  <c r="G1267" i="29"/>
  <c r="F31" i="47"/>
  <c r="G130" i="29"/>
  <c r="J16" i="47"/>
  <c r="K16" i="47"/>
  <c r="G206" i="29"/>
  <c r="J17" i="47"/>
  <c r="G282" i="29"/>
  <c r="J18" i="47"/>
  <c r="G358" i="29"/>
  <c r="J19" i="47"/>
  <c r="G434" i="29"/>
  <c r="J20" i="47"/>
  <c r="G510" i="29"/>
  <c r="J21" i="47"/>
  <c r="G586" i="29"/>
  <c r="J22" i="47"/>
  <c r="G662" i="29"/>
  <c r="J23" i="47"/>
  <c r="G738" i="29"/>
  <c r="J24" i="47"/>
  <c r="G814" i="29"/>
  <c r="J25" i="47"/>
  <c r="G890" i="29"/>
  <c r="J26" i="47"/>
  <c r="K26" i="47"/>
  <c r="G966" i="29"/>
  <c r="J27" i="47"/>
  <c r="G1042" i="29"/>
  <c r="J28" i="47"/>
  <c r="K28" i="47"/>
  <c r="G1118" i="29"/>
  <c r="J29" i="47"/>
  <c r="K29" i="47"/>
  <c r="G1194" i="29"/>
  <c r="J30" i="47"/>
  <c r="G1270" i="29"/>
  <c r="J31" i="47"/>
  <c r="J31" i="48"/>
  <c r="K31" i="48"/>
  <c r="H31" i="48"/>
  <c r="F31" i="48"/>
  <c r="J30" i="48"/>
  <c r="H30" i="48"/>
  <c r="F30" i="48"/>
  <c r="J29" i="48"/>
  <c r="K29" i="48"/>
  <c r="H29" i="48"/>
  <c r="F29" i="48"/>
  <c r="J28" i="48"/>
  <c r="H28" i="48"/>
  <c r="F28" i="48"/>
  <c r="J27" i="48"/>
  <c r="H27" i="48"/>
  <c r="F27" i="48"/>
  <c r="J26" i="48"/>
  <c r="H26" i="48"/>
  <c r="F26" i="48"/>
  <c r="J25" i="48"/>
  <c r="K25" i="48"/>
  <c r="H25" i="48"/>
  <c r="F25" i="48"/>
  <c r="J24" i="48"/>
  <c r="H24" i="48"/>
  <c r="F24" i="48"/>
  <c r="J23" i="48"/>
  <c r="K23" i="48"/>
  <c r="H23" i="48"/>
  <c r="F23" i="48"/>
  <c r="J22" i="48"/>
  <c r="H22" i="48"/>
  <c r="F22" i="48"/>
  <c r="J21" i="48"/>
  <c r="H21" i="48"/>
  <c r="F21" i="48"/>
  <c r="J20" i="48"/>
  <c r="H20" i="48"/>
  <c r="F20" i="48"/>
  <c r="J19" i="48"/>
  <c r="K19" i="48"/>
  <c r="H19" i="48"/>
  <c r="F19" i="48"/>
  <c r="J18" i="48"/>
  <c r="H18" i="48"/>
  <c r="F18" i="48"/>
  <c r="J17" i="48"/>
  <c r="H17" i="48"/>
  <c r="F17" i="48"/>
  <c r="J16" i="48"/>
  <c r="H16" i="48"/>
  <c r="F16" i="48"/>
  <c r="D17" i="48"/>
  <c r="D24" i="48"/>
  <c r="J31" i="49"/>
  <c r="H31" i="49"/>
  <c r="F31" i="49"/>
  <c r="G31" i="49"/>
  <c r="J30" i="49"/>
  <c r="H30" i="49"/>
  <c r="I30" i="49"/>
  <c r="F30" i="49"/>
  <c r="J29" i="49"/>
  <c r="K29" i="49"/>
  <c r="H29" i="49"/>
  <c r="I29" i="49"/>
  <c r="F29" i="49"/>
  <c r="J28" i="49"/>
  <c r="K28" i="49"/>
  <c r="H28" i="49"/>
  <c r="F28" i="49"/>
  <c r="G28" i="49"/>
  <c r="J27" i="49"/>
  <c r="H27" i="49"/>
  <c r="F27" i="49"/>
  <c r="J26" i="49"/>
  <c r="K26" i="49"/>
  <c r="H26" i="49"/>
  <c r="I26" i="49"/>
  <c r="F26" i="49"/>
  <c r="J25" i="49"/>
  <c r="K25" i="49"/>
  <c r="H25" i="49"/>
  <c r="I25" i="49"/>
  <c r="F25" i="49"/>
  <c r="J24" i="49"/>
  <c r="K24" i="49"/>
  <c r="H24" i="49"/>
  <c r="F24" i="49"/>
  <c r="J23" i="49"/>
  <c r="H23" i="49"/>
  <c r="F23" i="49"/>
  <c r="J22" i="49"/>
  <c r="K22" i="49"/>
  <c r="H22" i="49"/>
  <c r="I22" i="49"/>
  <c r="F22" i="49"/>
  <c r="J21" i="49"/>
  <c r="H21" i="49"/>
  <c r="F21" i="49"/>
  <c r="J20" i="49"/>
  <c r="K20" i="49"/>
  <c r="H20" i="49"/>
  <c r="F20" i="49"/>
  <c r="J19" i="49"/>
  <c r="K19" i="49"/>
  <c r="H19" i="49"/>
  <c r="I19" i="49"/>
  <c r="F19" i="49"/>
  <c r="J18" i="49"/>
  <c r="K18" i="49"/>
  <c r="H18" i="49"/>
  <c r="F18" i="49"/>
  <c r="G18" i="49"/>
  <c r="J17" i="49"/>
  <c r="H17" i="49"/>
  <c r="I17" i="49"/>
  <c r="F17" i="49"/>
  <c r="J16" i="49"/>
  <c r="K16" i="49"/>
  <c r="H16" i="49"/>
  <c r="I16" i="49"/>
  <c r="F16" i="49"/>
  <c r="D21" i="49"/>
  <c r="D27" i="49"/>
  <c r="D29" i="49"/>
  <c r="D30" i="49"/>
  <c r="G138" i="29"/>
  <c r="G17" i="50"/>
  <c r="G137" i="29"/>
  <c r="F17" i="50"/>
  <c r="G136" i="29"/>
  <c r="E17" i="50"/>
  <c r="G141" i="29"/>
  <c r="I17" i="50"/>
  <c r="G144" i="29"/>
  <c r="L17" i="50"/>
  <c r="G143" i="29"/>
  <c r="K17" i="50"/>
  <c r="G142" i="29"/>
  <c r="J17" i="50"/>
  <c r="G210" i="29"/>
  <c r="D18" i="50"/>
  <c r="G212" i="29"/>
  <c r="G213" i="29"/>
  <c r="F18" i="50"/>
  <c r="G214" i="29"/>
  <c r="G18" i="50"/>
  <c r="G218" i="29"/>
  <c r="J18" i="50"/>
  <c r="G219" i="29"/>
  <c r="K18" i="50"/>
  <c r="G220" i="29"/>
  <c r="L18" i="50"/>
  <c r="G217" i="29"/>
  <c r="I18" i="50"/>
  <c r="G286" i="29"/>
  <c r="D19" i="50"/>
  <c r="G290" i="29"/>
  <c r="G289" i="29"/>
  <c r="F19" i="50"/>
  <c r="G288" i="29"/>
  <c r="G293" i="29"/>
  <c r="I19" i="50"/>
  <c r="G296" i="29"/>
  <c r="L19" i="50"/>
  <c r="G295" i="29"/>
  <c r="K19" i="50"/>
  <c r="G294" i="29"/>
  <c r="G362" i="29"/>
  <c r="D20" i="50"/>
  <c r="G364" i="29"/>
  <c r="E20" i="50"/>
  <c r="G365" i="29"/>
  <c r="F20" i="50"/>
  <c r="G366" i="29"/>
  <c r="G370" i="29"/>
  <c r="J20" i="50"/>
  <c r="G371" i="29"/>
  <c r="K20" i="50"/>
  <c r="G438" i="29"/>
  <c r="D21" i="50"/>
  <c r="G442" i="29"/>
  <c r="G21" i="50"/>
  <c r="G441" i="29"/>
  <c r="F21" i="50"/>
  <c r="G440" i="29"/>
  <c r="E21" i="50"/>
  <c r="G448" i="29"/>
  <c r="L21" i="50"/>
  <c r="G447" i="29"/>
  <c r="K21" i="50"/>
  <c r="G446" i="29"/>
  <c r="J21" i="50"/>
  <c r="G445" i="29"/>
  <c r="I21" i="50"/>
  <c r="G514" i="29"/>
  <c r="D22" i="50"/>
  <c r="G516" i="29"/>
  <c r="E22" i="50"/>
  <c r="G517" i="29"/>
  <c r="F22" i="50"/>
  <c r="G518" i="29"/>
  <c r="G22" i="50"/>
  <c r="G522" i="29"/>
  <c r="J22" i="50"/>
  <c r="F23" i="50"/>
  <c r="F24" i="50"/>
  <c r="G24" i="50"/>
  <c r="I24" i="50"/>
  <c r="K25" i="50"/>
  <c r="J25" i="50"/>
  <c r="F27" i="50"/>
  <c r="K27" i="50"/>
  <c r="K29" i="50"/>
  <c r="G31" i="50"/>
  <c r="L32" i="52"/>
  <c r="K32" i="52"/>
  <c r="J32" i="52"/>
  <c r="I32" i="52"/>
  <c r="G32" i="52"/>
  <c r="F32" i="52"/>
  <c r="E32" i="52"/>
  <c r="L31" i="52"/>
  <c r="K31" i="52"/>
  <c r="J31" i="52"/>
  <c r="I31" i="52"/>
  <c r="G31" i="52"/>
  <c r="F31" i="52"/>
  <c r="E31" i="52"/>
  <c r="L30" i="52"/>
  <c r="K30" i="52"/>
  <c r="J30" i="52"/>
  <c r="I30" i="52"/>
  <c r="G30" i="52"/>
  <c r="F30" i="52"/>
  <c r="E30" i="52"/>
  <c r="L29" i="52"/>
  <c r="K29" i="52"/>
  <c r="J29" i="52"/>
  <c r="I29" i="52"/>
  <c r="G29" i="52"/>
  <c r="F29" i="52"/>
  <c r="E29" i="52"/>
  <c r="L28" i="52"/>
  <c r="K28" i="52"/>
  <c r="J28" i="52"/>
  <c r="I28" i="52"/>
  <c r="G28" i="52"/>
  <c r="F28" i="52"/>
  <c r="E28" i="52"/>
  <c r="L27" i="52"/>
  <c r="K27" i="52"/>
  <c r="J27" i="52"/>
  <c r="I27" i="52"/>
  <c r="G27" i="52"/>
  <c r="F27" i="52"/>
  <c r="E27" i="52"/>
  <c r="L26" i="52"/>
  <c r="K26" i="52"/>
  <c r="J26" i="52"/>
  <c r="I26" i="52"/>
  <c r="G26" i="52"/>
  <c r="F26" i="52"/>
  <c r="E26" i="52"/>
  <c r="L25" i="52"/>
  <c r="K25" i="52"/>
  <c r="J25" i="52"/>
  <c r="I25" i="52"/>
  <c r="G25" i="52"/>
  <c r="F25" i="52"/>
  <c r="E25" i="52"/>
  <c r="L24" i="52"/>
  <c r="K24" i="52"/>
  <c r="J24" i="52"/>
  <c r="I24" i="52"/>
  <c r="G24" i="52"/>
  <c r="F24" i="52"/>
  <c r="E24" i="52"/>
  <c r="L23" i="52"/>
  <c r="K23" i="52"/>
  <c r="J23" i="52"/>
  <c r="I23" i="52"/>
  <c r="G23" i="52"/>
  <c r="F23" i="52"/>
  <c r="E23" i="52"/>
  <c r="L22" i="52"/>
  <c r="K22" i="52"/>
  <c r="J22" i="52"/>
  <c r="I22" i="52"/>
  <c r="G22" i="52"/>
  <c r="F22" i="52"/>
  <c r="E22" i="52"/>
  <c r="D22" i="52"/>
  <c r="L21" i="52"/>
  <c r="K21" i="52"/>
  <c r="J21" i="52"/>
  <c r="I21" i="52"/>
  <c r="G21" i="52"/>
  <c r="F21" i="52"/>
  <c r="E21" i="52"/>
  <c r="J20" i="52"/>
  <c r="F20" i="52"/>
  <c r="L19" i="52"/>
  <c r="K19" i="52"/>
  <c r="J19" i="52"/>
  <c r="I19" i="52"/>
  <c r="G19" i="52"/>
  <c r="F19" i="52"/>
  <c r="E19" i="52"/>
  <c r="L18" i="52"/>
  <c r="K18" i="52"/>
  <c r="J18" i="52"/>
  <c r="I18" i="52"/>
  <c r="G18" i="52"/>
  <c r="F18" i="52"/>
  <c r="E18" i="52"/>
  <c r="L17" i="52"/>
  <c r="K17" i="52"/>
  <c r="J17" i="52"/>
  <c r="I17" i="52"/>
  <c r="G17" i="52"/>
  <c r="F17" i="52"/>
  <c r="E17" i="52"/>
  <c r="E33" i="52"/>
  <c r="E20" i="52"/>
  <c r="G20" i="52"/>
  <c r="I20" i="52"/>
  <c r="K20" i="52"/>
  <c r="L20" i="52"/>
  <c r="D17" i="52"/>
  <c r="D18" i="52"/>
  <c r="D19" i="52"/>
  <c r="D20" i="52"/>
  <c r="D21" i="52"/>
  <c r="D27" i="52"/>
  <c r="D31" i="52"/>
  <c r="L32" i="53"/>
  <c r="K32" i="53"/>
  <c r="J32" i="53"/>
  <c r="I32" i="53"/>
  <c r="G32" i="53"/>
  <c r="F32" i="53"/>
  <c r="E32" i="53"/>
  <c r="L31" i="53"/>
  <c r="K31" i="53"/>
  <c r="J31" i="53"/>
  <c r="I31" i="53"/>
  <c r="G31" i="53"/>
  <c r="F31" i="53"/>
  <c r="E31" i="53"/>
  <c r="L30" i="53"/>
  <c r="K30" i="53"/>
  <c r="J30" i="53"/>
  <c r="I30" i="53"/>
  <c r="G30" i="53"/>
  <c r="F30" i="53"/>
  <c r="E30" i="53"/>
  <c r="L29" i="53"/>
  <c r="K29" i="53"/>
  <c r="J29" i="53"/>
  <c r="I29" i="53"/>
  <c r="G29" i="53"/>
  <c r="F29" i="53"/>
  <c r="E29" i="53"/>
  <c r="L28" i="53"/>
  <c r="K28" i="53"/>
  <c r="J28" i="53"/>
  <c r="I28" i="53"/>
  <c r="G28" i="53"/>
  <c r="F28" i="53"/>
  <c r="E28" i="53"/>
  <c r="L27" i="53"/>
  <c r="K27" i="53"/>
  <c r="J27" i="53"/>
  <c r="I27" i="53"/>
  <c r="G27" i="53"/>
  <c r="F27" i="53"/>
  <c r="E27" i="53"/>
  <c r="L26" i="53"/>
  <c r="K26" i="53"/>
  <c r="J26" i="53"/>
  <c r="I26" i="53"/>
  <c r="G26" i="53"/>
  <c r="F26" i="53"/>
  <c r="E26" i="53"/>
  <c r="L25" i="53"/>
  <c r="K25" i="53"/>
  <c r="J25" i="53"/>
  <c r="I25" i="53"/>
  <c r="G25" i="53"/>
  <c r="F25" i="53"/>
  <c r="E25" i="53"/>
  <c r="L24" i="53"/>
  <c r="K24" i="53"/>
  <c r="J24" i="53"/>
  <c r="I24" i="53"/>
  <c r="G24" i="53"/>
  <c r="F24" i="53"/>
  <c r="E24" i="53"/>
  <c r="L23" i="53"/>
  <c r="K23" i="53"/>
  <c r="J23" i="53"/>
  <c r="I23" i="53"/>
  <c r="G23" i="53"/>
  <c r="F23" i="53"/>
  <c r="E23" i="53"/>
  <c r="L22" i="53"/>
  <c r="K22" i="53"/>
  <c r="J22" i="53"/>
  <c r="I22" i="53"/>
  <c r="G22" i="53"/>
  <c r="F22" i="53"/>
  <c r="E22" i="53"/>
  <c r="D22" i="53"/>
  <c r="L21" i="53"/>
  <c r="K21" i="53"/>
  <c r="J21" i="53"/>
  <c r="I21" i="53"/>
  <c r="G21" i="53"/>
  <c r="F21" i="53"/>
  <c r="E21" i="53"/>
  <c r="L20" i="53"/>
  <c r="K20" i="53"/>
  <c r="I20" i="53"/>
  <c r="G20" i="53"/>
  <c r="F20" i="53"/>
  <c r="E20" i="53"/>
  <c r="L19" i="53"/>
  <c r="K19" i="53"/>
  <c r="J19" i="53"/>
  <c r="I19" i="53"/>
  <c r="G19" i="53"/>
  <c r="F19" i="53"/>
  <c r="E19" i="53"/>
  <c r="L18" i="53"/>
  <c r="K18" i="53"/>
  <c r="J18" i="53"/>
  <c r="I18" i="53"/>
  <c r="G18" i="53"/>
  <c r="F18" i="53"/>
  <c r="E18" i="53"/>
  <c r="L17" i="53"/>
  <c r="K17" i="53"/>
  <c r="K33" i="53"/>
  <c r="J17" i="53"/>
  <c r="I17" i="53"/>
  <c r="G17" i="53"/>
  <c r="F17" i="53"/>
  <c r="E17" i="53"/>
  <c r="J20" i="53"/>
  <c r="D17" i="53"/>
  <c r="D18" i="53"/>
  <c r="D19" i="53"/>
  <c r="D20" i="53"/>
  <c r="D21" i="53"/>
  <c r="H28" i="53"/>
  <c r="D29" i="53"/>
  <c r="H145" i="29"/>
  <c r="I145" i="29"/>
  <c r="G149" i="29"/>
  <c r="H16" i="54"/>
  <c r="H221" i="29"/>
  <c r="I221" i="29"/>
  <c r="C17" i="56"/>
  <c r="G225" i="29"/>
  <c r="H17" i="54"/>
  <c r="G301" i="29"/>
  <c r="H18" i="54"/>
  <c r="H297" i="29"/>
  <c r="H298" i="29"/>
  <c r="I297" i="29"/>
  <c r="H373" i="29"/>
  <c r="I373" i="29"/>
  <c r="I374" i="29"/>
  <c r="G377" i="29"/>
  <c r="H449" i="29"/>
  <c r="I449" i="29"/>
  <c r="G453" i="29"/>
  <c r="H20" i="54"/>
  <c r="G529" i="29"/>
  <c r="H21" i="54"/>
  <c r="I525" i="29"/>
  <c r="H525" i="29"/>
  <c r="C21" i="55"/>
  <c r="H601" i="29"/>
  <c r="C22" i="55"/>
  <c r="I601" i="29"/>
  <c r="I606" i="29"/>
  <c r="G605" i="29"/>
  <c r="H22" i="54"/>
  <c r="H677" i="29"/>
  <c r="I677" i="29"/>
  <c r="G681" i="29"/>
  <c r="H23" i="54"/>
  <c r="H753" i="29"/>
  <c r="H758" i="29"/>
  <c r="I753" i="29"/>
  <c r="I754" i="29"/>
  <c r="G757" i="29"/>
  <c r="H829" i="29"/>
  <c r="H834" i="29"/>
  <c r="I829" i="29"/>
  <c r="I834" i="29"/>
  <c r="G833" i="29"/>
  <c r="H25" i="54"/>
  <c r="I905" i="29"/>
  <c r="H905" i="29"/>
  <c r="G909" i="29"/>
  <c r="H26" i="54"/>
  <c r="H981" i="29"/>
  <c r="C27" i="55"/>
  <c r="I981" i="29"/>
  <c r="I986" i="29"/>
  <c r="G985" i="29"/>
  <c r="H27" i="54"/>
  <c r="H1057" i="29"/>
  <c r="H1058" i="29"/>
  <c r="I1057" i="29"/>
  <c r="C28" i="56"/>
  <c r="G1061" i="29"/>
  <c r="H28" i="54"/>
  <c r="H1133" i="29"/>
  <c r="H1134" i="29"/>
  <c r="I1133" i="29"/>
  <c r="I1134" i="29"/>
  <c r="G1137" i="29"/>
  <c r="H1209" i="29"/>
  <c r="H1214" i="29"/>
  <c r="I1209" i="29"/>
  <c r="C30" i="56"/>
  <c r="G1213" i="29"/>
  <c r="H30" i="54"/>
  <c r="H1285" i="29"/>
  <c r="C31" i="55"/>
  <c r="I1285" i="29"/>
  <c r="I1286" i="29"/>
  <c r="G1289" i="29"/>
  <c r="H31" i="54"/>
  <c r="G147" i="29"/>
  <c r="D16" i="54"/>
  <c r="G223" i="29"/>
  <c r="D17" i="54"/>
  <c r="G299" i="29"/>
  <c r="G375" i="29"/>
  <c r="D19" i="54"/>
  <c r="G451" i="29"/>
  <c r="D20" i="54"/>
  <c r="G527" i="29"/>
  <c r="D21" i="54"/>
  <c r="G603" i="29"/>
  <c r="D22" i="54"/>
  <c r="G679" i="29"/>
  <c r="D23" i="54"/>
  <c r="G755" i="29"/>
  <c r="D24" i="54"/>
  <c r="G831" i="29"/>
  <c r="D25" i="54"/>
  <c r="G907" i="29"/>
  <c r="D26" i="54"/>
  <c r="G983" i="29"/>
  <c r="D27" i="54"/>
  <c r="G1059" i="29"/>
  <c r="D28" i="54"/>
  <c r="G1135" i="29"/>
  <c r="D29" i="54"/>
  <c r="G1211" i="29"/>
  <c r="D30" i="54"/>
  <c r="G1287" i="29"/>
  <c r="D31" i="54"/>
  <c r="G148" i="29"/>
  <c r="F16" i="54"/>
  <c r="G224" i="29"/>
  <c r="F17" i="54"/>
  <c r="G300" i="29"/>
  <c r="F18" i="54"/>
  <c r="G376" i="29"/>
  <c r="F19" i="54"/>
  <c r="G452" i="29"/>
  <c r="F20" i="54"/>
  <c r="G528" i="29"/>
  <c r="F21" i="54"/>
  <c r="G604" i="29"/>
  <c r="F22" i="54"/>
  <c r="G680" i="29"/>
  <c r="F23" i="54"/>
  <c r="G756" i="29"/>
  <c r="F24" i="54"/>
  <c r="G832" i="29"/>
  <c r="F25" i="54"/>
  <c r="G908" i="29"/>
  <c r="F26" i="54"/>
  <c r="G984" i="29"/>
  <c r="F27" i="54"/>
  <c r="G1060" i="29"/>
  <c r="F28" i="54"/>
  <c r="G1136" i="29"/>
  <c r="F29" i="54"/>
  <c r="G1212" i="29"/>
  <c r="F30" i="54"/>
  <c r="G1288" i="29"/>
  <c r="F31" i="54"/>
  <c r="L29" i="36"/>
  <c r="K29" i="36"/>
  <c r="J29" i="36"/>
  <c r="I29" i="36"/>
  <c r="F29" i="36"/>
  <c r="E29" i="36"/>
  <c r="D29" i="36"/>
  <c r="C29" i="36"/>
  <c r="L28" i="36"/>
  <c r="K28" i="36"/>
  <c r="J28" i="36"/>
  <c r="I28" i="36"/>
  <c r="F28" i="36"/>
  <c r="E28" i="36"/>
  <c r="D28" i="36"/>
  <c r="G28" i="36"/>
  <c r="C28" i="36"/>
  <c r="L27" i="36"/>
  <c r="K27" i="36"/>
  <c r="J27" i="36"/>
  <c r="I27" i="36"/>
  <c r="F27" i="36"/>
  <c r="D27" i="36"/>
  <c r="G27" i="36"/>
  <c r="E27" i="36"/>
  <c r="C27" i="36"/>
  <c r="L26" i="36"/>
  <c r="K26" i="36"/>
  <c r="J26" i="36"/>
  <c r="I26" i="36"/>
  <c r="F26" i="36"/>
  <c r="E26" i="36"/>
  <c r="C26" i="36"/>
  <c r="L25" i="36"/>
  <c r="K25" i="36"/>
  <c r="J25" i="36"/>
  <c r="I25" i="36"/>
  <c r="F25" i="36"/>
  <c r="D25" i="36"/>
  <c r="G25" i="36"/>
  <c r="E25" i="36"/>
  <c r="C25" i="36"/>
  <c r="L24" i="36"/>
  <c r="K24" i="36"/>
  <c r="J24" i="36"/>
  <c r="I24" i="36"/>
  <c r="H24" i="36"/>
  <c r="F24" i="36"/>
  <c r="E24" i="36"/>
  <c r="C24" i="36"/>
  <c r="L23" i="36"/>
  <c r="K23" i="36"/>
  <c r="J23" i="36"/>
  <c r="I23" i="36"/>
  <c r="F23" i="36"/>
  <c r="D23" i="36"/>
  <c r="G23" i="36"/>
  <c r="E23" i="36"/>
  <c r="C23" i="36"/>
  <c r="L22" i="36"/>
  <c r="K22" i="36"/>
  <c r="J22" i="36"/>
  <c r="I22" i="36"/>
  <c r="F22" i="36"/>
  <c r="E22" i="36"/>
  <c r="C22" i="36"/>
  <c r="L21" i="36"/>
  <c r="K21" i="36"/>
  <c r="J21" i="36"/>
  <c r="I21" i="36"/>
  <c r="F21" i="36"/>
  <c r="E21" i="36"/>
  <c r="D21" i="36"/>
  <c r="G21" i="36"/>
  <c r="C21" i="36"/>
  <c r="L20" i="36"/>
  <c r="K20" i="36"/>
  <c r="J20" i="36"/>
  <c r="I20" i="36"/>
  <c r="F20" i="36"/>
  <c r="E20" i="36"/>
  <c r="C20" i="36"/>
  <c r="L19" i="36"/>
  <c r="K19" i="36"/>
  <c r="J19" i="36"/>
  <c r="I19" i="36"/>
  <c r="F19" i="36"/>
  <c r="E19" i="36"/>
  <c r="C19" i="36"/>
  <c r="L18" i="36"/>
  <c r="K18" i="36"/>
  <c r="J18" i="36"/>
  <c r="I18" i="36"/>
  <c r="H18" i="36"/>
  <c r="F18" i="36"/>
  <c r="E18" i="36"/>
  <c r="D18" i="36"/>
  <c r="C18" i="36"/>
  <c r="G18" i="36"/>
  <c r="L17" i="36"/>
  <c r="K17" i="36"/>
  <c r="J17" i="36"/>
  <c r="I17" i="36"/>
  <c r="F17" i="36"/>
  <c r="E17" i="36"/>
  <c r="C17" i="36"/>
  <c r="L16" i="36"/>
  <c r="K16" i="36"/>
  <c r="J16" i="36"/>
  <c r="H16" i="36"/>
  <c r="I16" i="36"/>
  <c r="F16" i="36"/>
  <c r="E16" i="36"/>
  <c r="C16" i="36"/>
  <c r="L15" i="36"/>
  <c r="K15" i="36"/>
  <c r="J15" i="36"/>
  <c r="I15" i="36"/>
  <c r="F15" i="36"/>
  <c r="D15" i="36"/>
  <c r="E15" i="36"/>
  <c r="C15" i="36"/>
  <c r="L14" i="36"/>
  <c r="K14" i="36"/>
  <c r="J14" i="36"/>
  <c r="I14" i="36"/>
  <c r="H14" i="36"/>
  <c r="F14" i="36"/>
  <c r="E14" i="36"/>
  <c r="C14" i="36"/>
  <c r="H31" i="55"/>
  <c r="F31" i="55"/>
  <c r="D31" i="55"/>
  <c r="H30" i="55"/>
  <c r="F30" i="55"/>
  <c r="D30" i="55"/>
  <c r="H29" i="55"/>
  <c r="F29" i="55"/>
  <c r="D29" i="55"/>
  <c r="H28" i="55"/>
  <c r="F28" i="55"/>
  <c r="D28" i="55"/>
  <c r="H27" i="55"/>
  <c r="F27" i="55"/>
  <c r="D27" i="55"/>
  <c r="E27" i="55"/>
  <c r="H26" i="55"/>
  <c r="F26" i="55"/>
  <c r="D26" i="55"/>
  <c r="H25" i="55"/>
  <c r="F25" i="55"/>
  <c r="D25" i="55"/>
  <c r="H24" i="55"/>
  <c r="F24" i="55"/>
  <c r="G24" i="55"/>
  <c r="D24" i="55"/>
  <c r="H23" i="55"/>
  <c r="F23" i="55"/>
  <c r="D23" i="55"/>
  <c r="H22" i="55"/>
  <c r="F22" i="55"/>
  <c r="G22" i="55"/>
  <c r="D22" i="55"/>
  <c r="H21" i="55"/>
  <c r="F21" i="55"/>
  <c r="D21" i="55"/>
  <c r="H20" i="55"/>
  <c r="F20" i="55"/>
  <c r="D20" i="55"/>
  <c r="H19" i="55"/>
  <c r="F19" i="55"/>
  <c r="D19" i="55"/>
  <c r="H18" i="55"/>
  <c r="F18" i="55"/>
  <c r="D18" i="55"/>
  <c r="H17" i="55"/>
  <c r="I17" i="55"/>
  <c r="F17" i="55"/>
  <c r="D17" i="55"/>
  <c r="H16" i="55"/>
  <c r="F16" i="55"/>
  <c r="D16" i="55"/>
  <c r="H31" i="56"/>
  <c r="F31" i="56"/>
  <c r="D31" i="56"/>
  <c r="H30" i="56"/>
  <c r="F30" i="56"/>
  <c r="G30" i="56"/>
  <c r="D30" i="56"/>
  <c r="H29" i="56"/>
  <c r="F29" i="56"/>
  <c r="D29" i="56"/>
  <c r="H28" i="56"/>
  <c r="F28" i="56"/>
  <c r="D28" i="56"/>
  <c r="H27" i="56"/>
  <c r="F27" i="56"/>
  <c r="D27" i="56"/>
  <c r="H26" i="56"/>
  <c r="F26" i="56"/>
  <c r="D26" i="56"/>
  <c r="H25" i="56"/>
  <c r="F25" i="56"/>
  <c r="D25" i="56"/>
  <c r="H24" i="56"/>
  <c r="F24" i="56"/>
  <c r="D24" i="56"/>
  <c r="H23" i="56"/>
  <c r="F23" i="56"/>
  <c r="D23" i="56"/>
  <c r="H22" i="56"/>
  <c r="F22" i="56"/>
  <c r="G22" i="56"/>
  <c r="D22" i="56"/>
  <c r="H21" i="56"/>
  <c r="F21" i="56"/>
  <c r="D21" i="56"/>
  <c r="H20" i="56"/>
  <c r="F20" i="56"/>
  <c r="D20" i="56"/>
  <c r="H19" i="56"/>
  <c r="F19" i="56"/>
  <c r="G19" i="56"/>
  <c r="D19" i="56"/>
  <c r="H18" i="56"/>
  <c r="F18" i="56"/>
  <c r="D18" i="56"/>
  <c r="H17" i="56"/>
  <c r="F17" i="56"/>
  <c r="D17" i="56"/>
  <c r="H16" i="56"/>
  <c r="F16" i="56"/>
  <c r="D16" i="56"/>
  <c r="C22" i="56"/>
  <c r="L29" i="37"/>
  <c r="K29" i="37"/>
  <c r="J29" i="37"/>
  <c r="I29" i="37"/>
  <c r="F29" i="37"/>
  <c r="E29" i="37"/>
  <c r="C29" i="37"/>
  <c r="L28" i="37"/>
  <c r="K28" i="37"/>
  <c r="J28" i="37"/>
  <c r="I28" i="37"/>
  <c r="F28" i="37"/>
  <c r="D28" i="37"/>
  <c r="G28" i="37"/>
  <c r="E28" i="37"/>
  <c r="C28" i="37"/>
  <c r="L27" i="37"/>
  <c r="K27" i="37"/>
  <c r="H27" i="37"/>
  <c r="J27" i="37"/>
  <c r="I27" i="37"/>
  <c r="F27" i="37"/>
  <c r="E27" i="37"/>
  <c r="C27" i="37"/>
  <c r="L26" i="37"/>
  <c r="K26" i="37"/>
  <c r="J26" i="37"/>
  <c r="F26" i="37"/>
  <c r="D26" i="37"/>
  <c r="E26" i="37"/>
  <c r="C26" i="37"/>
  <c r="L25" i="37"/>
  <c r="K25" i="37"/>
  <c r="J25" i="37"/>
  <c r="I25" i="37"/>
  <c r="F25" i="37"/>
  <c r="E25" i="37"/>
  <c r="C25" i="37"/>
  <c r="L24" i="37"/>
  <c r="K24" i="37"/>
  <c r="J24" i="37"/>
  <c r="I24" i="37"/>
  <c r="F24" i="37"/>
  <c r="E24" i="37"/>
  <c r="C24" i="37"/>
  <c r="L23" i="37"/>
  <c r="K23" i="37"/>
  <c r="J23" i="37"/>
  <c r="I23" i="37"/>
  <c r="F23" i="37"/>
  <c r="E23" i="37"/>
  <c r="C23" i="37"/>
  <c r="L22" i="37"/>
  <c r="K22" i="37"/>
  <c r="J22" i="37"/>
  <c r="I22" i="37"/>
  <c r="F22" i="37"/>
  <c r="E22" i="37"/>
  <c r="C22" i="37"/>
  <c r="L21" i="37"/>
  <c r="K21" i="37"/>
  <c r="J21" i="37"/>
  <c r="I21" i="37"/>
  <c r="F21" i="37"/>
  <c r="E21" i="37"/>
  <c r="C21" i="37"/>
  <c r="L20" i="37"/>
  <c r="K20" i="37"/>
  <c r="J20" i="37"/>
  <c r="I20" i="37"/>
  <c r="F20" i="37"/>
  <c r="E20" i="37"/>
  <c r="D20" i="37"/>
  <c r="C20" i="37"/>
  <c r="L19" i="37"/>
  <c r="K19" i="37"/>
  <c r="J19" i="37"/>
  <c r="I19" i="37"/>
  <c r="F19" i="37"/>
  <c r="E19" i="37"/>
  <c r="C19" i="37"/>
  <c r="L18" i="37"/>
  <c r="K18" i="37"/>
  <c r="J18" i="37"/>
  <c r="I18" i="37"/>
  <c r="H18" i="37"/>
  <c r="F18" i="37"/>
  <c r="E18" i="37"/>
  <c r="D18" i="37"/>
  <c r="C18" i="37"/>
  <c r="L17" i="37"/>
  <c r="K17" i="37"/>
  <c r="J17" i="37"/>
  <c r="I17" i="37"/>
  <c r="F17" i="37"/>
  <c r="E17" i="37"/>
  <c r="C17" i="37"/>
  <c r="L16" i="37"/>
  <c r="K16" i="37"/>
  <c r="J16" i="37"/>
  <c r="I16" i="37"/>
  <c r="F16" i="37"/>
  <c r="E16" i="37"/>
  <c r="C16" i="37"/>
  <c r="L15" i="37"/>
  <c r="K15" i="37"/>
  <c r="J15" i="37"/>
  <c r="I15" i="37"/>
  <c r="F15" i="37"/>
  <c r="E15" i="37"/>
  <c r="C15" i="37"/>
  <c r="L14" i="37"/>
  <c r="K14" i="37"/>
  <c r="J14" i="37"/>
  <c r="I14" i="37"/>
  <c r="F14" i="37"/>
  <c r="E14" i="37"/>
  <c r="C14" i="37"/>
  <c r="L16" i="38"/>
  <c r="L18" i="38"/>
  <c r="L20" i="38"/>
  <c r="F21" i="38"/>
  <c r="H22" i="38"/>
  <c r="F24" i="38"/>
  <c r="D25" i="38"/>
  <c r="F28" i="38"/>
  <c r="J30" i="38"/>
  <c r="D15" i="39"/>
  <c r="L30" i="39"/>
  <c r="J30" i="39"/>
  <c r="H30" i="39"/>
  <c r="F30" i="39"/>
  <c r="D30" i="39"/>
  <c r="L29" i="39"/>
  <c r="J29" i="39"/>
  <c r="H29" i="39"/>
  <c r="F29" i="39"/>
  <c r="D29" i="39"/>
  <c r="L28" i="39"/>
  <c r="J28" i="39"/>
  <c r="H28" i="39"/>
  <c r="F28" i="39"/>
  <c r="D28" i="39"/>
  <c r="L27" i="39"/>
  <c r="J27" i="39"/>
  <c r="H27" i="39"/>
  <c r="F27" i="39"/>
  <c r="D27" i="39"/>
  <c r="L26" i="39"/>
  <c r="J26" i="39"/>
  <c r="H26" i="39"/>
  <c r="F26" i="39"/>
  <c r="D26" i="39"/>
  <c r="L25" i="39"/>
  <c r="J25" i="39"/>
  <c r="H25" i="39"/>
  <c r="F25" i="39"/>
  <c r="D25" i="39"/>
  <c r="L24" i="39"/>
  <c r="J24" i="39"/>
  <c r="H24" i="39"/>
  <c r="F24" i="39"/>
  <c r="D24" i="39"/>
  <c r="L23" i="39"/>
  <c r="J23" i="39"/>
  <c r="H23" i="39"/>
  <c r="F23" i="39"/>
  <c r="D23" i="39"/>
  <c r="L22" i="39"/>
  <c r="J22" i="39"/>
  <c r="H22" i="39"/>
  <c r="F22" i="39"/>
  <c r="D22" i="39"/>
  <c r="L21" i="39"/>
  <c r="J21" i="39"/>
  <c r="H21" i="39"/>
  <c r="F21" i="39"/>
  <c r="D21" i="39"/>
  <c r="L20" i="39"/>
  <c r="J20" i="39"/>
  <c r="H20" i="39"/>
  <c r="F20" i="39"/>
  <c r="D20" i="39"/>
  <c r="L19" i="39"/>
  <c r="J19" i="39"/>
  <c r="H19" i="39"/>
  <c r="F19" i="39"/>
  <c r="D19" i="39"/>
  <c r="L18" i="39"/>
  <c r="J18" i="39"/>
  <c r="H18" i="39"/>
  <c r="F18" i="39"/>
  <c r="D18" i="39"/>
  <c r="L17" i="39"/>
  <c r="J17" i="39"/>
  <c r="H17" i="39"/>
  <c r="F17" i="39"/>
  <c r="D17" i="39"/>
  <c r="L16" i="39"/>
  <c r="J16" i="39"/>
  <c r="H16" i="39"/>
  <c r="F16" i="39"/>
  <c r="D16" i="39"/>
  <c r="L15" i="39"/>
  <c r="J15" i="39"/>
  <c r="H15" i="39"/>
  <c r="F15" i="39"/>
  <c r="L30" i="40"/>
  <c r="J30" i="40"/>
  <c r="H30" i="40"/>
  <c r="F30" i="40"/>
  <c r="D30" i="40"/>
  <c r="L29" i="40"/>
  <c r="J29" i="40"/>
  <c r="H29" i="40"/>
  <c r="F29" i="40"/>
  <c r="D29" i="40"/>
  <c r="L28" i="40"/>
  <c r="J28" i="40"/>
  <c r="H28" i="40"/>
  <c r="F28" i="40"/>
  <c r="D28" i="40"/>
  <c r="L27" i="40"/>
  <c r="J27" i="40"/>
  <c r="H27" i="40"/>
  <c r="F27" i="40"/>
  <c r="D27" i="40"/>
  <c r="L26" i="40"/>
  <c r="J26" i="40"/>
  <c r="H26" i="40"/>
  <c r="F26" i="40"/>
  <c r="D26" i="40"/>
  <c r="L25" i="40"/>
  <c r="J25" i="40"/>
  <c r="H25" i="40"/>
  <c r="F25" i="40"/>
  <c r="D25" i="40"/>
  <c r="L24" i="40"/>
  <c r="J24" i="40"/>
  <c r="H24" i="40"/>
  <c r="F24" i="40"/>
  <c r="D24" i="40"/>
  <c r="L23" i="40"/>
  <c r="J23" i="40"/>
  <c r="H23" i="40"/>
  <c r="F23" i="40"/>
  <c r="D23" i="40"/>
  <c r="L22" i="40"/>
  <c r="J22" i="40"/>
  <c r="H22" i="40"/>
  <c r="F22" i="40"/>
  <c r="D22" i="40"/>
  <c r="L21" i="40"/>
  <c r="J21" i="40"/>
  <c r="H21" i="40"/>
  <c r="F21" i="40"/>
  <c r="D21" i="40"/>
  <c r="L20" i="40"/>
  <c r="J20" i="40"/>
  <c r="H20" i="40"/>
  <c r="F20" i="40"/>
  <c r="D20" i="40"/>
  <c r="L19" i="40"/>
  <c r="J19" i="40"/>
  <c r="H19" i="40"/>
  <c r="F19" i="40"/>
  <c r="D19" i="40"/>
  <c r="L18" i="40"/>
  <c r="J18" i="40"/>
  <c r="H18" i="40"/>
  <c r="F18" i="40"/>
  <c r="D18" i="40"/>
  <c r="L17" i="40"/>
  <c r="J17" i="40"/>
  <c r="H17" i="40"/>
  <c r="F17" i="40"/>
  <c r="D17" i="40"/>
  <c r="L16" i="40"/>
  <c r="J16" i="40"/>
  <c r="H16" i="40"/>
  <c r="F16" i="40"/>
  <c r="D16" i="40"/>
  <c r="C16" i="40"/>
  <c r="L15" i="40"/>
  <c r="J15" i="40"/>
  <c r="H15" i="40"/>
  <c r="F15" i="40"/>
  <c r="D15" i="40"/>
  <c r="G185" i="29"/>
  <c r="D16" i="41"/>
  <c r="G261" i="29"/>
  <c r="D17" i="41"/>
  <c r="G337" i="29"/>
  <c r="D18" i="41"/>
  <c r="G413" i="29"/>
  <c r="D19" i="41"/>
  <c r="G489" i="29"/>
  <c r="D20" i="41"/>
  <c r="G565" i="29"/>
  <c r="D21" i="41"/>
  <c r="G641" i="29"/>
  <c r="D22" i="41"/>
  <c r="G717" i="29"/>
  <c r="D23" i="41"/>
  <c r="G793" i="29"/>
  <c r="D24" i="41"/>
  <c r="G869" i="29"/>
  <c r="D25" i="41"/>
  <c r="G945" i="29"/>
  <c r="D26" i="41"/>
  <c r="G1021" i="29"/>
  <c r="D27" i="41"/>
  <c r="G1097" i="29"/>
  <c r="D28" i="41"/>
  <c r="G1249" i="29"/>
  <c r="D30" i="41"/>
  <c r="G109" i="29"/>
  <c r="D15" i="41"/>
  <c r="G1173" i="29"/>
  <c r="D29" i="41"/>
  <c r="D30" i="42"/>
  <c r="D29" i="42"/>
  <c r="D28" i="42"/>
  <c r="D27" i="42"/>
  <c r="D26" i="42"/>
  <c r="D25" i="42"/>
  <c r="D24" i="42"/>
  <c r="D23" i="42"/>
  <c r="D22" i="42"/>
  <c r="D21" i="42"/>
  <c r="D20" i="42"/>
  <c r="D19" i="42"/>
  <c r="D18" i="42"/>
  <c r="D17" i="42"/>
  <c r="D31" i="42"/>
  <c r="D16" i="42"/>
  <c r="D15" i="42"/>
  <c r="D30" i="43"/>
  <c r="D29" i="43"/>
  <c r="D28" i="43"/>
  <c r="D27" i="43"/>
  <c r="D26" i="43"/>
  <c r="D25" i="43"/>
  <c r="D24" i="43"/>
  <c r="D23" i="43"/>
  <c r="D22" i="43"/>
  <c r="D21" i="43"/>
  <c r="D20" i="43"/>
  <c r="D19" i="43"/>
  <c r="D18" i="43"/>
  <c r="D17" i="43"/>
  <c r="D16" i="43"/>
  <c r="D15" i="43"/>
  <c r="C488" i="16"/>
  <c r="J31" i="57"/>
  <c r="J32" i="57"/>
  <c r="C430" i="16"/>
  <c r="J29" i="57"/>
  <c r="C401" i="16"/>
  <c r="J28" i="57"/>
  <c r="C372" i="16"/>
  <c r="J27" i="57"/>
  <c r="C343" i="16"/>
  <c r="J26" i="57"/>
  <c r="C314" i="16"/>
  <c r="J25" i="57"/>
  <c r="C285" i="16"/>
  <c r="C256" i="16"/>
  <c r="J23" i="57"/>
  <c r="C227" i="16"/>
  <c r="J22" i="57"/>
  <c r="C198" i="16"/>
  <c r="J21" i="57"/>
  <c r="C169" i="16"/>
  <c r="J20" i="57"/>
  <c r="C140" i="16"/>
  <c r="J19" i="57"/>
  <c r="C111" i="16"/>
  <c r="J18" i="57"/>
  <c r="C82" i="16"/>
  <c r="J17" i="57"/>
  <c r="C53" i="16"/>
  <c r="H31" i="57"/>
  <c r="H24" i="57"/>
  <c r="H20" i="57"/>
  <c r="H19" i="57"/>
  <c r="H16" i="57"/>
  <c r="F31" i="57"/>
  <c r="F28" i="57"/>
  <c r="F27" i="57"/>
  <c r="F24" i="57"/>
  <c r="F23" i="57"/>
  <c r="F20" i="57"/>
  <c r="F19" i="57"/>
  <c r="F18" i="57"/>
  <c r="F17" i="57"/>
  <c r="J31" i="58"/>
  <c r="J32" i="58"/>
  <c r="H31" i="58"/>
  <c r="F31" i="58"/>
  <c r="D31" i="58"/>
  <c r="J30" i="58"/>
  <c r="H30" i="58"/>
  <c r="F30" i="58"/>
  <c r="J29" i="58"/>
  <c r="H29" i="58"/>
  <c r="D29" i="58"/>
  <c r="F29" i="58"/>
  <c r="J28" i="58"/>
  <c r="H28" i="58"/>
  <c r="D28" i="58"/>
  <c r="F28" i="58"/>
  <c r="J27" i="58"/>
  <c r="H27" i="58"/>
  <c r="F27" i="58"/>
  <c r="J26" i="58"/>
  <c r="H26" i="58"/>
  <c r="F26" i="58"/>
  <c r="J25" i="58"/>
  <c r="H25" i="58"/>
  <c r="F25" i="58"/>
  <c r="D25" i="58"/>
  <c r="J24" i="58"/>
  <c r="H24" i="58"/>
  <c r="D24" i="58"/>
  <c r="F24" i="58"/>
  <c r="J23" i="58"/>
  <c r="H23" i="58"/>
  <c r="F23" i="58"/>
  <c r="D23" i="58"/>
  <c r="J22" i="58"/>
  <c r="H22" i="58"/>
  <c r="F22" i="58"/>
  <c r="J21" i="58"/>
  <c r="H21" i="58"/>
  <c r="F21" i="58"/>
  <c r="J20" i="58"/>
  <c r="H20" i="58"/>
  <c r="F20" i="58"/>
  <c r="J19" i="58"/>
  <c r="H19" i="58"/>
  <c r="F19" i="58"/>
  <c r="J18" i="58"/>
  <c r="H18" i="58"/>
  <c r="F18" i="58"/>
  <c r="J17" i="58"/>
  <c r="H17" i="58"/>
  <c r="F17" i="58"/>
  <c r="J16" i="58"/>
  <c r="H16" i="58"/>
  <c r="F16" i="58"/>
  <c r="D21" i="58"/>
  <c r="E21" i="58"/>
  <c r="D47" i="16"/>
  <c r="C16" i="58"/>
  <c r="C18" i="58"/>
  <c r="K18" i="58"/>
  <c r="D221" i="16"/>
  <c r="C22" i="58"/>
  <c r="D366" i="16"/>
  <c r="C27" i="58"/>
  <c r="G27" i="58"/>
  <c r="D482" i="16"/>
  <c r="C31" i="58"/>
  <c r="J31" i="59"/>
  <c r="H31" i="59"/>
  <c r="D31" i="59"/>
  <c r="D32" i="59"/>
  <c r="F31" i="59"/>
  <c r="J30" i="59"/>
  <c r="H30" i="59"/>
  <c r="F30" i="59"/>
  <c r="J29" i="59"/>
  <c r="H29" i="59"/>
  <c r="F29" i="59"/>
  <c r="J28" i="59"/>
  <c r="J32" i="59"/>
  <c r="H28" i="59"/>
  <c r="F28" i="59"/>
  <c r="J27" i="59"/>
  <c r="H27" i="59"/>
  <c r="F27" i="59"/>
  <c r="J26" i="59"/>
  <c r="H26" i="59"/>
  <c r="F26" i="59"/>
  <c r="D26" i="59"/>
  <c r="J25" i="59"/>
  <c r="H25" i="59"/>
  <c r="F25" i="59"/>
  <c r="D25" i="59"/>
  <c r="J24" i="59"/>
  <c r="H24" i="59"/>
  <c r="F24" i="59"/>
  <c r="J23" i="59"/>
  <c r="H23" i="59"/>
  <c r="F23" i="59"/>
  <c r="J22" i="59"/>
  <c r="H22" i="59"/>
  <c r="F22" i="59"/>
  <c r="J21" i="59"/>
  <c r="H21" i="59"/>
  <c r="D21" i="59"/>
  <c r="F21" i="59"/>
  <c r="J20" i="59"/>
  <c r="H20" i="59"/>
  <c r="F20" i="59"/>
  <c r="J19" i="59"/>
  <c r="H19" i="59"/>
  <c r="F19" i="59"/>
  <c r="D19" i="59"/>
  <c r="J18" i="59"/>
  <c r="H18" i="59"/>
  <c r="F18" i="59"/>
  <c r="J17" i="59"/>
  <c r="H17" i="59"/>
  <c r="F17" i="59"/>
  <c r="J16" i="59"/>
  <c r="H16" i="59"/>
  <c r="D16" i="59"/>
  <c r="F16" i="59"/>
  <c r="E47" i="16"/>
  <c r="C16" i="59"/>
  <c r="E76" i="16"/>
  <c r="C17" i="59"/>
  <c r="E221" i="16"/>
  <c r="C22" i="59"/>
  <c r="E308" i="16"/>
  <c r="C25" i="59"/>
  <c r="E453" i="16"/>
  <c r="C30" i="59"/>
  <c r="K30" i="59"/>
  <c r="E482" i="16"/>
  <c r="C31" i="59"/>
  <c r="D15" i="60"/>
  <c r="F15" i="60"/>
  <c r="L15" i="60"/>
  <c r="J17" i="60"/>
  <c r="D17" i="60"/>
  <c r="J18" i="60"/>
  <c r="F18" i="60"/>
  <c r="D19" i="60"/>
  <c r="J20" i="60"/>
  <c r="F20" i="60"/>
  <c r="D20" i="60"/>
  <c r="L21" i="60"/>
  <c r="F21" i="60"/>
  <c r="J22" i="60"/>
  <c r="F22" i="60"/>
  <c r="J24" i="60"/>
  <c r="H24" i="60"/>
  <c r="F24" i="60"/>
  <c r="D25" i="60"/>
  <c r="F26" i="60"/>
  <c r="J27" i="60"/>
  <c r="D28" i="60"/>
  <c r="J29" i="60"/>
  <c r="H29" i="60"/>
  <c r="L30" i="60"/>
  <c r="L31" i="60"/>
  <c r="J30" i="60"/>
  <c r="D30" i="60"/>
  <c r="L30" i="61"/>
  <c r="L31" i="61"/>
  <c r="J30" i="61"/>
  <c r="J31" i="61"/>
  <c r="H30" i="61"/>
  <c r="F30" i="61"/>
  <c r="D30" i="61"/>
  <c r="D31" i="61"/>
  <c r="L29" i="61"/>
  <c r="J29" i="61"/>
  <c r="H29" i="61"/>
  <c r="F29" i="61"/>
  <c r="F31" i="61"/>
  <c r="D29" i="61"/>
  <c r="L28" i="61"/>
  <c r="J28" i="61"/>
  <c r="H28" i="61"/>
  <c r="F28" i="61"/>
  <c r="D28" i="61"/>
  <c r="L27" i="61"/>
  <c r="J27" i="61"/>
  <c r="H27" i="61"/>
  <c r="H31" i="61"/>
  <c r="F27" i="61"/>
  <c r="D27" i="61"/>
  <c r="L26" i="61"/>
  <c r="J26" i="61"/>
  <c r="H26" i="61"/>
  <c r="F26" i="61"/>
  <c r="D26" i="61"/>
  <c r="L25" i="61"/>
  <c r="J25" i="61"/>
  <c r="H25" i="61"/>
  <c r="F25" i="61"/>
  <c r="D25" i="61"/>
  <c r="L24" i="61"/>
  <c r="J24" i="61"/>
  <c r="H24" i="61"/>
  <c r="F24" i="61"/>
  <c r="D24" i="61"/>
  <c r="L23" i="61"/>
  <c r="J23" i="61"/>
  <c r="H23" i="61"/>
  <c r="F23" i="61"/>
  <c r="D23" i="61"/>
  <c r="L22" i="61"/>
  <c r="J22" i="61"/>
  <c r="H22" i="61"/>
  <c r="F22" i="61"/>
  <c r="D22" i="61"/>
  <c r="L21" i="61"/>
  <c r="J21" i="61"/>
  <c r="H21" i="61"/>
  <c r="F21" i="61"/>
  <c r="D21" i="61"/>
  <c r="L20" i="61"/>
  <c r="J20" i="61"/>
  <c r="H20" i="61"/>
  <c r="F20" i="61"/>
  <c r="D20" i="61"/>
  <c r="L19" i="61"/>
  <c r="J19" i="61"/>
  <c r="H19" i="61"/>
  <c r="F19" i="61"/>
  <c r="D19" i="61"/>
  <c r="L18" i="61"/>
  <c r="J18" i="61"/>
  <c r="H18" i="61"/>
  <c r="F18" i="61"/>
  <c r="D18" i="61"/>
  <c r="L17" i="61"/>
  <c r="J17" i="61"/>
  <c r="H17" i="61"/>
  <c r="F17" i="61"/>
  <c r="D17" i="61"/>
  <c r="L16" i="61"/>
  <c r="J16" i="61"/>
  <c r="H16" i="61"/>
  <c r="F16" i="61"/>
  <c r="D16" i="61"/>
  <c r="L15" i="61"/>
  <c r="J15" i="61"/>
  <c r="H15" i="61"/>
  <c r="F15" i="61"/>
  <c r="D15" i="61"/>
  <c r="C20" i="61"/>
  <c r="I20" i="61"/>
  <c r="C21" i="61"/>
  <c r="G21" i="61"/>
  <c r="L30" i="62"/>
  <c r="J30" i="62"/>
  <c r="H30" i="62"/>
  <c r="H31" i="62"/>
  <c r="F30" i="62"/>
  <c r="D30" i="62"/>
  <c r="L29" i="62"/>
  <c r="J29" i="62"/>
  <c r="H29" i="62"/>
  <c r="F29" i="62"/>
  <c r="F31" i="62"/>
  <c r="D29" i="62"/>
  <c r="L28" i="62"/>
  <c r="J28" i="62"/>
  <c r="H28" i="62"/>
  <c r="F28" i="62"/>
  <c r="G28" i="62"/>
  <c r="D28" i="62"/>
  <c r="L27" i="62"/>
  <c r="L31" i="62"/>
  <c r="J27" i="62"/>
  <c r="H27" i="62"/>
  <c r="F27" i="62"/>
  <c r="D27" i="62"/>
  <c r="L26" i="62"/>
  <c r="J26" i="62"/>
  <c r="H26" i="62"/>
  <c r="F26" i="62"/>
  <c r="D26" i="62"/>
  <c r="L25" i="62"/>
  <c r="J25" i="62"/>
  <c r="H25" i="62"/>
  <c r="F25" i="62"/>
  <c r="D25" i="62"/>
  <c r="L24" i="62"/>
  <c r="J24" i="62"/>
  <c r="H24" i="62"/>
  <c r="F24" i="62"/>
  <c r="D24" i="62"/>
  <c r="L23" i="62"/>
  <c r="J23" i="62"/>
  <c r="J31" i="62"/>
  <c r="H23" i="62"/>
  <c r="F23" i="62"/>
  <c r="D23" i="62"/>
  <c r="L22" i="62"/>
  <c r="J22" i="62"/>
  <c r="H22" i="62"/>
  <c r="F22" i="62"/>
  <c r="D22" i="62"/>
  <c r="L21" i="62"/>
  <c r="J21" i="62"/>
  <c r="H21" i="62"/>
  <c r="F21" i="62"/>
  <c r="D21" i="62"/>
  <c r="L20" i="62"/>
  <c r="J20" i="62"/>
  <c r="H20" i="62"/>
  <c r="F20" i="62"/>
  <c r="D20" i="62"/>
  <c r="L19" i="62"/>
  <c r="J19" i="62"/>
  <c r="H19" i="62"/>
  <c r="F19" i="62"/>
  <c r="D19" i="62"/>
  <c r="L18" i="62"/>
  <c r="J18" i="62"/>
  <c r="H18" i="62"/>
  <c r="F18" i="62"/>
  <c r="D18" i="62"/>
  <c r="L17" i="62"/>
  <c r="J17" i="62"/>
  <c r="H17" i="62"/>
  <c r="F17" i="62"/>
  <c r="D17" i="62"/>
  <c r="L16" i="62"/>
  <c r="J16" i="62"/>
  <c r="H16" i="62"/>
  <c r="F16" i="62"/>
  <c r="D16" i="62"/>
  <c r="L15" i="62"/>
  <c r="J15" i="62"/>
  <c r="H15" i="62"/>
  <c r="F15" i="62"/>
  <c r="D15" i="62"/>
  <c r="C21" i="62"/>
  <c r="I21" i="62"/>
  <c r="K21" i="62"/>
  <c r="C23" i="62"/>
  <c r="C25" i="62"/>
  <c r="G25" i="62"/>
  <c r="C29" i="62"/>
  <c r="M29" i="62"/>
  <c r="D57" i="17"/>
  <c r="D15" i="63"/>
  <c r="D58" i="17"/>
  <c r="D59" i="17"/>
  <c r="H15" i="63"/>
  <c r="D60" i="17"/>
  <c r="J15" i="63"/>
  <c r="D61" i="17"/>
  <c r="L15" i="63"/>
  <c r="D125" i="17"/>
  <c r="D17" i="63"/>
  <c r="D126" i="17"/>
  <c r="K126" i="17"/>
  <c r="D127" i="17"/>
  <c r="D128" i="17"/>
  <c r="D129" i="17"/>
  <c r="K129" i="17"/>
  <c r="F17" i="63"/>
  <c r="H17" i="63"/>
  <c r="J17" i="63"/>
  <c r="D159" i="17"/>
  <c r="D18" i="63"/>
  <c r="D160" i="17"/>
  <c r="F18" i="63"/>
  <c r="D161" i="17"/>
  <c r="K161" i="17"/>
  <c r="D162" i="17"/>
  <c r="K162" i="17"/>
  <c r="D163" i="17"/>
  <c r="D193" i="17"/>
  <c r="D19" i="63"/>
  <c r="D194" i="17"/>
  <c r="K194" i="17"/>
  <c r="D195" i="17"/>
  <c r="D196" i="17"/>
  <c r="J19" i="63"/>
  <c r="D197" i="17"/>
  <c r="D227" i="17"/>
  <c r="D20" i="63"/>
  <c r="D228" i="17"/>
  <c r="D229" i="17"/>
  <c r="H20" i="63"/>
  <c r="D230" i="17"/>
  <c r="J20" i="63"/>
  <c r="D231" i="17"/>
  <c r="L20" i="63"/>
  <c r="D261" i="17"/>
  <c r="D21" i="63"/>
  <c r="D262" i="17"/>
  <c r="D263" i="17"/>
  <c r="D264" i="17"/>
  <c r="K264" i="17"/>
  <c r="D265" i="17"/>
  <c r="F21" i="63"/>
  <c r="H21" i="63"/>
  <c r="D295" i="17"/>
  <c r="D22" i="63"/>
  <c r="D296" i="17"/>
  <c r="D297" i="17"/>
  <c r="H22" i="63"/>
  <c r="D298" i="17"/>
  <c r="D299" i="17"/>
  <c r="L22" i="63"/>
  <c r="D329" i="17"/>
  <c r="D330" i="17"/>
  <c r="D331" i="17"/>
  <c r="K331" i="17"/>
  <c r="H23" i="63"/>
  <c r="D332" i="17"/>
  <c r="D333" i="17"/>
  <c r="L23" i="63"/>
  <c r="J23" i="63"/>
  <c r="D363" i="17"/>
  <c r="D24" i="63"/>
  <c r="D364" i="17"/>
  <c r="K364" i="17"/>
  <c r="D365" i="17"/>
  <c r="H24" i="63"/>
  <c r="D366" i="17"/>
  <c r="J24" i="63"/>
  <c r="D367" i="17"/>
  <c r="F25" i="63"/>
  <c r="D431" i="17"/>
  <c r="K431" i="17"/>
  <c r="D432" i="17"/>
  <c r="D433" i="17"/>
  <c r="K433" i="17"/>
  <c r="D434" i="17"/>
  <c r="K434" i="17"/>
  <c r="D435" i="17"/>
  <c r="L26" i="63"/>
  <c r="D465" i="17"/>
  <c r="D27" i="63"/>
  <c r="D466" i="17"/>
  <c r="K466" i="17"/>
  <c r="D467" i="17"/>
  <c r="K467" i="17"/>
  <c r="D468" i="17"/>
  <c r="D469" i="17"/>
  <c r="L27" i="63"/>
  <c r="F27" i="63"/>
  <c r="H27" i="63"/>
  <c r="J27" i="63"/>
  <c r="D499" i="17"/>
  <c r="K499" i="17"/>
  <c r="D500" i="17"/>
  <c r="F28" i="63"/>
  <c r="D501" i="17"/>
  <c r="H28" i="63"/>
  <c r="D502" i="17"/>
  <c r="J28" i="63"/>
  <c r="D503" i="17"/>
  <c r="K503" i="17"/>
  <c r="D533" i="17"/>
  <c r="D29" i="63"/>
  <c r="D534" i="17"/>
  <c r="F29" i="63"/>
  <c r="D535" i="17"/>
  <c r="H29" i="63"/>
  <c r="D536" i="17"/>
  <c r="J29" i="63"/>
  <c r="D537" i="17"/>
  <c r="D567" i="17"/>
  <c r="K567" i="17"/>
  <c r="D30" i="63"/>
  <c r="D31" i="63"/>
  <c r="D568" i="17"/>
  <c r="D24" i="17"/>
  <c r="D569" i="17"/>
  <c r="K569" i="17"/>
  <c r="D570" i="17"/>
  <c r="D571" i="17"/>
  <c r="L30" i="63"/>
  <c r="L31" i="63"/>
  <c r="D95" i="17"/>
  <c r="D94" i="17"/>
  <c r="D93" i="17"/>
  <c r="D92" i="17"/>
  <c r="D91" i="17"/>
  <c r="K91" i="17"/>
  <c r="D16" i="63"/>
  <c r="L30" i="64"/>
  <c r="J30" i="64"/>
  <c r="J31" i="64"/>
  <c r="H30" i="64"/>
  <c r="F30" i="64"/>
  <c r="D30" i="64"/>
  <c r="L29" i="64"/>
  <c r="J29" i="64"/>
  <c r="H29" i="64"/>
  <c r="H31" i="64"/>
  <c r="F29" i="64"/>
  <c r="D29" i="64"/>
  <c r="L28" i="64"/>
  <c r="J28" i="64"/>
  <c r="H28" i="64"/>
  <c r="F28" i="64"/>
  <c r="D28" i="64"/>
  <c r="D31" i="64"/>
  <c r="L27" i="64"/>
  <c r="J27" i="64"/>
  <c r="H27" i="64"/>
  <c r="F27" i="64"/>
  <c r="F31" i="64"/>
  <c r="D27" i="64"/>
  <c r="L26" i="64"/>
  <c r="J26" i="64"/>
  <c r="H26" i="64"/>
  <c r="F26" i="64"/>
  <c r="D26" i="64"/>
  <c r="L25" i="64"/>
  <c r="J25" i="64"/>
  <c r="H25" i="64"/>
  <c r="F25" i="64"/>
  <c r="D25" i="64"/>
  <c r="L24" i="64"/>
  <c r="J24" i="64"/>
  <c r="H24" i="64"/>
  <c r="F24" i="64"/>
  <c r="D24" i="64"/>
  <c r="L23" i="64"/>
  <c r="J23" i="64"/>
  <c r="H23" i="64"/>
  <c r="F23" i="64"/>
  <c r="D23" i="64"/>
  <c r="L22" i="64"/>
  <c r="J22" i="64"/>
  <c r="H22" i="64"/>
  <c r="F22" i="64"/>
  <c r="D22" i="64"/>
  <c r="L21" i="64"/>
  <c r="J21" i="64"/>
  <c r="H21" i="64"/>
  <c r="F21" i="64"/>
  <c r="D21" i="64"/>
  <c r="L20" i="64"/>
  <c r="J20" i="64"/>
  <c r="H20" i="64"/>
  <c r="F20" i="64"/>
  <c r="D20" i="64"/>
  <c r="L19" i="64"/>
  <c r="J19" i="64"/>
  <c r="H19" i="64"/>
  <c r="F19" i="64"/>
  <c r="D19" i="64"/>
  <c r="L18" i="64"/>
  <c r="J18" i="64"/>
  <c r="H18" i="64"/>
  <c r="F18" i="64"/>
  <c r="D18" i="64"/>
  <c r="L17" i="64"/>
  <c r="J17" i="64"/>
  <c r="H17" i="64"/>
  <c r="F17" i="64"/>
  <c r="D17" i="64"/>
  <c r="L16" i="64"/>
  <c r="J16" i="64"/>
  <c r="H16" i="64"/>
  <c r="F16" i="64"/>
  <c r="D16" i="64"/>
  <c r="L15" i="64"/>
  <c r="J15" i="64"/>
  <c r="H15" i="64"/>
  <c r="F15" i="64"/>
  <c r="D15" i="64"/>
  <c r="F55" i="17"/>
  <c r="F123" i="17"/>
  <c r="C17" i="64"/>
  <c r="F157" i="17"/>
  <c r="C18" i="64"/>
  <c r="F191" i="17"/>
  <c r="C19" i="64"/>
  <c r="F225" i="17"/>
  <c r="C20" i="64"/>
  <c r="F259" i="17"/>
  <c r="C21" i="64"/>
  <c r="F293" i="17"/>
  <c r="C22" i="64"/>
  <c r="F327" i="17"/>
  <c r="C23" i="64"/>
  <c r="F361" i="17"/>
  <c r="C24" i="64"/>
  <c r="F395" i="17"/>
  <c r="C25" i="64"/>
  <c r="F429" i="17"/>
  <c r="C26" i="64"/>
  <c r="F463" i="17"/>
  <c r="C27" i="64"/>
  <c r="F497" i="17"/>
  <c r="F531" i="17"/>
  <c r="C29" i="64"/>
  <c r="F565" i="17"/>
  <c r="C30" i="64"/>
  <c r="C31" i="64"/>
  <c r="F89" i="17"/>
  <c r="C16" i="64"/>
  <c r="L30" i="65"/>
  <c r="L31" i="65"/>
  <c r="J30" i="65"/>
  <c r="J31" i="65"/>
  <c r="H30" i="65"/>
  <c r="H31" i="65"/>
  <c r="F30" i="65"/>
  <c r="D30" i="65"/>
  <c r="L29" i="65"/>
  <c r="J29" i="65"/>
  <c r="H29" i="65"/>
  <c r="F29" i="65"/>
  <c r="D29" i="65"/>
  <c r="L28" i="65"/>
  <c r="J28" i="65"/>
  <c r="H28" i="65"/>
  <c r="F28" i="65"/>
  <c r="G28" i="65"/>
  <c r="D28" i="65"/>
  <c r="D31" i="65"/>
  <c r="L27" i="65"/>
  <c r="J27" i="65"/>
  <c r="H27" i="65"/>
  <c r="F27" i="65"/>
  <c r="D27" i="65"/>
  <c r="L26" i="65"/>
  <c r="J26" i="65"/>
  <c r="H26" i="65"/>
  <c r="F26" i="65"/>
  <c r="D26" i="65"/>
  <c r="L25" i="65"/>
  <c r="J25" i="65"/>
  <c r="H25" i="65"/>
  <c r="F25" i="65"/>
  <c r="D25" i="65"/>
  <c r="L24" i="65"/>
  <c r="J24" i="65"/>
  <c r="H24" i="65"/>
  <c r="F24" i="65"/>
  <c r="D24" i="65"/>
  <c r="L23" i="65"/>
  <c r="J23" i="65"/>
  <c r="H23" i="65"/>
  <c r="F23" i="65"/>
  <c r="D23" i="65"/>
  <c r="L22" i="65"/>
  <c r="J22" i="65"/>
  <c r="H22" i="65"/>
  <c r="F22" i="65"/>
  <c r="D22" i="65"/>
  <c r="L21" i="65"/>
  <c r="J21" i="65"/>
  <c r="H21" i="65"/>
  <c r="F21" i="65"/>
  <c r="D21" i="65"/>
  <c r="L20" i="65"/>
  <c r="J20" i="65"/>
  <c r="H20" i="65"/>
  <c r="F20" i="65"/>
  <c r="D20" i="65"/>
  <c r="L19" i="65"/>
  <c r="J19" i="65"/>
  <c r="H19" i="65"/>
  <c r="F19" i="65"/>
  <c r="D19" i="65"/>
  <c r="L18" i="65"/>
  <c r="J18" i="65"/>
  <c r="H18" i="65"/>
  <c r="F18" i="65"/>
  <c r="D18" i="65"/>
  <c r="L17" i="65"/>
  <c r="J17" i="65"/>
  <c r="H17" i="65"/>
  <c r="F17" i="65"/>
  <c r="D17" i="65"/>
  <c r="L16" i="65"/>
  <c r="J16" i="65"/>
  <c r="H16" i="65"/>
  <c r="F16" i="65"/>
  <c r="D16" i="65"/>
  <c r="L15" i="65"/>
  <c r="J15" i="65"/>
  <c r="H15" i="65"/>
  <c r="F15" i="65"/>
  <c r="D15" i="65"/>
  <c r="H55" i="17"/>
  <c r="C15" i="65"/>
  <c r="I15" i="65"/>
  <c r="H123" i="17"/>
  <c r="C17" i="65"/>
  <c r="E17" i="65"/>
  <c r="H157" i="17"/>
  <c r="C18" i="65"/>
  <c r="H191" i="17"/>
  <c r="C19" i="65"/>
  <c r="H225" i="17"/>
  <c r="C20" i="65"/>
  <c r="H259" i="17"/>
  <c r="H293" i="17"/>
  <c r="C22" i="65"/>
  <c r="H327" i="17"/>
  <c r="H361" i="17"/>
  <c r="C24" i="65"/>
  <c r="H395" i="17"/>
  <c r="C25" i="65"/>
  <c r="H429" i="17"/>
  <c r="C26" i="65"/>
  <c r="H463" i="17"/>
  <c r="C27" i="65"/>
  <c r="H497" i="17"/>
  <c r="C28" i="65"/>
  <c r="H531" i="17"/>
  <c r="H565" i="17"/>
  <c r="C30" i="65"/>
  <c r="H89" i="17"/>
  <c r="C16" i="65"/>
  <c r="I30" i="66"/>
  <c r="I29" i="66"/>
  <c r="I31" i="66"/>
  <c r="I28" i="66"/>
  <c r="I27" i="66"/>
  <c r="I26" i="66"/>
  <c r="I25" i="66"/>
  <c r="I24" i="66"/>
  <c r="I23" i="66"/>
  <c r="I22" i="66"/>
  <c r="I21" i="66"/>
  <c r="I20" i="66"/>
  <c r="I19" i="66"/>
  <c r="I18" i="66"/>
  <c r="I17" i="66"/>
  <c r="I16" i="66"/>
  <c r="H30" i="66"/>
  <c r="H29" i="66"/>
  <c r="H31" i="66"/>
  <c r="H28" i="66"/>
  <c r="H27" i="66"/>
  <c r="H26" i="66"/>
  <c r="C26" i="66"/>
  <c r="H25" i="66"/>
  <c r="C25" i="66"/>
  <c r="H24" i="66"/>
  <c r="H23" i="66"/>
  <c r="H22" i="66"/>
  <c r="H21" i="66"/>
  <c r="H20" i="66"/>
  <c r="H19" i="66"/>
  <c r="H18" i="66"/>
  <c r="H17" i="66"/>
  <c r="H16" i="66"/>
  <c r="G30" i="66"/>
  <c r="G31" i="66"/>
  <c r="G29" i="66"/>
  <c r="G28" i="66"/>
  <c r="G27" i="66"/>
  <c r="G26" i="66"/>
  <c r="G25" i="66"/>
  <c r="G24" i="66"/>
  <c r="G23" i="66"/>
  <c r="G22" i="66"/>
  <c r="G21" i="66"/>
  <c r="G20" i="66"/>
  <c r="G19" i="66"/>
  <c r="G18" i="66"/>
  <c r="G17" i="66"/>
  <c r="G16" i="66"/>
  <c r="F30" i="66"/>
  <c r="F29" i="66"/>
  <c r="F28" i="66"/>
  <c r="F27" i="66"/>
  <c r="F26" i="66"/>
  <c r="F25" i="66"/>
  <c r="F24" i="66"/>
  <c r="F31" i="66"/>
  <c r="F23" i="66"/>
  <c r="F22" i="66"/>
  <c r="F21" i="66"/>
  <c r="F20" i="66"/>
  <c r="F19" i="66"/>
  <c r="F18" i="66"/>
  <c r="F17" i="66"/>
  <c r="F16" i="66"/>
  <c r="E30" i="66"/>
  <c r="E29" i="66"/>
  <c r="E28" i="66"/>
  <c r="E27" i="66"/>
  <c r="E26" i="66"/>
  <c r="E25" i="66"/>
  <c r="E24" i="66"/>
  <c r="E23" i="66"/>
  <c r="E22" i="66"/>
  <c r="E21" i="66"/>
  <c r="E20" i="66"/>
  <c r="E19" i="66"/>
  <c r="E18" i="66"/>
  <c r="E17" i="66"/>
  <c r="E16" i="66"/>
  <c r="D30" i="66"/>
  <c r="D29" i="66"/>
  <c r="D28" i="66"/>
  <c r="C28" i="66"/>
  <c r="D27" i="66"/>
  <c r="D26" i="66"/>
  <c r="D25" i="66"/>
  <c r="D24" i="66"/>
  <c r="D23" i="66"/>
  <c r="D22" i="66"/>
  <c r="C22" i="66"/>
  <c r="D21" i="66"/>
  <c r="D20" i="66"/>
  <c r="D19" i="66"/>
  <c r="C19" i="66"/>
  <c r="D18" i="66"/>
  <c r="C18" i="66"/>
  <c r="D17" i="66"/>
  <c r="D15" i="66"/>
  <c r="D16" i="66"/>
  <c r="I15" i="66"/>
  <c r="H15" i="66"/>
  <c r="G15" i="66"/>
  <c r="F15" i="66"/>
  <c r="E15" i="66"/>
  <c r="I30" i="67"/>
  <c r="H30" i="67"/>
  <c r="H31" i="67"/>
  <c r="G30" i="67"/>
  <c r="G31" i="67"/>
  <c r="F30" i="67"/>
  <c r="E30" i="67"/>
  <c r="E31" i="67"/>
  <c r="D30" i="67"/>
  <c r="I29" i="67"/>
  <c r="H29" i="67"/>
  <c r="G29" i="67"/>
  <c r="F29" i="67"/>
  <c r="E29" i="67"/>
  <c r="D29" i="67"/>
  <c r="I28" i="67"/>
  <c r="H28" i="67"/>
  <c r="G28" i="67"/>
  <c r="F28" i="67"/>
  <c r="E28" i="67"/>
  <c r="D28" i="67"/>
  <c r="D31" i="67"/>
  <c r="I27" i="67"/>
  <c r="H27" i="67"/>
  <c r="G27" i="67"/>
  <c r="F27" i="67"/>
  <c r="E27" i="67"/>
  <c r="D27" i="67"/>
  <c r="I26" i="67"/>
  <c r="H26" i="67"/>
  <c r="G26" i="67"/>
  <c r="F26" i="67"/>
  <c r="C26" i="67"/>
  <c r="E26" i="67"/>
  <c r="D26" i="67"/>
  <c r="I25" i="67"/>
  <c r="H25" i="67"/>
  <c r="G25" i="67"/>
  <c r="F25" i="67"/>
  <c r="E25" i="67"/>
  <c r="D25" i="67"/>
  <c r="I24" i="67"/>
  <c r="H24" i="67"/>
  <c r="G24" i="67"/>
  <c r="F24" i="67"/>
  <c r="E24" i="67"/>
  <c r="D24" i="67"/>
  <c r="I23" i="67"/>
  <c r="H23" i="67"/>
  <c r="G23" i="67"/>
  <c r="F23" i="67"/>
  <c r="E23" i="67"/>
  <c r="D23" i="67"/>
  <c r="I22" i="67"/>
  <c r="H22" i="67"/>
  <c r="G22" i="67"/>
  <c r="F22" i="67"/>
  <c r="E22" i="67"/>
  <c r="D22" i="67"/>
  <c r="I21" i="67"/>
  <c r="H21" i="67"/>
  <c r="G21" i="67"/>
  <c r="F21" i="67"/>
  <c r="E21" i="67"/>
  <c r="D21" i="67"/>
  <c r="I20" i="67"/>
  <c r="H20" i="67"/>
  <c r="G20" i="67"/>
  <c r="F20" i="67"/>
  <c r="E20" i="67"/>
  <c r="D20" i="67"/>
  <c r="I19" i="67"/>
  <c r="H19" i="67"/>
  <c r="G19" i="67"/>
  <c r="F19" i="67"/>
  <c r="E19" i="67"/>
  <c r="D19" i="67"/>
  <c r="I18" i="67"/>
  <c r="H18" i="67"/>
  <c r="G18" i="67"/>
  <c r="F18" i="67"/>
  <c r="E18" i="67"/>
  <c r="D18" i="67"/>
  <c r="I17" i="67"/>
  <c r="H17" i="67"/>
  <c r="G17" i="67"/>
  <c r="C17" i="67"/>
  <c r="F17" i="67"/>
  <c r="E17" i="67"/>
  <c r="D17" i="67"/>
  <c r="I16" i="67"/>
  <c r="H16" i="67"/>
  <c r="G16" i="67"/>
  <c r="F16" i="67"/>
  <c r="E16" i="67"/>
  <c r="D16" i="67"/>
  <c r="I15" i="67"/>
  <c r="H15" i="67"/>
  <c r="G15" i="67"/>
  <c r="F15" i="67"/>
  <c r="E15" i="67"/>
  <c r="D15" i="67"/>
  <c r="K30" i="69"/>
  <c r="K31" i="69"/>
  <c r="K29" i="69"/>
  <c r="K28" i="69"/>
  <c r="K27" i="69"/>
  <c r="K26" i="69"/>
  <c r="K25" i="69"/>
  <c r="K24" i="69"/>
  <c r="K23" i="69"/>
  <c r="K22" i="69"/>
  <c r="K21" i="69"/>
  <c r="K20" i="69"/>
  <c r="K19" i="69"/>
  <c r="K18" i="69"/>
  <c r="K17" i="69"/>
  <c r="K16" i="69"/>
  <c r="K15" i="69"/>
  <c r="J30" i="69"/>
  <c r="J31" i="69"/>
  <c r="J29" i="69"/>
  <c r="J28" i="69"/>
  <c r="J27" i="69"/>
  <c r="J26" i="69"/>
  <c r="J25" i="69"/>
  <c r="J24" i="69"/>
  <c r="J23" i="69"/>
  <c r="J22" i="69"/>
  <c r="J21" i="69"/>
  <c r="J20" i="69"/>
  <c r="J19" i="69"/>
  <c r="J18" i="69"/>
  <c r="J17" i="69"/>
  <c r="J16" i="69"/>
  <c r="J15" i="69"/>
  <c r="I30" i="69"/>
  <c r="I29" i="69"/>
  <c r="I31" i="69"/>
  <c r="I28" i="69"/>
  <c r="I27" i="69"/>
  <c r="I26" i="69"/>
  <c r="I25" i="69"/>
  <c r="I24" i="69"/>
  <c r="I23" i="69"/>
  <c r="I22" i="69"/>
  <c r="I21" i="69"/>
  <c r="I20" i="69"/>
  <c r="I19" i="69"/>
  <c r="I18" i="69"/>
  <c r="I17" i="69"/>
  <c r="I16" i="69"/>
  <c r="I15" i="69"/>
  <c r="H30" i="69"/>
  <c r="H31" i="69"/>
  <c r="H29" i="69"/>
  <c r="H28" i="69"/>
  <c r="H27" i="69"/>
  <c r="H26" i="69"/>
  <c r="H25" i="69"/>
  <c r="H24" i="69"/>
  <c r="H23" i="69"/>
  <c r="H22" i="69"/>
  <c r="H21" i="69"/>
  <c r="H20" i="69"/>
  <c r="H19" i="69"/>
  <c r="H18" i="69"/>
  <c r="H17" i="69"/>
  <c r="H16" i="69"/>
  <c r="H15" i="69"/>
  <c r="G30" i="69"/>
  <c r="G31" i="69"/>
  <c r="G29" i="69"/>
  <c r="G28" i="69"/>
  <c r="G27" i="69"/>
  <c r="G26" i="69"/>
  <c r="G25" i="69"/>
  <c r="G24" i="69"/>
  <c r="G23" i="69"/>
  <c r="G22" i="69"/>
  <c r="G21" i="69"/>
  <c r="G20" i="69"/>
  <c r="G19" i="69"/>
  <c r="G18" i="69"/>
  <c r="G17" i="69"/>
  <c r="G16" i="69"/>
  <c r="G15" i="69"/>
  <c r="F30" i="69"/>
  <c r="F31" i="69"/>
  <c r="F29" i="69"/>
  <c r="F28" i="69"/>
  <c r="F27" i="69"/>
  <c r="F26" i="69"/>
  <c r="F25" i="69"/>
  <c r="F24" i="69"/>
  <c r="F23" i="69"/>
  <c r="F22" i="69"/>
  <c r="F21" i="69"/>
  <c r="F20" i="69"/>
  <c r="F19" i="69"/>
  <c r="F18" i="69"/>
  <c r="F17" i="69"/>
  <c r="F16" i="69"/>
  <c r="F15" i="69"/>
  <c r="E30" i="69"/>
  <c r="E31" i="69"/>
  <c r="E29" i="69"/>
  <c r="E28" i="69"/>
  <c r="E27" i="69"/>
  <c r="E26" i="69"/>
  <c r="E25" i="69"/>
  <c r="E24" i="69"/>
  <c r="E23" i="69"/>
  <c r="E22" i="69"/>
  <c r="E21" i="69"/>
  <c r="E20" i="69"/>
  <c r="E19" i="69"/>
  <c r="E18" i="69"/>
  <c r="E17" i="69"/>
  <c r="E16" i="69"/>
  <c r="E15" i="69"/>
  <c r="D15" i="69"/>
  <c r="D16" i="69"/>
  <c r="D17" i="69"/>
  <c r="D18" i="69"/>
  <c r="D19" i="69"/>
  <c r="D20" i="69"/>
  <c r="D21" i="69"/>
  <c r="D22" i="69"/>
  <c r="D23" i="69"/>
  <c r="D24" i="69"/>
  <c r="D25" i="69"/>
  <c r="D26" i="69"/>
  <c r="D27" i="69"/>
  <c r="D28" i="69"/>
  <c r="D29" i="69"/>
  <c r="D30" i="69"/>
  <c r="D31" i="69"/>
  <c r="C30" i="69"/>
  <c r="C31" i="69"/>
  <c r="C29" i="69"/>
  <c r="C28" i="69"/>
  <c r="C27" i="69"/>
  <c r="C26" i="69"/>
  <c r="C25" i="69"/>
  <c r="C24" i="69"/>
  <c r="C23" i="69"/>
  <c r="C22" i="69"/>
  <c r="C21" i="69"/>
  <c r="C20" i="69"/>
  <c r="C19" i="69"/>
  <c r="C18" i="69"/>
  <c r="C17" i="69"/>
  <c r="C15" i="69"/>
  <c r="C16" i="69"/>
  <c r="G30" i="70"/>
  <c r="G31" i="70"/>
  <c r="G29" i="70"/>
  <c r="G28" i="70"/>
  <c r="G27" i="70"/>
  <c r="G26" i="70"/>
  <c r="G25" i="70"/>
  <c r="G24" i="70"/>
  <c r="G23" i="70"/>
  <c r="G22" i="70"/>
  <c r="G21" i="70"/>
  <c r="G20" i="70"/>
  <c r="G19" i="70"/>
  <c r="G18" i="70"/>
  <c r="G17" i="70"/>
  <c r="G16" i="70"/>
  <c r="G15" i="70"/>
  <c r="F30" i="70"/>
  <c r="F29" i="70"/>
  <c r="F31" i="70"/>
  <c r="F28" i="70"/>
  <c r="F27" i="70"/>
  <c r="F26" i="70"/>
  <c r="F25" i="70"/>
  <c r="F24" i="70"/>
  <c r="F23" i="70"/>
  <c r="F22" i="70"/>
  <c r="F21" i="70"/>
  <c r="F20" i="70"/>
  <c r="F19" i="70"/>
  <c r="F18" i="70"/>
  <c r="F17" i="70"/>
  <c r="F16" i="70"/>
  <c r="F15" i="70"/>
  <c r="E51" i="25"/>
  <c r="E15" i="70"/>
  <c r="D51" i="25"/>
  <c r="D13" i="33"/>
  <c r="C51" i="25"/>
  <c r="C13" i="33"/>
  <c r="E115" i="25"/>
  <c r="E17" i="70"/>
  <c r="D115" i="25"/>
  <c r="D17" i="70"/>
  <c r="D15" i="33"/>
  <c r="C115" i="25"/>
  <c r="C17" i="70"/>
  <c r="C147" i="25"/>
  <c r="C16" i="33"/>
  <c r="D147" i="25"/>
  <c r="D16" i="33"/>
  <c r="D18" i="70"/>
  <c r="E147" i="25"/>
  <c r="E16" i="33"/>
  <c r="E179" i="25"/>
  <c r="E19" i="70"/>
  <c r="D179" i="25"/>
  <c r="D17" i="33"/>
  <c r="C179" i="25"/>
  <c r="C19" i="70"/>
  <c r="C211" i="25"/>
  <c r="C20" i="70"/>
  <c r="D211" i="25"/>
  <c r="D20" i="70"/>
  <c r="E211" i="25"/>
  <c r="E20" i="70"/>
  <c r="E243" i="25"/>
  <c r="E21" i="70"/>
  <c r="D243" i="25"/>
  <c r="D21" i="70"/>
  <c r="C243" i="25"/>
  <c r="C21" i="70"/>
  <c r="C275" i="25"/>
  <c r="C20" i="33"/>
  <c r="D275" i="25"/>
  <c r="D22" i="70"/>
  <c r="E275" i="25"/>
  <c r="E22" i="70"/>
  <c r="E307" i="25"/>
  <c r="E21" i="33"/>
  <c r="D307" i="25"/>
  <c r="D21" i="33"/>
  <c r="D23" i="70"/>
  <c r="C307" i="25"/>
  <c r="C21" i="33"/>
  <c r="C339" i="25"/>
  <c r="C24" i="70"/>
  <c r="D339" i="25"/>
  <c r="D24" i="70"/>
  <c r="E339" i="25"/>
  <c r="E24" i="70"/>
  <c r="E371" i="25"/>
  <c r="E25" i="70"/>
  <c r="D371" i="25"/>
  <c r="D23" i="33"/>
  <c r="C371" i="25"/>
  <c r="C25" i="70"/>
  <c r="C403" i="25"/>
  <c r="C24" i="33"/>
  <c r="D403" i="25"/>
  <c r="D26" i="70"/>
  <c r="E403" i="25"/>
  <c r="E26" i="70"/>
  <c r="E435" i="25"/>
  <c r="E27" i="70"/>
  <c r="D435" i="25"/>
  <c r="D25" i="33"/>
  <c r="D27" i="70"/>
  <c r="C435" i="25"/>
  <c r="C27" i="70"/>
  <c r="C467" i="25"/>
  <c r="C28" i="70"/>
  <c r="D467" i="25"/>
  <c r="D26" i="33"/>
  <c r="D28" i="70"/>
  <c r="E467" i="25"/>
  <c r="E28" i="70"/>
  <c r="E499" i="25"/>
  <c r="E29" i="70"/>
  <c r="D499" i="25"/>
  <c r="D27" i="33"/>
  <c r="C499" i="25"/>
  <c r="C29" i="70"/>
  <c r="C531" i="25"/>
  <c r="C30" i="70"/>
  <c r="C31" i="70"/>
  <c r="C28" i="33"/>
  <c r="C29" i="33"/>
  <c r="D531" i="25"/>
  <c r="D30" i="70"/>
  <c r="D31" i="70"/>
  <c r="E531" i="25"/>
  <c r="E28" i="33"/>
  <c r="E29" i="33"/>
  <c r="C83" i="25"/>
  <c r="C16" i="70"/>
  <c r="D83" i="25"/>
  <c r="D16" i="70"/>
  <c r="E83" i="25"/>
  <c r="E16" i="70"/>
  <c r="E14" i="33"/>
  <c r="D15" i="73"/>
  <c r="L30" i="73"/>
  <c r="J30" i="73"/>
  <c r="H30" i="73"/>
  <c r="C30" i="73"/>
  <c r="F30" i="73"/>
  <c r="D30" i="73"/>
  <c r="L29" i="73"/>
  <c r="L31" i="73"/>
  <c r="J29" i="73"/>
  <c r="J31" i="73"/>
  <c r="H29" i="73"/>
  <c r="F29" i="73"/>
  <c r="F31" i="73"/>
  <c r="D29" i="73"/>
  <c r="L28" i="73"/>
  <c r="J28" i="73"/>
  <c r="H28" i="73"/>
  <c r="F28" i="73"/>
  <c r="D28" i="73"/>
  <c r="D31" i="73"/>
  <c r="L27" i="73"/>
  <c r="J27" i="73"/>
  <c r="H27" i="73"/>
  <c r="C27" i="73"/>
  <c r="F27" i="73"/>
  <c r="D27" i="73"/>
  <c r="L26" i="73"/>
  <c r="J26" i="73"/>
  <c r="H26" i="73"/>
  <c r="F26" i="73"/>
  <c r="D26" i="73"/>
  <c r="L25" i="73"/>
  <c r="J25" i="73"/>
  <c r="H25" i="73"/>
  <c r="F25" i="73"/>
  <c r="D25" i="73"/>
  <c r="L24" i="73"/>
  <c r="J24" i="73"/>
  <c r="H24" i="73"/>
  <c r="F24" i="73"/>
  <c r="C24" i="73"/>
  <c r="D24" i="73"/>
  <c r="L23" i="73"/>
  <c r="J23" i="73"/>
  <c r="H23" i="73"/>
  <c r="F23" i="73"/>
  <c r="D23" i="73"/>
  <c r="L22" i="73"/>
  <c r="J22" i="73"/>
  <c r="H22" i="73"/>
  <c r="F22" i="73"/>
  <c r="D22" i="73"/>
  <c r="L21" i="73"/>
  <c r="J21" i="73"/>
  <c r="H21" i="73"/>
  <c r="F21" i="73"/>
  <c r="D21" i="73"/>
  <c r="L20" i="73"/>
  <c r="J20" i="73"/>
  <c r="C20" i="73"/>
  <c r="H20" i="73"/>
  <c r="F20" i="73"/>
  <c r="D20" i="73"/>
  <c r="L19" i="73"/>
  <c r="J19" i="73"/>
  <c r="H19" i="73"/>
  <c r="F19" i="73"/>
  <c r="D19" i="73"/>
  <c r="L18" i="73"/>
  <c r="J18" i="73"/>
  <c r="H18" i="73"/>
  <c r="F18" i="73"/>
  <c r="D18" i="73"/>
  <c r="L17" i="73"/>
  <c r="J17" i="73"/>
  <c r="H17" i="73"/>
  <c r="F17" i="73"/>
  <c r="D17" i="73"/>
  <c r="L16" i="73"/>
  <c r="J16" i="73"/>
  <c r="H16" i="73"/>
  <c r="C16" i="73"/>
  <c r="K16" i="73"/>
  <c r="F16" i="73"/>
  <c r="D16" i="73"/>
  <c r="L15" i="73"/>
  <c r="J15" i="73"/>
  <c r="H15" i="73"/>
  <c r="F15" i="73"/>
  <c r="E20" i="24"/>
  <c r="D20" i="24"/>
  <c r="C147" i="24"/>
  <c r="E98" i="24"/>
  <c r="D98" i="24"/>
  <c r="D91" i="24"/>
  <c r="E93" i="24"/>
  <c r="D93" i="24"/>
  <c r="E147" i="24"/>
  <c r="E201" i="24"/>
  <c r="E255" i="24"/>
  <c r="E253" i="24"/>
  <c r="E309" i="24"/>
  <c r="E363" i="24"/>
  <c r="E417" i="24"/>
  <c r="E471" i="24"/>
  <c r="E525" i="24"/>
  <c r="E523" i="24"/>
  <c r="E579" i="24"/>
  <c r="E633" i="24"/>
  <c r="E631" i="24"/>
  <c r="E687" i="24"/>
  <c r="E741" i="24"/>
  <c r="E795" i="24"/>
  <c r="E849" i="24"/>
  <c r="E847" i="24"/>
  <c r="E903" i="24"/>
  <c r="E39" i="24"/>
  <c r="E40" i="24"/>
  <c r="E152" i="24"/>
  <c r="E206" i="24"/>
  <c r="E260" i="24"/>
  <c r="E314" i="24"/>
  <c r="E368" i="24"/>
  <c r="E361" i="24"/>
  <c r="E422" i="24"/>
  <c r="E476" i="24"/>
  <c r="E530" i="24"/>
  <c r="E584" i="24"/>
  <c r="E638" i="24"/>
  <c r="E692" i="24"/>
  <c r="E746" i="24"/>
  <c r="E44" i="24"/>
  <c r="E800" i="24"/>
  <c r="E854" i="24"/>
  <c r="E908" i="24"/>
  <c r="D147" i="24"/>
  <c r="D201" i="24"/>
  <c r="D255" i="24"/>
  <c r="D309" i="24"/>
  <c r="D363" i="24"/>
  <c r="D417" i="24"/>
  <c r="D471" i="24"/>
  <c r="D525" i="24"/>
  <c r="D579" i="24"/>
  <c r="D633" i="24"/>
  <c r="D687" i="24"/>
  <c r="D685" i="24"/>
  <c r="D741" i="24"/>
  <c r="D739" i="24"/>
  <c r="D795" i="24"/>
  <c r="D849" i="24"/>
  <c r="D903" i="24"/>
  <c r="D39" i="24"/>
  <c r="D152" i="24"/>
  <c r="D206" i="24"/>
  <c r="D260" i="24"/>
  <c r="D314" i="24"/>
  <c r="D368" i="24"/>
  <c r="D422" i="24"/>
  <c r="D476" i="24"/>
  <c r="D530" i="24"/>
  <c r="D584" i="24"/>
  <c r="D577" i="24"/>
  <c r="D638" i="24"/>
  <c r="D692" i="24"/>
  <c r="D746" i="24"/>
  <c r="D800" i="24"/>
  <c r="D793" i="24"/>
  <c r="D854" i="24"/>
  <c r="D908" i="24"/>
  <c r="D901" i="24"/>
  <c r="D37" i="24"/>
  <c r="E46" i="24"/>
  <c r="E47" i="24"/>
  <c r="E45" i="24"/>
  <c r="E48" i="24"/>
  <c r="D46" i="24"/>
  <c r="D47" i="24"/>
  <c r="D48" i="24"/>
  <c r="E41" i="24"/>
  <c r="E42" i="24"/>
  <c r="E43" i="24"/>
  <c r="D41" i="24"/>
  <c r="D42" i="24"/>
  <c r="D43" i="24"/>
  <c r="D40" i="24"/>
  <c r="E28" i="24"/>
  <c r="E29" i="24"/>
  <c r="E30" i="24"/>
  <c r="D28" i="24"/>
  <c r="D27" i="24"/>
  <c r="D29" i="24"/>
  <c r="D30" i="24"/>
  <c r="E25" i="24"/>
  <c r="E24" i="24"/>
  <c r="E23" i="24"/>
  <c r="D25" i="24"/>
  <c r="D22" i="24"/>
  <c r="D24" i="24"/>
  <c r="D23" i="24"/>
  <c r="B488" i="23"/>
  <c r="B428" i="23"/>
  <c r="B368" i="23"/>
  <c r="B308" i="23"/>
  <c r="B248" i="23"/>
  <c r="B188" i="23"/>
  <c r="B128" i="23"/>
  <c r="B68" i="23"/>
  <c r="E505" i="23"/>
  <c r="E475" i="23"/>
  <c r="E445" i="23"/>
  <c r="E415" i="23"/>
  <c r="E385" i="23"/>
  <c r="E355" i="23"/>
  <c r="E325" i="23"/>
  <c r="E295" i="23"/>
  <c r="E265" i="23"/>
  <c r="E235" i="23"/>
  <c r="E205" i="23"/>
  <c r="E175" i="23"/>
  <c r="E145" i="23"/>
  <c r="E115" i="23"/>
  <c r="E55" i="23"/>
  <c r="E85" i="23"/>
  <c r="E15" i="23"/>
  <c r="E18" i="23"/>
  <c r="E16" i="23"/>
  <c r="E17" i="23"/>
  <c r="D15" i="23"/>
  <c r="D18" i="23"/>
  <c r="D16" i="23"/>
  <c r="D17" i="23"/>
  <c r="C15" i="23"/>
  <c r="C18" i="23"/>
  <c r="C16" i="23"/>
  <c r="C17" i="23"/>
  <c r="D19" i="23"/>
  <c r="C19" i="23"/>
  <c r="G95" i="29"/>
  <c r="C14" i="35"/>
  <c r="G98" i="29"/>
  <c r="E14" i="35"/>
  <c r="G99" i="29"/>
  <c r="F14" i="35"/>
  <c r="G174" i="29"/>
  <c r="E15" i="35"/>
  <c r="G175" i="29"/>
  <c r="F15" i="35"/>
  <c r="G171" i="29"/>
  <c r="C15" i="35"/>
  <c r="G250" i="29"/>
  <c r="E16" i="35"/>
  <c r="D16" i="35"/>
  <c r="G251" i="29"/>
  <c r="F16" i="35"/>
  <c r="G247" i="29"/>
  <c r="C16" i="35"/>
  <c r="G326" i="29"/>
  <c r="E17" i="35"/>
  <c r="G327" i="29"/>
  <c r="F17" i="35"/>
  <c r="G323" i="29"/>
  <c r="C17" i="35"/>
  <c r="G399" i="29"/>
  <c r="C18" i="35"/>
  <c r="G402" i="29"/>
  <c r="E18" i="35"/>
  <c r="G403" i="29"/>
  <c r="F18" i="35"/>
  <c r="G475" i="29"/>
  <c r="C19" i="35"/>
  <c r="G478" i="29"/>
  <c r="E19" i="35"/>
  <c r="D19" i="35"/>
  <c r="G479" i="29"/>
  <c r="F19" i="35"/>
  <c r="G551" i="29"/>
  <c r="C20" i="35"/>
  <c r="G554" i="29"/>
  <c r="E20" i="35"/>
  <c r="G555" i="29"/>
  <c r="F20" i="35"/>
  <c r="G627" i="29"/>
  <c r="C21" i="35"/>
  <c r="G630" i="29"/>
  <c r="E21" i="35"/>
  <c r="G631" i="29"/>
  <c r="F21" i="35"/>
  <c r="G703" i="29"/>
  <c r="C22" i="35"/>
  <c r="G706" i="29"/>
  <c r="E22" i="35"/>
  <c r="G707" i="29"/>
  <c r="F22" i="35"/>
  <c r="D22" i="35"/>
  <c r="G22" i="35"/>
  <c r="G779" i="29"/>
  <c r="C23" i="35"/>
  <c r="G782" i="29"/>
  <c r="E23" i="35"/>
  <c r="D23" i="35"/>
  <c r="G23" i="35"/>
  <c r="G783" i="29"/>
  <c r="F23" i="35"/>
  <c r="G855" i="29"/>
  <c r="C24" i="35"/>
  <c r="G858" i="29"/>
  <c r="E24" i="35"/>
  <c r="G859" i="29"/>
  <c r="F24" i="35"/>
  <c r="D24" i="35"/>
  <c r="G931" i="29"/>
  <c r="C25" i="35"/>
  <c r="G934" i="29"/>
  <c r="E25" i="35"/>
  <c r="E30" i="35"/>
  <c r="G935" i="29"/>
  <c r="F25" i="35"/>
  <c r="G1007" i="29"/>
  <c r="C26" i="35"/>
  <c r="C30" i="35"/>
  <c r="G1010" i="29"/>
  <c r="E26" i="35"/>
  <c r="G1011" i="29"/>
  <c r="F26" i="35"/>
  <c r="G1083" i="29"/>
  <c r="G1086" i="29"/>
  <c r="E27" i="35"/>
  <c r="D27" i="35"/>
  <c r="G1087" i="29"/>
  <c r="F27" i="35"/>
  <c r="G1159" i="29"/>
  <c r="C28" i="35"/>
  <c r="G1162" i="29"/>
  <c r="E28" i="35"/>
  <c r="D28" i="35"/>
  <c r="G1163" i="29"/>
  <c r="F28" i="35"/>
  <c r="G1235" i="29"/>
  <c r="C29" i="35"/>
  <c r="G1238" i="29"/>
  <c r="E29" i="35"/>
  <c r="G1239" i="29"/>
  <c r="F29" i="35"/>
  <c r="G102" i="29"/>
  <c r="I14" i="35"/>
  <c r="G103" i="29"/>
  <c r="J14" i="35"/>
  <c r="G104" i="29"/>
  <c r="K14" i="35"/>
  <c r="G105" i="29"/>
  <c r="L14" i="35"/>
  <c r="G181" i="29"/>
  <c r="L15" i="35"/>
  <c r="G257" i="29"/>
  <c r="L16" i="35"/>
  <c r="G333" i="29"/>
  <c r="L17" i="35"/>
  <c r="G409" i="29"/>
  <c r="L18" i="35"/>
  <c r="H18" i="35"/>
  <c r="G485" i="29"/>
  <c r="L19" i="35"/>
  <c r="G561" i="29"/>
  <c r="L20" i="35"/>
  <c r="G637" i="29"/>
  <c r="L21" i="35"/>
  <c r="G713" i="29"/>
  <c r="L22" i="35"/>
  <c r="G789" i="29"/>
  <c r="L23" i="35"/>
  <c r="G865" i="29"/>
  <c r="L24" i="35"/>
  <c r="G941" i="29"/>
  <c r="L25" i="35"/>
  <c r="G1017" i="29"/>
  <c r="L26" i="35"/>
  <c r="G1093" i="29"/>
  <c r="L27" i="35"/>
  <c r="G1169" i="29"/>
  <c r="L28" i="35"/>
  <c r="G1245" i="29"/>
  <c r="L29" i="35"/>
  <c r="G178" i="29"/>
  <c r="I15" i="35"/>
  <c r="G180" i="29"/>
  <c r="K15" i="35"/>
  <c r="G179" i="29"/>
  <c r="J15" i="35"/>
  <c r="G254" i="29"/>
  <c r="I16" i="35"/>
  <c r="G256" i="29"/>
  <c r="K16" i="35"/>
  <c r="G255" i="29"/>
  <c r="J16" i="35"/>
  <c r="G330" i="29"/>
  <c r="I17" i="35"/>
  <c r="G332" i="29"/>
  <c r="K17" i="35"/>
  <c r="G331" i="29"/>
  <c r="J17" i="35"/>
  <c r="G406" i="29"/>
  <c r="I18" i="35"/>
  <c r="G408" i="29"/>
  <c r="K18" i="35"/>
  <c r="G407" i="29"/>
  <c r="J18" i="35"/>
  <c r="G482" i="29"/>
  <c r="I19" i="35"/>
  <c r="I30" i="35"/>
  <c r="G484" i="29"/>
  <c r="K19" i="35"/>
  <c r="G483" i="29"/>
  <c r="J19" i="35"/>
  <c r="G558" i="29"/>
  <c r="I20" i="35"/>
  <c r="G560" i="29"/>
  <c r="K20" i="35"/>
  <c r="G559" i="29"/>
  <c r="J20" i="35"/>
  <c r="G634" i="29"/>
  <c r="I21" i="35"/>
  <c r="G636" i="29"/>
  <c r="K21" i="35"/>
  <c r="G635" i="29"/>
  <c r="J21" i="35"/>
  <c r="G710" i="29"/>
  <c r="I22" i="35"/>
  <c r="G712" i="29"/>
  <c r="K22" i="35"/>
  <c r="G711" i="29"/>
  <c r="J22" i="35"/>
  <c r="G786" i="29"/>
  <c r="I23" i="35"/>
  <c r="G788" i="29"/>
  <c r="K23" i="35"/>
  <c r="G787" i="29"/>
  <c r="J23" i="35"/>
  <c r="G862" i="29"/>
  <c r="I24" i="35"/>
  <c r="G864" i="29"/>
  <c r="K24" i="35"/>
  <c r="G863" i="29"/>
  <c r="J24" i="35"/>
  <c r="G938" i="29"/>
  <c r="I25" i="35"/>
  <c r="G940" i="29"/>
  <c r="K25" i="35"/>
  <c r="H25" i="35"/>
  <c r="G939" i="29"/>
  <c r="J25" i="35"/>
  <c r="G1014" i="29"/>
  <c r="I26" i="35"/>
  <c r="H26" i="35"/>
  <c r="G1016" i="29"/>
  <c r="K26" i="35"/>
  <c r="G1015" i="29"/>
  <c r="J26" i="35"/>
  <c r="G1090" i="29"/>
  <c r="I27" i="35"/>
  <c r="G1092" i="29"/>
  <c r="K27" i="35"/>
  <c r="G1091" i="29"/>
  <c r="J27" i="35"/>
  <c r="G1166" i="29"/>
  <c r="I28" i="35"/>
  <c r="G1168" i="29"/>
  <c r="K28" i="35"/>
  <c r="G1167" i="29"/>
  <c r="J28" i="35"/>
  <c r="G1242" i="29"/>
  <c r="I29" i="35"/>
  <c r="G1244" i="29"/>
  <c r="K29" i="35"/>
  <c r="G1243" i="29"/>
  <c r="J29" i="35"/>
  <c r="I910" i="29"/>
  <c r="H986" i="29"/>
  <c r="I61" i="29"/>
  <c r="H61" i="29"/>
  <c r="I54" i="29"/>
  <c r="H54" i="29"/>
  <c r="G54" i="29"/>
  <c r="I52" i="29"/>
  <c r="H52" i="29"/>
  <c r="I363" i="29"/>
  <c r="H363" i="29"/>
  <c r="I325" i="29"/>
  <c r="H325" i="29"/>
  <c r="I287" i="29"/>
  <c r="H287" i="29"/>
  <c r="G252" i="29"/>
  <c r="I211" i="29"/>
  <c r="H211" i="29"/>
  <c r="I135" i="29"/>
  <c r="G100" i="29"/>
  <c r="I933" i="29"/>
  <c r="H553" i="29"/>
  <c r="D24" i="16"/>
  <c r="E24" i="16"/>
  <c r="K570" i="17"/>
  <c r="J567" i="17"/>
  <c r="J568" i="17"/>
  <c r="J570" i="17"/>
  <c r="J571" i="17"/>
  <c r="K533" i="17"/>
  <c r="K536" i="17"/>
  <c r="K537" i="17"/>
  <c r="J535" i="17"/>
  <c r="J536" i="17"/>
  <c r="K500" i="17"/>
  <c r="K501" i="17"/>
  <c r="J499" i="17"/>
  <c r="K468" i="17"/>
  <c r="K465" i="17"/>
  <c r="J468" i="17"/>
  <c r="J432" i="17"/>
  <c r="J433" i="17"/>
  <c r="J434" i="17"/>
  <c r="K398" i="17"/>
  <c r="K401" i="17"/>
  <c r="J397" i="17"/>
  <c r="J398" i="17"/>
  <c r="J401" i="17"/>
  <c r="K365" i="17"/>
  <c r="J363" i="17"/>
  <c r="J364" i="17"/>
  <c r="J366" i="17"/>
  <c r="K332" i="17"/>
  <c r="K333" i="17"/>
  <c r="J329" i="17"/>
  <c r="J331" i="17"/>
  <c r="J332" i="17"/>
  <c r="K296" i="17"/>
  <c r="K297" i="17"/>
  <c r="K299" i="17"/>
  <c r="J295" i="17"/>
  <c r="J296" i="17"/>
  <c r="J297" i="17"/>
  <c r="J299" i="17"/>
  <c r="K263" i="17"/>
  <c r="J261" i="17"/>
  <c r="J262" i="17"/>
  <c r="J264" i="17"/>
  <c r="J265" i="17"/>
  <c r="K227" i="17"/>
  <c r="K229" i="17"/>
  <c r="K231" i="17"/>
  <c r="J227" i="17"/>
  <c r="J228" i="17"/>
  <c r="K193" i="17"/>
  <c r="K195" i="17"/>
  <c r="J194" i="17"/>
  <c r="H24" i="17"/>
  <c r="F24" i="17"/>
  <c r="F26" i="17"/>
  <c r="H26" i="17"/>
  <c r="F27" i="17"/>
  <c r="H27" i="17"/>
  <c r="F25" i="17"/>
  <c r="H25" i="17"/>
  <c r="F23" i="17"/>
  <c r="H23" i="17"/>
  <c r="K59" i="17"/>
  <c r="K60" i="17"/>
  <c r="J57" i="17"/>
  <c r="J58" i="17"/>
  <c r="J59" i="17"/>
  <c r="J93" i="17"/>
  <c r="K127" i="17"/>
  <c r="K128" i="17"/>
  <c r="J125" i="17"/>
  <c r="J128" i="17"/>
  <c r="J159" i="17"/>
  <c r="J160" i="17"/>
  <c r="J161" i="17"/>
  <c r="J162" i="17"/>
  <c r="J163" i="17"/>
  <c r="D26" i="18"/>
  <c r="D25" i="18"/>
  <c r="D24" i="18"/>
  <c r="D23" i="18"/>
  <c r="D22" i="18"/>
  <c r="D21" i="18"/>
  <c r="E16" i="25"/>
  <c r="E17" i="25"/>
  <c r="E18" i="25"/>
  <c r="D16" i="25"/>
  <c r="D17" i="25"/>
  <c r="D18" i="25"/>
  <c r="D19" i="25"/>
  <c r="C16" i="25"/>
  <c r="C17" i="25"/>
  <c r="C18" i="25"/>
  <c r="D20" i="25"/>
  <c r="C20" i="25"/>
  <c r="C26" i="20"/>
  <c r="C436" i="20"/>
  <c r="C404" i="20"/>
  <c r="C308" i="20"/>
  <c r="C276" i="20"/>
  <c r="C212" i="20"/>
  <c r="C180" i="20"/>
  <c r="C84" i="20"/>
  <c r="C52" i="20"/>
  <c r="D25" i="22"/>
  <c r="D24" i="22"/>
  <c r="D23" i="22"/>
  <c r="D22" i="22"/>
  <c r="D21" i="22"/>
  <c r="D531" i="22"/>
  <c r="D499" i="22"/>
  <c r="D467" i="22"/>
  <c r="D435" i="22"/>
  <c r="D403" i="22"/>
  <c r="D371" i="22"/>
  <c r="D339" i="22"/>
  <c r="D307" i="22"/>
  <c r="D275" i="22"/>
  <c r="D243" i="22"/>
  <c r="D211" i="22"/>
  <c r="D179" i="22"/>
  <c r="D147" i="22"/>
  <c r="D115" i="22"/>
  <c r="D83" i="22"/>
  <c r="D51" i="22"/>
  <c r="AB29" i="31"/>
  <c r="AP29" i="31"/>
  <c r="AP30" i="31"/>
  <c r="BD29" i="31"/>
  <c r="BD30" i="31"/>
  <c r="AV30" i="31"/>
  <c r="BR29" i="31"/>
  <c r="BJ29" i="31"/>
  <c r="CF29" i="31"/>
  <c r="BX29" i="31"/>
  <c r="CT29" i="31"/>
  <c r="DH29" i="31"/>
  <c r="CZ29" i="31"/>
  <c r="DV29" i="31"/>
  <c r="EJ29" i="31"/>
  <c r="EX29" i="31"/>
  <c r="AA29" i="31"/>
  <c r="AO29" i="31"/>
  <c r="AO30" i="31"/>
  <c r="BC29" i="31"/>
  <c r="BQ29" i="31"/>
  <c r="CE29" i="31"/>
  <c r="CS29" i="31"/>
  <c r="CS30" i="31"/>
  <c r="CK30" i="31"/>
  <c r="DG29" i="31"/>
  <c r="DU29" i="31"/>
  <c r="EI29" i="31"/>
  <c r="EI30" i="31"/>
  <c r="EW29" i="31"/>
  <c r="X29" i="31"/>
  <c r="T29" i="31"/>
  <c r="AL29" i="31"/>
  <c r="AH29" i="31"/>
  <c r="AZ29" i="31"/>
  <c r="BN29" i="31"/>
  <c r="CB29" i="31"/>
  <c r="CP29" i="31"/>
  <c r="DD29" i="31"/>
  <c r="DR29" i="31"/>
  <c r="DR30" i="31"/>
  <c r="DN30" i="31"/>
  <c r="EF29" i="31"/>
  <c r="EB29" i="31"/>
  <c r="ET29" i="31"/>
  <c r="W29" i="31"/>
  <c r="AK29" i="31"/>
  <c r="AK30" i="31"/>
  <c r="AY29" i="31"/>
  <c r="AU29" i="31"/>
  <c r="BM29" i="31"/>
  <c r="BM30" i="31"/>
  <c r="CA29" i="31"/>
  <c r="CO29" i="31"/>
  <c r="DC29" i="31"/>
  <c r="CY29" i="31"/>
  <c r="DQ29" i="31"/>
  <c r="DM29" i="31"/>
  <c r="EE29" i="31"/>
  <c r="EA29" i="31"/>
  <c r="ES29" i="31"/>
  <c r="AB28" i="31"/>
  <c r="AB30" i="31"/>
  <c r="AP28" i="31"/>
  <c r="BD28" i="31"/>
  <c r="AV28" i="31"/>
  <c r="BR28" i="31"/>
  <c r="CF28" i="31"/>
  <c r="CT28" i="31"/>
  <c r="DH28" i="31"/>
  <c r="DV28" i="31"/>
  <c r="EJ28" i="31"/>
  <c r="EX28" i="31"/>
  <c r="EP28" i="31"/>
  <c r="AA28" i="31"/>
  <c r="AO28" i="31"/>
  <c r="BC28" i="31"/>
  <c r="BQ28" i="31"/>
  <c r="CE28" i="31"/>
  <c r="CS28" i="31"/>
  <c r="DG28" i="31"/>
  <c r="DU28" i="31"/>
  <c r="EI28" i="31"/>
  <c r="EW28" i="31"/>
  <c r="X28" i="31"/>
  <c r="T28" i="31"/>
  <c r="AL28" i="31"/>
  <c r="AH28" i="31"/>
  <c r="AZ28" i="31"/>
  <c r="BN28" i="31"/>
  <c r="BN30" i="31"/>
  <c r="CB28" i="31"/>
  <c r="BX28" i="31"/>
  <c r="CP28" i="31"/>
  <c r="CP30" i="31"/>
  <c r="CL30" i="31"/>
  <c r="DD28" i="31"/>
  <c r="CZ28" i="31"/>
  <c r="DR28" i="31"/>
  <c r="DN28" i="31"/>
  <c r="EF28" i="31"/>
  <c r="ET28" i="31"/>
  <c r="ET30" i="31"/>
  <c r="EP30" i="31"/>
  <c r="W28" i="31"/>
  <c r="AK28" i="31"/>
  <c r="AG28" i="31"/>
  <c r="AY28" i="31"/>
  <c r="AY30" i="31"/>
  <c r="BM28" i="31"/>
  <c r="BI28" i="31"/>
  <c r="CA28" i="31"/>
  <c r="CO28" i="31"/>
  <c r="CO30" i="31"/>
  <c r="DC28" i="31"/>
  <c r="DC30" i="31"/>
  <c r="CY30" i="31"/>
  <c r="CY28" i="31"/>
  <c r="DQ28" i="31"/>
  <c r="EE28" i="31"/>
  <c r="EA28" i="31"/>
  <c r="ES28" i="31"/>
  <c r="EO28" i="31"/>
  <c r="AB27" i="31"/>
  <c r="T27" i="31"/>
  <c r="AP27" i="31"/>
  <c r="AH27" i="31"/>
  <c r="BD27" i="31"/>
  <c r="BR27" i="31"/>
  <c r="CF27" i="31"/>
  <c r="CT27" i="31"/>
  <c r="DH27" i="31"/>
  <c r="DV27" i="31"/>
  <c r="EJ27" i="31"/>
  <c r="EJ30" i="31"/>
  <c r="EX27" i="31"/>
  <c r="AA27" i="31"/>
  <c r="AA30" i="31"/>
  <c r="AO27" i="31"/>
  <c r="BC27" i="31"/>
  <c r="BQ27" i="31"/>
  <c r="CE27" i="31"/>
  <c r="CS27" i="31"/>
  <c r="DG27" i="31"/>
  <c r="CY27" i="31"/>
  <c r="DU27" i="31"/>
  <c r="EI27" i="31"/>
  <c r="EW27" i="31"/>
  <c r="X27" i="31"/>
  <c r="AL27" i="31"/>
  <c r="AZ27" i="31"/>
  <c r="AZ30" i="31"/>
  <c r="BN27" i="31"/>
  <c r="CB27" i="31"/>
  <c r="CP27" i="31"/>
  <c r="DD27" i="31"/>
  <c r="CZ27" i="31"/>
  <c r="DR27" i="31"/>
  <c r="EF27" i="31"/>
  <c r="ET27" i="31"/>
  <c r="W27" i="31"/>
  <c r="AK27" i="31"/>
  <c r="AY27" i="31"/>
  <c r="BM27" i="31"/>
  <c r="BI27" i="31"/>
  <c r="CA27" i="31"/>
  <c r="CO27" i="31"/>
  <c r="DC27" i="31"/>
  <c r="DQ27" i="31"/>
  <c r="EE27" i="31"/>
  <c r="ES27" i="31"/>
  <c r="EO27" i="31"/>
  <c r="AB26" i="31"/>
  <c r="AP26" i="31"/>
  <c r="BD26" i="31"/>
  <c r="BR26" i="31"/>
  <c r="CF26" i="31"/>
  <c r="CT26" i="31"/>
  <c r="DH26" i="31"/>
  <c r="DV26" i="31"/>
  <c r="N26" i="31"/>
  <c r="EJ26" i="31"/>
  <c r="EX26" i="31"/>
  <c r="AA26" i="31"/>
  <c r="AO26" i="31"/>
  <c r="BC26" i="31"/>
  <c r="BQ26" i="31"/>
  <c r="CE26" i="31"/>
  <c r="CS26" i="31"/>
  <c r="DG26" i="31"/>
  <c r="DU26" i="31"/>
  <c r="EI26" i="31"/>
  <c r="EW26" i="31"/>
  <c r="X26" i="31"/>
  <c r="T26" i="31"/>
  <c r="AL26" i="31"/>
  <c r="AZ26" i="31"/>
  <c r="AV26" i="31"/>
  <c r="BN26" i="31"/>
  <c r="BJ26" i="31"/>
  <c r="CB26" i="31"/>
  <c r="CB30" i="31"/>
  <c r="CP26" i="31"/>
  <c r="DD26" i="31"/>
  <c r="DR26" i="31"/>
  <c r="EF26" i="31"/>
  <c r="ET26" i="31"/>
  <c r="W26" i="31"/>
  <c r="AK26" i="31"/>
  <c r="AY26" i="31"/>
  <c r="BM26" i="31"/>
  <c r="BI26" i="31"/>
  <c r="CA26" i="31"/>
  <c r="CO26" i="31"/>
  <c r="DC26" i="31"/>
  <c r="DQ26" i="31"/>
  <c r="EE26" i="31"/>
  <c r="EA26" i="31"/>
  <c r="ES26" i="31"/>
  <c r="AB25" i="31"/>
  <c r="AP25" i="31"/>
  <c r="BD25" i="31"/>
  <c r="BR25" i="31"/>
  <c r="CF25" i="31"/>
  <c r="CT25" i="31"/>
  <c r="DH25" i="31"/>
  <c r="DV25" i="31"/>
  <c r="EJ25" i="31"/>
  <c r="EX25" i="31"/>
  <c r="AA25" i="31"/>
  <c r="AO25" i="31"/>
  <c r="BC25" i="31"/>
  <c r="BQ25" i="31"/>
  <c r="CE25" i="31"/>
  <c r="CS25" i="31"/>
  <c r="DG25" i="31"/>
  <c r="DU25" i="31"/>
  <c r="EI25" i="31"/>
  <c r="EW25" i="31"/>
  <c r="X25" i="31"/>
  <c r="T25" i="31"/>
  <c r="AL25" i="31"/>
  <c r="AZ25" i="31"/>
  <c r="BN25" i="31"/>
  <c r="CB25" i="31"/>
  <c r="BX25" i="31"/>
  <c r="CP25" i="31"/>
  <c r="CL25" i="31"/>
  <c r="DD25" i="31"/>
  <c r="CZ25" i="31"/>
  <c r="DR25" i="31"/>
  <c r="DN25" i="31"/>
  <c r="EF25" i="31"/>
  <c r="ET25" i="31"/>
  <c r="EP25" i="31"/>
  <c r="W25" i="31"/>
  <c r="AK25" i="31"/>
  <c r="AY25" i="31"/>
  <c r="BM25" i="31"/>
  <c r="CA25" i="31"/>
  <c r="BW25" i="31"/>
  <c r="CO25" i="31"/>
  <c r="DC25" i="31"/>
  <c r="DQ25" i="31"/>
  <c r="DM25" i="31"/>
  <c r="EE25" i="31"/>
  <c r="ES25" i="31"/>
  <c r="AB24" i="31"/>
  <c r="AP24" i="31"/>
  <c r="BD24" i="31"/>
  <c r="BR24" i="31"/>
  <c r="CF24" i="31"/>
  <c r="CT24" i="31"/>
  <c r="DH24" i="31"/>
  <c r="CZ24" i="31"/>
  <c r="DV24" i="31"/>
  <c r="EJ24" i="31"/>
  <c r="EX24" i="31"/>
  <c r="AA24" i="31"/>
  <c r="AO24" i="31"/>
  <c r="BC24" i="31"/>
  <c r="BQ24" i="31"/>
  <c r="BI24" i="31"/>
  <c r="CE24" i="31"/>
  <c r="CS24" i="31"/>
  <c r="DG24" i="31"/>
  <c r="DU24" i="31"/>
  <c r="EI24" i="31"/>
  <c r="EA24" i="31"/>
  <c r="EW24" i="31"/>
  <c r="X24" i="31"/>
  <c r="AL24" i="31"/>
  <c r="AZ24" i="31"/>
  <c r="BN24" i="31"/>
  <c r="CB24" i="31"/>
  <c r="BX24" i="31"/>
  <c r="CP24" i="31"/>
  <c r="DD24" i="31"/>
  <c r="DR24" i="31"/>
  <c r="EF24" i="31"/>
  <c r="EB24" i="31"/>
  <c r="ET24" i="31"/>
  <c r="W24" i="31"/>
  <c r="S24" i="31"/>
  <c r="AK24" i="31"/>
  <c r="AG24" i="31"/>
  <c r="AY24" i="31"/>
  <c r="AU24" i="31"/>
  <c r="BM24" i="31"/>
  <c r="CA24" i="31"/>
  <c r="CO24" i="31"/>
  <c r="CK24" i="31"/>
  <c r="DC24" i="31"/>
  <c r="DQ24" i="31"/>
  <c r="EE24" i="31"/>
  <c r="ES24" i="31"/>
  <c r="EO24" i="31"/>
  <c r="AB23" i="31"/>
  <c r="AP23" i="31"/>
  <c r="BD23" i="31"/>
  <c r="BR23" i="31"/>
  <c r="CF23" i="31"/>
  <c r="CT23" i="31"/>
  <c r="DH23" i="31"/>
  <c r="DV23" i="31"/>
  <c r="EJ23" i="31"/>
  <c r="EX23" i="31"/>
  <c r="AA23" i="31"/>
  <c r="S23" i="31"/>
  <c r="AO23" i="31"/>
  <c r="AG23" i="31"/>
  <c r="BC23" i="31"/>
  <c r="BC30" i="31"/>
  <c r="BQ23" i="31"/>
  <c r="CE23" i="31"/>
  <c r="CS23" i="31"/>
  <c r="DG23" i="31"/>
  <c r="DU23" i="31"/>
  <c r="EI23" i="31"/>
  <c r="EW23" i="31"/>
  <c r="X23" i="31"/>
  <c r="AL23" i="31"/>
  <c r="AZ23" i="31"/>
  <c r="BN23" i="31"/>
  <c r="CB23" i="31"/>
  <c r="CP23" i="31"/>
  <c r="CL23" i="31"/>
  <c r="DD23" i="31"/>
  <c r="CZ23" i="31"/>
  <c r="DR23" i="31"/>
  <c r="EF23" i="31"/>
  <c r="EB23" i="31"/>
  <c r="ET23" i="31"/>
  <c r="W23" i="31"/>
  <c r="AK23" i="31"/>
  <c r="AY23" i="31"/>
  <c r="BM23" i="31"/>
  <c r="CA23" i="31"/>
  <c r="CO23" i="31"/>
  <c r="CK23" i="31"/>
  <c r="DC23" i="31"/>
  <c r="CY23" i="31"/>
  <c r="DQ23" i="31"/>
  <c r="DQ30" i="31"/>
  <c r="EE23" i="31"/>
  <c r="ES23" i="31"/>
  <c r="AB22" i="31"/>
  <c r="AP22" i="31"/>
  <c r="BD22" i="31"/>
  <c r="BR22" i="31"/>
  <c r="BJ22" i="31"/>
  <c r="CF22" i="31"/>
  <c r="CT22" i="31"/>
  <c r="DH22" i="31"/>
  <c r="DV22" i="31"/>
  <c r="EJ22" i="31"/>
  <c r="EX22" i="31"/>
  <c r="AA22" i="31"/>
  <c r="AO22" i="31"/>
  <c r="BC22" i="31"/>
  <c r="BQ22" i="31"/>
  <c r="CE22" i="31"/>
  <c r="CS22" i="31"/>
  <c r="CK22" i="31"/>
  <c r="DG22" i="31"/>
  <c r="DU22" i="31"/>
  <c r="EI22" i="31"/>
  <c r="EW22" i="31"/>
  <c r="X22" i="31"/>
  <c r="X30" i="31"/>
  <c r="AL22" i="31"/>
  <c r="AH22" i="31"/>
  <c r="AZ22" i="31"/>
  <c r="AV22" i="31"/>
  <c r="BN22" i="31"/>
  <c r="CB22" i="31"/>
  <c r="BX22" i="31"/>
  <c r="CP22" i="31"/>
  <c r="CL22" i="31"/>
  <c r="DD22" i="31"/>
  <c r="DR22" i="31"/>
  <c r="EF22" i="31"/>
  <c r="ET22" i="31"/>
  <c r="W22" i="31"/>
  <c r="S22" i="31"/>
  <c r="AK22" i="31"/>
  <c r="AY22" i="31"/>
  <c r="BM22" i="31"/>
  <c r="CA22" i="31"/>
  <c r="CA30" i="31"/>
  <c r="CO22" i="31"/>
  <c r="DC22" i="31"/>
  <c r="CY22" i="31"/>
  <c r="DQ22" i="31"/>
  <c r="EE22" i="31"/>
  <c r="EA22" i="31"/>
  <c r="ES22" i="31"/>
  <c r="AB21" i="31"/>
  <c r="T21" i="31"/>
  <c r="AP21" i="31"/>
  <c r="BD21" i="31"/>
  <c r="BR21" i="31"/>
  <c r="CF21" i="31"/>
  <c r="CT21" i="31"/>
  <c r="DH21" i="31"/>
  <c r="CZ21" i="31"/>
  <c r="DV21" i="31"/>
  <c r="EJ21" i="31"/>
  <c r="EB21" i="31"/>
  <c r="EX21" i="31"/>
  <c r="AA21" i="31"/>
  <c r="AO21" i="31"/>
  <c r="BC21" i="31"/>
  <c r="BQ21" i="31"/>
  <c r="CE21" i="31"/>
  <c r="CS21" i="31"/>
  <c r="DG21" i="31"/>
  <c r="DU21" i="31"/>
  <c r="EI21" i="31"/>
  <c r="EW21" i="31"/>
  <c r="X21" i="31"/>
  <c r="AL21" i="31"/>
  <c r="AH21" i="31"/>
  <c r="AZ21" i="31"/>
  <c r="AV21" i="31"/>
  <c r="BN21" i="31"/>
  <c r="CB21" i="31"/>
  <c r="CP21" i="31"/>
  <c r="CL21" i="31"/>
  <c r="DD21" i="31"/>
  <c r="DR21" i="31"/>
  <c r="DN21" i="31"/>
  <c r="EF21" i="31"/>
  <c r="ET21" i="31"/>
  <c r="W21" i="31"/>
  <c r="S21" i="31"/>
  <c r="AK21" i="31"/>
  <c r="AG21" i="31"/>
  <c r="AY21" i="31"/>
  <c r="BM21" i="31"/>
  <c r="CA21" i="31"/>
  <c r="BW21" i="31"/>
  <c r="CO21" i="31"/>
  <c r="DC21" i="31"/>
  <c r="DQ21" i="31"/>
  <c r="EE21" i="31"/>
  <c r="EA21" i="31"/>
  <c r="ES21" i="31"/>
  <c r="EO21" i="31"/>
  <c r="AB20" i="31"/>
  <c r="AP20" i="31"/>
  <c r="BD20" i="31"/>
  <c r="BR20" i="31"/>
  <c r="CF20" i="31"/>
  <c r="CT20" i="31"/>
  <c r="DH20" i="31"/>
  <c r="DV20" i="31"/>
  <c r="EJ20" i="31"/>
  <c r="EX20" i="31"/>
  <c r="AA20" i="31"/>
  <c r="S20" i="31"/>
  <c r="AO20" i="31"/>
  <c r="BC20" i="31"/>
  <c r="BQ20" i="31"/>
  <c r="CE20" i="31"/>
  <c r="CS20" i="31"/>
  <c r="DG20" i="31"/>
  <c r="DU20" i="31"/>
  <c r="EI20" i="31"/>
  <c r="EA20" i="31"/>
  <c r="EW20" i="31"/>
  <c r="X20" i="31"/>
  <c r="AL20" i="31"/>
  <c r="AZ20" i="31"/>
  <c r="BN20" i="31"/>
  <c r="CB20" i="31"/>
  <c r="CP20" i="31"/>
  <c r="DD20" i="31"/>
  <c r="CZ20" i="31"/>
  <c r="DR20" i="31"/>
  <c r="EF20" i="31"/>
  <c r="ET20" i="31"/>
  <c r="EP20" i="31"/>
  <c r="W20" i="31"/>
  <c r="AK20" i="31"/>
  <c r="AY20" i="31"/>
  <c r="BM20" i="31"/>
  <c r="BI20" i="31"/>
  <c r="CA20" i="31"/>
  <c r="CO20" i="31"/>
  <c r="DC20" i="31"/>
  <c r="DQ20" i="31"/>
  <c r="EE20" i="31"/>
  <c r="ES20" i="31"/>
  <c r="EB20" i="31"/>
  <c r="AB19" i="31"/>
  <c r="AP19" i="31"/>
  <c r="BD19" i="31"/>
  <c r="BR19" i="31"/>
  <c r="CF19" i="31"/>
  <c r="CT19" i="31"/>
  <c r="DH19" i="31"/>
  <c r="DV19" i="31"/>
  <c r="EJ19" i="31"/>
  <c r="EB19" i="31"/>
  <c r="EX19" i="31"/>
  <c r="EP19" i="31"/>
  <c r="AA19" i="31"/>
  <c r="AO19" i="31"/>
  <c r="BC19" i="31"/>
  <c r="BQ19" i="31"/>
  <c r="BQ30" i="31"/>
  <c r="CE19" i="31"/>
  <c r="CS19" i="31"/>
  <c r="DG19" i="31"/>
  <c r="DU19" i="31"/>
  <c r="EI19" i="31"/>
  <c r="EW19" i="31"/>
  <c r="EO19" i="31"/>
  <c r="X19" i="31"/>
  <c r="AL19" i="31"/>
  <c r="AZ19" i="31"/>
  <c r="BN19" i="31"/>
  <c r="CB19" i="31"/>
  <c r="BX19" i="31"/>
  <c r="CP19" i="31"/>
  <c r="DD19" i="31"/>
  <c r="CZ19" i="31"/>
  <c r="DR19" i="31"/>
  <c r="DN19" i="31"/>
  <c r="EF19" i="31"/>
  <c r="ET19" i="31"/>
  <c r="W19" i="31"/>
  <c r="AK19" i="31"/>
  <c r="AY19" i="31"/>
  <c r="BM19" i="31"/>
  <c r="CA19" i="31"/>
  <c r="BW19" i="31"/>
  <c r="CO19" i="31"/>
  <c r="DC19" i="31"/>
  <c r="DQ19" i="31"/>
  <c r="EE19" i="31"/>
  <c r="ES19" i="31"/>
  <c r="AB18" i="31"/>
  <c r="AP18" i="31"/>
  <c r="BD18" i="31"/>
  <c r="BR18" i="31"/>
  <c r="CF18" i="31"/>
  <c r="CT18" i="31"/>
  <c r="DH18" i="31"/>
  <c r="DV18" i="31"/>
  <c r="DN18" i="31"/>
  <c r="EJ18" i="31"/>
  <c r="EX18" i="31"/>
  <c r="AA18" i="31"/>
  <c r="S18" i="31"/>
  <c r="AO18" i="31"/>
  <c r="AG18" i="31"/>
  <c r="BC18" i="31"/>
  <c r="BQ18" i="31"/>
  <c r="CE18" i="31"/>
  <c r="CS18" i="31"/>
  <c r="DG18" i="31"/>
  <c r="DU18" i="31"/>
  <c r="EI18" i="31"/>
  <c r="EW18" i="31"/>
  <c r="X18" i="31"/>
  <c r="AL18" i="31"/>
  <c r="AH18" i="31"/>
  <c r="AZ18" i="31"/>
  <c r="J18" i="31"/>
  <c r="BN18" i="31"/>
  <c r="CB18" i="31"/>
  <c r="BX18" i="31"/>
  <c r="CP18" i="31"/>
  <c r="DD18" i="31"/>
  <c r="DR18" i="31"/>
  <c r="EF18" i="31"/>
  <c r="EB18" i="31"/>
  <c r="ET18" i="31"/>
  <c r="W18" i="31"/>
  <c r="AK18" i="31"/>
  <c r="AY18" i="31"/>
  <c r="BM18" i="31"/>
  <c r="BI18" i="31"/>
  <c r="CA18" i="31"/>
  <c r="CO18" i="31"/>
  <c r="CK18" i="31"/>
  <c r="DC18" i="31"/>
  <c r="DQ18" i="31"/>
  <c r="EE18" i="31"/>
  <c r="EA18" i="31"/>
  <c r="ES18" i="31"/>
  <c r="EO18" i="31"/>
  <c r="AB17" i="31"/>
  <c r="AP17" i="31"/>
  <c r="BD17" i="31"/>
  <c r="BR17" i="31"/>
  <c r="CF17" i="31"/>
  <c r="CT17" i="31"/>
  <c r="DH17" i="31"/>
  <c r="DV17" i="31"/>
  <c r="EJ17" i="31"/>
  <c r="EX17" i="31"/>
  <c r="AA17" i="31"/>
  <c r="AO17" i="31"/>
  <c r="BC17" i="31"/>
  <c r="BQ17" i="31"/>
  <c r="CE17" i="31"/>
  <c r="CS17" i="31"/>
  <c r="DG17" i="31"/>
  <c r="DU17" i="31"/>
  <c r="EI17" i="31"/>
  <c r="EW17" i="31"/>
  <c r="X17" i="31"/>
  <c r="AL17" i="31"/>
  <c r="AH17" i="31"/>
  <c r="AZ17" i="31"/>
  <c r="BN17" i="31"/>
  <c r="CB17" i="31"/>
  <c r="BX17" i="31"/>
  <c r="CP17" i="31"/>
  <c r="DD17" i="31"/>
  <c r="DR17" i="31"/>
  <c r="DN17" i="31"/>
  <c r="EF17" i="31"/>
  <c r="EB17" i="31"/>
  <c r="ET17" i="31"/>
  <c r="EP17" i="31"/>
  <c r="W17" i="31"/>
  <c r="AK17" i="31"/>
  <c r="AY17" i="31"/>
  <c r="AU17" i="31"/>
  <c r="BM17" i="31"/>
  <c r="BI17" i="31"/>
  <c r="CA17" i="31"/>
  <c r="CO17" i="31"/>
  <c r="CK17" i="31"/>
  <c r="DC17" i="31"/>
  <c r="DQ17" i="31"/>
  <c r="DM17" i="31"/>
  <c r="EE17" i="31"/>
  <c r="ES17" i="31"/>
  <c r="EO17" i="31"/>
  <c r="AB16" i="31"/>
  <c r="AP16" i="31"/>
  <c r="BD16" i="31"/>
  <c r="BR16" i="31"/>
  <c r="CF16" i="31"/>
  <c r="CT16" i="31"/>
  <c r="CT30" i="31"/>
  <c r="DH16" i="31"/>
  <c r="DV16" i="31"/>
  <c r="EJ16" i="31"/>
  <c r="EX16" i="31"/>
  <c r="AA16" i="31"/>
  <c r="AO16" i="31"/>
  <c r="BC16" i="31"/>
  <c r="AU16" i="31"/>
  <c r="BQ16" i="31"/>
  <c r="CE16" i="31"/>
  <c r="CS16" i="31"/>
  <c r="DG16" i="31"/>
  <c r="DU16" i="31"/>
  <c r="EI16" i="31"/>
  <c r="EW16" i="31"/>
  <c r="X16" i="31"/>
  <c r="T16" i="31"/>
  <c r="AL16" i="31"/>
  <c r="AZ16" i="31"/>
  <c r="AV16" i="31"/>
  <c r="BN16" i="31"/>
  <c r="CB16" i="31"/>
  <c r="CP16" i="31"/>
  <c r="DD16" i="31"/>
  <c r="DR16" i="31"/>
  <c r="EF16" i="31"/>
  <c r="EB16" i="31"/>
  <c r="ET16" i="31"/>
  <c r="W16" i="31"/>
  <c r="AK16" i="31"/>
  <c r="AY16" i="31"/>
  <c r="BM16" i="31"/>
  <c r="CA16" i="31"/>
  <c r="BW16" i="31"/>
  <c r="E16" i="31"/>
  <c r="CO16" i="31"/>
  <c r="CK16" i="31"/>
  <c r="DC16" i="31"/>
  <c r="DQ16" i="31"/>
  <c r="EE16" i="31"/>
  <c r="ES16" i="31"/>
  <c r="AB15" i="31"/>
  <c r="AP15" i="31"/>
  <c r="BR15" i="31"/>
  <c r="CF15" i="31"/>
  <c r="BX15" i="31"/>
  <c r="CT15" i="31"/>
  <c r="DH15" i="31"/>
  <c r="DV15" i="31"/>
  <c r="DN15" i="31"/>
  <c r="EJ15" i="31"/>
  <c r="EX15" i="31"/>
  <c r="AA15" i="31"/>
  <c r="AO15" i="31"/>
  <c r="BQ15" i="31"/>
  <c r="CE15" i="31"/>
  <c r="CS15" i="31"/>
  <c r="DG15" i="31"/>
  <c r="DU15" i="31"/>
  <c r="EI15" i="31"/>
  <c r="EW15" i="31"/>
  <c r="X15" i="31"/>
  <c r="AL15" i="31"/>
  <c r="BN15" i="31"/>
  <c r="CB15" i="31"/>
  <c r="CP15" i="31"/>
  <c r="DD15" i="31"/>
  <c r="CZ15" i="31"/>
  <c r="DR15" i="31"/>
  <c r="EF15" i="31"/>
  <c r="EB15" i="31"/>
  <c r="ET15" i="31"/>
  <c r="W15" i="31"/>
  <c r="S15" i="31"/>
  <c r="AK15" i="31"/>
  <c r="BM15" i="31"/>
  <c r="CA15" i="31"/>
  <c r="BW15" i="31"/>
  <c r="CO15" i="31"/>
  <c r="DC15" i="31"/>
  <c r="DQ15" i="31"/>
  <c r="EE15" i="31"/>
  <c r="ES15" i="31"/>
  <c r="AB14" i="31"/>
  <c r="T14" i="31"/>
  <c r="AP14" i="31"/>
  <c r="BD14" i="31"/>
  <c r="BR14" i="31"/>
  <c r="CF14" i="31"/>
  <c r="CT14" i="31"/>
  <c r="DH14" i="31"/>
  <c r="DV14" i="31"/>
  <c r="EJ14" i="31"/>
  <c r="EX14" i="31"/>
  <c r="AA14" i="31"/>
  <c r="AO14" i="31"/>
  <c r="AG14" i="31"/>
  <c r="BC14" i="31"/>
  <c r="BQ14" i="31"/>
  <c r="CE14" i="31"/>
  <c r="CS14" i="31"/>
  <c r="DG14" i="31"/>
  <c r="DU14" i="31"/>
  <c r="EI14" i="31"/>
  <c r="EW14" i="31"/>
  <c r="X14" i="31"/>
  <c r="AL14" i="31"/>
  <c r="AZ14" i="31"/>
  <c r="AV14" i="31"/>
  <c r="BN14" i="31"/>
  <c r="CB14" i="31"/>
  <c r="BX14" i="31"/>
  <c r="CP14" i="31"/>
  <c r="DD14" i="31"/>
  <c r="DR14" i="31"/>
  <c r="DN14" i="31"/>
  <c r="EF14" i="31"/>
  <c r="ET14" i="31"/>
  <c r="W14" i="31"/>
  <c r="AK14" i="31"/>
  <c r="AY14" i="31"/>
  <c r="BM14" i="31"/>
  <c r="CA14" i="31"/>
  <c r="BW14" i="31"/>
  <c r="CO14" i="31"/>
  <c r="DC14" i="31"/>
  <c r="CY14" i="31"/>
  <c r="DQ14" i="31"/>
  <c r="EE14" i="31"/>
  <c r="ES14" i="31"/>
  <c r="EO14" i="31"/>
  <c r="DY24" i="31"/>
  <c r="H28" i="33"/>
  <c r="H27" i="33"/>
  <c r="G27" i="33"/>
  <c r="G24" i="33"/>
  <c r="G22" i="33"/>
  <c r="H21" i="33"/>
  <c r="G21" i="33"/>
  <c r="H19" i="33"/>
  <c r="H15" i="33"/>
  <c r="G14" i="33"/>
  <c r="F24" i="33"/>
  <c r="D28" i="33"/>
  <c r="D29" i="33"/>
  <c r="E25" i="33"/>
  <c r="D24" i="33"/>
  <c r="D20" i="33"/>
  <c r="E19" i="33"/>
  <c r="E13" i="33"/>
  <c r="C27" i="33"/>
  <c r="C25" i="33"/>
  <c r="C14" i="33"/>
  <c r="C31" i="46"/>
  <c r="I31" i="46"/>
  <c r="I1009" i="29"/>
  <c r="D28" i="53"/>
  <c r="H24" i="37"/>
  <c r="D24" i="37"/>
  <c r="G24" i="37"/>
  <c r="G805" i="29"/>
  <c r="C25" i="44"/>
  <c r="H803" i="29"/>
  <c r="C25" i="48"/>
  <c r="D24" i="52"/>
  <c r="D21" i="48"/>
  <c r="E21" i="48"/>
  <c r="C21" i="45"/>
  <c r="E21" i="45"/>
  <c r="I360" i="29"/>
  <c r="C20" i="53"/>
  <c r="H360" i="29"/>
  <c r="I222" i="29"/>
  <c r="I226" i="29"/>
  <c r="AU27" i="31"/>
  <c r="AV27" i="31"/>
  <c r="CL24" i="31"/>
  <c r="BX23" i="31"/>
  <c r="BI21" i="31"/>
  <c r="R20" i="31"/>
  <c r="EA19" i="31"/>
  <c r="AV17" i="31"/>
  <c r="J28" i="34"/>
  <c r="C15" i="34"/>
  <c r="E761" i="24"/>
  <c r="N508" i="14"/>
  <c r="G481" i="17"/>
  <c r="C452" i="18"/>
  <c r="J410" i="76"/>
  <c r="E113" i="24"/>
  <c r="N76" i="14"/>
  <c r="G73" i="17"/>
  <c r="C68" i="18"/>
  <c r="D452" i="25"/>
  <c r="E545" i="24"/>
  <c r="N364" i="14"/>
  <c r="G345" i="17"/>
  <c r="C324" i="18"/>
  <c r="D424" i="23"/>
  <c r="B523" i="22"/>
  <c r="B395" i="22"/>
  <c r="B498" i="23"/>
  <c r="B408" i="23"/>
  <c r="B288" i="23"/>
  <c r="B168" i="23"/>
  <c r="B587" i="14"/>
  <c r="B551" i="14"/>
  <c r="B371" i="14"/>
  <c r="B191" i="14"/>
  <c r="B479" i="14"/>
  <c r="B263" i="14"/>
  <c r="B83" i="14"/>
  <c r="B496" i="25"/>
  <c r="B368" i="25"/>
  <c r="B240" i="25"/>
  <c r="B112" i="25"/>
  <c r="B48" i="25"/>
  <c r="B98" i="23"/>
  <c r="B218" i="23"/>
  <c r="B338" i="23"/>
  <c r="B458" i="23"/>
  <c r="B139" i="22"/>
  <c r="B267" i="22"/>
  <c r="B427" i="22"/>
  <c r="B45" i="20"/>
  <c r="B171" i="18"/>
  <c r="B331" i="18"/>
  <c r="B521" i="18"/>
  <c r="B425" i="18"/>
  <c r="B169" i="18"/>
  <c r="B45" i="23"/>
  <c r="B255" i="23"/>
  <c r="B77" i="23"/>
  <c r="B228" i="23"/>
  <c r="B287" i="23"/>
  <c r="B438" i="23"/>
  <c r="B499" i="23"/>
  <c r="B439" i="23"/>
  <c r="B319" i="23"/>
  <c r="B199" i="23"/>
  <c r="B79" i="23"/>
  <c r="B49" i="23"/>
  <c r="B201" i="23"/>
  <c r="B173" i="23"/>
  <c r="B87" i="24"/>
  <c r="B141" i="24"/>
  <c r="B189" i="24"/>
  <c r="B297" i="24"/>
  <c r="B351" i="24"/>
  <c r="B335" i="14"/>
  <c r="B171" i="29"/>
  <c r="B475" i="29"/>
  <c r="E437" i="24"/>
  <c r="E869" i="24"/>
  <c r="N292" i="14"/>
  <c r="N580" i="14"/>
  <c r="G277" i="17"/>
  <c r="G549" i="17"/>
  <c r="C260" i="18"/>
  <c r="D196" i="25"/>
  <c r="B43" i="22"/>
  <c r="B171" i="22"/>
  <c r="B299" i="22"/>
  <c r="B459" i="22"/>
  <c r="B523" i="18"/>
  <c r="B395" i="18"/>
  <c r="B267" i="18"/>
  <c r="B139" i="18"/>
  <c r="B435" i="23"/>
  <c r="B465" i="23"/>
  <c r="B285" i="23"/>
  <c r="B135" i="23"/>
  <c r="B78" i="23"/>
  <c r="B138" i="23"/>
  <c r="B348" i="23"/>
  <c r="B503" i="23"/>
  <c r="B323" i="23"/>
  <c r="B83" i="23"/>
  <c r="B891" i="24"/>
  <c r="B837" i="24"/>
  <c r="B675" i="24"/>
  <c r="B459" i="24"/>
  <c r="B243" i="24"/>
  <c r="B47" i="14"/>
  <c r="B407" i="14"/>
  <c r="J294" i="76"/>
  <c r="D304" i="23"/>
  <c r="C324" i="20"/>
  <c r="D324" i="25"/>
  <c r="C420" i="18"/>
  <c r="C292" i="18"/>
  <c r="C164" i="18"/>
  <c r="C36" i="18"/>
  <c r="G447" i="17"/>
  <c r="G311" i="17"/>
  <c r="G175" i="17"/>
  <c r="G39" i="17"/>
  <c r="N472" i="14"/>
  <c r="N328" i="14"/>
  <c r="N184" i="14"/>
  <c r="N40" i="14"/>
  <c r="E707" i="24"/>
  <c r="E491" i="24"/>
  <c r="E275" i="24"/>
  <c r="J62" i="76"/>
  <c r="D64" i="23"/>
  <c r="C68" i="20"/>
  <c r="D68" i="25"/>
  <c r="C356" i="18"/>
  <c r="C228" i="18"/>
  <c r="C100" i="18"/>
  <c r="G515" i="17"/>
  <c r="G379" i="17"/>
  <c r="G243" i="17"/>
  <c r="G107" i="17"/>
  <c r="N544" i="14"/>
  <c r="N400" i="14"/>
  <c r="N256" i="14"/>
  <c r="N112" i="14"/>
  <c r="E815" i="24"/>
  <c r="E599" i="24"/>
  <c r="E383" i="24"/>
  <c r="E167" i="24"/>
  <c r="B38" i="23"/>
  <c r="B158" i="23"/>
  <c r="B278" i="23"/>
  <c r="B75" i="22"/>
  <c r="B203" i="22"/>
  <c r="B331" i="22"/>
  <c r="B491" i="22"/>
  <c r="B525" i="20"/>
  <c r="B429" i="20"/>
  <c r="B173" i="20"/>
  <c r="B75" i="18"/>
  <c r="B235" i="18"/>
  <c r="B427" i="18"/>
  <c r="B165" i="23"/>
  <c r="B375" i="23"/>
  <c r="B198" i="23"/>
  <c r="B258" i="23"/>
  <c r="B468" i="23"/>
  <c r="B377" i="23"/>
  <c r="B257" i="23"/>
  <c r="B137" i="23"/>
  <c r="B501" i="23"/>
  <c r="B441" i="23"/>
  <c r="B291" i="23"/>
  <c r="B111" i="23"/>
  <c r="B293" i="23"/>
  <c r="B897" i="24"/>
  <c r="B627" i="24"/>
  <c r="B573" i="24"/>
  <c r="B411" i="24"/>
  <c r="B195" i="24"/>
  <c r="B119" i="14"/>
  <c r="B515" i="14"/>
  <c r="B1083" i="29"/>
  <c r="B1235" i="29"/>
  <c r="B931" i="29"/>
  <c r="B1246" i="29"/>
  <c r="B714" i="29"/>
  <c r="B410" i="29"/>
  <c r="B106" i="29"/>
  <c r="B475" i="16"/>
  <c r="B417" i="16"/>
  <c r="B185" i="16"/>
  <c r="B301" i="16"/>
  <c r="B69" i="16"/>
  <c r="E221" i="24"/>
  <c r="E653" i="24"/>
  <c r="N148" i="14"/>
  <c r="N436" i="14"/>
  <c r="G141" i="17"/>
  <c r="G413" i="17"/>
  <c r="C132" i="18"/>
  <c r="C388" i="18"/>
  <c r="C196" i="20"/>
  <c r="J178" i="76"/>
  <c r="B129" i="24"/>
  <c r="B345" i="24"/>
  <c r="B56" i="25"/>
  <c r="B120" i="25"/>
  <c r="B248" i="25"/>
  <c r="B376" i="25"/>
  <c r="B504" i="25"/>
  <c r="B284" i="24"/>
  <c r="B446" i="24"/>
  <c r="C23" i="65"/>
  <c r="E23" i="65"/>
  <c r="C28" i="64"/>
  <c r="G28" i="64"/>
  <c r="L17" i="63"/>
  <c r="F16" i="63"/>
  <c r="K92" i="17"/>
  <c r="F26" i="63"/>
  <c r="K432" i="17"/>
  <c r="J16" i="57"/>
  <c r="BJ18" i="31"/>
  <c r="F20" i="63"/>
  <c r="K228" i="17"/>
  <c r="K502" i="17"/>
  <c r="L21" i="63"/>
  <c r="K265" i="17"/>
  <c r="K159" i="17"/>
  <c r="J22" i="63"/>
  <c r="D28" i="63"/>
  <c r="K469" i="17"/>
  <c r="E29" i="34"/>
  <c r="E30" i="34"/>
  <c r="D18" i="59"/>
  <c r="E18" i="59"/>
  <c r="D18" i="58"/>
  <c r="E18" i="58"/>
  <c r="D19" i="58"/>
  <c r="D30" i="58"/>
  <c r="E22" i="56"/>
  <c r="G30" i="49"/>
  <c r="J17" i="82"/>
  <c r="D17" i="82"/>
  <c r="H18" i="82"/>
  <c r="F22" i="82"/>
  <c r="C22" i="82"/>
  <c r="C251" i="76"/>
  <c r="J30" i="82"/>
  <c r="J31" i="82"/>
  <c r="D18" i="78"/>
  <c r="D22" i="78"/>
  <c r="C18" i="78"/>
  <c r="C22" i="78"/>
  <c r="C30" i="78"/>
  <c r="D24" i="80"/>
  <c r="C24" i="80"/>
  <c r="C28" i="80"/>
  <c r="I18" i="56"/>
  <c r="E19" i="79"/>
  <c r="E27" i="79"/>
  <c r="D15" i="79"/>
  <c r="D19" i="79"/>
  <c r="BF17" i="34"/>
  <c r="J24" i="70"/>
  <c r="EV12" i="31"/>
  <c r="DT12" i="31"/>
  <c r="CR12" i="31"/>
  <c r="BP12" i="31"/>
  <c r="AN12" i="31"/>
  <c r="ER12" i="31"/>
  <c r="DP12" i="31"/>
  <c r="CN12" i="31"/>
  <c r="BL12" i="31"/>
  <c r="AJ12" i="31"/>
  <c r="EH12" i="31"/>
  <c r="DF12" i="31"/>
  <c r="CD12" i="31"/>
  <c r="BB12" i="31"/>
  <c r="Z12" i="31"/>
  <c r="CU8" i="31"/>
  <c r="AQ8" i="31"/>
  <c r="EK8" i="31"/>
  <c r="CG8" i="31"/>
  <c r="AC8" i="31"/>
  <c r="DW8" i="31"/>
  <c r="BS8" i="31"/>
  <c r="O8" i="31"/>
  <c r="DI8" i="31"/>
  <c r="BE8" i="31"/>
  <c r="C15" i="77"/>
  <c r="BZ12" i="31"/>
  <c r="H284" i="29"/>
  <c r="C19" i="52"/>
  <c r="D19" i="71"/>
  <c r="C19" i="71"/>
  <c r="B530" i="25"/>
  <c r="B466" i="25"/>
  <c r="B338" i="25"/>
  <c r="B210" i="25"/>
  <c r="B82" i="25"/>
  <c r="B498" i="25"/>
  <c r="B370" i="25"/>
  <c r="B242" i="25"/>
  <c r="B114" i="25"/>
  <c r="B50" i="25"/>
  <c r="B402" i="25"/>
  <c r="B274" i="25"/>
  <c r="B146" i="25"/>
  <c r="B557" i="17"/>
  <c r="B421" i="17"/>
  <c r="B285" i="17"/>
  <c r="B149" i="17"/>
  <c r="B523" i="17"/>
  <c r="B387" i="17"/>
  <c r="B251" i="17"/>
  <c r="B115" i="17"/>
  <c r="B489" i="17"/>
  <c r="B353" i="17"/>
  <c r="B217" i="17"/>
  <c r="B81" i="17"/>
  <c r="C529" i="18"/>
  <c r="C465" i="18"/>
  <c r="C401" i="18"/>
  <c r="C337" i="18"/>
  <c r="C273" i="18"/>
  <c r="C209" i="18"/>
  <c r="C145" i="18"/>
  <c r="C81" i="18"/>
  <c r="C497" i="18"/>
  <c r="C433" i="18"/>
  <c r="C369" i="18"/>
  <c r="C305" i="18"/>
  <c r="C241" i="18"/>
  <c r="C177" i="18"/>
  <c r="C113" i="18"/>
  <c r="C49" i="18"/>
  <c r="B178" i="25"/>
  <c r="B534" i="25"/>
  <c r="B470" i="25"/>
  <c r="B406" i="25"/>
  <c r="B342" i="25"/>
  <c r="B278" i="25"/>
  <c r="B214" i="25"/>
  <c r="B150" i="25"/>
  <c r="B86" i="25"/>
  <c r="B54" i="25"/>
  <c r="B502" i="25"/>
  <c r="B438" i="25"/>
  <c r="B374" i="25"/>
  <c r="B310" i="25"/>
  <c r="B246" i="25"/>
  <c r="B182" i="25"/>
  <c r="B118" i="25"/>
  <c r="B183" i="17"/>
  <c r="B306" i="25"/>
  <c r="B528" i="25"/>
  <c r="B400" i="25"/>
  <c r="B272" i="25"/>
  <c r="B144" i="25"/>
  <c r="B432" i="25"/>
  <c r="B304" i="25"/>
  <c r="B176" i="25"/>
  <c r="B464" i="25"/>
  <c r="B336" i="25"/>
  <c r="B208" i="25"/>
  <c r="B80" i="25"/>
  <c r="B319" i="17"/>
  <c r="B109" i="20"/>
  <c r="B237" i="20"/>
  <c r="B365" i="20"/>
  <c r="B493" i="20"/>
  <c r="B105" i="18"/>
  <c r="B233" i="18"/>
  <c r="B361" i="18"/>
  <c r="B489" i="18"/>
  <c r="B141" i="23"/>
  <c r="B261" i="23"/>
  <c r="B381" i="23"/>
  <c r="B113" i="23"/>
  <c r="B233" i="23"/>
  <c r="B353" i="23"/>
  <c r="B473" i="23"/>
  <c r="B513" i="24"/>
  <c r="B615" i="24"/>
  <c r="B631" i="24"/>
  <c r="B729" i="24"/>
  <c r="B831" i="24"/>
  <c r="B847" i="24"/>
  <c r="B155" i="14"/>
  <c r="B299" i="14"/>
  <c r="B443" i="14"/>
  <c r="E239" i="29"/>
  <c r="E543" i="29"/>
  <c r="E847" i="29"/>
  <c r="E1151" i="29"/>
  <c r="B856" i="29"/>
  <c r="B1160" i="29"/>
  <c r="B113" i="25"/>
  <c r="B241" i="25"/>
  <c r="B369" i="25"/>
  <c r="B497" i="25"/>
  <c r="B98" i="16"/>
  <c r="B214" i="16"/>
  <c r="B330" i="16"/>
  <c r="B446" i="16"/>
  <c r="B70" i="76"/>
  <c r="B186" i="76"/>
  <c r="B302" i="76"/>
  <c r="B141" i="20"/>
  <c r="B269" i="20"/>
  <c r="B397" i="20"/>
  <c r="B73" i="25"/>
  <c r="B201" i="25"/>
  <c r="B329" i="25"/>
  <c r="B137" i="18"/>
  <c r="B265" i="18"/>
  <c r="B393" i="18"/>
  <c r="B75" i="23"/>
  <c r="B195" i="23"/>
  <c r="B315" i="23"/>
  <c r="B46" i="23"/>
  <c r="B76" i="23"/>
  <c r="B106" i="23"/>
  <c r="B136" i="23"/>
  <c r="B166" i="23"/>
  <c r="B196" i="23"/>
  <c r="B226" i="23"/>
  <c r="B256" i="23"/>
  <c r="B286" i="23"/>
  <c r="B316" i="23"/>
  <c r="B346" i="23"/>
  <c r="B376" i="23"/>
  <c r="B406" i="23"/>
  <c r="B436" i="23"/>
  <c r="B466" i="23"/>
  <c r="B143" i="23"/>
  <c r="B263" i="23"/>
  <c r="B383" i="23"/>
  <c r="B669" i="24"/>
  <c r="B783" i="24"/>
  <c r="E315" i="29"/>
  <c r="E619" i="29"/>
  <c r="E923" i="29"/>
  <c r="B127" i="16"/>
  <c r="B243" i="16"/>
  <c r="B359" i="16"/>
  <c r="B121" i="24"/>
  <c r="B229" i="24"/>
  <c r="B337" i="24"/>
  <c r="B445" i="24"/>
  <c r="B553" i="24"/>
  <c r="B661" i="24"/>
  <c r="B769" i="24"/>
  <c r="G975" i="29"/>
  <c r="G976" i="29"/>
  <c r="D29" i="71"/>
  <c r="H80" i="29"/>
  <c r="C36" i="22"/>
  <c r="D33" i="16"/>
  <c r="J381" i="76"/>
  <c r="J265" i="76"/>
  <c r="J149" i="76"/>
  <c r="J33" i="76"/>
  <c r="D394" i="23"/>
  <c r="D274" i="23"/>
  <c r="D154" i="23"/>
  <c r="D34" i="23"/>
  <c r="C420" i="20"/>
  <c r="C292" i="20"/>
  <c r="C164" i="20"/>
  <c r="C36" i="20"/>
  <c r="D420" i="25"/>
  <c r="D292" i="25"/>
  <c r="D164" i="25"/>
  <c r="D36" i="25"/>
  <c r="J468" i="76"/>
  <c r="J352" i="76"/>
  <c r="J236" i="76"/>
  <c r="J120" i="76"/>
  <c r="D484" i="23"/>
  <c r="D364" i="23"/>
  <c r="D244" i="23"/>
  <c r="D124" i="23"/>
  <c r="C516" i="20"/>
  <c r="C388" i="20"/>
  <c r="C260" i="20"/>
  <c r="C132" i="20"/>
  <c r="D516" i="25"/>
  <c r="D388" i="25"/>
  <c r="D260" i="25"/>
  <c r="D132" i="25"/>
  <c r="C516" i="18"/>
  <c r="J439" i="76"/>
  <c r="J323" i="76"/>
  <c r="J207" i="76"/>
  <c r="J91" i="76"/>
  <c r="D454" i="23"/>
  <c r="D334" i="23"/>
  <c r="D214" i="23"/>
  <c r="D94" i="23"/>
  <c r="C484" i="20"/>
  <c r="C356" i="20"/>
  <c r="C228" i="20"/>
  <c r="C100" i="20"/>
  <c r="D484" i="25"/>
  <c r="D356" i="25"/>
  <c r="D228" i="25"/>
  <c r="D100" i="25"/>
  <c r="C484" i="18"/>
  <c r="I520" i="29"/>
  <c r="H895" i="29"/>
  <c r="G894" i="29"/>
  <c r="D27" i="50"/>
  <c r="H743" i="29"/>
  <c r="H1047" i="29"/>
  <c r="D439" i="16"/>
  <c r="D323" i="16"/>
  <c r="D207" i="16"/>
  <c r="D91" i="16"/>
  <c r="D410" i="16"/>
  <c r="D294" i="16"/>
  <c r="D178" i="16"/>
  <c r="D381" i="16"/>
  <c r="D265" i="16"/>
  <c r="D149" i="16"/>
  <c r="D236" i="16"/>
  <c r="D120" i="16"/>
  <c r="D468" i="16"/>
  <c r="D62" i="16"/>
  <c r="D352" i="16"/>
  <c r="C484" i="22"/>
  <c r="C356" i="22"/>
  <c r="C228" i="22"/>
  <c r="C100" i="22"/>
  <c r="C452" i="22"/>
  <c r="C324" i="22"/>
  <c r="C196" i="22"/>
  <c r="C68" i="22"/>
  <c r="C420" i="22"/>
  <c r="C292" i="22"/>
  <c r="C164" i="22"/>
  <c r="C260" i="22"/>
  <c r="C132" i="22"/>
  <c r="C516" i="22"/>
  <c r="C388" i="22"/>
  <c r="M28" i="64"/>
  <c r="H992" i="29"/>
  <c r="H688" i="29"/>
  <c r="H384" i="29"/>
  <c r="H1144" i="29"/>
  <c r="H840" i="29"/>
  <c r="H536" i="29"/>
  <c r="H232" i="29"/>
  <c r="H1220" i="29"/>
  <c r="H612" i="29"/>
  <c r="H1068" i="29"/>
  <c r="H460" i="29"/>
  <c r="H916" i="29"/>
  <c r="H308" i="29"/>
  <c r="H764" i="29"/>
  <c r="H156" i="29"/>
  <c r="C396" i="76"/>
  <c r="D25" i="79"/>
  <c r="C24" i="79"/>
  <c r="D222" i="76"/>
  <c r="G23" i="82"/>
  <c r="K30" i="82"/>
  <c r="K31" i="82"/>
  <c r="D22" i="80"/>
  <c r="C15" i="78"/>
  <c r="C20" i="78"/>
  <c r="D25" i="77"/>
  <c r="E18" i="77"/>
  <c r="F15" i="82"/>
  <c r="E16" i="79"/>
  <c r="K15" i="82"/>
  <c r="F30" i="82"/>
  <c r="F31" i="82"/>
  <c r="H19" i="82"/>
  <c r="D29" i="79"/>
  <c r="E309" i="76"/>
  <c r="G22" i="82"/>
  <c r="J27" i="82"/>
  <c r="D15" i="80"/>
  <c r="E19" i="80"/>
  <c r="D28" i="77"/>
  <c r="F21" i="33"/>
  <c r="F25" i="33"/>
  <c r="F29" i="33"/>
  <c r="F14" i="33"/>
  <c r="F22" i="33"/>
  <c r="H14" i="33"/>
  <c r="H18" i="33"/>
  <c r="H20" i="33"/>
  <c r="H29" i="33"/>
  <c r="H22" i="33"/>
  <c r="H24" i="33"/>
  <c r="H26" i="33"/>
  <c r="F13" i="33"/>
  <c r="G15" i="33"/>
  <c r="C22" i="73"/>
  <c r="G22" i="73"/>
  <c r="C19" i="73"/>
  <c r="I19" i="73"/>
  <c r="C21" i="73"/>
  <c r="E21" i="73"/>
  <c r="C244" i="22"/>
  <c r="C116" i="20"/>
  <c r="C244" i="20"/>
  <c r="C468" i="20"/>
  <c r="E26" i="33"/>
  <c r="C26" i="33"/>
  <c r="E22" i="33"/>
  <c r="D29" i="70"/>
  <c r="C22" i="70"/>
  <c r="E18" i="70"/>
  <c r="C18" i="70"/>
  <c r="C15" i="64"/>
  <c r="H16" i="63"/>
  <c r="K93" i="17"/>
  <c r="F19" i="63"/>
  <c r="L18" i="63"/>
  <c r="K163" i="17"/>
  <c r="H27" i="60"/>
  <c r="J467" i="17"/>
  <c r="H28" i="60"/>
  <c r="C28" i="62"/>
  <c r="I28" i="62"/>
  <c r="K298" i="17"/>
  <c r="J26" i="63"/>
  <c r="D23" i="63"/>
  <c r="K329" i="17"/>
  <c r="L16" i="60"/>
  <c r="J95" i="17"/>
  <c r="J25" i="60"/>
  <c r="J400" i="17"/>
  <c r="J61" i="17"/>
  <c r="C22" i="62"/>
  <c r="K22" i="62"/>
  <c r="H23" i="60"/>
  <c r="D26" i="63"/>
  <c r="D29" i="60"/>
  <c r="D31" i="60"/>
  <c r="C15" i="62"/>
  <c r="K15" i="62"/>
  <c r="D16" i="60"/>
  <c r="M21" i="61"/>
  <c r="E163" i="16"/>
  <c r="C20" i="59"/>
  <c r="D26" i="58"/>
  <c r="D29" i="59"/>
  <c r="E29" i="59"/>
  <c r="C339" i="16"/>
  <c r="F26" i="57"/>
  <c r="D28" i="59"/>
  <c r="D163" i="16"/>
  <c r="C20" i="58"/>
  <c r="D76" i="16"/>
  <c r="C17" i="58"/>
  <c r="D308" i="16"/>
  <c r="C25" i="58"/>
  <c r="H29" i="57"/>
  <c r="J24" i="57"/>
  <c r="G328" i="17"/>
  <c r="E279" i="16"/>
  <c r="C24" i="59"/>
  <c r="D27" i="58"/>
  <c r="G124" i="17"/>
  <c r="M21" i="73"/>
  <c r="G19" i="73"/>
  <c r="E22" i="73"/>
  <c r="E22" i="62"/>
  <c r="K28" i="62"/>
  <c r="E19" i="34"/>
  <c r="AX29" i="34"/>
  <c r="AR20" i="34"/>
  <c r="U17" i="34"/>
  <c r="BB16" i="34"/>
  <c r="BM21" i="34"/>
  <c r="BQ18" i="34"/>
  <c r="G16" i="34"/>
  <c r="C184" i="24"/>
  <c r="D23" i="34"/>
  <c r="AW28" i="34"/>
  <c r="AW30" i="34"/>
  <c r="AR22" i="34"/>
  <c r="AH17" i="34"/>
  <c r="C729" i="24"/>
  <c r="AR26" i="34"/>
  <c r="AQ26" i="34"/>
  <c r="AS25" i="34"/>
  <c r="AX20" i="34"/>
  <c r="AX19" i="34"/>
  <c r="E626" i="24"/>
  <c r="F29" i="34"/>
  <c r="E415" i="24"/>
  <c r="E199" i="24"/>
  <c r="E577" i="24"/>
  <c r="E518" i="24"/>
  <c r="AV22" i="34"/>
  <c r="C746" i="24"/>
  <c r="D199" i="24"/>
  <c r="E793" i="24"/>
  <c r="AT27" i="34"/>
  <c r="I21" i="34"/>
  <c r="C22" i="34"/>
  <c r="G14" i="34"/>
  <c r="C616" i="24"/>
  <c r="D140" i="24"/>
  <c r="K17" i="34"/>
  <c r="BB28" i="34"/>
  <c r="C837" i="24"/>
  <c r="AH15" i="34"/>
  <c r="BB18" i="34"/>
  <c r="BQ16" i="34"/>
  <c r="E145" i="24"/>
  <c r="I15" i="34"/>
  <c r="U16" i="34"/>
  <c r="AD14" i="34"/>
  <c r="E18" i="34"/>
  <c r="C14" i="34"/>
  <c r="D142" i="24"/>
  <c r="C28" i="34"/>
  <c r="E896" i="24"/>
  <c r="D141" i="24"/>
  <c r="AT28" i="34"/>
  <c r="AX27" i="34"/>
  <c r="AX30" i="34"/>
  <c r="AS23" i="34"/>
  <c r="C579" i="24"/>
  <c r="I20" i="34"/>
  <c r="C29" i="34"/>
  <c r="AV25" i="34"/>
  <c r="AU25" i="34"/>
  <c r="J16" i="34"/>
  <c r="D680" i="24"/>
  <c r="D682" i="24"/>
  <c r="Q16" i="34"/>
  <c r="C584" i="24"/>
  <c r="F25" i="34"/>
  <c r="F30" i="34"/>
  <c r="C832" i="24"/>
  <c r="C842" i="24"/>
  <c r="C886" i="24"/>
  <c r="BB17" i="34"/>
  <c r="AV29" i="34"/>
  <c r="AU29" i="34"/>
  <c r="C417" i="24"/>
  <c r="U18" i="34"/>
  <c r="AD22" i="34"/>
  <c r="BB14" i="34"/>
  <c r="G19" i="34"/>
  <c r="K23" i="34"/>
  <c r="C562" i="24"/>
  <c r="U15" i="34"/>
  <c r="C25" i="40"/>
  <c r="K25" i="40"/>
  <c r="C24" i="39"/>
  <c r="E24" i="39"/>
  <c r="C28" i="39"/>
  <c r="K28" i="39"/>
  <c r="M28" i="39"/>
  <c r="D18" i="54"/>
  <c r="I906" i="29"/>
  <c r="H24" i="54"/>
  <c r="I302" i="29"/>
  <c r="C18" i="56"/>
  <c r="E18" i="56"/>
  <c r="G297" i="29"/>
  <c r="C18" i="54"/>
  <c r="G18" i="54"/>
  <c r="E19" i="50"/>
  <c r="D26" i="49"/>
  <c r="I553" i="29"/>
  <c r="C20" i="46"/>
  <c r="I259" i="29"/>
  <c r="I258" i="29"/>
  <c r="I249" i="29"/>
  <c r="I97" i="29"/>
  <c r="I119" i="29"/>
  <c r="C16" i="49"/>
  <c r="D16" i="49"/>
  <c r="I1204" i="29"/>
  <c r="H31" i="53"/>
  <c r="C25" i="56"/>
  <c r="I454" i="29"/>
  <c r="C20" i="56"/>
  <c r="G20" i="56"/>
  <c r="I450" i="29"/>
  <c r="C31" i="45"/>
  <c r="G31" i="45"/>
  <c r="H347" i="29"/>
  <c r="C19" i="48"/>
  <c r="E19" i="48"/>
  <c r="G96" i="29"/>
  <c r="C52" i="18"/>
  <c r="H1009" i="29"/>
  <c r="I591" i="29"/>
  <c r="D23" i="53"/>
  <c r="H25" i="37"/>
  <c r="H933" i="29"/>
  <c r="I436" i="29"/>
  <c r="H21" i="53"/>
  <c r="G404" i="29"/>
  <c r="D25" i="52"/>
  <c r="E26" i="50"/>
  <c r="D17" i="37"/>
  <c r="G17" i="37"/>
  <c r="D29" i="37"/>
  <c r="D19" i="36"/>
  <c r="G19" i="36"/>
  <c r="I1259" i="29"/>
  <c r="D14" i="37"/>
  <c r="G14" i="37"/>
  <c r="C19" i="39"/>
  <c r="M19" i="39"/>
  <c r="G515" i="29"/>
  <c r="I530" i="29"/>
  <c r="J19" i="50"/>
  <c r="D24" i="53"/>
  <c r="I30" i="56"/>
  <c r="H29" i="54"/>
  <c r="C23" i="56"/>
  <c r="K27" i="49"/>
  <c r="H259" i="29"/>
  <c r="H19" i="54"/>
  <c r="H1183" i="29"/>
  <c r="C30" i="48"/>
  <c r="I30" i="48"/>
  <c r="D21" i="37"/>
  <c r="K28" i="48"/>
  <c r="G501" i="29"/>
  <c r="D21" i="47"/>
  <c r="I23" i="49"/>
  <c r="G324" i="29"/>
  <c r="C148" i="18"/>
  <c r="I1280" i="29"/>
  <c r="H436" i="29"/>
  <c r="C21" i="52"/>
  <c r="I1199" i="29"/>
  <c r="H27" i="52"/>
  <c r="H892" i="29"/>
  <c r="C27" i="52"/>
  <c r="BH27" i="31"/>
  <c r="AF17" i="31"/>
  <c r="CI29" i="31"/>
  <c r="CW15" i="31"/>
  <c r="EM24" i="31"/>
  <c r="CI24" i="31"/>
  <c r="AE24" i="31"/>
  <c r="DK19" i="31"/>
  <c r="AE18" i="31"/>
  <c r="DK17" i="31"/>
  <c r="AE23" i="31"/>
  <c r="DK22" i="31"/>
  <c r="BG22" i="31"/>
  <c r="CI21" i="31"/>
  <c r="CI19" i="31"/>
  <c r="DK16" i="31"/>
  <c r="CJ27" i="31"/>
  <c r="CJ14" i="31"/>
  <c r="EA23" i="31"/>
  <c r="EN26" i="31"/>
  <c r="BG28" i="31"/>
  <c r="CY16" i="31"/>
  <c r="DM16" i="31"/>
  <c r="BI16" i="31"/>
  <c r="DM19" i="31"/>
  <c r="BI19" i="31"/>
  <c r="EO23" i="31"/>
  <c r="EB25" i="31"/>
  <c r="DY26" i="31"/>
  <c r="BU26" i="31"/>
  <c r="Q26" i="31"/>
  <c r="AS25" i="31"/>
  <c r="BW18" i="31"/>
  <c r="Q17" i="31"/>
  <c r="CJ24" i="31"/>
  <c r="DZ24" i="31"/>
  <c r="CK27" i="31"/>
  <c r="DN27" i="31"/>
  <c r="BH23" i="31"/>
  <c r="DZ19" i="31"/>
  <c r="CJ29" i="31"/>
  <c r="R22" i="31"/>
  <c r="AV20" i="31"/>
  <c r="BJ24" i="31"/>
  <c r="BX27" i="31"/>
  <c r="CY19" i="31"/>
  <c r="AU19" i="31"/>
  <c r="S19" i="31"/>
  <c r="BI22" i="31"/>
  <c r="DN26" i="31"/>
  <c r="DY28" i="31"/>
  <c r="CI20" i="31"/>
  <c r="DZ23" i="31"/>
  <c r="R23" i="31"/>
  <c r="DZ21" i="31"/>
  <c r="AU14" i="31"/>
  <c r="CL19" i="31"/>
  <c r="CL20" i="31"/>
  <c r="AG25" i="31"/>
  <c r="DM26" i="31"/>
  <c r="CL26" i="31"/>
  <c r="Q18" i="31"/>
  <c r="BU16" i="31"/>
  <c r="DY19" i="31"/>
  <c r="BU19" i="31"/>
  <c r="BU17" i="31"/>
  <c r="CW14" i="31"/>
  <c r="DZ29" i="31"/>
  <c r="CJ21" i="31"/>
  <c r="DZ18" i="31"/>
  <c r="N23" i="31"/>
  <c r="AE28" i="31"/>
  <c r="AH14" i="31"/>
  <c r="CL15" i="31"/>
  <c r="DY22" i="31"/>
  <c r="CW21" i="31"/>
  <c r="BU20" i="31"/>
  <c r="AS19" i="31"/>
  <c r="EN25" i="31"/>
  <c r="AF23" i="31"/>
  <c r="Q19" i="31"/>
  <c r="N17" i="31"/>
  <c r="CY15" i="31"/>
  <c r="CY21" i="31"/>
  <c r="Q24" i="31"/>
  <c r="CX18" i="31"/>
  <c r="S14" i="31"/>
  <c r="DM15" i="31"/>
  <c r="CL16" i="31"/>
  <c r="DM20" i="31"/>
  <c r="BI23" i="31"/>
  <c r="AU26" i="31"/>
  <c r="EB26" i="31"/>
  <c r="BX26" i="31"/>
  <c r="AS26" i="31"/>
  <c r="CX24" i="31"/>
  <c r="BV23" i="31"/>
  <c r="EM29" i="31"/>
  <c r="CX17" i="31"/>
  <c r="BV16" i="31"/>
  <c r="CI15" i="31"/>
  <c r="R21" i="31"/>
  <c r="CX20" i="31"/>
  <c r="BH20" i="31"/>
  <c r="DL16" i="31"/>
  <c r="BH16" i="31"/>
  <c r="T18" i="31"/>
  <c r="CZ22" i="31"/>
  <c r="DN22" i="31"/>
  <c r="BW24" i="31"/>
  <c r="EA25" i="31"/>
  <c r="CZ26" i="31"/>
  <c r="EA27" i="31"/>
  <c r="BW29" i="31"/>
  <c r="DY17" i="31"/>
  <c r="BV21" i="31"/>
  <c r="EN28" i="31"/>
  <c r="CJ26" i="31"/>
  <c r="AF16" i="31"/>
  <c r="BH15" i="31"/>
  <c r="AT14" i="31"/>
  <c r="S28" i="31"/>
  <c r="CK29" i="31"/>
  <c r="CL29" i="31"/>
  <c r="Q16" i="31"/>
  <c r="AS14" i="31"/>
  <c r="AS27" i="31"/>
  <c r="BG24" i="31"/>
  <c r="CW17" i="31"/>
  <c r="CI16" i="31"/>
  <c r="BV24" i="31"/>
  <c r="CX23" i="31"/>
  <c r="EN18" i="31"/>
  <c r="CJ18" i="31"/>
  <c r="AT16" i="31"/>
  <c r="DZ15" i="31"/>
  <c r="BH14" i="31"/>
  <c r="BI15" i="31"/>
  <c r="CJ22" i="31"/>
  <c r="N15" i="31"/>
  <c r="AV19" i="31"/>
  <c r="AV23" i="31"/>
  <c r="AH24" i="31"/>
  <c r="DL22" i="31"/>
  <c r="R19" i="31"/>
  <c r="R16" i="31"/>
  <c r="L15" i="31"/>
  <c r="BV14" i="31"/>
  <c r="R14" i="31"/>
  <c r="AS29" i="31"/>
  <c r="Q28" i="31"/>
  <c r="BG16" i="31"/>
  <c r="EM15" i="31"/>
  <c r="Q14" i="31"/>
  <c r="BJ14" i="31"/>
  <c r="BJ20" i="31"/>
  <c r="S29" i="31"/>
  <c r="BX16" i="31"/>
  <c r="AH25" i="31"/>
  <c r="AU15" i="31"/>
  <c r="EA15" i="31"/>
  <c r="CY17" i="31"/>
  <c r="BW20" i="31"/>
  <c r="AG20" i="31"/>
  <c r="BJ21" i="31"/>
  <c r="AU28" i="31"/>
  <c r="BI29" i="31"/>
  <c r="CJ19" i="31"/>
  <c r="DZ26" i="31"/>
  <c r="AT19" i="31"/>
  <c r="CJ16" i="31"/>
  <c r="DL15" i="31"/>
  <c r="EP14" i="31"/>
  <c r="CZ16" i="31"/>
  <c r="EO16" i="31"/>
  <c r="CZ18" i="31"/>
  <c r="AU21" i="31"/>
  <c r="DM27" i="31"/>
  <c r="CL27" i="31"/>
  <c r="EP29" i="31"/>
  <c r="CW23" i="31"/>
  <c r="AF26" i="31"/>
  <c r="AT22" i="31"/>
  <c r="EN19" i="31"/>
  <c r="BV15" i="31"/>
  <c r="R15" i="31"/>
  <c r="AF20" i="31"/>
  <c r="BH29" i="31"/>
  <c r="BV27" i="31"/>
  <c r="E23" i="56"/>
  <c r="K26" i="48"/>
  <c r="K30" i="48"/>
  <c r="C16" i="82"/>
  <c r="C16" i="80"/>
  <c r="D16" i="82"/>
  <c r="E16" i="82"/>
  <c r="E77" i="76"/>
  <c r="D16" i="79"/>
  <c r="E16" i="78"/>
  <c r="K16" i="75"/>
  <c r="J16" i="75"/>
  <c r="C16" i="72"/>
  <c r="G16" i="72"/>
  <c r="I16" i="73"/>
  <c r="M16" i="73"/>
  <c r="G16" i="73"/>
  <c r="E16" i="73"/>
  <c r="C16" i="71"/>
  <c r="I16" i="71"/>
  <c r="K16" i="71"/>
  <c r="J16" i="70"/>
  <c r="D14" i="33"/>
  <c r="C16" i="66"/>
  <c r="C16" i="67"/>
  <c r="E16" i="68"/>
  <c r="G16" i="61"/>
  <c r="K16" i="61"/>
  <c r="I16" i="61"/>
  <c r="M16" i="61"/>
  <c r="E16" i="61"/>
  <c r="E90" i="17"/>
  <c r="M16" i="64"/>
  <c r="I16" i="64"/>
  <c r="K16" i="64"/>
  <c r="E16" i="64"/>
  <c r="G16" i="64"/>
  <c r="K95" i="17"/>
  <c r="L16" i="63"/>
  <c r="D89" i="17"/>
  <c r="C16" i="63"/>
  <c r="J94" i="17"/>
  <c r="C89" i="17"/>
  <c r="C16" i="60"/>
  <c r="I16" i="60"/>
  <c r="J92" i="17"/>
  <c r="G16" i="62"/>
  <c r="E16" i="62"/>
  <c r="K16" i="62"/>
  <c r="M16" i="62"/>
  <c r="I16" i="62"/>
  <c r="G90" i="17"/>
  <c r="B87" i="17"/>
  <c r="I16" i="65"/>
  <c r="G16" i="65"/>
  <c r="E16" i="65"/>
  <c r="J16" i="63"/>
  <c r="K90" i="17"/>
  <c r="K88" i="17"/>
  <c r="K16" i="65"/>
  <c r="K94" i="17"/>
  <c r="M16" i="65"/>
  <c r="D17" i="59"/>
  <c r="C78" i="16"/>
  <c r="C76" i="16"/>
  <c r="C17" i="57"/>
  <c r="K17" i="58"/>
  <c r="G17" i="58"/>
  <c r="D17" i="58"/>
  <c r="H17" i="57"/>
  <c r="I17" i="58"/>
  <c r="E17" i="58"/>
  <c r="K17" i="59"/>
  <c r="E17" i="59"/>
  <c r="G17" i="59"/>
  <c r="I17" i="59"/>
  <c r="C17" i="55"/>
  <c r="G17" i="55"/>
  <c r="H18" i="53"/>
  <c r="I216" i="29"/>
  <c r="H216" i="29"/>
  <c r="H208" i="29"/>
  <c r="G215" i="29"/>
  <c r="C18" i="53"/>
  <c r="K17" i="48"/>
  <c r="E17" i="45"/>
  <c r="K17" i="45"/>
  <c r="I17" i="45"/>
  <c r="G17" i="48"/>
  <c r="I17" i="48"/>
  <c r="E17" i="48"/>
  <c r="E16" i="40"/>
  <c r="G176" i="29"/>
  <c r="H15" i="37"/>
  <c r="I183" i="29"/>
  <c r="I182" i="29"/>
  <c r="D15" i="35"/>
  <c r="G15" i="35"/>
  <c r="C145" i="24"/>
  <c r="AU15" i="34"/>
  <c r="AQ15" i="34"/>
  <c r="BL15" i="34"/>
  <c r="BA15" i="34"/>
  <c r="D145" i="24"/>
  <c r="H15" i="34"/>
  <c r="C135" i="24"/>
  <c r="E140" i="24"/>
  <c r="G15" i="34"/>
  <c r="Q15" i="34"/>
  <c r="AL15" i="34"/>
  <c r="E142" i="24"/>
  <c r="AM15" i="34"/>
  <c r="D15" i="34"/>
  <c r="M15" i="34"/>
  <c r="Y15" i="34"/>
  <c r="C130" i="24"/>
  <c r="Z15" i="34"/>
  <c r="N85" i="14"/>
  <c r="AS15" i="31"/>
  <c r="Q15" i="31"/>
  <c r="K15" i="31"/>
  <c r="AT15" i="31"/>
  <c r="G15" i="31"/>
  <c r="D93" i="14"/>
  <c r="E94" i="14"/>
  <c r="DY15" i="31"/>
  <c r="EO15" i="31"/>
  <c r="CK15" i="31"/>
  <c r="M15" i="31"/>
  <c r="G93" i="14"/>
  <c r="G94" i="14"/>
  <c r="CX15" i="31"/>
  <c r="D15" i="31"/>
  <c r="AH15" i="31"/>
  <c r="AV15" i="31"/>
  <c r="BU15" i="31"/>
  <c r="AF15" i="31"/>
  <c r="EP15" i="31"/>
  <c r="BJ15" i="31"/>
  <c r="M16" i="72"/>
  <c r="E16" i="72"/>
  <c r="K16" i="72"/>
  <c r="I16" i="72"/>
  <c r="E16" i="71"/>
  <c r="G16" i="71"/>
  <c r="C90" i="17"/>
  <c r="B86" i="17"/>
  <c r="M16" i="60"/>
  <c r="K16" i="60"/>
  <c r="E16" i="60"/>
  <c r="G16" i="60"/>
  <c r="J90" i="17"/>
  <c r="J88" i="17"/>
  <c r="I16" i="63"/>
  <c r="K16" i="63"/>
  <c r="G16" i="63"/>
  <c r="M16" i="63"/>
  <c r="E16" i="63"/>
  <c r="K17" i="57"/>
  <c r="C77" i="16"/>
  <c r="G17" i="57"/>
  <c r="D17" i="57"/>
  <c r="I17" i="57"/>
  <c r="M15" i="37"/>
  <c r="N15" i="37"/>
  <c r="AP15" i="34"/>
  <c r="E141" i="24"/>
  <c r="C140" i="24"/>
  <c r="L15" i="34"/>
  <c r="C15" i="31"/>
  <c r="D94" i="14"/>
  <c r="E17" i="57"/>
  <c r="C142" i="24"/>
  <c r="C141" i="24"/>
  <c r="EN14" i="31"/>
  <c r="EB14" i="31"/>
  <c r="DY14" i="31"/>
  <c r="DM14" i="31"/>
  <c r="EA14" i="31"/>
  <c r="CX14" i="31"/>
  <c r="CZ14" i="31"/>
  <c r="N14" i="31"/>
  <c r="CL14" i="31"/>
  <c r="CK14" i="31"/>
  <c r="E14" i="31"/>
  <c r="H14" i="31"/>
  <c r="G57" i="14"/>
  <c r="M14" i="31"/>
  <c r="L14" i="31"/>
  <c r="BU14" i="31"/>
  <c r="BG14" i="31"/>
  <c r="K14" i="31"/>
  <c r="J14" i="31"/>
  <c r="F14" i="31"/>
  <c r="BI14" i="31"/>
  <c r="I14" i="31"/>
  <c r="F57" i="14"/>
  <c r="F58" i="14"/>
  <c r="AF14" i="31"/>
  <c r="D14" i="31"/>
  <c r="C14" i="31"/>
  <c r="D57" i="14"/>
  <c r="D58" i="14"/>
  <c r="G14" i="31"/>
  <c r="BQ14" i="34"/>
  <c r="E91" i="24"/>
  <c r="AX14" i="34"/>
  <c r="C98" i="24"/>
  <c r="BF14" i="34"/>
  <c r="C93" i="24"/>
  <c r="AQ14" i="34"/>
  <c r="K14" i="34"/>
  <c r="C81" i="24"/>
  <c r="E86" i="24"/>
  <c r="AL14" i="34"/>
  <c r="Z14" i="34"/>
  <c r="Y14" i="34"/>
  <c r="D86" i="24"/>
  <c r="D14" i="34"/>
  <c r="E88" i="24"/>
  <c r="C76" i="24"/>
  <c r="AM14" i="34"/>
  <c r="G58" i="14"/>
  <c r="E58" i="14"/>
  <c r="BL14" i="34"/>
  <c r="AU14" i="34"/>
  <c r="BA14" i="34"/>
  <c r="C91" i="24"/>
  <c r="H14" i="34"/>
  <c r="D88" i="24"/>
  <c r="C86" i="24"/>
  <c r="L14" i="34"/>
  <c r="N49" i="14"/>
  <c r="E87" i="24"/>
  <c r="AP14" i="34"/>
  <c r="M14" i="34"/>
  <c r="J49" i="14"/>
  <c r="D87" i="24"/>
  <c r="C88" i="24"/>
  <c r="F49" i="14"/>
  <c r="C87" i="24"/>
  <c r="H17" i="52"/>
  <c r="C16" i="56"/>
  <c r="E16" i="56"/>
  <c r="K16" i="48"/>
  <c r="G121" i="29"/>
  <c r="D16" i="47"/>
  <c r="C16" i="45"/>
  <c r="M14" i="36"/>
  <c r="N14" i="36"/>
  <c r="H14" i="37"/>
  <c r="C16" i="44"/>
  <c r="I16" i="44"/>
  <c r="G16" i="45"/>
  <c r="I150" i="29"/>
  <c r="G16" i="56"/>
  <c r="C15" i="82"/>
  <c r="E15" i="82"/>
  <c r="E15" i="79"/>
  <c r="C48" i="76"/>
  <c r="D15" i="77"/>
  <c r="D15" i="82"/>
  <c r="E15" i="77"/>
  <c r="K15" i="75"/>
  <c r="J15" i="75"/>
  <c r="H13" i="33"/>
  <c r="G13" i="33"/>
  <c r="C52" i="22"/>
  <c r="C15" i="72"/>
  <c r="C15" i="73"/>
  <c r="E15" i="73"/>
  <c r="M15" i="73"/>
  <c r="K15" i="73"/>
  <c r="D15" i="71"/>
  <c r="C15" i="71"/>
  <c r="C15" i="70"/>
  <c r="D15" i="70"/>
  <c r="C15" i="66"/>
  <c r="C15" i="67"/>
  <c r="E15" i="68"/>
  <c r="K15" i="61"/>
  <c r="E15" i="61"/>
  <c r="G15" i="61"/>
  <c r="I15" i="61"/>
  <c r="M15" i="61"/>
  <c r="E56" i="17"/>
  <c r="F15" i="63"/>
  <c r="I15" i="64"/>
  <c r="M15" i="64"/>
  <c r="G15" i="64"/>
  <c r="K15" i="64"/>
  <c r="E15" i="64"/>
  <c r="K61" i="17"/>
  <c r="M15" i="62"/>
  <c r="J60" i="17"/>
  <c r="J56" i="17"/>
  <c r="J54" i="17"/>
  <c r="E15" i="62"/>
  <c r="G15" i="62"/>
  <c r="I15" i="62"/>
  <c r="C55" i="17"/>
  <c r="C15" i="60"/>
  <c r="K57" i="17"/>
  <c r="K58" i="17"/>
  <c r="M15" i="65"/>
  <c r="K15" i="65"/>
  <c r="G15" i="65"/>
  <c r="E15" i="65"/>
  <c r="D55" i="17"/>
  <c r="F16" i="57"/>
  <c r="K16" i="58"/>
  <c r="D16" i="58"/>
  <c r="C47" i="16"/>
  <c r="C16" i="57"/>
  <c r="K16" i="57"/>
  <c r="E16" i="59"/>
  <c r="I16" i="59"/>
  <c r="G16" i="59"/>
  <c r="K16" i="59"/>
  <c r="I16" i="58"/>
  <c r="G16" i="58"/>
  <c r="E16" i="58"/>
  <c r="E15" i="72"/>
  <c r="M15" i="72"/>
  <c r="I15" i="72"/>
  <c r="G15" i="72"/>
  <c r="K15" i="72"/>
  <c r="I15" i="73"/>
  <c r="G15" i="73"/>
  <c r="I15" i="71"/>
  <c r="K15" i="71"/>
  <c r="E15" i="71"/>
  <c r="G15" i="71"/>
  <c r="K56" i="17"/>
  <c r="K54" i="17"/>
  <c r="B52" i="17"/>
  <c r="C56" i="17"/>
  <c r="M15" i="60"/>
  <c r="I15" i="60"/>
  <c r="G15" i="60"/>
  <c r="K15" i="60"/>
  <c r="E15" i="60"/>
  <c r="B53" i="17"/>
  <c r="C15" i="63"/>
  <c r="E16" i="57"/>
  <c r="C48" i="16"/>
  <c r="D16" i="57"/>
  <c r="I16" i="57"/>
  <c r="G16" i="57"/>
  <c r="E15" i="63"/>
  <c r="I15" i="63"/>
  <c r="G15" i="63"/>
  <c r="K15" i="63"/>
  <c r="M15" i="63"/>
  <c r="AH16" i="31"/>
  <c r="D194" i="24"/>
  <c r="D196" i="24"/>
  <c r="D195" i="24"/>
  <c r="Y16" i="34"/>
  <c r="BA16" i="34"/>
  <c r="AQ16" i="34"/>
  <c r="BL16" i="34"/>
  <c r="C201" i="24"/>
  <c r="H16" i="34"/>
  <c r="AH16" i="34"/>
  <c r="C189" i="24"/>
  <c r="D16" i="34"/>
  <c r="E196" i="24"/>
  <c r="AD16" i="34"/>
  <c r="AM16" i="34"/>
  <c r="E194" i="24"/>
  <c r="Z16" i="34"/>
  <c r="AP16" i="34"/>
  <c r="C199" i="24"/>
  <c r="C194" i="24"/>
  <c r="M16" i="34"/>
  <c r="L16" i="34"/>
  <c r="AL16" i="34"/>
  <c r="E195" i="24"/>
  <c r="C196" i="24"/>
  <c r="C195" i="24"/>
  <c r="G17" i="82"/>
  <c r="D106" i="76"/>
  <c r="F17" i="82"/>
  <c r="E17" i="82"/>
  <c r="E106" i="76"/>
  <c r="K17" i="75"/>
  <c r="J17" i="75"/>
  <c r="F15" i="33"/>
  <c r="C17" i="72"/>
  <c r="I17" i="72"/>
  <c r="G17" i="72"/>
  <c r="C17" i="73"/>
  <c r="M17" i="73"/>
  <c r="K17" i="71"/>
  <c r="I17" i="71"/>
  <c r="E17" i="71"/>
  <c r="J17" i="70"/>
  <c r="C15" i="33"/>
  <c r="E15" i="33"/>
  <c r="E17" i="68"/>
  <c r="E124" i="17"/>
  <c r="H17" i="60"/>
  <c r="I17" i="61"/>
  <c r="G17" i="61"/>
  <c r="M17" i="61"/>
  <c r="K17" i="61"/>
  <c r="E17" i="61"/>
  <c r="K125" i="17"/>
  <c r="E17" i="64"/>
  <c r="M17" i="64"/>
  <c r="I17" i="64"/>
  <c r="K17" i="64"/>
  <c r="G17" i="64"/>
  <c r="D123" i="17"/>
  <c r="C17" i="63"/>
  <c r="G17" i="63"/>
  <c r="J129" i="17"/>
  <c r="J124" i="17"/>
  <c r="J122" i="17"/>
  <c r="F17" i="60"/>
  <c r="C123" i="17"/>
  <c r="C17" i="60"/>
  <c r="M17" i="60"/>
  <c r="M17" i="62"/>
  <c r="I17" i="62"/>
  <c r="G17" i="62"/>
  <c r="K17" i="62"/>
  <c r="E17" i="62"/>
  <c r="K17" i="65"/>
  <c r="M17" i="65"/>
  <c r="G17" i="65"/>
  <c r="K124" i="17"/>
  <c r="K122" i="17"/>
  <c r="M17" i="63"/>
  <c r="I17" i="65"/>
  <c r="I18" i="58"/>
  <c r="G18" i="58"/>
  <c r="D18" i="57"/>
  <c r="C107" i="16"/>
  <c r="C105" i="16"/>
  <c r="K18" i="59"/>
  <c r="G18" i="59"/>
  <c r="I18" i="59"/>
  <c r="C18" i="55"/>
  <c r="I18" i="55"/>
  <c r="H302" i="29"/>
  <c r="H292" i="29"/>
  <c r="H19" i="53"/>
  <c r="G302" i="29"/>
  <c r="I298" i="29"/>
  <c r="C18" i="45"/>
  <c r="K18" i="45"/>
  <c r="H271" i="29"/>
  <c r="G273" i="29"/>
  <c r="C18" i="44"/>
  <c r="D18" i="49"/>
  <c r="C18" i="46"/>
  <c r="I18" i="46"/>
  <c r="H16" i="37"/>
  <c r="M16" i="37"/>
  <c r="N16" i="37"/>
  <c r="G248" i="29"/>
  <c r="C116" i="18"/>
  <c r="CW16" i="31"/>
  <c r="DY16" i="31"/>
  <c r="EN16" i="31"/>
  <c r="D16" i="31"/>
  <c r="DZ16" i="31"/>
  <c r="CX16" i="31"/>
  <c r="H16" i="31"/>
  <c r="S16" i="31"/>
  <c r="AG16" i="31"/>
  <c r="I16" i="31"/>
  <c r="EA16" i="31"/>
  <c r="EP16" i="31"/>
  <c r="DN16" i="31"/>
  <c r="BJ16" i="31"/>
  <c r="J16" i="31"/>
  <c r="AE16" i="31"/>
  <c r="K16" i="31"/>
  <c r="D129" i="14"/>
  <c r="D130" i="14"/>
  <c r="EM16" i="31"/>
  <c r="C16" i="31"/>
  <c r="L16" i="31"/>
  <c r="M16" i="31"/>
  <c r="F129" i="14"/>
  <c r="F130" i="14"/>
  <c r="C17" i="82"/>
  <c r="E17" i="72"/>
  <c r="M17" i="72"/>
  <c r="K17" i="72"/>
  <c r="G17" i="73"/>
  <c r="I17" i="73"/>
  <c r="K17" i="73"/>
  <c r="E17" i="73"/>
  <c r="B121" i="17"/>
  <c r="E17" i="63"/>
  <c r="I17" i="63"/>
  <c r="K17" i="63"/>
  <c r="E17" i="60"/>
  <c r="I17" i="60"/>
  <c r="G17" i="60"/>
  <c r="B120" i="17"/>
  <c r="K17" i="60"/>
  <c r="C124" i="17"/>
  <c r="C106" i="16"/>
  <c r="C18" i="57"/>
  <c r="E18" i="49"/>
  <c r="E130" i="14"/>
  <c r="F121" i="14"/>
  <c r="K18" i="57"/>
  <c r="I18" i="57"/>
  <c r="E18" i="57"/>
  <c r="G18" i="57"/>
  <c r="C18" i="77"/>
  <c r="C18" i="82"/>
  <c r="D18" i="79"/>
  <c r="D18" i="82"/>
  <c r="D135" i="76"/>
  <c r="E135" i="76"/>
  <c r="G16" i="33"/>
  <c r="K18" i="75"/>
  <c r="J18" i="75"/>
  <c r="H16" i="33"/>
  <c r="M18" i="72"/>
  <c r="K18" i="72"/>
  <c r="I18" i="72"/>
  <c r="E18" i="72"/>
  <c r="G18" i="72"/>
  <c r="C148" i="22"/>
  <c r="C18" i="73"/>
  <c r="K18" i="73"/>
  <c r="E18" i="73"/>
  <c r="I18" i="73"/>
  <c r="G18" i="73"/>
  <c r="M18" i="73"/>
  <c r="C148" i="20"/>
  <c r="D18" i="71"/>
  <c r="C18" i="67"/>
  <c r="E18" i="68"/>
  <c r="I18" i="61"/>
  <c r="E158" i="17"/>
  <c r="G18" i="61"/>
  <c r="M18" i="61"/>
  <c r="E18" i="61"/>
  <c r="K18" i="61"/>
  <c r="K160" i="17"/>
  <c r="K158" i="17"/>
  <c r="K156" i="17"/>
  <c r="I18" i="64"/>
  <c r="E18" i="64"/>
  <c r="J18" i="63"/>
  <c r="K18" i="64"/>
  <c r="M18" i="64"/>
  <c r="G18" i="64"/>
  <c r="C157" i="17"/>
  <c r="C18" i="60"/>
  <c r="I18" i="60"/>
  <c r="J158" i="17"/>
  <c r="J156" i="17"/>
  <c r="C158" i="17"/>
  <c r="K18" i="62"/>
  <c r="E18" i="62"/>
  <c r="G18" i="62"/>
  <c r="M18" i="62"/>
  <c r="I18" i="62"/>
  <c r="G158" i="17"/>
  <c r="H18" i="63"/>
  <c r="D157" i="17"/>
  <c r="C18" i="63"/>
  <c r="M18" i="65"/>
  <c r="G18" i="65"/>
  <c r="I18" i="65"/>
  <c r="K18" i="65"/>
  <c r="E18" i="65"/>
  <c r="D134" i="16"/>
  <c r="C19" i="58"/>
  <c r="K19" i="58"/>
  <c r="E134" i="16"/>
  <c r="C19" i="59"/>
  <c r="D19" i="57"/>
  <c r="E19" i="58"/>
  <c r="I19" i="58"/>
  <c r="G19" i="58"/>
  <c r="C134" i="16"/>
  <c r="I19" i="59"/>
  <c r="K19" i="59"/>
  <c r="G367" i="29"/>
  <c r="G368" i="29"/>
  <c r="H20" i="52"/>
  <c r="H378" i="29"/>
  <c r="C19" i="55"/>
  <c r="I19" i="55"/>
  <c r="C19" i="56"/>
  <c r="I19" i="56"/>
  <c r="I378" i="29"/>
  <c r="K19" i="47"/>
  <c r="C19" i="45"/>
  <c r="C18" i="39"/>
  <c r="E18" i="39"/>
  <c r="H17" i="37"/>
  <c r="M17" i="37"/>
  <c r="N17" i="37"/>
  <c r="I338" i="29"/>
  <c r="I334" i="29"/>
  <c r="D17" i="36"/>
  <c r="G17" i="36"/>
  <c r="G17" i="31"/>
  <c r="H17" i="31"/>
  <c r="AE17" i="31"/>
  <c r="S17" i="31"/>
  <c r="EA17" i="31"/>
  <c r="I17" i="31"/>
  <c r="CZ17" i="31"/>
  <c r="CL17" i="31"/>
  <c r="F17" i="31"/>
  <c r="BJ17" i="31"/>
  <c r="J17" i="31"/>
  <c r="T17" i="31"/>
  <c r="DH30" i="31"/>
  <c r="L17" i="31"/>
  <c r="F165" i="14"/>
  <c r="F166" i="14"/>
  <c r="G165" i="14"/>
  <c r="CJ17" i="31"/>
  <c r="CI17" i="31"/>
  <c r="R17" i="31"/>
  <c r="D17" i="31"/>
  <c r="K17" i="31"/>
  <c r="D165" i="14"/>
  <c r="D166" i="14"/>
  <c r="AS17" i="31"/>
  <c r="AG17" i="31"/>
  <c r="M17" i="31"/>
  <c r="BW17" i="31"/>
  <c r="BA17" i="34"/>
  <c r="AX17" i="34"/>
  <c r="BL17" i="34"/>
  <c r="C253" i="24"/>
  <c r="D253" i="24"/>
  <c r="AR17" i="34"/>
  <c r="I17" i="34"/>
  <c r="E248" i="24"/>
  <c r="AD17" i="34"/>
  <c r="AL17" i="34"/>
  <c r="AM17" i="34"/>
  <c r="C238" i="24"/>
  <c r="C248" i="24"/>
  <c r="Q17" i="34"/>
  <c r="Y17" i="34"/>
  <c r="G17" i="34"/>
  <c r="D248" i="24"/>
  <c r="Z17" i="34"/>
  <c r="D17" i="34"/>
  <c r="C18" i="71"/>
  <c r="G18" i="60"/>
  <c r="B154" i="17"/>
  <c r="K18" i="60"/>
  <c r="M18" i="60"/>
  <c r="E18" i="60"/>
  <c r="G18" i="63"/>
  <c r="M18" i="63"/>
  <c r="E18" i="63"/>
  <c r="K18" i="63"/>
  <c r="I18" i="63"/>
  <c r="B155" i="17"/>
  <c r="E19" i="59"/>
  <c r="G19" i="59"/>
  <c r="C19" i="57"/>
  <c r="C135" i="16"/>
  <c r="G19" i="45"/>
  <c r="K19" i="45"/>
  <c r="I19" i="45"/>
  <c r="E19" i="45"/>
  <c r="C17" i="31"/>
  <c r="E17" i="31"/>
  <c r="G166" i="14"/>
  <c r="E166" i="14"/>
  <c r="AU17" i="34"/>
  <c r="AQ17" i="34"/>
  <c r="H17" i="34"/>
  <c r="E250" i="24"/>
  <c r="C250" i="24"/>
  <c r="D250" i="24"/>
  <c r="L17" i="34"/>
  <c r="K18" i="71"/>
  <c r="E18" i="71"/>
  <c r="I18" i="71"/>
  <c r="G18" i="71"/>
  <c r="E19" i="57"/>
  <c r="I19" i="57"/>
  <c r="K19" i="57"/>
  <c r="G19" i="57"/>
  <c r="AP17" i="34"/>
  <c r="M17" i="34"/>
  <c r="E249" i="24"/>
  <c r="N157" i="14"/>
  <c r="C249" i="24"/>
  <c r="F157" i="14"/>
  <c r="J157" i="14"/>
  <c r="D249" i="24"/>
  <c r="BU18" i="31"/>
  <c r="BG18" i="31"/>
  <c r="AS18" i="31"/>
  <c r="R18" i="31"/>
  <c r="AU18" i="31"/>
  <c r="AV18" i="31"/>
  <c r="F18" i="31"/>
  <c r="L18" i="31"/>
  <c r="CL18" i="31"/>
  <c r="CI18" i="31"/>
  <c r="CW18" i="31"/>
  <c r="CY18" i="31"/>
  <c r="D201" i="14"/>
  <c r="EM18" i="31"/>
  <c r="I18" i="31"/>
  <c r="EP18" i="31"/>
  <c r="DL18" i="31"/>
  <c r="G18" i="31"/>
  <c r="DM18" i="31"/>
  <c r="E18" i="31"/>
  <c r="K18" i="31"/>
  <c r="DY18" i="31"/>
  <c r="DK18" i="31"/>
  <c r="F201" i="14"/>
  <c r="F202" i="14"/>
  <c r="M18" i="31"/>
  <c r="N18" i="31"/>
  <c r="G201" i="14"/>
  <c r="E307" i="24"/>
  <c r="AU18" i="34"/>
  <c r="C314" i="24"/>
  <c r="BF18" i="34"/>
  <c r="D307" i="24"/>
  <c r="BM18" i="34"/>
  <c r="BL18" i="34"/>
  <c r="C309" i="24"/>
  <c r="AQ18" i="34"/>
  <c r="C297" i="24"/>
  <c r="H18" i="34"/>
  <c r="D302" i="24"/>
  <c r="D304" i="24"/>
  <c r="Z18" i="34"/>
  <c r="Y18" i="34"/>
  <c r="C292" i="24"/>
  <c r="AD18" i="34"/>
  <c r="D18" i="34"/>
  <c r="E304" i="24"/>
  <c r="E303" i="24"/>
  <c r="AL18" i="34"/>
  <c r="AM18" i="34"/>
  <c r="N193" i="14"/>
  <c r="D202" i="14"/>
  <c r="C18" i="31"/>
  <c r="G202" i="14"/>
  <c r="BA18" i="34"/>
  <c r="C307" i="24"/>
  <c r="AP18" i="34"/>
  <c r="C302" i="24"/>
  <c r="C304" i="24"/>
  <c r="M18" i="34"/>
  <c r="L18" i="34"/>
  <c r="D303" i="24"/>
  <c r="J193" i="14"/>
  <c r="F193" i="14"/>
  <c r="C303" i="24"/>
  <c r="H454" i="29"/>
  <c r="G449" i="29"/>
  <c r="C20" i="45"/>
  <c r="K20" i="45"/>
  <c r="H423" i="29"/>
  <c r="D20" i="48"/>
  <c r="E20" i="45"/>
  <c r="G19" i="39"/>
  <c r="I401" i="29"/>
  <c r="D18" i="35"/>
  <c r="G18" i="35"/>
  <c r="H401" i="29"/>
  <c r="G400" i="29"/>
  <c r="C180" i="18"/>
  <c r="H411" i="29"/>
  <c r="M18" i="36"/>
  <c r="N18" i="36"/>
  <c r="G18" i="37"/>
  <c r="I20" i="45"/>
  <c r="H414" i="29"/>
  <c r="H410" i="29"/>
  <c r="C19" i="79"/>
  <c r="G19" i="82"/>
  <c r="D19" i="78"/>
  <c r="C19" i="78"/>
  <c r="D19" i="82"/>
  <c r="E19" i="78"/>
  <c r="D19" i="77"/>
  <c r="K19" i="82"/>
  <c r="E164" i="76"/>
  <c r="C19" i="75"/>
  <c r="D19" i="75"/>
  <c r="C180" i="22"/>
  <c r="C19" i="72"/>
  <c r="G19" i="72"/>
  <c r="M19" i="73"/>
  <c r="K19" i="73"/>
  <c r="E19" i="73"/>
  <c r="G19" i="71"/>
  <c r="K19" i="71"/>
  <c r="I19" i="71"/>
  <c r="E19" i="71"/>
  <c r="E17" i="33"/>
  <c r="C17" i="33"/>
  <c r="D19" i="70"/>
  <c r="C19" i="67"/>
  <c r="E19" i="68"/>
  <c r="L19" i="60"/>
  <c r="K19" i="61"/>
  <c r="G19" i="61"/>
  <c r="M19" i="61"/>
  <c r="I19" i="61"/>
  <c r="E19" i="61"/>
  <c r="E192" i="17"/>
  <c r="H19" i="63"/>
  <c r="E19" i="64"/>
  <c r="M19" i="64"/>
  <c r="I19" i="64"/>
  <c r="K19" i="64"/>
  <c r="K197" i="17"/>
  <c r="G19" i="64"/>
  <c r="C19" i="62"/>
  <c r="I19" i="62"/>
  <c r="G19" i="62"/>
  <c r="J196" i="17"/>
  <c r="J192" i="17"/>
  <c r="J190" i="17"/>
  <c r="H19" i="60"/>
  <c r="K19" i="62"/>
  <c r="C191" i="17"/>
  <c r="C192" i="17"/>
  <c r="K19" i="65"/>
  <c r="I19" i="65"/>
  <c r="M19" i="65"/>
  <c r="K196" i="17"/>
  <c r="D191" i="17"/>
  <c r="E19" i="65"/>
  <c r="G19" i="65"/>
  <c r="L19" i="63"/>
  <c r="K20" i="59"/>
  <c r="G20" i="59"/>
  <c r="D20" i="59"/>
  <c r="D20" i="57"/>
  <c r="D20" i="58"/>
  <c r="I20" i="58"/>
  <c r="K20" i="58"/>
  <c r="C163" i="16"/>
  <c r="C164" i="16"/>
  <c r="G20" i="58"/>
  <c r="I20" i="59"/>
  <c r="E19" i="82"/>
  <c r="K19" i="72"/>
  <c r="M19" i="72"/>
  <c r="I19" i="72"/>
  <c r="E19" i="72"/>
  <c r="K192" i="17"/>
  <c r="K190" i="17"/>
  <c r="E19" i="62"/>
  <c r="M19" i="62"/>
  <c r="B188" i="17"/>
  <c r="C19" i="60"/>
  <c r="B189" i="17"/>
  <c r="C19" i="63"/>
  <c r="M19" i="63"/>
  <c r="C20" i="57"/>
  <c r="E20" i="57"/>
  <c r="E20" i="58"/>
  <c r="E20" i="59"/>
  <c r="I20" i="57"/>
  <c r="G20" i="57"/>
  <c r="K20" i="57"/>
  <c r="K19" i="60"/>
  <c r="M19" i="60"/>
  <c r="I19" i="60"/>
  <c r="G19" i="60"/>
  <c r="E19" i="60"/>
  <c r="E19" i="63"/>
  <c r="G19" i="63"/>
  <c r="I19" i="63"/>
  <c r="K19" i="63"/>
  <c r="G129" i="14"/>
  <c r="N16" i="31"/>
  <c r="F16" i="31"/>
  <c r="G130" i="14"/>
  <c r="D17" i="78"/>
  <c r="C17" i="66"/>
  <c r="C193" i="76"/>
  <c r="D193" i="76"/>
  <c r="E20" i="77"/>
  <c r="K20" i="82"/>
  <c r="E20" i="82"/>
  <c r="D20" i="82"/>
  <c r="C20" i="82"/>
  <c r="D20" i="79"/>
  <c r="D20" i="80"/>
  <c r="K20" i="75"/>
  <c r="J20" i="75"/>
  <c r="F18" i="33"/>
  <c r="D20" i="75"/>
  <c r="C20" i="72"/>
  <c r="M20" i="73"/>
  <c r="K20" i="73"/>
  <c r="I20" i="73"/>
  <c r="E20" i="73"/>
  <c r="G20" i="73"/>
  <c r="E20" i="71"/>
  <c r="K20" i="71"/>
  <c r="I20" i="71"/>
  <c r="G20" i="71"/>
  <c r="E18" i="33"/>
  <c r="C18" i="33"/>
  <c r="D18" i="33"/>
  <c r="C20" i="66"/>
  <c r="E20" i="68"/>
  <c r="C20" i="67"/>
  <c r="M20" i="61"/>
  <c r="G20" i="61"/>
  <c r="E20" i="61"/>
  <c r="L20" i="60"/>
  <c r="K20" i="61"/>
  <c r="D225" i="17"/>
  <c r="C20" i="63"/>
  <c r="G20" i="64"/>
  <c r="K20" i="64"/>
  <c r="I20" i="64"/>
  <c r="K230" i="17"/>
  <c r="K226" i="17"/>
  <c r="K224" i="17"/>
  <c r="E20" i="64"/>
  <c r="M20" i="64"/>
  <c r="J226" i="17"/>
  <c r="J224" i="17"/>
  <c r="H20" i="60"/>
  <c r="C225" i="17"/>
  <c r="B222" i="17"/>
  <c r="G20" i="62"/>
  <c r="M20" i="62"/>
  <c r="I20" i="62"/>
  <c r="K20" i="62"/>
  <c r="E20" i="62"/>
  <c r="M20" i="65"/>
  <c r="E20" i="63"/>
  <c r="K20" i="63"/>
  <c r="I20" i="63"/>
  <c r="G20" i="63"/>
  <c r="K20" i="65"/>
  <c r="G20" i="65"/>
  <c r="I20" i="65"/>
  <c r="E20" i="65"/>
  <c r="M20" i="63"/>
  <c r="B223" i="17"/>
  <c r="I21" i="58"/>
  <c r="G21" i="58"/>
  <c r="K21" i="58"/>
  <c r="C194" i="16"/>
  <c r="D21" i="57"/>
  <c r="K21" i="59"/>
  <c r="G226" i="17"/>
  <c r="G21" i="59"/>
  <c r="E21" i="59"/>
  <c r="I21" i="59"/>
  <c r="H530" i="29"/>
  <c r="H22" i="52"/>
  <c r="H512" i="29"/>
  <c r="C22" i="52"/>
  <c r="I22" i="50"/>
  <c r="G21" i="55"/>
  <c r="I21" i="55"/>
  <c r="G525" i="29"/>
  <c r="H526" i="29"/>
  <c r="I526" i="29"/>
  <c r="C21" i="56"/>
  <c r="E21" i="56"/>
  <c r="I21" i="45"/>
  <c r="C21" i="44"/>
  <c r="G21" i="44"/>
  <c r="K21" i="48"/>
  <c r="G21" i="48"/>
  <c r="G499" i="29"/>
  <c r="C21" i="47"/>
  <c r="G21" i="49"/>
  <c r="H487" i="29"/>
  <c r="H490" i="29"/>
  <c r="H19" i="36"/>
  <c r="G480" i="29"/>
  <c r="H19" i="37"/>
  <c r="H19" i="35"/>
  <c r="D19" i="37"/>
  <c r="G19" i="37"/>
  <c r="G476" i="29"/>
  <c r="C212" i="18"/>
  <c r="G19" i="31"/>
  <c r="EM19" i="31"/>
  <c r="C19" i="31"/>
  <c r="BH19" i="31"/>
  <c r="H19" i="31"/>
  <c r="CX19" i="31"/>
  <c r="CK19" i="31"/>
  <c r="I19" i="31"/>
  <c r="T19" i="31"/>
  <c r="AH19" i="31"/>
  <c r="BJ19" i="31"/>
  <c r="J19" i="31"/>
  <c r="D237" i="14"/>
  <c r="E238" i="14"/>
  <c r="CW19" i="31"/>
  <c r="K19" i="31"/>
  <c r="D19" i="31"/>
  <c r="L19" i="31"/>
  <c r="AG19" i="31"/>
  <c r="E19" i="31"/>
  <c r="F237" i="14"/>
  <c r="F238" i="14"/>
  <c r="M19" i="31"/>
  <c r="G237" i="14"/>
  <c r="G238" i="14"/>
  <c r="N19" i="31"/>
  <c r="AU19" i="34"/>
  <c r="C368" i="24"/>
  <c r="BM19" i="34"/>
  <c r="BL19" i="34"/>
  <c r="D361" i="24"/>
  <c r="C363" i="24"/>
  <c r="C361" i="24"/>
  <c r="AQ19" i="34"/>
  <c r="AH19" i="34"/>
  <c r="E356" i="24"/>
  <c r="E358" i="24"/>
  <c r="U19" i="34"/>
  <c r="H19" i="34"/>
  <c r="C351" i="24"/>
  <c r="Q19" i="34"/>
  <c r="AD19" i="34"/>
  <c r="C346" i="24"/>
  <c r="D356" i="24"/>
  <c r="D19" i="34"/>
  <c r="L19" i="34"/>
  <c r="E20" i="72"/>
  <c r="I20" i="72"/>
  <c r="G20" i="72"/>
  <c r="K20" i="72"/>
  <c r="M20" i="72"/>
  <c r="C20" i="60"/>
  <c r="M20" i="60"/>
  <c r="G20" i="60"/>
  <c r="K20" i="60"/>
  <c r="I20" i="60"/>
  <c r="C226" i="17"/>
  <c r="C192" i="16"/>
  <c r="G530" i="29"/>
  <c r="I21" i="47"/>
  <c r="K21" i="47"/>
  <c r="G19" i="35"/>
  <c r="F19" i="31"/>
  <c r="D238" i="14"/>
  <c r="AP19" i="34"/>
  <c r="AL19" i="34"/>
  <c r="C356" i="24"/>
  <c r="Y19" i="34"/>
  <c r="Z19" i="34"/>
  <c r="D358" i="24"/>
  <c r="AM19" i="34"/>
  <c r="J229" i="14"/>
  <c r="M19" i="34"/>
  <c r="E357" i="24"/>
  <c r="N229" i="14"/>
  <c r="E20" i="60"/>
  <c r="C21" i="57"/>
  <c r="C193" i="16"/>
  <c r="C358" i="24"/>
  <c r="C357" i="24"/>
  <c r="D357" i="24"/>
  <c r="G21" i="57"/>
  <c r="K21" i="57"/>
  <c r="E21" i="57"/>
  <c r="I21" i="57"/>
  <c r="F229" i="14"/>
  <c r="BG20" i="31"/>
  <c r="AE20" i="31"/>
  <c r="AU20" i="31"/>
  <c r="BX20" i="31"/>
  <c r="AH20" i="31"/>
  <c r="T20" i="31"/>
  <c r="BV20" i="31"/>
  <c r="M20" i="31"/>
  <c r="L20" i="31"/>
  <c r="CK20" i="31"/>
  <c r="G20" i="31"/>
  <c r="CJ20" i="31"/>
  <c r="CY20" i="31"/>
  <c r="I20" i="31"/>
  <c r="EM20" i="31"/>
  <c r="H20" i="31"/>
  <c r="EN20" i="31"/>
  <c r="D273" i="14"/>
  <c r="E274" i="14"/>
  <c r="J20" i="31"/>
  <c r="DN20" i="31"/>
  <c r="F20" i="31"/>
  <c r="DL20" i="31"/>
  <c r="F273" i="14"/>
  <c r="F274" i="14"/>
  <c r="G273" i="14"/>
  <c r="G274" i="14"/>
  <c r="DY20" i="31"/>
  <c r="N20" i="31"/>
  <c r="K20" i="31"/>
  <c r="DS30" i="31"/>
  <c r="EO20" i="31"/>
  <c r="BQ20" i="34"/>
  <c r="AV20" i="34"/>
  <c r="C422" i="24"/>
  <c r="C415" i="24"/>
  <c r="BA20" i="34"/>
  <c r="BM20" i="34"/>
  <c r="AQ20" i="34"/>
  <c r="D415" i="24"/>
  <c r="D410" i="24"/>
  <c r="C405" i="24"/>
  <c r="H20" i="34"/>
  <c r="E410" i="24"/>
  <c r="D412" i="24"/>
  <c r="Q20" i="34"/>
  <c r="Z20" i="34"/>
  <c r="AD20" i="34"/>
  <c r="AL20" i="34"/>
  <c r="F20" i="34"/>
  <c r="AM20" i="34"/>
  <c r="E20" i="31"/>
  <c r="C20" i="31"/>
  <c r="D20" i="31"/>
  <c r="D274" i="14"/>
  <c r="AU20" i="34"/>
  <c r="AP20" i="34"/>
  <c r="BL20" i="34"/>
  <c r="C410" i="24"/>
  <c r="E412" i="24"/>
  <c r="D411" i="24"/>
  <c r="J265" i="14"/>
  <c r="Y20" i="34"/>
  <c r="C412" i="24"/>
  <c r="C411" i="24"/>
  <c r="D20" i="34"/>
  <c r="E411" i="24"/>
  <c r="N265" i="14"/>
  <c r="F265" i="14"/>
  <c r="M20" i="34"/>
  <c r="L20" i="34"/>
  <c r="AG15" i="31"/>
  <c r="E15" i="31"/>
  <c r="I15" i="31"/>
  <c r="F15" i="31"/>
  <c r="T15" i="31"/>
  <c r="J15" i="31"/>
  <c r="D18" i="31"/>
  <c r="H18" i="31"/>
  <c r="K19" i="75"/>
  <c r="J19" i="75"/>
  <c r="G590" i="29"/>
  <c r="H602" i="29"/>
  <c r="H591" i="29"/>
  <c r="D23" i="52"/>
  <c r="H606" i="29"/>
  <c r="H575" i="29"/>
  <c r="C22" i="48"/>
  <c r="I22" i="48"/>
  <c r="D22" i="49"/>
  <c r="E22" i="48"/>
  <c r="C22" i="45"/>
  <c r="G22" i="45"/>
  <c r="I22" i="46"/>
  <c r="C21" i="39"/>
  <c r="M21" i="39"/>
  <c r="G556" i="29"/>
  <c r="H563" i="29"/>
  <c r="H20" i="37"/>
  <c r="H20" i="35"/>
  <c r="D20" i="36"/>
  <c r="G20" i="36"/>
  <c r="G20" i="37"/>
  <c r="D20" i="35"/>
  <c r="K22" i="45"/>
  <c r="G21" i="39"/>
  <c r="G20" i="35"/>
  <c r="G601" i="29"/>
  <c r="C21" i="80"/>
  <c r="D21" i="77"/>
  <c r="D21" i="78"/>
  <c r="E21" i="80"/>
  <c r="E222" i="76"/>
  <c r="E21" i="78"/>
  <c r="E21" i="82"/>
  <c r="I21" i="82"/>
  <c r="C222" i="76"/>
  <c r="J21" i="82"/>
  <c r="D21" i="80"/>
  <c r="E21" i="77"/>
  <c r="D21" i="82"/>
  <c r="C21" i="79"/>
  <c r="K21" i="75"/>
  <c r="J21" i="75"/>
  <c r="F19" i="33"/>
  <c r="D21" i="75"/>
  <c r="E21" i="72"/>
  <c r="I21" i="72"/>
  <c r="G21" i="72"/>
  <c r="M21" i="72"/>
  <c r="K21" i="72"/>
  <c r="K21" i="73"/>
  <c r="I21" i="73"/>
  <c r="G21" i="73"/>
  <c r="D21" i="71"/>
  <c r="C19" i="33"/>
  <c r="D19" i="33"/>
  <c r="C21" i="66"/>
  <c r="C21" i="68"/>
  <c r="C21" i="67"/>
  <c r="E21" i="68"/>
  <c r="K21" i="61"/>
  <c r="I21" i="61"/>
  <c r="H21" i="60"/>
  <c r="E21" i="61"/>
  <c r="J260" i="17"/>
  <c r="J258" i="17"/>
  <c r="C259" i="17"/>
  <c r="K262" i="17"/>
  <c r="G21" i="64"/>
  <c r="I21" i="64"/>
  <c r="E21" i="64"/>
  <c r="K21" i="64"/>
  <c r="M21" i="64"/>
  <c r="G260" i="17"/>
  <c r="E21" i="62"/>
  <c r="G21" i="62"/>
  <c r="M21" i="62"/>
  <c r="K261" i="17"/>
  <c r="D259" i="17"/>
  <c r="C21" i="63"/>
  <c r="C21" i="65"/>
  <c r="G21" i="65"/>
  <c r="J21" i="63"/>
  <c r="C223" i="16"/>
  <c r="D22" i="58"/>
  <c r="K22" i="58"/>
  <c r="G22" i="58"/>
  <c r="I22" i="58"/>
  <c r="G22" i="59"/>
  <c r="D22" i="57"/>
  <c r="D22" i="59"/>
  <c r="C221" i="16"/>
  <c r="C222" i="16"/>
  <c r="K22" i="59"/>
  <c r="I22" i="59"/>
  <c r="I22" i="55"/>
  <c r="H588" i="29"/>
  <c r="C23" i="52"/>
  <c r="H596" i="29"/>
  <c r="I602" i="29"/>
  <c r="G595" i="29"/>
  <c r="G596" i="29"/>
  <c r="H23" i="53"/>
  <c r="I588" i="29"/>
  <c r="C23" i="53"/>
  <c r="C21" i="82"/>
  <c r="C21" i="71"/>
  <c r="B256" i="17"/>
  <c r="C21" i="60"/>
  <c r="C260" i="17"/>
  <c r="K260" i="17"/>
  <c r="K258" i="17"/>
  <c r="E21" i="65"/>
  <c r="K21" i="65"/>
  <c r="I21" i="63"/>
  <c r="E21" i="63"/>
  <c r="G21" i="63"/>
  <c r="K21" i="63"/>
  <c r="M21" i="63"/>
  <c r="I21" i="65"/>
  <c r="M21" i="65"/>
  <c r="B257" i="17"/>
  <c r="E22" i="58"/>
  <c r="C22" i="57"/>
  <c r="E22" i="57"/>
  <c r="E22" i="59"/>
  <c r="I21" i="71"/>
  <c r="K21" i="71"/>
  <c r="E21" i="71"/>
  <c r="G21" i="71"/>
  <c r="M21" i="60"/>
  <c r="K21" i="60"/>
  <c r="E21" i="60"/>
  <c r="I21" i="60"/>
  <c r="G21" i="60"/>
  <c r="G22" i="57"/>
  <c r="K22" i="57"/>
  <c r="I22" i="57"/>
  <c r="AV21" i="34"/>
  <c r="C476" i="24"/>
  <c r="AU21" i="34"/>
  <c r="E469" i="24"/>
  <c r="BQ21" i="34"/>
  <c r="AR21" i="34"/>
  <c r="BB21" i="34"/>
  <c r="BA21" i="34"/>
  <c r="D469" i="24"/>
  <c r="AS21" i="34"/>
  <c r="C471" i="24"/>
  <c r="C469" i="24"/>
  <c r="AQ21" i="34"/>
  <c r="E464" i="24"/>
  <c r="H21" i="34"/>
  <c r="C459" i="24"/>
  <c r="U21" i="34"/>
  <c r="Q21" i="34"/>
  <c r="D464" i="24"/>
  <c r="E466" i="24"/>
  <c r="AD21" i="34"/>
  <c r="AL21" i="34"/>
  <c r="C464" i="24"/>
  <c r="AM21" i="34"/>
  <c r="E21" i="34"/>
  <c r="D21" i="34"/>
  <c r="D466" i="24"/>
  <c r="BL21" i="34"/>
  <c r="AP21" i="34"/>
  <c r="Y21" i="34"/>
  <c r="M21" i="34"/>
  <c r="Z21" i="34"/>
  <c r="L21" i="34"/>
  <c r="C466" i="24"/>
  <c r="C465" i="24"/>
  <c r="E465" i="24"/>
  <c r="D465" i="24"/>
  <c r="E22" i="82"/>
  <c r="D22" i="82"/>
  <c r="E251" i="76"/>
  <c r="C22" i="80"/>
  <c r="E22" i="78"/>
  <c r="D251" i="76"/>
  <c r="D280" i="76"/>
  <c r="C23" i="78"/>
  <c r="C23" i="77"/>
  <c r="D23" i="78"/>
  <c r="F20" i="33"/>
  <c r="C22" i="72"/>
  <c r="I22" i="72"/>
  <c r="K22" i="73"/>
  <c r="I22" i="73"/>
  <c r="M22" i="73"/>
  <c r="C22" i="71"/>
  <c r="G22" i="71"/>
  <c r="K22" i="71"/>
  <c r="J22" i="70"/>
  <c r="E20" i="33"/>
  <c r="C22" i="67"/>
  <c r="C276" i="18"/>
  <c r="E22" i="68"/>
  <c r="M22" i="61"/>
  <c r="E294" i="17"/>
  <c r="G22" i="61"/>
  <c r="E22" i="61"/>
  <c r="K22" i="61"/>
  <c r="I22" i="61"/>
  <c r="M22" i="64"/>
  <c r="F22" i="63"/>
  <c r="D293" i="17"/>
  <c r="C22" i="63"/>
  <c r="G22" i="63"/>
  <c r="I22" i="64"/>
  <c r="E22" i="64"/>
  <c r="G22" i="64"/>
  <c r="K22" i="64"/>
  <c r="C293" i="17"/>
  <c r="C22" i="60"/>
  <c r="I22" i="62"/>
  <c r="G22" i="62"/>
  <c r="J294" i="17"/>
  <c r="J292" i="17"/>
  <c r="H22" i="60"/>
  <c r="M22" i="62"/>
  <c r="K295" i="17"/>
  <c r="K294" i="17"/>
  <c r="K292" i="17"/>
  <c r="K22" i="65"/>
  <c r="I22" i="65"/>
  <c r="M22" i="65"/>
  <c r="G22" i="65"/>
  <c r="E22" i="65"/>
  <c r="D23" i="59"/>
  <c r="G23" i="59"/>
  <c r="K23" i="59"/>
  <c r="E23" i="59"/>
  <c r="G294" i="17"/>
  <c r="C250" i="16"/>
  <c r="D250" i="16"/>
  <c r="C23" i="58"/>
  <c r="H23" i="57"/>
  <c r="E23" i="58"/>
  <c r="I23" i="59"/>
  <c r="H24" i="53"/>
  <c r="G671" i="29"/>
  <c r="H24" i="50"/>
  <c r="I678" i="29"/>
  <c r="I682" i="29"/>
  <c r="I664" i="29"/>
  <c r="C24" i="53"/>
  <c r="H672" i="29"/>
  <c r="H664" i="29"/>
  <c r="C24" i="52"/>
  <c r="H678" i="29"/>
  <c r="G666" i="29"/>
  <c r="G667" i="29"/>
  <c r="I667" i="29"/>
  <c r="I651" i="29"/>
  <c r="C23" i="49"/>
  <c r="D23" i="48"/>
  <c r="C22" i="40"/>
  <c r="G22" i="40"/>
  <c r="C22" i="39"/>
  <c r="E22" i="39"/>
  <c r="H629" i="29"/>
  <c r="G21" i="37"/>
  <c r="D21" i="35"/>
  <c r="G21" i="35"/>
  <c r="BX21" i="31"/>
  <c r="N21" i="31"/>
  <c r="DM21" i="31"/>
  <c r="E21" i="31"/>
  <c r="CK21" i="31"/>
  <c r="M21" i="31"/>
  <c r="F309" i="14"/>
  <c r="F301" i="14"/>
  <c r="L21" i="31"/>
  <c r="EN21" i="31"/>
  <c r="K21" i="31"/>
  <c r="AE21" i="31"/>
  <c r="G309" i="14"/>
  <c r="J21" i="31"/>
  <c r="EP21" i="31"/>
  <c r="F21" i="31"/>
  <c r="I21" i="31"/>
  <c r="AF21" i="31"/>
  <c r="H21" i="31"/>
  <c r="H30" i="31"/>
  <c r="EM21" i="31"/>
  <c r="DK21" i="31"/>
  <c r="G21" i="31"/>
  <c r="D309" i="14"/>
  <c r="E310" i="14"/>
  <c r="M22" i="72"/>
  <c r="E22" i="72"/>
  <c r="K22" i="72"/>
  <c r="G22" i="72"/>
  <c r="I22" i="71"/>
  <c r="E22" i="71"/>
  <c r="E22" i="60"/>
  <c r="G22" i="60"/>
  <c r="C294" i="17"/>
  <c r="B290" i="17"/>
  <c r="K22" i="63"/>
  <c r="E22" i="63"/>
  <c r="M22" i="63"/>
  <c r="I22" i="63"/>
  <c r="B291" i="17"/>
  <c r="I22" i="60"/>
  <c r="M22" i="60"/>
  <c r="K22" i="60"/>
  <c r="G23" i="58"/>
  <c r="I23" i="58"/>
  <c r="K23" i="58"/>
  <c r="D23" i="57"/>
  <c r="C251" i="16"/>
  <c r="C23" i="57"/>
  <c r="G672" i="29"/>
  <c r="E23" i="49"/>
  <c r="K22" i="39"/>
  <c r="G22" i="39"/>
  <c r="F310" i="14"/>
  <c r="C21" i="31"/>
  <c r="G310" i="14"/>
  <c r="D310" i="14"/>
  <c r="I23" i="57"/>
  <c r="G23" i="57"/>
  <c r="K23" i="57"/>
  <c r="E23" i="57"/>
  <c r="DM22" i="31"/>
  <c r="EN22" i="31"/>
  <c r="EP22" i="31"/>
  <c r="Q22" i="31"/>
  <c r="AG22" i="31"/>
  <c r="AF22" i="31"/>
  <c r="L22" i="31"/>
  <c r="AU22" i="31"/>
  <c r="BW22" i="31"/>
  <c r="M22" i="31"/>
  <c r="CI22" i="31"/>
  <c r="EB22" i="31"/>
  <c r="C530" i="24"/>
  <c r="AX22" i="34"/>
  <c r="BF22" i="34"/>
  <c r="D523" i="24"/>
  <c r="C525" i="24"/>
  <c r="C523" i="24"/>
  <c r="AS22" i="34"/>
  <c r="BB22" i="34"/>
  <c r="BA22" i="34"/>
  <c r="BL22" i="34"/>
  <c r="C513" i="24"/>
  <c r="U22" i="34"/>
  <c r="D518" i="24"/>
  <c r="H22" i="34"/>
  <c r="E520" i="24"/>
  <c r="V30" i="34"/>
  <c r="C508" i="24"/>
  <c r="AM22" i="34"/>
  <c r="AL22" i="34"/>
  <c r="C518" i="24"/>
  <c r="F22" i="34"/>
  <c r="Q22" i="34"/>
  <c r="E519" i="24"/>
  <c r="AU22" i="34"/>
  <c r="AQ22" i="34"/>
  <c r="D520" i="24"/>
  <c r="C520" i="24"/>
  <c r="D22" i="34"/>
  <c r="D519" i="24"/>
  <c r="Y22" i="34"/>
  <c r="Z22" i="34"/>
  <c r="AP22" i="34"/>
  <c r="C519" i="24"/>
  <c r="L22" i="34"/>
  <c r="M22" i="34"/>
  <c r="D23" i="82"/>
  <c r="C23" i="82"/>
  <c r="E23" i="79"/>
  <c r="C23" i="79"/>
  <c r="E23" i="77"/>
  <c r="E23" i="78"/>
  <c r="E23" i="80"/>
  <c r="E280" i="76"/>
  <c r="C23" i="80"/>
  <c r="K23" i="75"/>
  <c r="J23" i="75"/>
  <c r="C23" i="72"/>
  <c r="G23" i="72"/>
  <c r="C308" i="22"/>
  <c r="C23" i="73"/>
  <c r="D23" i="71"/>
  <c r="J23" i="70"/>
  <c r="C23" i="70"/>
  <c r="E23" i="70"/>
  <c r="C23" i="66"/>
  <c r="E31" i="66"/>
  <c r="C23" i="67"/>
  <c r="E23" i="68"/>
  <c r="J333" i="17"/>
  <c r="I23" i="61"/>
  <c r="K23" i="61"/>
  <c r="M23" i="61"/>
  <c r="G23" i="61"/>
  <c r="E23" i="61"/>
  <c r="K23" i="64"/>
  <c r="M23" i="64"/>
  <c r="I23" i="64"/>
  <c r="E23" i="64"/>
  <c r="G23" i="64"/>
  <c r="I23" i="62"/>
  <c r="E23" i="62"/>
  <c r="C327" i="17"/>
  <c r="C23" i="60"/>
  <c r="G23" i="62"/>
  <c r="J330" i="17"/>
  <c r="J328" i="17"/>
  <c r="J326" i="17"/>
  <c r="M23" i="62"/>
  <c r="K23" i="62"/>
  <c r="K330" i="17"/>
  <c r="K328" i="17"/>
  <c r="K326" i="17"/>
  <c r="I23" i="65"/>
  <c r="M23" i="65"/>
  <c r="F23" i="63"/>
  <c r="D327" i="17"/>
  <c r="C23" i="63"/>
  <c r="K23" i="63"/>
  <c r="K23" i="65"/>
  <c r="G23" i="65"/>
  <c r="E328" i="17"/>
  <c r="D24" i="59"/>
  <c r="C281" i="16"/>
  <c r="C279" i="16"/>
  <c r="I24" i="58"/>
  <c r="G24" i="58"/>
  <c r="K24" i="58"/>
  <c r="E24" i="58"/>
  <c r="D24" i="57"/>
  <c r="K24" i="59"/>
  <c r="I24" i="59"/>
  <c r="E24" i="59"/>
  <c r="G24" i="59"/>
  <c r="H25" i="52"/>
  <c r="H740" i="29"/>
  <c r="C25" i="52"/>
  <c r="H754" i="29"/>
  <c r="G747" i="29"/>
  <c r="G748" i="29"/>
  <c r="H25" i="53"/>
  <c r="C24" i="55"/>
  <c r="G753" i="29"/>
  <c r="I758" i="29"/>
  <c r="G742" i="29"/>
  <c r="D25" i="50"/>
  <c r="D25" i="53"/>
  <c r="I740" i="29"/>
  <c r="H727" i="29"/>
  <c r="C24" i="46"/>
  <c r="E24" i="46"/>
  <c r="G24" i="46"/>
  <c r="D24" i="49"/>
  <c r="E24" i="45"/>
  <c r="I24" i="45"/>
  <c r="G729" i="29"/>
  <c r="C24" i="44"/>
  <c r="K24" i="44"/>
  <c r="C23" i="39"/>
  <c r="K23" i="39"/>
  <c r="G708" i="29"/>
  <c r="H22" i="37"/>
  <c r="H22" i="35"/>
  <c r="D22" i="37"/>
  <c r="D22" i="36"/>
  <c r="G22" i="36"/>
  <c r="G22" i="37"/>
  <c r="K23" i="72"/>
  <c r="I23" i="72"/>
  <c r="M23" i="72"/>
  <c r="E23" i="72"/>
  <c r="K23" i="73"/>
  <c r="M23" i="73"/>
  <c r="E23" i="73"/>
  <c r="G23" i="73"/>
  <c r="I23" i="73"/>
  <c r="C23" i="71"/>
  <c r="B324" i="17"/>
  <c r="I23" i="60"/>
  <c r="K23" i="60"/>
  <c r="E23" i="60"/>
  <c r="G23" i="60"/>
  <c r="M23" i="60"/>
  <c r="G23" i="63"/>
  <c r="I23" i="63"/>
  <c r="E23" i="63"/>
  <c r="M23" i="63"/>
  <c r="B325" i="17"/>
  <c r="C328" i="17"/>
  <c r="C24" i="57"/>
  <c r="E24" i="57"/>
  <c r="C280" i="16"/>
  <c r="D280" i="16"/>
  <c r="H25" i="50"/>
  <c r="G740" i="29"/>
  <c r="C25" i="50"/>
  <c r="C25" i="53"/>
  <c r="G743" i="29"/>
  <c r="E23" i="71"/>
  <c r="K23" i="71"/>
  <c r="G23" i="71"/>
  <c r="I23" i="71"/>
  <c r="G24" i="57"/>
  <c r="I24" i="57"/>
  <c r="K24" i="57"/>
  <c r="G24" i="44"/>
  <c r="E24" i="78"/>
  <c r="E24" i="80"/>
  <c r="D24" i="79"/>
  <c r="C309" i="76"/>
  <c r="D309" i="76"/>
  <c r="G31" i="77"/>
  <c r="D24" i="82"/>
  <c r="C24" i="78"/>
  <c r="C24" i="82"/>
  <c r="K24" i="75"/>
  <c r="J24" i="75"/>
  <c r="C24" i="72"/>
  <c r="K24" i="72"/>
  <c r="C340" i="22"/>
  <c r="M24" i="72"/>
  <c r="I24" i="73"/>
  <c r="E24" i="73"/>
  <c r="K24" i="73"/>
  <c r="M24" i="73"/>
  <c r="G24" i="73"/>
  <c r="C340" i="20"/>
  <c r="D24" i="71"/>
  <c r="C24" i="71"/>
  <c r="I24" i="71"/>
  <c r="C22" i="33"/>
  <c r="D22" i="33"/>
  <c r="C24" i="66"/>
  <c r="C24" i="67"/>
  <c r="E24" i="68"/>
  <c r="I31" i="67"/>
  <c r="K24" i="61"/>
  <c r="G24" i="61"/>
  <c r="M24" i="61"/>
  <c r="I24" i="61"/>
  <c r="E24" i="61"/>
  <c r="E362" i="17"/>
  <c r="F24" i="63"/>
  <c r="K366" i="17"/>
  <c r="G24" i="64"/>
  <c r="I24" i="64"/>
  <c r="K24" i="64"/>
  <c r="E24" i="64"/>
  <c r="M24" i="64"/>
  <c r="L24" i="60"/>
  <c r="J362" i="17"/>
  <c r="J360" i="17"/>
  <c r="C361" i="17"/>
  <c r="C24" i="60"/>
  <c r="C24" i="62"/>
  <c r="E24" i="62"/>
  <c r="G362" i="17"/>
  <c r="K363" i="17"/>
  <c r="E24" i="65"/>
  <c r="G24" i="65"/>
  <c r="M24" i="65"/>
  <c r="K24" i="65"/>
  <c r="I24" i="65"/>
  <c r="L24" i="63"/>
  <c r="K367" i="17"/>
  <c r="D361" i="17"/>
  <c r="C24" i="63"/>
  <c r="I25" i="58"/>
  <c r="K25" i="58"/>
  <c r="E25" i="58"/>
  <c r="G25" i="58"/>
  <c r="E25" i="59"/>
  <c r="I25" i="59"/>
  <c r="D25" i="57"/>
  <c r="C310" i="16"/>
  <c r="K25" i="59"/>
  <c r="G25" i="59"/>
  <c r="H26" i="53"/>
  <c r="I830" i="29"/>
  <c r="H26" i="52"/>
  <c r="I824" i="29"/>
  <c r="G829" i="29"/>
  <c r="C25" i="54"/>
  <c r="H824" i="29"/>
  <c r="G818" i="29"/>
  <c r="D26" i="50"/>
  <c r="H830" i="29"/>
  <c r="D26" i="52"/>
  <c r="H816" i="29"/>
  <c r="D26" i="53"/>
  <c r="K25" i="47"/>
  <c r="D25" i="47"/>
  <c r="I25" i="48"/>
  <c r="G25" i="48"/>
  <c r="M24" i="39"/>
  <c r="G24" i="39"/>
  <c r="I24" i="39"/>
  <c r="K24" i="39"/>
  <c r="C24" i="40"/>
  <c r="H23" i="37"/>
  <c r="G784" i="29"/>
  <c r="I791" i="29"/>
  <c r="Q23" i="31"/>
  <c r="BG23" i="31"/>
  <c r="BU23" i="31"/>
  <c r="AT23" i="31"/>
  <c r="T23" i="31"/>
  <c r="BJ23" i="31"/>
  <c r="AS23" i="31"/>
  <c r="AU23" i="31"/>
  <c r="BW23" i="31"/>
  <c r="M23" i="31"/>
  <c r="AH23" i="31"/>
  <c r="DN23" i="31"/>
  <c r="DM23" i="31"/>
  <c r="L23" i="31"/>
  <c r="DY23" i="31"/>
  <c r="EP23" i="31"/>
  <c r="D381" i="14"/>
  <c r="D382" i="14"/>
  <c r="G381" i="14"/>
  <c r="DL23" i="31"/>
  <c r="DK23" i="31"/>
  <c r="C23" i="31"/>
  <c r="J23" i="31"/>
  <c r="E23" i="31"/>
  <c r="I23" i="31"/>
  <c r="F381" i="14"/>
  <c r="F382" i="14"/>
  <c r="D23" i="31"/>
  <c r="G23" i="31"/>
  <c r="H23" i="31"/>
  <c r="AU23" i="34"/>
  <c r="AX23" i="34"/>
  <c r="BQ23" i="34"/>
  <c r="C577" i="24"/>
  <c r="BM23" i="34"/>
  <c r="BB23" i="34"/>
  <c r="AT23" i="34"/>
  <c r="J23" i="34"/>
  <c r="C567" i="24"/>
  <c r="C572" i="24"/>
  <c r="Y23" i="34"/>
  <c r="Z23" i="34"/>
  <c r="D572" i="24"/>
  <c r="AD23" i="34"/>
  <c r="AM23" i="34"/>
  <c r="E572" i="24"/>
  <c r="E24" i="72"/>
  <c r="G24" i="72"/>
  <c r="I24" i="72"/>
  <c r="G24" i="71"/>
  <c r="E24" i="71"/>
  <c r="K24" i="71"/>
  <c r="E24" i="60"/>
  <c r="K362" i="17"/>
  <c r="K360" i="17"/>
  <c r="I24" i="62"/>
  <c r="G24" i="60"/>
  <c r="C362" i="17"/>
  <c r="B358" i="17"/>
  <c r="M24" i="60"/>
  <c r="I24" i="60"/>
  <c r="K24" i="60"/>
  <c r="K24" i="62"/>
  <c r="M24" i="62"/>
  <c r="G24" i="62"/>
  <c r="B359" i="17"/>
  <c r="E24" i="63"/>
  <c r="G24" i="63"/>
  <c r="K24" i="63"/>
  <c r="I24" i="63"/>
  <c r="M24" i="63"/>
  <c r="C308" i="16"/>
  <c r="G830" i="29"/>
  <c r="M23" i="37"/>
  <c r="N23" i="37"/>
  <c r="I790" i="29"/>
  <c r="F23" i="31"/>
  <c r="G382" i="14"/>
  <c r="E382" i="14"/>
  <c r="BA23" i="34"/>
  <c r="BL23" i="34"/>
  <c r="AQ23" i="34"/>
  <c r="H23" i="34"/>
  <c r="C574" i="24"/>
  <c r="D574" i="24"/>
  <c r="AL23" i="34"/>
  <c r="E574" i="24"/>
  <c r="C25" i="57"/>
  <c r="C309" i="16"/>
  <c r="AP23" i="34"/>
  <c r="D573" i="24"/>
  <c r="J373" i="14"/>
  <c r="C573" i="24"/>
  <c r="F373" i="14"/>
  <c r="L23" i="34"/>
  <c r="M23" i="34"/>
  <c r="N373" i="14"/>
  <c r="E573" i="24"/>
  <c r="K25" i="57"/>
  <c r="I25" i="57"/>
  <c r="G25" i="57"/>
  <c r="E25" i="57"/>
  <c r="E25" i="78"/>
  <c r="C25" i="77"/>
  <c r="D25" i="82"/>
  <c r="E25" i="80"/>
  <c r="C25" i="82"/>
  <c r="C338" i="76"/>
  <c r="E25" i="82"/>
  <c r="E338" i="76"/>
  <c r="G23" i="33"/>
  <c r="F23" i="33"/>
  <c r="C25" i="72"/>
  <c r="G25" i="72"/>
  <c r="M25" i="72"/>
  <c r="C25" i="73"/>
  <c r="E25" i="73"/>
  <c r="G25" i="71"/>
  <c r="I25" i="71"/>
  <c r="E25" i="71"/>
  <c r="E23" i="33"/>
  <c r="D25" i="70"/>
  <c r="C23" i="33"/>
  <c r="C25" i="67"/>
  <c r="E25" i="68"/>
  <c r="L25" i="60"/>
  <c r="M25" i="61"/>
  <c r="H25" i="60"/>
  <c r="F25" i="60"/>
  <c r="E25" i="61"/>
  <c r="I25" i="61"/>
  <c r="E396" i="17"/>
  <c r="K25" i="61"/>
  <c r="K397" i="17"/>
  <c r="H25" i="63"/>
  <c r="M25" i="64"/>
  <c r="G25" i="64"/>
  <c r="K25" i="64"/>
  <c r="E25" i="64"/>
  <c r="I25" i="64"/>
  <c r="D395" i="17"/>
  <c r="C25" i="63"/>
  <c r="E25" i="62"/>
  <c r="I25" i="62"/>
  <c r="K25" i="62"/>
  <c r="C395" i="17"/>
  <c r="B392" i="17"/>
  <c r="J396" i="17"/>
  <c r="J394" i="17"/>
  <c r="C25" i="60"/>
  <c r="M25" i="62"/>
  <c r="K400" i="17"/>
  <c r="K396" i="17"/>
  <c r="K394" i="17"/>
  <c r="I25" i="65"/>
  <c r="G25" i="65"/>
  <c r="M25" i="65"/>
  <c r="E25" i="65"/>
  <c r="K25" i="65"/>
  <c r="D337" i="16"/>
  <c r="C26" i="58"/>
  <c r="K26" i="58"/>
  <c r="F32" i="59"/>
  <c r="D26" i="57"/>
  <c r="E337" i="16"/>
  <c r="C26" i="59"/>
  <c r="C337" i="16"/>
  <c r="C26" i="57"/>
  <c r="K26" i="57"/>
  <c r="G26" i="59"/>
  <c r="I26" i="59"/>
  <c r="E26" i="59"/>
  <c r="G899" i="29"/>
  <c r="H27" i="50"/>
  <c r="C26" i="56"/>
  <c r="E26" i="56"/>
  <c r="H27" i="53"/>
  <c r="H906" i="29"/>
  <c r="G905" i="29"/>
  <c r="G910" i="29"/>
  <c r="H910" i="29"/>
  <c r="C26" i="55"/>
  <c r="E26" i="55"/>
  <c r="I892" i="29"/>
  <c r="D27" i="53"/>
  <c r="I26" i="55"/>
  <c r="D26" i="48"/>
  <c r="I879" i="29"/>
  <c r="G26" i="46"/>
  <c r="G881" i="29"/>
  <c r="C26" i="44"/>
  <c r="C26" i="45"/>
  <c r="G26" i="45"/>
  <c r="E26" i="46"/>
  <c r="C26" i="48"/>
  <c r="E26" i="48"/>
  <c r="C25" i="39"/>
  <c r="E25" i="39"/>
  <c r="K25" i="39"/>
  <c r="E25" i="40"/>
  <c r="M25" i="40"/>
  <c r="G25" i="40"/>
  <c r="I25" i="40"/>
  <c r="I867" i="29"/>
  <c r="H870" i="29"/>
  <c r="H866" i="29"/>
  <c r="I857" i="29"/>
  <c r="T24" i="31"/>
  <c r="AV24" i="31"/>
  <c r="I24" i="31"/>
  <c r="AT24" i="31"/>
  <c r="BH24" i="31"/>
  <c r="BU24" i="31"/>
  <c r="CW24" i="31"/>
  <c r="CY24" i="31"/>
  <c r="D417" i="14"/>
  <c r="E418" i="14"/>
  <c r="K24" i="31"/>
  <c r="G417" i="14"/>
  <c r="G418" i="14"/>
  <c r="N24" i="31"/>
  <c r="G24" i="31"/>
  <c r="DM24" i="31"/>
  <c r="DN24" i="31"/>
  <c r="J24" i="31"/>
  <c r="C24" i="31"/>
  <c r="F417" i="14"/>
  <c r="F418" i="14"/>
  <c r="E24" i="31"/>
  <c r="M24" i="31"/>
  <c r="I418" i="14"/>
  <c r="H24" i="31"/>
  <c r="EN24" i="31"/>
  <c r="L24" i="31"/>
  <c r="EP24" i="31"/>
  <c r="EX30" i="31"/>
  <c r="D631" i="24"/>
  <c r="BB24" i="34"/>
  <c r="BF24" i="34"/>
  <c r="C638" i="24"/>
  <c r="AU24" i="34"/>
  <c r="BL24" i="34"/>
  <c r="AR24" i="34"/>
  <c r="AT24" i="34"/>
  <c r="C633" i="24"/>
  <c r="C621" i="24"/>
  <c r="C30" i="24"/>
  <c r="E628" i="24"/>
  <c r="N409" i="14"/>
  <c r="AH24" i="34"/>
  <c r="H24" i="34"/>
  <c r="AL24" i="34"/>
  <c r="AM24" i="34"/>
  <c r="D626" i="24"/>
  <c r="Q24" i="34"/>
  <c r="C626" i="24"/>
  <c r="E627" i="24"/>
  <c r="K25" i="72"/>
  <c r="E25" i="72"/>
  <c r="I25" i="72"/>
  <c r="G25" i="73"/>
  <c r="M25" i="73"/>
  <c r="K25" i="73"/>
  <c r="I25" i="73"/>
  <c r="B393" i="17"/>
  <c r="I25" i="63"/>
  <c r="K25" i="63"/>
  <c r="C396" i="17"/>
  <c r="K25" i="60"/>
  <c r="I25" i="60"/>
  <c r="E25" i="60"/>
  <c r="G25" i="60"/>
  <c r="M25" i="60"/>
  <c r="M25" i="63"/>
  <c r="E25" i="63"/>
  <c r="G25" i="63"/>
  <c r="I26" i="58"/>
  <c r="E26" i="58"/>
  <c r="C338" i="16"/>
  <c r="G26" i="58"/>
  <c r="K26" i="59"/>
  <c r="E26" i="57"/>
  <c r="G26" i="57"/>
  <c r="I26" i="57"/>
  <c r="G26" i="55"/>
  <c r="G892" i="29"/>
  <c r="C27" i="50"/>
  <c r="C27" i="53"/>
  <c r="D26" i="47"/>
  <c r="G26" i="48"/>
  <c r="I25" i="39"/>
  <c r="M25" i="39"/>
  <c r="G25" i="39"/>
  <c r="I870" i="29"/>
  <c r="G24" i="35"/>
  <c r="F24" i="31"/>
  <c r="D24" i="31"/>
  <c r="D418" i="14"/>
  <c r="BA24" i="34"/>
  <c r="AQ24" i="34"/>
  <c r="C631" i="24"/>
  <c r="M24" i="34"/>
  <c r="L24" i="34"/>
  <c r="D628" i="24"/>
  <c r="Z24" i="34"/>
  <c r="Y24" i="34"/>
  <c r="C628" i="24"/>
  <c r="F409" i="14"/>
  <c r="AP24" i="34"/>
  <c r="D627" i="24"/>
  <c r="J409" i="14"/>
  <c r="C627" i="24"/>
  <c r="E26" i="78"/>
  <c r="C26" i="78"/>
  <c r="G26" i="82"/>
  <c r="D26" i="80"/>
  <c r="E26" i="80"/>
  <c r="E367" i="76"/>
  <c r="D367" i="76"/>
  <c r="E26" i="82"/>
  <c r="C367" i="76"/>
  <c r="F26" i="82"/>
  <c r="K26" i="75"/>
  <c r="J26" i="75"/>
  <c r="C26" i="72"/>
  <c r="K26" i="72"/>
  <c r="E26" i="72"/>
  <c r="C404" i="22"/>
  <c r="M26" i="72"/>
  <c r="G26" i="72"/>
  <c r="I26" i="72"/>
  <c r="C26" i="73"/>
  <c r="K26" i="73"/>
  <c r="D26" i="71"/>
  <c r="C26" i="71"/>
  <c r="K26" i="71"/>
  <c r="G26" i="71"/>
  <c r="E26" i="25"/>
  <c r="J26" i="70"/>
  <c r="E24" i="33"/>
  <c r="C26" i="70"/>
  <c r="F31" i="67"/>
  <c r="E26" i="68"/>
  <c r="K26" i="61"/>
  <c r="E430" i="17"/>
  <c r="M26" i="61"/>
  <c r="E26" i="61"/>
  <c r="I26" i="61"/>
  <c r="I26" i="64"/>
  <c r="M26" i="64"/>
  <c r="K26" i="64"/>
  <c r="G26" i="64"/>
  <c r="D429" i="17"/>
  <c r="C26" i="63"/>
  <c r="E26" i="64"/>
  <c r="J435" i="17"/>
  <c r="J430" i="17"/>
  <c r="J428" i="17"/>
  <c r="C26" i="62"/>
  <c r="K26" i="62"/>
  <c r="C429" i="17"/>
  <c r="H26" i="63"/>
  <c r="B427" i="17"/>
  <c r="K26" i="65"/>
  <c r="I26" i="65"/>
  <c r="E26" i="65"/>
  <c r="G26" i="65"/>
  <c r="M26" i="65"/>
  <c r="K435" i="17"/>
  <c r="K430" i="17"/>
  <c r="K428" i="17"/>
  <c r="E27" i="58"/>
  <c r="K27" i="58"/>
  <c r="I27" i="58"/>
  <c r="D27" i="59"/>
  <c r="D27" i="57"/>
  <c r="C368" i="16"/>
  <c r="G27" i="59"/>
  <c r="I27" i="59"/>
  <c r="K27" i="59"/>
  <c r="G27" i="55"/>
  <c r="I968" i="29"/>
  <c r="G968" i="29"/>
  <c r="C28" i="50"/>
  <c r="C28" i="53"/>
  <c r="H28" i="52"/>
  <c r="K28" i="50"/>
  <c r="H982" i="29"/>
  <c r="I27" i="55"/>
  <c r="G981" i="29"/>
  <c r="G982" i="29"/>
  <c r="I982" i="29"/>
  <c r="H968" i="29"/>
  <c r="H971" i="29"/>
  <c r="G970" i="29"/>
  <c r="G971" i="29"/>
  <c r="C27" i="56"/>
  <c r="G27" i="56"/>
  <c r="G957" i="29"/>
  <c r="C27" i="44"/>
  <c r="G27" i="44"/>
  <c r="C27" i="45"/>
  <c r="D27" i="48"/>
  <c r="I27" i="45"/>
  <c r="K27" i="45"/>
  <c r="I955" i="29"/>
  <c r="I27" i="44"/>
  <c r="K27" i="46"/>
  <c r="E27" i="46"/>
  <c r="D27" i="47"/>
  <c r="C26" i="39"/>
  <c r="L31" i="39"/>
  <c r="C26" i="40"/>
  <c r="E26" i="40"/>
  <c r="G936" i="29"/>
  <c r="H943" i="29"/>
  <c r="I946" i="29"/>
  <c r="H25" i="31"/>
  <c r="BH25" i="31"/>
  <c r="BI25" i="31"/>
  <c r="AU25" i="31"/>
  <c r="S25" i="31"/>
  <c r="AV25" i="31"/>
  <c r="BJ25" i="31"/>
  <c r="R25" i="31"/>
  <c r="N25" i="31"/>
  <c r="M25" i="31"/>
  <c r="CK25" i="31"/>
  <c r="I25" i="31"/>
  <c r="K25" i="31"/>
  <c r="CY25" i="31"/>
  <c r="F453" i="14"/>
  <c r="F454" i="14"/>
  <c r="G453" i="14"/>
  <c r="D453" i="14"/>
  <c r="D454" i="14"/>
  <c r="L25" i="31"/>
  <c r="DZ25" i="31"/>
  <c r="C25" i="31"/>
  <c r="G25" i="31"/>
  <c r="EO25" i="31"/>
  <c r="J445" i="14"/>
  <c r="J25" i="31"/>
  <c r="E685" i="24"/>
  <c r="C692" i="24"/>
  <c r="BM25" i="34"/>
  <c r="AT25" i="34"/>
  <c r="BB25" i="34"/>
  <c r="C685" i="24"/>
  <c r="AR25" i="34"/>
  <c r="W30" i="34"/>
  <c r="C675" i="24"/>
  <c r="C29" i="24"/>
  <c r="E680" i="24"/>
  <c r="AH25" i="34"/>
  <c r="H25" i="34"/>
  <c r="AI30" i="34"/>
  <c r="AD25" i="34"/>
  <c r="AM25" i="34"/>
  <c r="E682" i="24"/>
  <c r="C670" i="24"/>
  <c r="Z25" i="34"/>
  <c r="Y25" i="34"/>
  <c r="D25" i="34"/>
  <c r="M25" i="34"/>
  <c r="D681" i="24"/>
  <c r="D26" i="82"/>
  <c r="C26" i="82"/>
  <c r="I26" i="73"/>
  <c r="M26" i="73"/>
  <c r="G26" i="73"/>
  <c r="E26" i="73"/>
  <c r="I26" i="71"/>
  <c r="E26" i="71"/>
  <c r="K26" i="63"/>
  <c r="M26" i="63"/>
  <c r="E26" i="63"/>
  <c r="G26" i="63"/>
  <c r="M26" i="62"/>
  <c r="E26" i="62"/>
  <c r="G26" i="62"/>
  <c r="I26" i="62"/>
  <c r="C430" i="17"/>
  <c r="C26" i="60"/>
  <c r="B426" i="17"/>
  <c r="I26" i="63"/>
  <c r="E27" i="59"/>
  <c r="C366" i="16"/>
  <c r="C27" i="54"/>
  <c r="E27" i="54"/>
  <c r="C28" i="52"/>
  <c r="E27" i="44"/>
  <c r="C27" i="49"/>
  <c r="G27" i="49"/>
  <c r="I26" i="40"/>
  <c r="F25" i="31"/>
  <c r="D25" i="31"/>
  <c r="E25" i="31"/>
  <c r="E454" i="14"/>
  <c r="G454" i="14"/>
  <c r="BL25" i="34"/>
  <c r="BA25" i="34"/>
  <c r="AQ25" i="34"/>
  <c r="C680" i="24"/>
  <c r="AL25" i="34"/>
  <c r="C682" i="24"/>
  <c r="N445" i="14"/>
  <c r="E681" i="24"/>
  <c r="L25" i="34"/>
  <c r="G26" i="60"/>
  <c r="I26" i="60"/>
  <c r="K26" i="60"/>
  <c r="M26" i="60"/>
  <c r="E26" i="60"/>
  <c r="C367" i="16"/>
  <c r="C27" i="57"/>
  <c r="E27" i="49"/>
  <c r="AP25" i="34"/>
  <c r="C681" i="24"/>
  <c r="F445" i="14"/>
  <c r="K27" i="57"/>
  <c r="E27" i="57"/>
  <c r="G27" i="57"/>
  <c r="I27" i="57"/>
  <c r="K25" i="75"/>
  <c r="J25" i="75"/>
  <c r="F27" i="82"/>
  <c r="H27" i="82"/>
  <c r="D27" i="79"/>
  <c r="D396" i="76"/>
  <c r="D27" i="82"/>
  <c r="E396" i="76"/>
  <c r="E27" i="77"/>
  <c r="C27" i="77"/>
  <c r="C27" i="82"/>
  <c r="C27" i="80"/>
  <c r="G25" i="33"/>
  <c r="K27" i="75"/>
  <c r="J27" i="75"/>
  <c r="C27" i="72"/>
  <c r="G27" i="72"/>
  <c r="C436" i="22"/>
  <c r="M27" i="73"/>
  <c r="G27" i="73"/>
  <c r="K27" i="73"/>
  <c r="E27" i="73"/>
  <c r="I27" i="73"/>
  <c r="D27" i="71"/>
  <c r="J27" i="70"/>
  <c r="C27" i="66"/>
  <c r="E27" i="68"/>
  <c r="C27" i="67"/>
  <c r="L27" i="60"/>
  <c r="J466" i="17"/>
  <c r="K27" i="61"/>
  <c r="M27" i="61"/>
  <c r="G27" i="61"/>
  <c r="I27" i="61"/>
  <c r="E27" i="61"/>
  <c r="D463" i="17"/>
  <c r="B461" i="17"/>
  <c r="I27" i="64"/>
  <c r="E27" i="64"/>
  <c r="M27" i="64"/>
  <c r="K27" i="64"/>
  <c r="G27" i="64"/>
  <c r="L31" i="64"/>
  <c r="G464" i="17"/>
  <c r="M27" i="62"/>
  <c r="K27" i="62"/>
  <c r="I27" i="62"/>
  <c r="E27" i="62"/>
  <c r="G27" i="62"/>
  <c r="C463" i="17"/>
  <c r="J465" i="17"/>
  <c r="J464" i="17"/>
  <c r="J462" i="17"/>
  <c r="G27" i="65"/>
  <c r="I27" i="65"/>
  <c r="K464" i="17"/>
  <c r="K462" i="17"/>
  <c r="K27" i="65"/>
  <c r="M27" i="65"/>
  <c r="E27" i="65"/>
  <c r="E464" i="17"/>
  <c r="G28" i="58"/>
  <c r="I28" i="58"/>
  <c r="K28" i="58"/>
  <c r="E28" i="58"/>
  <c r="C397" i="16"/>
  <c r="C395" i="16"/>
  <c r="D28" i="57"/>
  <c r="E395" i="16"/>
  <c r="C28" i="59"/>
  <c r="I28" i="59"/>
  <c r="E28" i="56"/>
  <c r="I1044" i="29"/>
  <c r="C29" i="53"/>
  <c r="I1052" i="29"/>
  <c r="H29" i="53"/>
  <c r="H1062" i="29"/>
  <c r="C28" i="55"/>
  <c r="I1058" i="29"/>
  <c r="C28" i="45"/>
  <c r="I28" i="45"/>
  <c r="L27" i="38"/>
  <c r="C27" i="40"/>
  <c r="M27" i="40"/>
  <c r="I27" i="40"/>
  <c r="H26" i="36"/>
  <c r="C436" i="18"/>
  <c r="H26" i="31"/>
  <c r="E24" i="14"/>
  <c r="AG26" i="31"/>
  <c r="F25" i="14"/>
  <c r="BW26" i="31"/>
  <c r="AH26" i="31"/>
  <c r="CK26" i="31"/>
  <c r="G26" i="31"/>
  <c r="I26" i="31"/>
  <c r="J26" i="31"/>
  <c r="CY26" i="31"/>
  <c r="CX26" i="31"/>
  <c r="EO26" i="31"/>
  <c r="EP26" i="31"/>
  <c r="F26" i="31"/>
  <c r="DL26" i="31"/>
  <c r="DV30" i="31"/>
  <c r="BV26" i="31"/>
  <c r="D26" i="31"/>
  <c r="BG26" i="31"/>
  <c r="D489" i="14"/>
  <c r="E490" i="14"/>
  <c r="K26" i="31"/>
  <c r="CI26" i="31"/>
  <c r="C26" i="31"/>
  <c r="M490" i="14"/>
  <c r="L26" i="31"/>
  <c r="S26" i="31"/>
  <c r="M26" i="31"/>
  <c r="F489" i="14"/>
  <c r="F490" i="14"/>
  <c r="DG30" i="31"/>
  <c r="G489" i="14"/>
  <c r="AU26" i="34"/>
  <c r="E739" i="24"/>
  <c r="C739" i="24"/>
  <c r="BA26" i="34"/>
  <c r="BM26" i="34"/>
  <c r="Z26" i="34"/>
  <c r="C734" i="24"/>
  <c r="J481" i="14"/>
  <c r="E734" i="24"/>
  <c r="Y26" i="34"/>
  <c r="D26" i="34"/>
  <c r="AM26" i="34"/>
  <c r="AD26" i="34"/>
  <c r="D735" i="24"/>
  <c r="C736" i="24"/>
  <c r="E27" i="82"/>
  <c r="E27" i="72"/>
  <c r="K27" i="72"/>
  <c r="I27" i="72"/>
  <c r="M27" i="72"/>
  <c r="C27" i="71"/>
  <c r="C27" i="63"/>
  <c r="G27" i="63"/>
  <c r="C27" i="60"/>
  <c r="B460" i="17"/>
  <c r="C464" i="17"/>
  <c r="G28" i="59"/>
  <c r="K28" i="59"/>
  <c r="E28" i="59"/>
  <c r="C28" i="57"/>
  <c r="C396" i="16"/>
  <c r="E28" i="55"/>
  <c r="K27" i="40"/>
  <c r="E26" i="31"/>
  <c r="D490" i="14"/>
  <c r="G490" i="14"/>
  <c r="AP26" i="34"/>
  <c r="BL26" i="34"/>
  <c r="E736" i="24"/>
  <c r="L26" i="34"/>
  <c r="M26" i="34"/>
  <c r="AL26" i="34"/>
  <c r="C735" i="24"/>
  <c r="F481" i="14"/>
  <c r="I27" i="71"/>
  <c r="K27" i="71"/>
  <c r="E27" i="71"/>
  <c r="G27" i="71"/>
  <c r="E27" i="63"/>
  <c r="M27" i="63"/>
  <c r="I27" i="63"/>
  <c r="K27" i="63"/>
  <c r="G27" i="60"/>
  <c r="K27" i="60"/>
  <c r="I27" i="60"/>
  <c r="M27" i="60"/>
  <c r="E27" i="60"/>
  <c r="G28" i="57"/>
  <c r="K28" i="57"/>
  <c r="I28" i="57"/>
  <c r="E28" i="57"/>
  <c r="E735" i="24"/>
  <c r="N481" i="14"/>
  <c r="G22" i="31"/>
  <c r="D345" i="14"/>
  <c r="E346" i="14"/>
  <c r="BL30" i="31"/>
  <c r="H22" i="31"/>
  <c r="ED30" i="31"/>
  <c r="DZ22" i="31"/>
  <c r="EO22" i="31"/>
  <c r="EE30" i="31"/>
  <c r="EA30" i="31"/>
  <c r="F27" i="14"/>
  <c r="W30" i="31"/>
  <c r="F345" i="14"/>
  <c r="F337" i="14"/>
  <c r="E22" i="31"/>
  <c r="I22" i="31"/>
  <c r="T22" i="31"/>
  <c r="J22" i="31"/>
  <c r="G345" i="14"/>
  <c r="G346" i="14"/>
  <c r="CX22" i="31"/>
  <c r="D22" i="31"/>
  <c r="C22" i="31"/>
  <c r="N22" i="31"/>
  <c r="F22" i="31"/>
  <c r="D346" i="14"/>
  <c r="F346" i="14"/>
  <c r="D28" i="80"/>
  <c r="G31" i="79"/>
  <c r="K31" i="79"/>
  <c r="C28" i="78"/>
  <c r="C425" i="76"/>
  <c r="F28" i="82"/>
  <c r="F31" i="77"/>
  <c r="D425" i="76"/>
  <c r="E28" i="78"/>
  <c r="E425" i="76"/>
  <c r="K28" i="82"/>
  <c r="C28" i="72"/>
  <c r="G28" i="72"/>
  <c r="I28" i="72"/>
  <c r="D31" i="72"/>
  <c r="C28" i="73"/>
  <c r="E28" i="73"/>
  <c r="G28" i="73"/>
  <c r="I28" i="73"/>
  <c r="M28" i="73"/>
  <c r="I28" i="71"/>
  <c r="K28" i="71"/>
  <c r="G28" i="71"/>
  <c r="H31" i="70"/>
  <c r="C19" i="25"/>
  <c r="C28" i="67"/>
  <c r="E28" i="68"/>
  <c r="J502" i="17"/>
  <c r="J28" i="60"/>
  <c r="J31" i="60"/>
  <c r="J500" i="17"/>
  <c r="K28" i="61"/>
  <c r="G28" i="61"/>
  <c r="M28" i="61"/>
  <c r="I28" i="61"/>
  <c r="E28" i="61"/>
  <c r="K28" i="64"/>
  <c r="E28" i="64"/>
  <c r="I28" i="64"/>
  <c r="J503" i="17"/>
  <c r="E28" i="62"/>
  <c r="C497" i="17"/>
  <c r="C28" i="60"/>
  <c r="E28" i="60"/>
  <c r="F28" i="60"/>
  <c r="M28" i="62"/>
  <c r="D23" i="17"/>
  <c r="K28" i="65"/>
  <c r="E28" i="65"/>
  <c r="I28" i="65"/>
  <c r="F31" i="65"/>
  <c r="M28" i="65"/>
  <c r="K498" i="17"/>
  <c r="K496" i="17"/>
  <c r="L28" i="63"/>
  <c r="D497" i="17"/>
  <c r="G29" i="58"/>
  <c r="E29" i="58"/>
  <c r="H32" i="58"/>
  <c r="K29" i="58"/>
  <c r="I29" i="58"/>
  <c r="C424" i="16"/>
  <c r="C425" i="16"/>
  <c r="G29" i="59"/>
  <c r="I29" i="59"/>
  <c r="G498" i="17"/>
  <c r="K29" i="59"/>
  <c r="D29" i="57"/>
  <c r="I1128" i="29"/>
  <c r="G1122" i="29"/>
  <c r="G61" i="29"/>
  <c r="I1123" i="29"/>
  <c r="H1123" i="29"/>
  <c r="E30" i="50"/>
  <c r="G29" i="49"/>
  <c r="I29" i="46"/>
  <c r="I29" i="45"/>
  <c r="E29" i="45"/>
  <c r="G29" i="45"/>
  <c r="G1109" i="29"/>
  <c r="D29" i="47"/>
  <c r="K29" i="45"/>
  <c r="H1107" i="29"/>
  <c r="C28" i="40"/>
  <c r="M28" i="40"/>
  <c r="K28" i="40"/>
  <c r="I1095" i="29"/>
  <c r="D27" i="37"/>
  <c r="G27" i="37"/>
  <c r="G1084" i="29"/>
  <c r="H1096" i="29"/>
  <c r="H1085" i="29"/>
  <c r="C27" i="35"/>
  <c r="BU27" i="31"/>
  <c r="AT27" i="31"/>
  <c r="BW27" i="31"/>
  <c r="BJ27" i="31"/>
  <c r="AN30" i="31"/>
  <c r="AE27" i="31"/>
  <c r="L27" i="31"/>
  <c r="G525" i="14"/>
  <c r="N27" i="31"/>
  <c r="S27" i="31"/>
  <c r="S30" i="31"/>
  <c r="R27" i="31"/>
  <c r="K27" i="31"/>
  <c r="AG27" i="31"/>
  <c r="F525" i="14"/>
  <c r="F526" i="14"/>
  <c r="BG27" i="31"/>
  <c r="C27" i="31"/>
  <c r="D27" i="14"/>
  <c r="M27" i="31"/>
  <c r="G32" i="14"/>
  <c r="EM27" i="31"/>
  <c r="G30" i="14"/>
  <c r="EB27" i="31"/>
  <c r="G29" i="14"/>
  <c r="CI27" i="31"/>
  <c r="DA30" i="31"/>
  <c r="D525" i="14"/>
  <c r="D526" i="14"/>
  <c r="G27" i="31"/>
  <c r="J27" i="31"/>
  <c r="F30" i="14"/>
  <c r="D32" i="14"/>
  <c r="H27" i="31"/>
  <c r="EN27" i="31"/>
  <c r="I27" i="31"/>
  <c r="ES30" i="31"/>
  <c r="EP27" i="31"/>
  <c r="F27" i="31"/>
  <c r="BL27" i="34"/>
  <c r="AW27" i="34"/>
  <c r="BF27" i="34"/>
  <c r="BB27" i="34"/>
  <c r="C42" i="24"/>
  <c r="AR27" i="34"/>
  <c r="C793" i="24"/>
  <c r="BA27" i="34"/>
  <c r="AV27" i="34"/>
  <c r="Y27" i="34"/>
  <c r="AD27" i="34"/>
  <c r="D788" i="24"/>
  <c r="C778" i="24"/>
  <c r="D27" i="34"/>
  <c r="C23" i="24"/>
  <c r="Z27" i="34"/>
  <c r="C28" i="82"/>
  <c r="E28" i="82"/>
  <c r="M28" i="72"/>
  <c r="E28" i="72"/>
  <c r="K28" i="72"/>
  <c r="K28" i="73"/>
  <c r="J498" i="17"/>
  <c r="J496" i="17"/>
  <c r="I28" i="60"/>
  <c r="C498" i="17"/>
  <c r="K28" i="60"/>
  <c r="M28" i="60"/>
  <c r="G28" i="60"/>
  <c r="B494" i="17"/>
  <c r="C28" i="63"/>
  <c r="B495" i="17"/>
  <c r="C29" i="57"/>
  <c r="E29" i="57"/>
  <c r="C29" i="44"/>
  <c r="E29" i="44"/>
  <c r="E28" i="40"/>
  <c r="G28" i="40"/>
  <c r="H1094" i="29"/>
  <c r="D27" i="31"/>
  <c r="G526" i="14"/>
  <c r="E27" i="31"/>
  <c r="E526" i="14"/>
  <c r="AQ27" i="34"/>
  <c r="AU27" i="34"/>
  <c r="D790" i="24"/>
  <c r="D789" i="24"/>
  <c r="E28" i="63"/>
  <c r="G28" i="63"/>
  <c r="K28" i="63"/>
  <c r="I28" i="63"/>
  <c r="M28" i="63"/>
  <c r="G29" i="57"/>
  <c r="I29" i="57"/>
  <c r="K29" i="57"/>
  <c r="I29" i="44"/>
  <c r="K29" i="44"/>
  <c r="AP27" i="34"/>
  <c r="J517" i="14"/>
  <c r="E29" i="78"/>
  <c r="E21" i="76"/>
  <c r="D29" i="78"/>
  <c r="D454" i="76"/>
  <c r="K19" i="76"/>
  <c r="E454" i="76"/>
  <c r="C29" i="79"/>
  <c r="C454" i="76"/>
  <c r="C23" i="76"/>
  <c r="E29" i="79"/>
  <c r="G29" i="82"/>
  <c r="F31" i="79"/>
  <c r="C29" i="82"/>
  <c r="D29" i="82"/>
  <c r="H29" i="82"/>
  <c r="C29" i="80"/>
  <c r="H19" i="76"/>
  <c r="K29" i="75"/>
  <c r="J29" i="75"/>
  <c r="F27" i="33"/>
  <c r="C29" i="72"/>
  <c r="G29" i="72"/>
  <c r="I29" i="72"/>
  <c r="E29" i="72"/>
  <c r="C500" i="22"/>
  <c r="F31" i="72"/>
  <c r="C29" i="73"/>
  <c r="K29" i="73"/>
  <c r="E29" i="73"/>
  <c r="C29" i="71"/>
  <c r="G29" i="71"/>
  <c r="H31" i="71"/>
  <c r="J29" i="70"/>
  <c r="E27" i="33"/>
  <c r="C29" i="66"/>
  <c r="C19" i="18"/>
  <c r="E29" i="68"/>
  <c r="C29" i="67"/>
  <c r="M29" i="61"/>
  <c r="G29" i="61"/>
  <c r="K29" i="61"/>
  <c r="I29" i="61"/>
  <c r="E29" i="61"/>
  <c r="K534" i="17"/>
  <c r="D25" i="17"/>
  <c r="E29" i="64"/>
  <c r="M29" i="64"/>
  <c r="I29" i="64"/>
  <c r="G29" i="64"/>
  <c r="K29" i="64"/>
  <c r="L29" i="63"/>
  <c r="C27" i="17"/>
  <c r="J27" i="17"/>
  <c r="J537" i="17"/>
  <c r="G532" i="17"/>
  <c r="J534" i="17"/>
  <c r="J532" i="17"/>
  <c r="J530" i="17"/>
  <c r="G29" i="62"/>
  <c r="E29" i="62"/>
  <c r="F29" i="60"/>
  <c r="F31" i="60"/>
  <c r="C531" i="17"/>
  <c r="B528" i="17"/>
  <c r="K29" i="62"/>
  <c r="I29" i="62"/>
  <c r="C23" i="17"/>
  <c r="D531" i="17"/>
  <c r="C29" i="63"/>
  <c r="I29" i="63"/>
  <c r="K535" i="17"/>
  <c r="K532" i="17"/>
  <c r="K530" i="17"/>
  <c r="C29" i="65"/>
  <c r="E532" i="17"/>
  <c r="C455" i="16"/>
  <c r="E30" i="58"/>
  <c r="K30" i="58"/>
  <c r="G30" i="58"/>
  <c r="I30" i="58"/>
  <c r="F30" i="57"/>
  <c r="F32" i="57"/>
  <c r="D30" i="59"/>
  <c r="D30" i="57"/>
  <c r="I30" i="59"/>
  <c r="G30" i="59"/>
  <c r="E30" i="59"/>
  <c r="E30" i="56"/>
  <c r="H1204" i="29"/>
  <c r="I1214" i="29"/>
  <c r="H1196" i="29"/>
  <c r="C31" i="52"/>
  <c r="H1210" i="29"/>
  <c r="C30" i="55"/>
  <c r="E30" i="55"/>
  <c r="I1210" i="29"/>
  <c r="H1199" i="29"/>
  <c r="G1198" i="29"/>
  <c r="G1199" i="29"/>
  <c r="I1196" i="29"/>
  <c r="C31" i="53"/>
  <c r="K30" i="49"/>
  <c r="G1185" i="29"/>
  <c r="C30" i="44"/>
  <c r="G30" i="48"/>
  <c r="G1183" i="29"/>
  <c r="C30" i="47"/>
  <c r="G30" i="47"/>
  <c r="E30" i="49"/>
  <c r="I30" i="46"/>
  <c r="G47" i="29"/>
  <c r="C29" i="39"/>
  <c r="G36" i="29"/>
  <c r="G29" i="39"/>
  <c r="I29" i="39"/>
  <c r="E29" i="39"/>
  <c r="C29" i="40"/>
  <c r="H28" i="36"/>
  <c r="H28" i="37"/>
  <c r="G1164" i="29"/>
  <c r="H1161" i="29"/>
  <c r="F30" i="37"/>
  <c r="G28" i="35"/>
  <c r="CM30" i="31"/>
  <c r="CI30" i="31"/>
  <c r="BU28" i="31"/>
  <c r="D26" i="14"/>
  <c r="D25" i="14"/>
  <c r="D23" i="14"/>
  <c r="E23" i="14"/>
  <c r="AF28" i="31"/>
  <c r="E25" i="14"/>
  <c r="CK28" i="31"/>
  <c r="BW28" i="31"/>
  <c r="F26" i="14"/>
  <c r="AU30" i="31"/>
  <c r="T30" i="31"/>
  <c r="G25" i="14"/>
  <c r="BJ28" i="31"/>
  <c r="G27" i="14"/>
  <c r="CL28" i="31"/>
  <c r="K28" i="31"/>
  <c r="AS28" i="31"/>
  <c r="Z30" i="31"/>
  <c r="BP30" i="31"/>
  <c r="BH30" i="31"/>
  <c r="CE30" i="31"/>
  <c r="BW30" i="31"/>
  <c r="M28" i="31"/>
  <c r="F561" i="14"/>
  <c r="F562" i="14"/>
  <c r="G561" i="14"/>
  <c r="G28" i="14"/>
  <c r="DZ30" i="31"/>
  <c r="E32" i="14"/>
  <c r="D31" i="14"/>
  <c r="DZ28" i="31"/>
  <c r="N28" i="31"/>
  <c r="CW28" i="31"/>
  <c r="DP30" i="31"/>
  <c r="DL30" i="31"/>
  <c r="D30" i="31"/>
  <c r="DU30" i="31"/>
  <c r="DM30" i="31"/>
  <c r="CX28" i="31"/>
  <c r="DM28" i="31"/>
  <c r="I28" i="31"/>
  <c r="G28" i="31"/>
  <c r="E29" i="14"/>
  <c r="D30" i="14"/>
  <c r="L28" i="31"/>
  <c r="H28" i="31"/>
  <c r="EQ30" i="31"/>
  <c r="J28" i="31"/>
  <c r="D561" i="14"/>
  <c r="E562" i="14"/>
  <c r="EF30" i="31"/>
  <c r="EB30" i="31"/>
  <c r="EB28" i="31"/>
  <c r="BA28" i="34"/>
  <c r="D847" i="24"/>
  <c r="AR28" i="34"/>
  <c r="AU28" i="34"/>
  <c r="C854" i="24"/>
  <c r="BQ28" i="34"/>
  <c r="C847" i="24"/>
  <c r="BN30" i="34"/>
  <c r="C41" i="24"/>
  <c r="E842" i="24"/>
  <c r="E844" i="24"/>
  <c r="U28" i="34"/>
  <c r="C844" i="24"/>
  <c r="AL28" i="34"/>
  <c r="AE30" i="34"/>
  <c r="C21" i="24"/>
  <c r="D842" i="24"/>
  <c r="D844" i="24"/>
  <c r="AM28" i="34"/>
  <c r="Z28" i="34"/>
  <c r="D28" i="34"/>
  <c r="AC30" i="34"/>
  <c r="E29" i="82"/>
  <c r="M29" i="72"/>
  <c r="K29" i="72"/>
  <c r="M29" i="73"/>
  <c r="G29" i="73"/>
  <c r="I29" i="73"/>
  <c r="K29" i="71"/>
  <c r="E29" i="71"/>
  <c r="I29" i="71"/>
  <c r="C532" i="17"/>
  <c r="C29" i="60"/>
  <c r="E29" i="63"/>
  <c r="B529" i="17"/>
  <c r="G29" i="63"/>
  <c r="K29" i="63"/>
  <c r="M29" i="63"/>
  <c r="G29" i="65"/>
  <c r="I29" i="65"/>
  <c r="K29" i="65"/>
  <c r="M29" i="65"/>
  <c r="E29" i="65"/>
  <c r="C453" i="16"/>
  <c r="C454" i="16"/>
  <c r="D31" i="50"/>
  <c r="D30" i="47"/>
  <c r="E30" i="47"/>
  <c r="H1174" i="29"/>
  <c r="C28" i="31"/>
  <c r="E28" i="31"/>
  <c r="F28" i="31"/>
  <c r="G562" i="14"/>
  <c r="D28" i="31"/>
  <c r="D562" i="14"/>
  <c r="AQ28" i="34"/>
  <c r="BL28" i="34"/>
  <c r="AP28" i="34"/>
  <c r="Y28" i="34"/>
  <c r="N553" i="14"/>
  <c r="E843" i="24"/>
  <c r="J553" i="14"/>
  <c r="D843" i="24"/>
  <c r="C843" i="24"/>
  <c r="F553" i="14"/>
  <c r="L28" i="34"/>
  <c r="M28" i="34"/>
  <c r="G29" i="60"/>
  <c r="I29" i="60"/>
  <c r="M29" i="60"/>
  <c r="K29" i="60"/>
  <c r="E29" i="60"/>
  <c r="C30" i="57"/>
  <c r="I30" i="57"/>
  <c r="K30" i="57"/>
  <c r="G30" i="57"/>
  <c r="E30" i="57"/>
  <c r="D483" i="76"/>
  <c r="E19" i="76"/>
  <c r="C30" i="80"/>
  <c r="C31" i="80"/>
  <c r="E30" i="78"/>
  <c r="E31" i="78"/>
  <c r="G19" i="76"/>
  <c r="J19" i="76"/>
  <c r="D19" i="76"/>
  <c r="E30" i="77"/>
  <c r="E31" i="77"/>
  <c r="C30" i="82"/>
  <c r="C31" i="82"/>
  <c r="I31" i="82"/>
  <c r="C483" i="76"/>
  <c r="I19" i="76"/>
  <c r="C19" i="76"/>
  <c r="I31" i="77"/>
  <c r="D30" i="82"/>
  <c r="D31" i="82"/>
  <c r="E30" i="82"/>
  <c r="E31" i="82"/>
  <c r="D30" i="75"/>
  <c r="C30" i="75"/>
  <c r="C30" i="72"/>
  <c r="M30" i="72"/>
  <c r="M31" i="72"/>
  <c r="C19" i="22"/>
  <c r="C532" i="22"/>
  <c r="I30" i="73"/>
  <c r="I31" i="73"/>
  <c r="G30" i="73"/>
  <c r="G31" i="73"/>
  <c r="C31" i="73"/>
  <c r="E30" i="73"/>
  <c r="E31" i="73"/>
  <c r="M30" i="73"/>
  <c r="M31" i="73"/>
  <c r="K30" i="73"/>
  <c r="K31" i="73"/>
  <c r="H31" i="73"/>
  <c r="D19" i="22"/>
  <c r="C30" i="71"/>
  <c r="G30" i="71"/>
  <c r="G31" i="71"/>
  <c r="C532" i="20"/>
  <c r="C20" i="22"/>
  <c r="C20" i="20"/>
  <c r="J30" i="70"/>
  <c r="J31" i="70"/>
  <c r="E19" i="25"/>
  <c r="E30" i="70"/>
  <c r="E31" i="70"/>
  <c r="C30" i="66"/>
  <c r="C31" i="66"/>
  <c r="D31" i="66"/>
  <c r="D19" i="18"/>
  <c r="C30" i="67"/>
  <c r="C31" i="67"/>
  <c r="E30" i="68"/>
  <c r="E31" i="68"/>
  <c r="J26" i="17"/>
  <c r="E566" i="17"/>
  <c r="H30" i="60"/>
  <c r="H31" i="60"/>
  <c r="M30" i="61"/>
  <c r="M31" i="61"/>
  <c r="C31" i="61"/>
  <c r="K30" i="61"/>
  <c r="K31" i="61"/>
  <c r="G30" i="61"/>
  <c r="G31" i="61"/>
  <c r="E30" i="61"/>
  <c r="E31" i="61"/>
  <c r="I30" i="61"/>
  <c r="I31" i="61"/>
  <c r="J24" i="17"/>
  <c r="E22" i="17"/>
  <c r="F21" i="17"/>
  <c r="K23" i="17"/>
  <c r="K24" i="17"/>
  <c r="K25" i="17"/>
  <c r="M30" i="64"/>
  <c r="M31" i="64"/>
  <c r="K30" i="64"/>
  <c r="K31" i="64"/>
  <c r="K571" i="17"/>
  <c r="G30" i="64"/>
  <c r="G31" i="64"/>
  <c r="I30" i="64"/>
  <c r="I31" i="64"/>
  <c r="D27" i="17"/>
  <c r="E30" i="64"/>
  <c r="E31" i="64"/>
  <c r="J566" i="17"/>
  <c r="J564" i="17"/>
  <c r="C25" i="17"/>
  <c r="J25" i="17"/>
  <c r="C30" i="62"/>
  <c r="K30" i="62"/>
  <c r="K31" i="62"/>
  <c r="G30" i="62"/>
  <c r="G31" i="62"/>
  <c r="E30" i="62"/>
  <c r="E31" i="62"/>
  <c r="G21" i="17"/>
  <c r="C565" i="17"/>
  <c r="B562" i="17"/>
  <c r="D31" i="62"/>
  <c r="I30" i="62"/>
  <c r="I31" i="62"/>
  <c r="J23" i="17"/>
  <c r="C31" i="62"/>
  <c r="F30" i="63"/>
  <c r="F31" i="63"/>
  <c r="D565" i="17"/>
  <c r="C30" i="63"/>
  <c r="C31" i="63"/>
  <c r="K568" i="17"/>
  <c r="K566" i="17"/>
  <c r="K564" i="17"/>
  <c r="H30" i="63"/>
  <c r="H31" i="63"/>
  <c r="H21" i="17"/>
  <c r="J30" i="63"/>
  <c r="J31" i="63"/>
  <c r="D26" i="17"/>
  <c r="K26" i="17"/>
  <c r="K30" i="65"/>
  <c r="K31" i="65"/>
  <c r="G30" i="65"/>
  <c r="G31" i="65"/>
  <c r="E30" i="65"/>
  <c r="E31" i="65"/>
  <c r="I30" i="65"/>
  <c r="I31" i="65"/>
  <c r="C31" i="65"/>
  <c r="M30" i="65"/>
  <c r="M31" i="65"/>
  <c r="K27" i="17"/>
  <c r="C24" i="16"/>
  <c r="C18" i="16"/>
  <c r="D18" i="16"/>
  <c r="D32" i="58"/>
  <c r="E31" i="58"/>
  <c r="E32" i="58"/>
  <c r="K31" i="58"/>
  <c r="K32" i="58"/>
  <c r="I31" i="58"/>
  <c r="I32" i="58"/>
  <c r="C32" i="58"/>
  <c r="G31" i="58"/>
  <c r="G32" i="58"/>
  <c r="F32" i="58"/>
  <c r="D31" i="57"/>
  <c r="D32" i="57"/>
  <c r="E20" i="16"/>
  <c r="C482" i="16"/>
  <c r="C31" i="57"/>
  <c r="G31" i="57"/>
  <c r="G32" i="57"/>
  <c r="H32" i="57"/>
  <c r="H32" i="59"/>
  <c r="E31" i="59"/>
  <c r="E32" i="59"/>
  <c r="I31" i="59"/>
  <c r="I32" i="59"/>
  <c r="G31" i="59"/>
  <c r="G32" i="59"/>
  <c r="C32" i="59"/>
  <c r="K31" i="59"/>
  <c r="K32" i="59"/>
  <c r="E18" i="16"/>
  <c r="G71" i="29"/>
  <c r="G72" i="29"/>
  <c r="G1279" i="29"/>
  <c r="H32" i="50"/>
  <c r="H1280" i="29"/>
  <c r="I31" i="55"/>
  <c r="H1286" i="29"/>
  <c r="H1290" i="29"/>
  <c r="C31" i="56"/>
  <c r="I1272" i="29"/>
  <c r="C32" i="53"/>
  <c r="H1272" i="29"/>
  <c r="C32" i="52"/>
  <c r="D32" i="52"/>
  <c r="G1274" i="29"/>
  <c r="D32" i="50"/>
  <c r="G60" i="29"/>
  <c r="G1285" i="29"/>
  <c r="C31" i="54"/>
  <c r="I1290" i="29"/>
  <c r="D32" i="53"/>
  <c r="J32" i="47"/>
  <c r="G52" i="29"/>
  <c r="I45" i="29"/>
  <c r="G45" i="29"/>
  <c r="G49" i="29"/>
  <c r="E31" i="45"/>
  <c r="G1261" i="29"/>
  <c r="H1259" i="29"/>
  <c r="C31" i="48"/>
  <c r="C31" i="49"/>
  <c r="K31" i="49"/>
  <c r="E31" i="46"/>
  <c r="K31" i="45"/>
  <c r="C30" i="39"/>
  <c r="K30" i="39"/>
  <c r="C30" i="40"/>
  <c r="K30" i="40"/>
  <c r="E30" i="40"/>
  <c r="G30" i="40"/>
  <c r="K30" i="37"/>
  <c r="G28" i="29"/>
  <c r="H24" i="29"/>
  <c r="I1247" i="29"/>
  <c r="H29" i="35"/>
  <c r="G23" i="29"/>
  <c r="H20" i="29"/>
  <c r="I1237" i="29"/>
  <c r="H21" i="29"/>
  <c r="G29" i="36"/>
  <c r="G19" i="29"/>
  <c r="G29" i="37"/>
  <c r="F23" i="14"/>
  <c r="R30" i="31"/>
  <c r="AI30" i="31"/>
  <c r="AE30" i="31"/>
  <c r="AF30" i="31"/>
  <c r="AF29" i="31"/>
  <c r="AG30" i="31"/>
  <c r="AG29" i="31"/>
  <c r="AL30" i="31"/>
  <c r="AH30" i="31"/>
  <c r="K21" i="14"/>
  <c r="D24" i="14"/>
  <c r="D21" i="14"/>
  <c r="G24" i="14"/>
  <c r="AS30" i="31"/>
  <c r="AT30" i="31"/>
  <c r="AT29" i="31"/>
  <c r="AV29" i="31"/>
  <c r="BR30" i="31"/>
  <c r="BJ30" i="31"/>
  <c r="BI30" i="31"/>
  <c r="E26" i="14"/>
  <c r="BO30" i="31"/>
  <c r="BG30" i="31"/>
  <c r="L21" i="14"/>
  <c r="N29" i="31"/>
  <c r="N30" i="31"/>
  <c r="F28" i="14"/>
  <c r="CF30" i="31"/>
  <c r="BX30" i="31"/>
  <c r="BY30" i="31"/>
  <c r="BU30" i="31"/>
  <c r="J21" i="14"/>
  <c r="J29" i="31"/>
  <c r="J30" i="31"/>
  <c r="F29" i="14"/>
  <c r="M29" i="31"/>
  <c r="M30" i="31"/>
  <c r="CX30" i="31"/>
  <c r="K29" i="31"/>
  <c r="K30" i="31"/>
  <c r="CW29" i="31"/>
  <c r="C29" i="31"/>
  <c r="DD30" i="31"/>
  <c r="CZ30" i="31"/>
  <c r="G597" i="14"/>
  <c r="G598" i="14"/>
  <c r="I29" i="31"/>
  <c r="I30" i="31"/>
  <c r="F597" i="14"/>
  <c r="F598" i="14"/>
  <c r="H29" i="31"/>
  <c r="CX29" i="31"/>
  <c r="H21" i="14"/>
  <c r="I22" i="14"/>
  <c r="D598" i="14"/>
  <c r="G29" i="31"/>
  <c r="G30" i="31"/>
  <c r="DN29" i="31"/>
  <c r="F29" i="31"/>
  <c r="O21" i="14"/>
  <c r="DT30" i="31"/>
  <c r="DO30" i="31"/>
  <c r="DK30" i="31"/>
  <c r="L29" i="31"/>
  <c r="G31" i="14"/>
  <c r="I598" i="14"/>
  <c r="EN30" i="31"/>
  <c r="EN29" i="31"/>
  <c r="N21" i="14"/>
  <c r="EO29" i="31"/>
  <c r="E29" i="31"/>
  <c r="F32" i="14"/>
  <c r="F21" i="14"/>
  <c r="EW30" i="31"/>
  <c r="EO30" i="31"/>
  <c r="C22" i="24"/>
  <c r="BM29" i="34"/>
  <c r="BM30" i="34"/>
  <c r="C40" i="24"/>
  <c r="E901" i="24"/>
  <c r="E37" i="24"/>
  <c r="AQ29" i="34"/>
  <c r="AQ30" i="34"/>
  <c r="AT30" i="34"/>
  <c r="AU30" i="34"/>
  <c r="AV30" i="34"/>
  <c r="C46" i="24"/>
  <c r="E38" i="24"/>
  <c r="D44" i="24"/>
  <c r="BF29" i="34"/>
  <c r="C45" i="24"/>
  <c r="C901" i="24"/>
  <c r="C37" i="24"/>
  <c r="C38" i="24"/>
  <c r="BQ29" i="34"/>
  <c r="C896" i="24"/>
  <c r="E27" i="24"/>
  <c r="E898" i="24"/>
  <c r="E897" i="24"/>
  <c r="H29" i="34"/>
  <c r="Y29" i="34"/>
  <c r="Y30" i="34"/>
  <c r="D33" i="24"/>
  <c r="D897" i="24"/>
  <c r="J589" i="14"/>
  <c r="AL29" i="34"/>
  <c r="AD30" i="34"/>
  <c r="AM29" i="34"/>
  <c r="Q30" i="34"/>
  <c r="Z29" i="34"/>
  <c r="Z30" i="34"/>
  <c r="E21" i="24"/>
  <c r="D31" i="24"/>
  <c r="G31" i="24"/>
  <c r="D29" i="34"/>
  <c r="D34" i="24"/>
  <c r="D32" i="24"/>
  <c r="K30" i="75"/>
  <c r="J30" i="75"/>
  <c r="C31" i="75"/>
  <c r="K30" i="72"/>
  <c r="K31" i="72"/>
  <c r="C31" i="72"/>
  <c r="E30" i="72"/>
  <c r="E31" i="72"/>
  <c r="G30" i="72"/>
  <c r="G31" i="72"/>
  <c r="I30" i="72"/>
  <c r="I31" i="72"/>
  <c r="E30" i="71"/>
  <c r="E31" i="71"/>
  <c r="I30" i="71"/>
  <c r="I31" i="71"/>
  <c r="C31" i="71"/>
  <c r="K30" i="71"/>
  <c r="K31" i="71"/>
  <c r="C566" i="17"/>
  <c r="B563" i="17"/>
  <c r="E30" i="63"/>
  <c r="E31" i="63"/>
  <c r="K22" i="17"/>
  <c r="K20" i="17"/>
  <c r="K30" i="63"/>
  <c r="K31" i="63"/>
  <c r="M30" i="63"/>
  <c r="M31" i="63"/>
  <c r="D21" i="17"/>
  <c r="B19" i="17"/>
  <c r="G30" i="63"/>
  <c r="G31" i="63"/>
  <c r="M30" i="62"/>
  <c r="M31" i="62"/>
  <c r="G22" i="17"/>
  <c r="J22" i="17"/>
  <c r="J20" i="17"/>
  <c r="C21" i="17"/>
  <c r="C22" i="17"/>
  <c r="C30" i="60"/>
  <c r="E30" i="60"/>
  <c r="E31" i="60"/>
  <c r="I30" i="63"/>
  <c r="I31" i="63"/>
  <c r="E31" i="57"/>
  <c r="E32" i="57"/>
  <c r="C32" i="57"/>
  <c r="C19" i="16"/>
  <c r="I31" i="57"/>
  <c r="I32" i="57"/>
  <c r="K31" i="57"/>
  <c r="K32" i="57"/>
  <c r="C483" i="16"/>
  <c r="G1280" i="29"/>
  <c r="G1275" i="29"/>
  <c r="G1290" i="29"/>
  <c r="G1286" i="29"/>
  <c r="I43" i="29"/>
  <c r="C31" i="44"/>
  <c r="D31" i="47"/>
  <c r="E31" i="49"/>
  <c r="I30" i="40"/>
  <c r="M30" i="40"/>
  <c r="G21" i="14"/>
  <c r="G22" i="14"/>
  <c r="D29" i="31"/>
  <c r="E30" i="31"/>
  <c r="F30" i="31"/>
  <c r="L30" i="31"/>
  <c r="D22" i="14"/>
  <c r="J13" i="14"/>
  <c r="C30" i="31"/>
  <c r="F22" i="14"/>
  <c r="E22" i="24"/>
  <c r="AP29" i="34"/>
  <c r="AP30" i="34"/>
  <c r="BA29" i="34"/>
  <c r="BA30" i="34"/>
  <c r="BF30" i="34"/>
  <c r="D45" i="24"/>
  <c r="D38" i="24"/>
  <c r="BQ30" i="34"/>
  <c r="BL29" i="34"/>
  <c r="BL30" i="34"/>
  <c r="N589" i="14"/>
  <c r="C898" i="24"/>
  <c r="M29" i="34"/>
  <c r="D30" i="34"/>
  <c r="L29" i="34"/>
  <c r="C31" i="60"/>
  <c r="I30" i="60"/>
  <c r="I31" i="60"/>
  <c r="M30" i="60"/>
  <c r="M31" i="60"/>
  <c r="G30" i="60"/>
  <c r="G31" i="60"/>
  <c r="B18" i="17"/>
  <c r="K30" i="60"/>
  <c r="K31" i="60"/>
  <c r="E31" i="54"/>
  <c r="I31" i="44"/>
  <c r="E31" i="44"/>
  <c r="C897" i="24"/>
  <c r="F589" i="14"/>
  <c r="E22" i="14"/>
  <c r="D33" i="31"/>
  <c r="M22" i="14"/>
  <c r="F32" i="47"/>
  <c r="G20" i="33"/>
  <c r="G29" i="33"/>
  <c r="I63" i="29"/>
  <c r="I64" i="29"/>
  <c r="I16" i="56"/>
  <c r="G139" i="29"/>
  <c r="G140" i="29"/>
  <c r="I146" i="29"/>
  <c r="G145" i="29"/>
  <c r="G150" i="29"/>
  <c r="G134" i="29"/>
  <c r="G135" i="29"/>
  <c r="I58" i="29"/>
  <c r="I1019" i="29"/>
  <c r="G26" i="37"/>
  <c r="G1133" i="29"/>
  <c r="H1138" i="29"/>
  <c r="G1127" i="29"/>
  <c r="H30" i="50"/>
  <c r="H1120" i="29"/>
  <c r="C30" i="52"/>
  <c r="H1128" i="29"/>
  <c r="L30" i="50"/>
  <c r="G68" i="29"/>
  <c r="G1120" i="29"/>
  <c r="C30" i="50"/>
  <c r="I1138" i="29"/>
  <c r="G65" i="29"/>
  <c r="C29" i="56"/>
  <c r="G29" i="56"/>
  <c r="G1096" i="29"/>
  <c r="C27" i="24"/>
  <c r="C788" i="24"/>
  <c r="C31" i="24"/>
  <c r="C26" i="24"/>
  <c r="F31" i="24"/>
  <c r="E790" i="24"/>
  <c r="AH27" i="34"/>
  <c r="E788" i="24"/>
  <c r="E31" i="24"/>
  <c r="H31" i="24"/>
  <c r="K27" i="34"/>
  <c r="C30" i="34"/>
  <c r="C790" i="24"/>
  <c r="C20" i="24"/>
  <c r="I29" i="56"/>
  <c r="K30" i="34"/>
  <c r="H27" i="34"/>
  <c r="AM27" i="34"/>
  <c r="AM30" i="34"/>
  <c r="AH30" i="34"/>
  <c r="AL27" i="34"/>
  <c r="AL30" i="34"/>
  <c r="E789" i="24"/>
  <c r="N517" i="14"/>
  <c r="E33" i="24"/>
  <c r="C34" i="24"/>
  <c r="C33" i="24"/>
  <c r="C789" i="24"/>
  <c r="F517" i="14"/>
  <c r="N13" i="14"/>
  <c r="E32" i="24"/>
  <c r="E34" i="24"/>
  <c r="L27" i="34"/>
  <c r="L30" i="34"/>
  <c r="H30" i="34"/>
  <c r="M27" i="34"/>
  <c r="M30" i="34"/>
  <c r="C32" i="24"/>
  <c r="F13" i="14"/>
  <c r="H26" i="37"/>
  <c r="I30" i="37"/>
  <c r="I24" i="29"/>
  <c r="G67" i="29"/>
  <c r="H63" i="29"/>
  <c r="G63" i="29"/>
  <c r="G64" i="29"/>
  <c r="K22" i="75"/>
  <c r="J22" i="75"/>
  <c r="J31" i="75"/>
  <c r="E31" i="75"/>
  <c r="C29" i="54"/>
  <c r="G1138" i="29"/>
  <c r="M29" i="37"/>
  <c r="I1246" i="29"/>
  <c r="I1098" i="29"/>
  <c r="M27" i="37"/>
  <c r="N27" i="37"/>
  <c r="I1094" i="29"/>
  <c r="H942" i="29"/>
  <c r="K26" i="39"/>
  <c r="G26" i="39"/>
  <c r="E26" i="39"/>
  <c r="I25" i="54"/>
  <c r="E25" i="54"/>
  <c r="K27" i="44"/>
  <c r="K21" i="49"/>
  <c r="E21" i="49"/>
  <c r="I1250" i="29"/>
  <c r="G29" i="40"/>
  <c r="I29" i="40"/>
  <c r="K29" i="40"/>
  <c r="I30" i="44"/>
  <c r="G30" i="44"/>
  <c r="I26" i="39"/>
  <c r="G27" i="45"/>
  <c r="E27" i="45"/>
  <c r="G900" i="29"/>
  <c r="M24" i="37"/>
  <c r="N24" i="37"/>
  <c r="G25" i="54"/>
  <c r="H562" i="29"/>
  <c r="G30" i="55"/>
  <c r="I26" i="48"/>
  <c r="G25" i="46"/>
  <c r="I1018" i="29"/>
  <c r="M26" i="37"/>
  <c r="N26" i="37"/>
  <c r="I31" i="54"/>
  <c r="G31" i="54"/>
  <c r="E28" i="45"/>
  <c r="G28" i="45"/>
  <c r="K28" i="45"/>
  <c r="G943" i="29"/>
  <c r="M26" i="39"/>
  <c r="G816" i="29"/>
  <c r="C26" i="50"/>
  <c r="C26" i="52"/>
  <c r="K21" i="44"/>
  <c r="I25" i="46"/>
  <c r="E25" i="46"/>
  <c r="E24" i="49"/>
  <c r="G24" i="49"/>
  <c r="E19" i="49"/>
  <c r="I1022" i="29"/>
  <c r="H17" i="50"/>
  <c r="I1170" i="29"/>
  <c r="G1107" i="29"/>
  <c r="C29" i="47"/>
  <c r="C29" i="48"/>
  <c r="H946" i="29"/>
  <c r="I26" i="44"/>
  <c r="G26" i="44"/>
  <c r="E23" i="39"/>
  <c r="M23" i="39"/>
  <c r="G758" i="29"/>
  <c r="C24" i="54"/>
  <c r="I21" i="49"/>
  <c r="I25" i="55"/>
  <c r="H20" i="50"/>
  <c r="I16" i="45"/>
  <c r="K16" i="45"/>
  <c r="E27" i="56"/>
  <c r="G15" i="36"/>
  <c r="L30" i="36"/>
  <c r="H17" i="36"/>
  <c r="E17" i="56"/>
  <c r="I17" i="56"/>
  <c r="G17" i="56"/>
  <c r="G20" i="50"/>
  <c r="G33" i="50"/>
  <c r="G363" i="29"/>
  <c r="G19" i="50"/>
  <c r="G287" i="29"/>
  <c r="C21" i="38"/>
  <c r="C28" i="38"/>
  <c r="D28" i="49"/>
  <c r="G1033" i="29"/>
  <c r="C30" i="45"/>
  <c r="D30" i="48"/>
  <c r="E30" i="48"/>
  <c r="I639" i="29"/>
  <c r="I629" i="29"/>
  <c r="H444" i="29"/>
  <c r="H21" i="52"/>
  <c r="G443" i="29"/>
  <c r="H173" i="29"/>
  <c r="G172" i="29"/>
  <c r="C84" i="18"/>
  <c r="H106" i="29"/>
  <c r="H110" i="29"/>
  <c r="B790" i="29"/>
  <c r="B486" i="29"/>
  <c r="B182" i="29"/>
  <c r="B942" i="29"/>
  <c r="B638" i="29"/>
  <c r="B334" i="29"/>
  <c r="I132" i="29"/>
  <c r="G1272" i="29"/>
  <c r="C32" i="50"/>
  <c r="G1236" i="29"/>
  <c r="C532" i="18"/>
  <c r="H1247" i="29"/>
  <c r="I31" i="56"/>
  <c r="G1209" i="29"/>
  <c r="G1210" i="29"/>
  <c r="G1204" i="29"/>
  <c r="G1203" i="29"/>
  <c r="H31" i="50"/>
  <c r="E27" i="40"/>
  <c r="I30" i="36"/>
  <c r="G27" i="40"/>
  <c r="G28" i="55"/>
  <c r="K26" i="40"/>
  <c r="I942" i="29"/>
  <c r="I794" i="29"/>
  <c r="H791" i="29"/>
  <c r="C25" i="55"/>
  <c r="G24" i="45"/>
  <c r="C24" i="56"/>
  <c r="G24" i="56"/>
  <c r="M22" i="39"/>
  <c r="G653" i="29"/>
  <c r="G588" i="29"/>
  <c r="C23" i="50"/>
  <c r="K21" i="39"/>
  <c r="I22" i="45"/>
  <c r="I575" i="29"/>
  <c r="C22" i="49"/>
  <c r="G454" i="29"/>
  <c r="G16" i="48"/>
  <c r="I27" i="49"/>
  <c r="I423" i="29"/>
  <c r="C20" i="49"/>
  <c r="G20" i="49"/>
  <c r="E33" i="50"/>
  <c r="B562" i="29"/>
  <c r="I1161" i="29"/>
  <c r="H15" i="35"/>
  <c r="I1047" i="29"/>
  <c r="G1046" i="29"/>
  <c r="G18" i="46"/>
  <c r="E18" i="46"/>
  <c r="M16" i="36"/>
  <c r="N16" i="36"/>
  <c r="H258" i="29"/>
  <c r="G259" i="29"/>
  <c r="G262" i="29"/>
  <c r="G19" i="48"/>
  <c r="I19" i="48"/>
  <c r="I18" i="54"/>
  <c r="E18" i="54"/>
  <c r="H32" i="56"/>
  <c r="I23" i="56"/>
  <c r="E25" i="56"/>
  <c r="I27" i="56"/>
  <c r="E29" i="56"/>
  <c r="E17" i="55"/>
  <c r="H226" i="29"/>
  <c r="H222" i="29"/>
  <c r="J33" i="52"/>
  <c r="E18" i="50"/>
  <c r="G211" i="29"/>
  <c r="K18" i="46"/>
  <c r="K19" i="46"/>
  <c r="K20" i="46"/>
  <c r="K25" i="46"/>
  <c r="E20" i="38"/>
  <c r="K27" i="48"/>
  <c r="I803" i="29"/>
  <c r="D25" i="49"/>
  <c r="H705" i="29"/>
  <c r="H715" i="29"/>
  <c r="G704" i="29"/>
  <c r="C308" i="18"/>
  <c r="G22" i="46"/>
  <c r="E20" i="49"/>
  <c r="C19" i="46"/>
  <c r="I347" i="29"/>
  <c r="C19" i="49"/>
  <c r="G19" i="49"/>
  <c r="G349" i="29"/>
  <c r="B1236" i="29"/>
  <c r="B704" i="29"/>
  <c r="B172" i="29"/>
  <c r="B1084" i="29"/>
  <c r="B552" i="29"/>
  <c r="B324" i="29"/>
  <c r="B932" i="29"/>
  <c r="H29" i="52"/>
  <c r="H1052" i="29"/>
  <c r="H132" i="29"/>
  <c r="C17" i="52"/>
  <c r="H135" i="29"/>
  <c r="G1057" i="29"/>
  <c r="G1062" i="29"/>
  <c r="H58" i="29"/>
  <c r="H59" i="29"/>
  <c r="H17" i="53"/>
  <c r="H33" i="53"/>
  <c r="H31" i="29"/>
  <c r="H34" i="29"/>
  <c r="I31" i="45"/>
  <c r="H1019" i="29"/>
  <c r="G1051" i="29"/>
  <c r="G1052" i="29"/>
  <c r="G986" i="29"/>
  <c r="G856" i="29"/>
  <c r="C372" i="18"/>
  <c r="G879" i="29"/>
  <c r="C26" i="47"/>
  <c r="E26" i="47"/>
  <c r="G895" i="29"/>
  <c r="G834" i="29"/>
  <c r="I715" i="29"/>
  <c r="I22" i="40"/>
  <c r="I21" i="39"/>
  <c r="E22" i="45"/>
  <c r="G577" i="29"/>
  <c r="D22" i="47"/>
  <c r="G512" i="29"/>
  <c r="C22" i="50"/>
  <c r="G519" i="29"/>
  <c r="H22" i="50"/>
  <c r="G20" i="45"/>
  <c r="G347" i="29"/>
  <c r="C19" i="47"/>
  <c r="I18" i="45"/>
  <c r="H262" i="29"/>
  <c r="G298" i="29"/>
  <c r="E16" i="45"/>
  <c r="G119" i="29"/>
  <c r="C16" i="47"/>
  <c r="G16" i="47"/>
  <c r="C18" i="52"/>
  <c r="G208" i="29"/>
  <c r="C18" i="50"/>
  <c r="G221" i="29"/>
  <c r="C17" i="54"/>
  <c r="C23" i="46"/>
  <c r="I1062" i="29"/>
  <c r="B1008" i="29"/>
  <c r="B258" i="29"/>
  <c r="B1094" i="29"/>
  <c r="H857" i="29"/>
  <c r="H17" i="35"/>
  <c r="D17" i="35"/>
  <c r="G17" i="35"/>
  <c r="N25" i="37"/>
  <c r="H27" i="35"/>
  <c r="D31" i="43"/>
  <c r="E31" i="55"/>
  <c r="E21" i="55"/>
  <c r="G33" i="53"/>
  <c r="K30" i="44"/>
  <c r="K26" i="44"/>
  <c r="K18" i="44"/>
  <c r="H651" i="29"/>
  <c r="C23" i="45"/>
  <c r="H20" i="53"/>
  <c r="I368" i="29"/>
  <c r="H183" i="29"/>
  <c r="I107" i="29"/>
  <c r="G37" i="29"/>
  <c r="I819" i="29"/>
  <c r="I816" i="29"/>
  <c r="C26" i="53"/>
  <c r="G823" i="29"/>
  <c r="E16" i="47"/>
  <c r="G216" i="29"/>
  <c r="K30" i="35"/>
  <c r="D29" i="35"/>
  <c r="G29" i="35"/>
  <c r="D26" i="35"/>
  <c r="G26" i="35"/>
  <c r="E33" i="53"/>
  <c r="J33" i="53"/>
  <c r="E16" i="44"/>
  <c r="H70" i="29"/>
  <c r="G425" i="29"/>
  <c r="H335" i="29"/>
  <c r="G39" i="29"/>
  <c r="H1044" i="29"/>
  <c r="D29" i="52"/>
  <c r="E22" i="55"/>
  <c r="J30" i="36"/>
  <c r="D26" i="36"/>
  <c r="G26" i="36"/>
  <c r="H29" i="36"/>
  <c r="F33" i="52"/>
  <c r="L33" i="50"/>
  <c r="C29" i="38"/>
  <c r="G29" i="38"/>
  <c r="H639" i="29"/>
  <c r="H638" i="29"/>
  <c r="I20" i="29"/>
  <c r="I21" i="29"/>
  <c r="G38" i="29"/>
  <c r="C20" i="39"/>
  <c r="J30" i="37"/>
  <c r="I22" i="56"/>
  <c r="G25" i="56"/>
  <c r="K30" i="36"/>
  <c r="H20" i="36"/>
  <c r="D24" i="36"/>
  <c r="G24" i="36"/>
  <c r="H25" i="36"/>
  <c r="H27" i="36"/>
  <c r="F33" i="53"/>
  <c r="I24" i="49"/>
  <c r="F32" i="48"/>
  <c r="I411" i="29"/>
  <c r="G26" i="29"/>
  <c r="G40" i="29"/>
  <c r="G31" i="48"/>
  <c r="E31" i="48"/>
  <c r="I31" i="48"/>
  <c r="G21" i="38"/>
  <c r="I21" i="38"/>
  <c r="M28" i="38"/>
  <c r="E28" i="38"/>
  <c r="I28" i="38"/>
  <c r="G28" i="38"/>
  <c r="H30" i="29"/>
  <c r="I29" i="47"/>
  <c r="G29" i="47"/>
  <c r="E29" i="47"/>
  <c r="K28" i="38"/>
  <c r="K29" i="38"/>
  <c r="E29" i="38"/>
  <c r="I29" i="54"/>
  <c r="G29" i="54"/>
  <c r="E29" i="54"/>
  <c r="L30" i="35"/>
  <c r="H16" i="35"/>
  <c r="E22" i="49"/>
  <c r="G22" i="49"/>
  <c r="G1123" i="29"/>
  <c r="D30" i="50"/>
  <c r="C30" i="38"/>
  <c r="D25" i="35"/>
  <c r="G25" i="35"/>
  <c r="E24" i="44"/>
  <c r="I24" i="44"/>
  <c r="K22" i="40"/>
  <c r="G602" i="29"/>
  <c r="C22" i="54"/>
  <c r="G606" i="29"/>
  <c r="D23" i="50"/>
  <c r="G591" i="29"/>
  <c r="G18" i="39"/>
  <c r="I18" i="39"/>
  <c r="K18" i="39"/>
  <c r="M18" i="39"/>
  <c r="H32" i="55"/>
  <c r="G19" i="55"/>
  <c r="I20" i="55"/>
  <c r="C23" i="55"/>
  <c r="G677" i="29"/>
  <c r="G21" i="46"/>
  <c r="E21" i="46"/>
  <c r="J32" i="46"/>
  <c r="K16" i="46"/>
  <c r="K24" i="46"/>
  <c r="J32" i="44"/>
  <c r="H32" i="44"/>
  <c r="C18" i="38"/>
  <c r="C17" i="38"/>
  <c r="I17" i="38"/>
  <c r="F31" i="38"/>
  <c r="L31" i="38"/>
  <c r="H31" i="38"/>
  <c r="C15" i="38"/>
  <c r="M15" i="38"/>
  <c r="K21" i="38"/>
  <c r="C23" i="38"/>
  <c r="C24" i="38"/>
  <c r="M24" i="38"/>
  <c r="C26" i="38"/>
  <c r="M26" i="38"/>
  <c r="E26" i="38"/>
  <c r="C27" i="38"/>
  <c r="E27" i="38"/>
  <c r="I69" i="29"/>
  <c r="M21" i="36"/>
  <c r="N21" i="36"/>
  <c r="G552" i="29"/>
  <c r="C244" i="18"/>
  <c r="I563" i="29"/>
  <c r="I292" i="29"/>
  <c r="I284" i="29"/>
  <c r="G291" i="29"/>
  <c r="D17" i="49"/>
  <c r="I195" i="29"/>
  <c r="G197" i="29"/>
  <c r="C17" i="46"/>
  <c r="M14" i="37"/>
  <c r="I16" i="46"/>
  <c r="E16" i="46"/>
  <c r="E16" i="48"/>
  <c r="G24" i="29"/>
  <c r="H74" i="29"/>
  <c r="G1134" i="29"/>
  <c r="G1095" i="29"/>
  <c r="I56" i="29"/>
  <c r="C29" i="55"/>
  <c r="I59" i="29"/>
  <c r="C16" i="54"/>
  <c r="D17" i="50"/>
  <c r="K31" i="46"/>
  <c r="G31" i="55"/>
  <c r="E30" i="44"/>
  <c r="H1170" i="29"/>
  <c r="E29" i="40"/>
  <c r="G1196" i="29"/>
  <c r="C31" i="50"/>
  <c r="C30" i="36"/>
  <c r="H28" i="35"/>
  <c r="M27" i="36"/>
  <c r="N27" i="36"/>
  <c r="G27" i="35"/>
  <c r="G946" i="29"/>
  <c r="D28" i="50"/>
  <c r="E26" i="44"/>
  <c r="K26" i="45"/>
  <c r="E26" i="45"/>
  <c r="I26" i="45"/>
  <c r="C26" i="49"/>
  <c r="G819" i="29"/>
  <c r="D24" i="47"/>
  <c r="G754" i="29"/>
  <c r="I24" i="46"/>
  <c r="C24" i="48"/>
  <c r="G727" i="29"/>
  <c r="C24" i="47"/>
  <c r="K24" i="47"/>
  <c r="E24" i="55"/>
  <c r="I24" i="55"/>
  <c r="D24" i="50"/>
  <c r="G664" i="29"/>
  <c r="C24" i="50"/>
  <c r="H682" i="29"/>
  <c r="H23" i="50"/>
  <c r="E22" i="46"/>
  <c r="K22" i="48"/>
  <c r="G22" i="48"/>
  <c r="M19" i="36"/>
  <c r="N19" i="36"/>
  <c r="G526" i="29"/>
  <c r="C21" i="54"/>
  <c r="E21" i="54"/>
  <c r="D18" i="47"/>
  <c r="K16" i="44"/>
  <c r="H14" i="35"/>
  <c r="C21" i="53"/>
  <c r="G436" i="29"/>
  <c r="C21" i="50"/>
  <c r="H28" i="50"/>
  <c r="H23" i="35"/>
  <c r="H21" i="35"/>
  <c r="D31" i="40"/>
  <c r="C15" i="40"/>
  <c r="E15" i="40"/>
  <c r="L31" i="40"/>
  <c r="M15" i="40"/>
  <c r="K16" i="40"/>
  <c r="C17" i="40"/>
  <c r="I17" i="40"/>
  <c r="C18" i="40"/>
  <c r="G18" i="40"/>
  <c r="C19" i="40"/>
  <c r="G19" i="40"/>
  <c r="C21" i="40"/>
  <c r="I21" i="40"/>
  <c r="C23" i="40"/>
  <c r="E23" i="40"/>
  <c r="N29" i="37"/>
  <c r="I26" i="56"/>
  <c r="I18" i="49"/>
  <c r="H32" i="49"/>
  <c r="I30" i="47"/>
  <c r="K30" i="47"/>
  <c r="E24" i="40"/>
  <c r="G24" i="40"/>
  <c r="M24" i="40"/>
  <c r="E22" i="40"/>
  <c r="I20" i="38"/>
  <c r="M20" i="38"/>
  <c r="G20" i="38"/>
  <c r="C20" i="48"/>
  <c r="G423" i="29"/>
  <c r="C20" i="47"/>
  <c r="H33" i="52"/>
  <c r="I19" i="39"/>
  <c r="E19" i="39"/>
  <c r="G16" i="49"/>
  <c r="G26" i="56"/>
  <c r="I25" i="44"/>
  <c r="K25" i="44"/>
  <c r="G25" i="44"/>
  <c r="E25" i="44"/>
  <c r="D31" i="41"/>
  <c r="H15" i="36"/>
  <c r="E29" i="46"/>
  <c r="K29" i="46"/>
  <c r="H32" i="46"/>
  <c r="G31" i="46"/>
  <c r="F32" i="44"/>
  <c r="G16" i="44"/>
  <c r="C19" i="38"/>
  <c r="J31" i="38"/>
  <c r="K16" i="38"/>
  <c r="C16" i="38"/>
  <c r="M21" i="38"/>
  <c r="E21" i="38"/>
  <c r="C22" i="38"/>
  <c r="E22" i="38"/>
  <c r="I27" i="48"/>
  <c r="G27" i="48"/>
  <c r="H56" i="29"/>
  <c r="G146" i="29"/>
  <c r="G1259" i="29"/>
  <c r="C31" i="47"/>
  <c r="E31" i="47"/>
  <c r="E30" i="39"/>
  <c r="G30" i="39"/>
  <c r="M30" i="39"/>
  <c r="M28" i="36"/>
  <c r="N28" i="36"/>
  <c r="C468" i="18"/>
  <c r="G1085" i="29"/>
  <c r="G955" i="29"/>
  <c r="C27" i="47"/>
  <c r="K27" i="47"/>
  <c r="G27" i="54"/>
  <c r="I27" i="54"/>
  <c r="G867" i="29"/>
  <c r="I866" i="29"/>
  <c r="G906" i="29"/>
  <c r="C26" i="54"/>
  <c r="M22" i="40"/>
  <c r="K23" i="49"/>
  <c r="G23" i="49"/>
  <c r="C22" i="44"/>
  <c r="K22" i="44"/>
  <c r="E16" i="49"/>
  <c r="I20" i="46"/>
  <c r="E20" i="46"/>
  <c r="E28" i="39"/>
  <c r="G28" i="39"/>
  <c r="G18" i="56"/>
  <c r="E18" i="55"/>
  <c r="F30" i="36"/>
  <c r="K33" i="50"/>
  <c r="H32" i="47"/>
  <c r="I16" i="47"/>
  <c r="H64" i="29"/>
  <c r="I31" i="29"/>
  <c r="I28" i="55"/>
  <c r="G1128" i="29"/>
  <c r="C17" i="53"/>
  <c r="G20" i="29"/>
  <c r="C20" i="18"/>
  <c r="I30" i="39"/>
  <c r="D32" i="44"/>
  <c r="G1171" i="29"/>
  <c r="I1174" i="29"/>
  <c r="M29" i="40"/>
  <c r="I30" i="55"/>
  <c r="K29" i="39"/>
  <c r="M29" i="39"/>
  <c r="E29" i="48"/>
  <c r="I28" i="39"/>
  <c r="G26" i="40"/>
  <c r="M26" i="40"/>
  <c r="C25" i="38"/>
  <c r="E25" i="38"/>
  <c r="I26" i="47"/>
  <c r="G26" i="47"/>
  <c r="K24" i="40"/>
  <c r="I24" i="40"/>
  <c r="G25" i="55"/>
  <c r="E25" i="55"/>
  <c r="I24" i="54"/>
  <c r="I23" i="39"/>
  <c r="G23" i="39"/>
  <c r="G632" i="29"/>
  <c r="H486" i="29"/>
  <c r="G21" i="47"/>
  <c r="E21" i="47"/>
  <c r="I21" i="56"/>
  <c r="G21" i="56"/>
  <c r="G520" i="29"/>
  <c r="C20" i="54"/>
  <c r="G450" i="29"/>
  <c r="G18" i="44"/>
  <c r="I18" i="44"/>
  <c r="E18" i="44"/>
  <c r="G18" i="55"/>
  <c r="H18" i="50"/>
  <c r="I31" i="49"/>
  <c r="H24" i="35"/>
  <c r="F31" i="40"/>
  <c r="G15" i="40"/>
  <c r="I16" i="40"/>
  <c r="G16" i="40"/>
  <c r="M16" i="40"/>
  <c r="C20" i="40"/>
  <c r="E20" i="40"/>
  <c r="G23" i="40"/>
  <c r="I33" i="52"/>
  <c r="I28" i="40"/>
  <c r="H1022" i="29"/>
  <c r="C26" i="42"/>
  <c r="E26" i="42"/>
  <c r="M25" i="36"/>
  <c r="N25" i="36"/>
  <c r="I22" i="39"/>
  <c r="M20" i="36"/>
  <c r="N20" i="36"/>
  <c r="E21" i="39"/>
  <c r="H566" i="29"/>
  <c r="G575" i="29"/>
  <c r="C22" i="47"/>
  <c r="E21" i="44"/>
  <c r="I21" i="44"/>
  <c r="G411" i="29"/>
  <c r="C18" i="48"/>
  <c r="G271" i="29"/>
  <c r="C18" i="47"/>
  <c r="G222" i="29"/>
  <c r="G226" i="29"/>
  <c r="I20" i="49"/>
  <c r="I28" i="56"/>
  <c r="G28" i="56"/>
  <c r="J30" i="35"/>
  <c r="J31" i="39"/>
  <c r="C16" i="39"/>
  <c r="I16" i="39"/>
  <c r="C17" i="39"/>
  <c r="G17" i="39"/>
  <c r="K19" i="39"/>
  <c r="H374" i="29"/>
  <c r="G373" i="29"/>
  <c r="C16" i="55"/>
  <c r="I16" i="55"/>
  <c r="H146" i="29"/>
  <c r="H150" i="29"/>
  <c r="K33" i="52"/>
  <c r="I33" i="50"/>
  <c r="F33" i="50"/>
  <c r="H32" i="48"/>
  <c r="J32" i="48"/>
  <c r="E18" i="45"/>
  <c r="G18" i="45"/>
  <c r="C20" i="52"/>
  <c r="G360" i="29"/>
  <c r="C20" i="50"/>
  <c r="K21" i="45"/>
  <c r="G21" i="45"/>
  <c r="G16" i="35"/>
  <c r="F30" i="35"/>
  <c r="D14" i="35"/>
  <c r="C27" i="39"/>
  <c r="M27" i="39"/>
  <c r="G31" i="56"/>
  <c r="G16" i="55"/>
  <c r="E19" i="55"/>
  <c r="F32" i="55"/>
  <c r="G17" i="54"/>
  <c r="H450" i="29"/>
  <c r="C20" i="55"/>
  <c r="H32" i="54"/>
  <c r="J33" i="50"/>
  <c r="I186" i="29"/>
  <c r="I262" i="29"/>
  <c r="H31" i="40"/>
  <c r="F31" i="39"/>
  <c r="C15" i="39"/>
  <c r="D31" i="39"/>
  <c r="C30" i="37"/>
  <c r="D15" i="37"/>
  <c r="E30" i="37"/>
  <c r="D25" i="37"/>
  <c r="G25" i="37"/>
  <c r="H29" i="37"/>
  <c r="I20" i="56"/>
  <c r="I25" i="56"/>
  <c r="F32" i="54"/>
  <c r="L33" i="53"/>
  <c r="I33" i="53"/>
  <c r="F32" i="49"/>
  <c r="J32" i="49"/>
  <c r="D32" i="46"/>
  <c r="J31" i="40"/>
  <c r="E20" i="56"/>
  <c r="D32" i="55"/>
  <c r="H22" i="36"/>
  <c r="D32" i="54"/>
  <c r="L33" i="52"/>
  <c r="G439" i="29"/>
  <c r="F32" i="46"/>
  <c r="G29" i="46"/>
  <c r="H1031" i="29"/>
  <c r="D28" i="48"/>
  <c r="L30" i="37"/>
  <c r="H21" i="37"/>
  <c r="H30" i="37"/>
  <c r="D23" i="37"/>
  <c r="G23" i="37"/>
  <c r="D32" i="56"/>
  <c r="G23" i="56"/>
  <c r="D14" i="36"/>
  <c r="D16" i="36"/>
  <c r="G16" i="36"/>
  <c r="E30" i="36"/>
  <c r="D33" i="52"/>
  <c r="G33" i="52"/>
  <c r="I23" i="40"/>
  <c r="H31" i="39"/>
  <c r="D16" i="37"/>
  <c r="G16" i="37"/>
  <c r="F32" i="56"/>
  <c r="E19" i="56"/>
  <c r="E31" i="56"/>
  <c r="H21" i="36"/>
  <c r="H23" i="36"/>
  <c r="G1160" i="29"/>
  <c r="C500" i="18"/>
  <c r="D25" i="48"/>
  <c r="E25" i="48"/>
  <c r="C25" i="45"/>
  <c r="I487" i="29"/>
  <c r="H43" i="29"/>
  <c r="G43" i="29"/>
  <c r="I26" i="46"/>
  <c r="D31" i="38"/>
  <c r="I1031" i="29"/>
  <c r="C28" i="49"/>
  <c r="C28" i="46"/>
  <c r="G780" i="29"/>
  <c r="C340" i="18"/>
  <c r="E999" i="29"/>
  <c r="E391" i="29"/>
  <c r="E1227" i="29"/>
  <c r="E695" i="29"/>
  <c r="E87" i="29"/>
  <c r="B551" i="29"/>
  <c r="B323" i="29"/>
  <c r="B95" i="29"/>
  <c r="B779" i="29"/>
  <c r="B703" i="29"/>
  <c r="B100" i="29"/>
  <c r="B248" i="29"/>
  <c r="B328" i="29"/>
  <c r="B476" i="29"/>
  <c r="B556" i="29"/>
  <c r="B784" i="29"/>
  <c r="B936" i="29"/>
  <c r="B1088" i="29"/>
  <c r="B1240" i="29"/>
  <c r="B176" i="29"/>
  <c r="B400" i="29"/>
  <c r="B628" i="29"/>
  <c r="B708" i="29"/>
  <c r="B860" i="29"/>
  <c r="B1012" i="29"/>
  <c r="D30" i="53"/>
  <c r="D33" i="53"/>
  <c r="M25" i="38"/>
  <c r="H26" i="50"/>
  <c r="G824" i="29"/>
  <c r="E23" i="45"/>
  <c r="E32" i="45"/>
  <c r="K23" i="45"/>
  <c r="G23" i="45"/>
  <c r="I23" i="45"/>
  <c r="C28" i="44"/>
  <c r="D28" i="47"/>
  <c r="G32" i="56"/>
  <c r="C28" i="54"/>
  <c r="I28" i="54"/>
  <c r="I106" i="29"/>
  <c r="I29" i="38"/>
  <c r="H182" i="29"/>
  <c r="M15" i="36"/>
  <c r="N15" i="36"/>
  <c r="G183" i="29"/>
  <c r="H186" i="29"/>
  <c r="G1058" i="29"/>
  <c r="I642" i="29"/>
  <c r="I638" i="29"/>
  <c r="M21" i="37"/>
  <c r="N21" i="37"/>
  <c r="I24" i="56"/>
  <c r="I32" i="56"/>
  <c r="C32" i="56"/>
  <c r="C30" i="54"/>
  <c r="E30" i="54"/>
  <c r="I110" i="29"/>
  <c r="M29" i="38"/>
  <c r="G31" i="29"/>
  <c r="G30" i="29"/>
  <c r="H338" i="29"/>
  <c r="G335" i="29"/>
  <c r="H334" i="29"/>
  <c r="M17" i="36"/>
  <c r="N17" i="36"/>
  <c r="G23" i="46"/>
  <c r="I23" i="46"/>
  <c r="E23" i="46"/>
  <c r="M26" i="36"/>
  <c r="N26" i="36"/>
  <c r="H1018" i="29"/>
  <c r="G1019" i="29"/>
  <c r="G58" i="29"/>
  <c r="G59" i="29"/>
  <c r="G803" i="29"/>
  <c r="C25" i="47"/>
  <c r="C25" i="49"/>
  <c r="G25" i="49"/>
  <c r="K23" i="46"/>
  <c r="C23" i="44"/>
  <c r="D23" i="47"/>
  <c r="G132" i="29"/>
  <c r="C17" i="50"/>
  <c r="I29" i="48"/>
  <c r="G29" i="48"/>
  <c r="C26" i="41"/>
  <c r="E26" i="41"/>
  <c r="C26" i="43"/>
  <c r="E26" i="43"/>
  <c r="M25" i="35"/>
  <c r="N25" i="35"/>
  <c r="G942" i="29"/>
  <c r="C33" i="52"/>
  <c r="M20" i="39"/>
  <c r="I20" i="39"/>
  <c r="E20" i="39"/>
  <c r="G20" i="39"/>
  <c r="K20" i="39"/>
  <c r="C29" i="52"/>
  <c r="G1044" i="29"/>
  <c r="C29" i="50"/>
  <c r="E32" i="56"/>
  <c r="E24" i="56"/>
  <c r="C23" i="48"/>
  <c r="G651" i="29"/>
  <c r="C23" i="47"/>
  <c r="C19" i="44"/>
  <c r="D19" i="47"/>
  <c r="E19" i="47"/>
  <c r="C17" i="43"/>
  <c r="E17" i="43"/>
  <c r="C17" i="41"/>
  <c r="E17" i="41"/>
  <c r="C17" i="42"/>
  <c r="E17" i="42"/>
  <c r="G258" i="29"/>
  <c r="M16" i="35"/>
  <c r="N16" i="35"/>
  <c r="G444" i="29"/>
  <c r="H21" i="50"/>
  <c r="H29" i="50"/>
  <c r="G1214" i="29"/>
  <c r="G56" i="29"/>
  <c r="H642" i="29"/>
  <c r="G107" i="29"/>
  <c r="G639" i="29"/>
  <c r="C22" i="43"/>
  <c r="E22" i="43"/>
  <c r="I27" i="38"/>
  <c r="I414" i="29"/>
  <c r="I410" i="29"/>
  <c r="M18" i="37"/>
  <c r="N18" i="37"/>
  <c r="D20" i="47"/>
  <c r="E20" i="47"/>
  <c r="C20" i="44"/>
  <c r="E17" i="54"/>
  <c r="I17" i="54"/>
  <c r="I19" i="47"/>
  <c r="G19" i="47"/>
  <c r="I714" i="29"/>
  <c r="M22" i="37"/>
  <c r="N22" i="37"/>
  <c r="I718" i="29"/>
  <c r="I19" i="46"/>
  <c r="E19" i="46"/>
  <c r="G19" i="46"/>
  <c r="H714" i="29"/>
  <c r="M22" i="36"/>
  <c r="N22" i="36"/>
  <c r="H718" i="29"/>
  <c r="G715" i="29"/>
  <c r="D29" i="50"/>
  <c r="D33" i="50"/>
  <c r="G1047" i="29"/>
  <c r="G791" i="29"/>
  <c r="H790" i="29"/>
  <c r="H794" i="29"/>
  <c r="M23" i="36"/>
  <c r="N23" i="36"/>
  <c r="G1247" i="29"/>
  <c r="H1250" i="29"/>
  <c r="H1246" i="29"/>
  <c r="M29" i="36"/>
  <c r="N29" i="36"/>
  <c r="E30" i="45"/>
  <c r="I30" i="45"/>
  <c r="K30" i="45"/>
  <c r="G30" i="45"/>
  <c r="E24" i="54"/>
  <c r="G24" i="54"/>
  <c r="G14" i="36"/>
  <c r="G30" i="36"/>
  <c r="D30" i="36"/>
  <c r="M24" i="35"/>
  <c r="N24" i="35"/>
  <c r="C25" i="42"/>
  <c r="E25" i="42"/>
  <c r="C25" i="41"/>
  <c r="E25" i="41"/>
  <c r="C25" i="43"/>
  <c r="E25" i="43"/>
  <c r="G870" i="29"/>
  <c r="G866" i="29"/>
  <c r="M19" i="38"/>
  <c r="I19" i="38"/>
  <c r="G19" i="38"/>
  <c r="E22" i="54"/>
  <c r="I22" i="54"/>
  <c r="G22" i="54"/>
  <c r="E15" i="39"/>
  <c r="G15" i="39"/>
  <c r="M15" i="39"/>
  <c r="C31" i="39"/>
  <c r="I15" i="39"/>
  <c r="I20" i="40"/>
  <c r="K20" i="40"/>
  <c r="G20" i="40"/>
  <c r="I26" i="54"/>
  <c r="G26" i="54"/>
  <c r="E26" i="54"/>
  <c r="E29" i="55"/>
  <c r="G29" i="55"/>
  <c r="C17" i="44"/>
  <c r="D17" i="47"/>
  <c r="C19" i="53"/>
  <c r="C33" i="53"/>
  <c r="G284" i="29"/>
  <c r="C19" i="50"/>
  <c r="I26" i="38"/>
  <c r="G26" i="38"/>
  <c r="E23" i="38"/>
  <c r="G23" i="38"/>
  <c r="M23" i="38"/>
  <c r="K18" i="38"/>
  <c r="M18" i="38"/>
  <c r="I18" i="38"/>
  <c r="E18" i="38"/>
  <c r="G682" i="29"/>
  <c r="C23" i="54"/>
  <c r="C32" i="54"/>
  <c r="G678" i="29"/>
  <c r="K23" i="38"/>
  <c r="E28" i="46"/>
  <c r="G28" i="46"/>
  <c r="K28" i="46"/>
  <c r="G15" i="37"/>
  <c r="G30" i="37"/>
  <c r="D30" i="37"/>
  <c r="E20" i="55"/>
  <c r="G20" i="55"/>
  <c r="D30" i="35"/>
  <c r="G14" i="35"/>
  <c r="G30" i="35"/>
  <c r="G22" i="47"/>
  <c r="I22" i="47"/>
  <c r="K22" i="47"/>
  <c r="I25" i="38"/>
  <c r="K25" i="38"/>
  <c r="C29" i="42"/>
  <c r="E29" i="42"/>
  <c r="C29" i="43"/>
  <c r="E29" i="43"/>
  <c r="C29" i="41"/>
  <c r="E29" i="41"/>
  <c r="G1170" i="29"/>
  <c r="M28" i="35"/>
  <c r="N28" i="35"/>
  <c r="G1174" i="29"/>
  <c r="E16" i="38"/>
  <c r="G16" i="38"/>
  <c r="M16" i="38"/>
  <c r="I16" i="38"/>
  <c r="G18" i="38"/>
  <c r="H30" i="36"/>
  <c r="I20" i="48"/>
  <c r="E20" i="48"/>
  <c r="K20" i="48"/>
  <c r="G20" i="48"/>
  <c r="E22" i="47"/>
  <c r="M23" i="40"/>
  <c r="K23" i="40"/>
  <c r="K15" i="40"/>
  <c r="I15" i="40"/>
  <c r="C31" i="40"/>
  <c r="E18" i="47"/>
  <c r="G24" i="47"/>
  <c r="I24" i="47"/>
  <c r="E24" i="47"/>
  <c r="G26" i="49"/>
  <c r="E26" i="49"/>
  <c r="M30" i="36"/>
  <c r="C15" i="43"/>
  <c r="C15" i="41"/>
  <c r="G106" i="29"/>
  <c r="C15" i="42"/>
  <c r="M14" i="35"/>
  <c r="C17" i="49"/>
  <c r="G195" i="29"/>
  <c r="C17" i="47"/>
  <c r="G642" i="29"/>
  <c r="K26" i="38"/>
  <c r="E23" i="55"/>
  <c r="G23" i="55"/>
  <c r="G32" i="55"/>
  <c r="I23" i="55"/>
  <c r="K30" i="38"/>
  <c r="E30" i="38"/>
  <c r="M30" i="38"/>
  <c r="G30" i="38"/>
  <c r="I29" i="55"/>
  <c r="I28" i="46"/>
  <c r="I30" i="38"/>
  <c r="E25" i="45"/>
  <c r="K25" i="45"/>
  <c r="K32" i="45"/>
  <c r="G25" i="45"/>
  <c r="C32" i="45"/>
  <c r="I25" i="45"/>
  <c r="I32" i="45"/>
  <c r="I27" i="39"/>
  <c r="K27" i="39"/>
  <c r="G27" i="39"/>
  <c r="K18" i="47"/>
  <c r="I18" i="47"/>
  <c r="G18" i="47"/>
  <c r="E20" i="54"/>
  <c r="G20" i="54"/>
  <c r="E17" i="46"/>
  <c r="E32" i="46"/>
  <c r="G17" i="46"/>
  <c r="I17" i="46"/>
  <c r="C32" i="46"/>
  <c r="H19" i="50"/>
  <c r="H33" i="50"/>
  <c r="G292" i="29"/>
  <c r="I74" i="29"/>
  <c r="I70" i="29"/>
  <c r="G69" i="29"/>
  <c r="I24" i="38"/>
  <c r="G24" i="38"/>
  <c r="E24" i="38"/>
  <c r="K17" i="38"/>
  <c r="M17" i="38"/>
  <c r="E17" i="38"/>
  <c r="G17" i="38"/>
  <c r="G34" i="29"/>
  <c r="E16" i="55"/>
  <c r="C32" i="55"/>
  <c r="K16" i="39"/>
  <c r="E16" i="39"/>
  <c r="G16" i="39"/>
  <c r="M16" i="39"/>
  <c r="E18" i="48"/>
  <c r="I18" i="48"/>
  <c r="G18" i="48"/>
  <c r="K18" i="48"/>
  <c r="I34" i="29"/>
  <c r="I30" i="29"/>
  <c r="I22" i="44"/>
  <c r="G22" i="44"/>
  <c r="E22" i="44"/>
  <c r="K31" i="47"/>
  <c r="G31" i="47"/>
  <c r="I31" i="47"/>
  <c r="K19" i="38"/>
  <c r="I20" i="47"/>
  <c r="K20" i="47"/>
  <c r="G20" i="47"/>
  <c r="K19" i="40"/>
  <c r="I19" i="40"/>
  <c r="E19" i="40"/>
  <c r="M19" i="40"/>
  <c r="E17" i="40"/>
  <c r="M17" i="40"/>
  <c r="G17" i="40"/>
  <c r="K24" i="38"/>
  <c r="G30" i="54"/>
  <c r="I30" i="54"/>
  <c r="D32" i="48"/>
  <c r="I28" i="49"/>
  <c r="I32" i="49"/>
  <c r="E28" i="49"/>
  <c r="I490" i="29"/>
  <c r="I486" i="29"/>
  <c r="M19" i="37"/>
  <c r="N19" i="37"/>
  <c r="G487" i="29"/>
  <c r="C28" i="48"/>
  <c r="E28" i="48"/>
  <c r="G1031" i="29"/>
  <c r="C28" i="47"/>
  <c r="E27" i="39"/>
  <c r="C19" i="54"/>
  <c r="G378" i="29"/>
  <c r="G374" i="29"/>
  <c r="I17" i="39"/>
  <c r="K17" i="39"/>
  <c r="M17" i="39"/>
  <c r="E17" i="39"/>
  <c r="K15" i="39"/>
  <c r="M18" i="35"/>
  <c r="N18" i="35"/>
  <c r="C19" i="41"/>
  <c r="E19" i="41"/>
  <c r="G414" i="29"/>
  <c r="C19" i="43"/>
  <c r="E19" i="43"/>
  <c r="C19" i="42"/>
  <c r="E19" i="42"/>
  <c r="G410" i="29"/>
  <c r="M20" i="40"/>
  <c r="K17" i="40"/>
  <c r="I23" i="38"/>
  <c r="K17" i="46"/>
  <c r="K32" i="46"/>
  <c r="I20" i="54"/>
  <c r="I27" i="47"/>
  <c r="G27" i="47"/>
  <c r="E27" i="47"/>
  <c r="I22" i="38"/>
  <c r="G22" i="38"/>
  <c r="M22" i="38"/>
  <c r="E19" i="38"/>
  <c r="G21" i="40"/>
  <c r="E21" i="40"/>
  <c r="M21" i="40"/>
  <c r="K21" i="40"/>
  <c r="E18" i="40"/>
  <c r="M18" i="40"/>
  <c r="K18" i="40"/>
  <c r="I18" i="40"/>
  <c r="H30" i="35"/>
  <c r="I21" i="54"/>
  <c r="G21" i="54"/>
  <c r="I24" i="48"/>
  <c r="E24" i="48"/>
  <c r="K24" i="48"/>
  <c r="G24" i="48"/>
  <c r="G16" i="54"/>
  <c r="E16" i="54"/>
  <c r="I16" i="54"/>
  <c r="C28" i="42"/>
  <c r="E28" i="42"/>
  <c r="G1098" i="29"/>
  <c r="C28" i="41"/>
  <c r="E28" i="41"/>
  <c r="C28" i="43"/>
  <c r="E28" i="43"/>
  <c r="M27" i="35"/>
  <c r="N27" i="35"/>
  <c r="G1094" i="29"/>
  <c r="G28" i="54"/>
  <c r="E28" i="54"/>
  <c r="I32" i="46"/>
  <c r="N14" i="37"/>
  <c r="E17" i="49"/>
  <c r="D32" i="49"/>
  <c r="I562" i="29"/>
  <c r="I566" i="29"/>
  <c r="G563" i="29"/>
  <c r="M20" i="37"/>
  <c r="N20" i="37"/>
  <c r="K27" i="38"/>
  <c r="G27" i="38"/>
  <c r="M27" i="38"/>
  <c r="G25" i="38"/>
  <c r="K15" i="38"/>
  <c r="G15" i="38"/>
  <c r="E15" i="38"/>
  <c r="I15" i="38"/>
  <c r="C31" i="38"/>
  <c r="K22" i="38"/>
  <c r="M31" i="40"/>
  <c r="C22" i="42"/>
  <c r="E22" i="42"/>
  <c r="G638" i="29"/>
  <c r="M31" i="38"/>
  <c r="M23" i="35"/>
  <c r="N23" i="35"/>
  <c r="C24" i="43"/>
  <c r="E24" i="43"/>
  <c r="G794" i="29"/>
  <c r="C24" i="41"/>
  <c r="E24" i="41"/>
  <c r="C24" i="42"/>
  <c r="E24" i="42"/>
  <c r="G790" i="29"/>
  <c r="I23" i="44"/>
  <c r="K23" i="44"/>
  <c r="E23" i="44"/>
  <c r="G23" i="44"/>
  <c r="E28" i="44"/>
  <c r="I28" i="44"/>
  <c r="K28" i="44"/>
  <c r="G28" i="44"/>
  <c r="E31" i="38"/>
  <c r="K31" i="39"/>
  <c r="G31" i="40"/>
  <c r="G32" i="45"/>
  <c r="M21" i="35"/>
  <c r="N21" i="35"/>
  <c r="G110" i="29"/>
  <c r="C33" i="50"/>
  <c r="G19" i="44"/>
  <c r="I19" i="44"/>
  <c r="E19" i="44"/>
  <c r="K19" i="44"/>
  <c r="M26" i="35"/>
  <c r="N26" i="35"/>
  <c r="G1018" i="29"/>
  <c r="C27" i="43"/>
  <c r="E27" i="43"/>
  <c r="G1022" i="29"/>
  <c r="C27" i="41"/>
  <c r="E27" i="41"/>
  <c r="C27" i="42"/>
  <c r="E27" i="42"/>
  <c r="E32" i="49"/>
  <c r="C30" i="41"/>
  <c r="E30" i="41"/>
  <c r="G1246" i="29"/>
  <c r="C30" i="42"/>
  <c r="E30" i="42"/>
  <c r="G1250" i="29"/>
  <c r="M29" i="35"/>
  <c r="N29" i="35"/>
  <c r="C30" i="43"/>
  <c r="E30" i="43"/>
  <c r="E23" i="47"/>
  <c r="G23" i="47"/>
  <c r="K23" i="47"/>
  <c r="I23" i="47"/>
  <c r="C18" i="43"/>
  <c r="E18" i="43"/>
  <c r="G334" i="29"/>
  <c r="M17" i="35"/>
  <c r="N17" i="35"/>
  <c r="C18" i="41"/>
  <c r="E18" i="41"/>
  <c r="G338" i="29"/>
  <c r="C18" i="42"/>
  <c r="E18" i="42"/>
  <c r="M15" i="35"/>
  <c r="N15" i="35"/>
  <c r="C16" i="43"/>
  <c r="E16" i="43"/>
  <c r="C16" i="42"/>
  <c r="E16" i="42"/>
  <c r="G182" i="29"/>
  <c r="G186" i="29"/>
  <c r="C16" i="41"/>
  <c r="E16" i="41"/>
  <c r="E31" i="40"/>
  <c r="E32" i="55"/>
  <c r="I32" i="55"/>
  <c r="C22" i="41"/>
  <c r="E22" i="41"/>
  <c r="C23" i="42"/>
  <c r="E23" i="42"/>
  <c r="M22" i="35"/>
  <c r="N22" i="35"/>
  <c r="G714" i="29"/>
  <c r="C23" i="43"/>
  <c r="E23" i="43"/>
  <c r="C23" i="41"/>
  <c r="E23" i="41"/>
  <c r="G718" i="29"/>
  <c r="G20" i="44"/>
  <c r="E20" i="44"/>
  <c r="K20" i="44"/>
  <c r="I20" i="44"/>
  <c r="G23" i="48"/>
  <c r="I23" i="48"/>
  <c r="E23" i="48"/>
  <c r="G25" i="47"/>
  <c r="E25" i="47"/>
  <c r="I25" i="47"/>
  <c r="E25" i="49"/>
  <c r="N30" i="36"/>
  <c r="E32" i="48"/>
  <c r="I17" i="47"/>
  <c r="G17" i="47"/>
  <c r="C32" i="47"/>
  <c r="K17" i="47"/>
  <c r="K32" i="47"/>
  <c r="E15" i="43"/>
  <c r="K31" i="40"/>
  <c r="I23" i="54"/>
  <c r="E23" i="54"/>
  <c r="G23" i="54"/>
  <c r="G31" i="39"/>
  <c r="G17" i="49"/>
  <c r="G32" i="49"/>
  <c r="K17" i="49"/>
  <c r="K32" i="49"/>
  <c r="C32" i="49"/>
  <c r="I31" i="39"/>
  <c r="E31" i="39"/>
  <c r="K31" i="38"/>
  <c r="M30" i="37"/>
  <c r="G28" i="47"/>
  <c r="I28" i="47"/>
  <c r="E28" i="47"/>
  <c r="C32" i="48"/>
  <c r="N14" i="35"/>
  <c r="E15" i="41"/>
  <c r="E17" i="47"/>
  <c r="D32" i="47"/>
  <c r="C20" i="42"/>
  <c r="E20" i="42"/>
  <c r="G490" i="29"/>
  <c r="C20" i="43"/>
  <c r="E20" i="43"/>
  <c r="C20" i="41"/>
  <c r="E20" i="41"/>
  <c r="G486" i="29"/>
  <c r="M19" i="35"/>
  <c r="N19" i="35"/>
  <c r="G70" i="29"/>
  <c r="G74" i="29"/>
  <c r="E15" i="42"/>
  <c r="G31" i="38"/>
  <c r="M20" i="35"/>
  <c r="N20" i="35"/>
  <c r="C21" i="42"/>
  <c r="E21" i="42"/>
  <c r="C21" i="43"/>
  <c r="E21" i="43"/>
  <c r="G566" i="29"/>
  <c r="G562" i="29"/>
  <c r="C21" i="41"/>
  <c r="E21" i="41"/>
  <c r="E32" i="54"/>
  <c r="I31" i="38"/>
  <c r="N30" i="37"/>
  <c r="G19" i="54"/>
  <c r="G32" i="54"/>
  <c r="I19" i="54"/>
  <c r="I32" i="54"/>
  <c r="E19" i="54"/>
  <c r="I28" i="48"/>
  <c r="G28" i="48"/>
  <c r="K32" i="48"/>
  <c r="G32" i="46"/>
  <c r="I31" i="40"/>
  <c r="E17" i="44"/>
  <c r="K17" i="44"/>
  <c r="K32" i="44"/>
  <c r="I17" i="44"/>
  <c r="C32" i="44"/>
  <c r="G17" i="44"/>
  <c r="M31" i="39"/>
  <c r="G32" i="44"/>
  <c r="G32" i="48"/>
  <c r="I32" i="48"/>
  <c r="G32" i="47"/>
  <c r="E32" i="44"/>
  <c r="I32" i="44"/>
  <c r="C31" i="41"/>
  <c r="C31" i="42"/>
  <c r="M30" i="35"/>
  <c r="C31" i="43"/>
  <c r="E31" i="42"/>
  <c r="E32" i="47"/>
  <c r="N30" i="35"/>
  <c r="E31" i="43"/>
  <c r="I32" i="47"/>
  <c r="E31" i="41"/>
</calcChain>
</file>

<file path=xl/comments1.xml><?xml version="1.0" encoding="utf-8"?>
<comments xmlns="http://schemas.openxmlformats.org/spreadsheetml/2006/main">
  <authors>
    <author>Andrzej Podgorski</author>
  </authors>
  <commentList>
    <comment ref="C20" authorId="0">
      <text>
        <r>
          <rPr>
            <b/>
            <sz val="16"/>
            <color indexed="81"/>
            <rFont val="Arial"/>
            <family val="2"/>
            <charset val="238"/>
          </rPr>
          <t>Andrzej Podgorski:</t>
        </r>
        <r>
          <rPr>
            <sz val="16"/>
            <color indexed="81"/>
            <rFont val="Arial"/>
            <family val="2"/>
            <charset val="238"/>
          </rPr>
          <t xml:space="preserve">
Dane z tej kolumny należy porównać z danymi w sprawozdaniu ubiegłorocznym, z tablicą 1-1, kolumna 11. </t>
        </r>
      </text>
    </comment>
  </commentList>
</comments>
</file>

<file path=xl/comments2.xml><?xml version="1.0" encoding="utf-8"?>
<comments xmlns="http://schemas.openxmlformats.org/spreadsheetml/2006/main">
  <authors>
    <author>Andrzej Podgorski</author>
  </authors>
  <commentList>
    <comment ref="G19" authorId="0">
      <text>
        <r>
          <rPr>
            <b/>
            <sz val="16"/>
            <color indexed="81"/>
            <rFont val="Arial"/>
            <family val="2"/>
            <charset val="238"/>
          </rPr>
          <t>Andrzej Podgorski:</t>
        </r>
        <r>
          <rPr>
            <sz val="16"/>
            <color indexed="81"/>
            <rFont val="Arial"/>
            <family val="2"/>
            <charset val="238"/>
          </rPr>
          <t xml:space="preserve">
Podane wartości należy sprawdzić z informacjami podanymi w ubiegłorocznym sprawozdaniu, w tablicy nr 3-1, kolumna nr 11. </t>
        </r>
      </text>
    </comment>
  </commentList>
</comments>
</file>

<file path=xl/sharedStrings.xml><?xml version="1.0" encoding="utf-8"?>
<sst xmlns="http://schemas.openxmlformats.org/spreadsheetml/2006/main" count="9543" uniqueCount="493">
  <si>
    <t>liczba</t>
  </si>
  <si>
    <t>miejsc</t>
  </si>
  <si>
    <t>LICZBA OSÓB</t>
  </si>
  <si>
    <t>O G Ó Ł E M</t>
  </si>
  <si>
    <t>LICZBA</t>
  </si>
  <si>
    <t>MIESZKAŃCÓW</t>
  </si>
  <si>
    <t xml:space="preserve">LICZBA </t>
  </si>
  <si>
    <t>OGÓŁEM</t>
  </si>
  <si>
    <t>OSÓB</t>
  </si>
  <si>
    <t>osób</t>
  </si>
  <si>
    <t>UMIESZCZONYCH</t>
  </si>
  <si>
    <t>OCZEKUJĄCYCH</t>
  </si>
  <si>
    <t>NA UMIESZCZENIE</t>
  </si>
  <si>
    <t>MIEJSC</t>
  </si>
  <si>
    <t>Tablica nr 2</t>
  </si>
  <si>
    <t>Tablica nr 7</t>
  </si>
  <si>
    <t>NA PEŁNE ETATY</t>
  </si>
  <si>
    <t>samorządów powiatowych</t>
  </si>
  <si>
    <t>podmiotów niepublicznych</t>
  </si>
  <si>
    <t>Część  85  -  Budżet  wojewody</t>
  </si>
  <si>
    <t>z tego w domach:</t>
  </si>
  <si>
    <t>WYSZCZEGÓLNIENIE</t>
  </si>
  <si>
    <t>SAMORZĄDÓW</t>
  </si>
  <si>
    <t>PODMIOTÓW</t>
  </si>
  <si>
    <t>(2+3)</t>
  </si>
  <si>
    <t>POWIATOWYCH</t>
  </si>
  <si>
    <t>NIEPUBLICZNYCH</t>
  </si>
  <si>
    <t xml:space="preserve">     z tego:</t>
  </si>
  <si>
    <t xml:space="preserve">     a) z adaptacji i remontów</t>
  </si>
  <si>
    <t xml:space="preserve">     b) z inwestycji</t>
  </si>
  <si>
    <t xml:space="preserve">     c) inne</t>
  </si>
  <si>
    <t xml:space="preserve">     a) z powodu rozgęszczenia </t>
  </si>
  <si>
    <t xml:space="preserve">     b) przekazania innym podmiotom</t>
  </si>
  <si>
    <t>4. RÓŻNICA (2 - 3)</t>
  </si>
  <si>
    <t xml:space="preserve">    z tego:</t>
  </si>
  <si>
    <r>
      <t xml:space="preserve">     (1 + 2 - 3 = 1 +</t>
    </r>
    <r>
      <rPr>
        <b/>
        <vertAlign val="superscript"/>
        <sz val="18"/>
        <rFont val="Arial CE"/>
        <family val="2"/>
        <charset val="238"/>
      </rPr>
      <t xml:space="preserve"> </t>
    </r>
    <r>
      <rPr>
        <b/>
        <sz val="18"/>
        <rFont val="Arial CE"/>
        <family val="2"/>
        <charset val="238"/>
      </rPr>
      <t>4)</t>
    </r>
    <r>
      <rPr>
        <b/>
        <vertAlign val="superscript"/>
        <sz val="18"/>
        <rFont val="Arial CE"/>
        <family val="2"/>
        <charset val="238"/>
      </rPr>
      <t xml:space="preserve"> </t>
    </r>
    <r>
      <rPr>
        <b/>
        <sz val="18"/>
        <rFont val="Arial CE"/>
        <family val="2"/>
        <charset val="238"/>
      </rPr>
      <t xml:space="preserve"> </t>
    </r>
  </si>
  <si>
    <t>OGÓŁEM  LICZBA  PONADGMINNYCH  DOMÓW  POMOCY  SPOŁECZNEJ,  MIEJSC  I  MIESZKAŃCÓW  WG  TYPÓW  DOMÓW,</t>
  </si>
  <si>
    <t xml:space="preserve">  z      t  e  g  o      d  o  m  y  :</t>
  </si>
  <si>
    <t xml:space="preserve"> T Y P Y    D O M Ó W</t>
  </si>
  <si>
    <t xml:space="preserve"> LICZBA  </t>
  </si>
  <si>
    <t xml:space="preserve"> LICZBA</t>
  </si>
  <si>
    <t>DOMÓW</t>
  </si>
  <si>
    <t>(4+7)</t>
  </si>
  <si>
    <t>(5+8)</t>
  </si>
  <si>
    <t>(6+9)</t>
  </si>
  <si>
    <t>mieszkańców</t>
  </si>
  <si>
    <t xml:space="preserve">  z tego dla:</t>
  </si>
  <si>
    <t xml:space="preserve">OGÓŁEM  MIESZKAŃCY  PONADGMINNYCH  DOMÓW  POMOCY  SPOŁECZNEJ  </t>
  </si>
  <si>
    <t>OGÓŁEM LICZBA</t>
  </si>
  <si>
    <t>z tego:</t>
  </si>
  <si>
    <t>w tym:</t>
  </si>
  <si>
    <t>X</t>
  </si>
  <si>
    <t xml:space="preserve"> - do 18 lat</t>
  </si>
  <si>
    <t xml:space="preserve"> - od 19 do 40 lat</t>
  </si>
  <si>
    <t xml:space="preserve"> - od 41 do 60 lat</t>
  </si>
  <si>
    <t xml:space="preserve"> - od 61 do 74 lat</t>
  </si>
  <si>
    <t xml:space="preserve"> - powyżej 74 lat</t>
  </si>
  <si>
    <t>TABLICA  NR  4</t>
  </si>
  <si>
    <t>TABLICA  NR  8</t>
  </si>
  <si>
    <t>LICZBA OSÓB ZATRUDNIONYCH</t>
  </si>
  <si>
    <t>OGÓŁEM  LICZBA  OSÓB  ZATRUDNIONYCH  W  PONADGMINNYCH  DOMACH  POM.  SPOŁ.</t>
  </si>
  <si>
    <t xml:space="preserve"> W ŚRODOWISKOWYCH DOMACH SAMOPOMOCY</t>
  </si>
  <si>
    <t>W  PODZIALE  NA  DOMY  SAMORZĄDÓW  POWIAT.  I  PODMIOTÓW  NIEPUBLICZNYCH</t>
  </si>
  <si>
    <t>WEDŁUG  FORM  ZATRUDNIENIA</t>
  </si>
  <si>
    <t>(2 + 3)</t>
  </si>
  <si>
    <t>OGÓŁEM  ZATRUDNIENI  (1+2)</t>
  </si>
  <si>
    <t>1) na podstawie umowy o pracę (a+b)</t>
  </si>
  <si>
    <t xml:space="preserve">    a) w pełnym wymiarze czasu pracy</t>
  </si>
  <si>
    <t xml:space="preserve">    b) w niepełnym wymiarze czasu pracy</t>
  </si>
  <si>
    <t>2) wg innych form</t>
  </si>
  <si>
    <t xml:space="preserve">     TABLICA NR 5</t>
  </si>
  <si>
    <t>TABLICA  NR  9</t>
  </si>
  <si>
    <t>OGÓŁEM  LICZBA OSÓB  ZATRUDNIONYCH  W  PONADGMINNYCH  DOMACH  POMOCY</t>
  </si>
  <si>
    <t>SPOŁECZNEJ  NA  PODSTAWIE  UMOWY  O  PRACĘ  W  PRZELICZENIU  NA  PEŁNE</t>
  </si>
  <si>
    <t xml:space="preserve">LICZBA  OSÓB  ZATRUDNIONYCH  W  ŚRODOWISKOWYCH  DOMACH  </t>
  </si>
  <si>
    <t>ETATY  WG  DZIAŁÓW  W  PODZIALE  NA  ZATRUDNIONYCH  W  DOMACH  SAMORZĄDÓW</t>
  </si>
  <si>
    <t>SAMOPOMOCY  NA  PODSTAWIE  UMOWY  O  PRACĘ  W  PRZELICZENIU</t>
  </si>
  <si>
    <t>OGÓŁEM ZATRUDNIENI</t>
  </si>
  <si>
    <t>SAMORZĄDÓW POWIAT.</t>
  </si>
  <si>
    <t>PODMIOTÓW NIEPUBL.</t>
  </si>
  <si>
    <t>PRACOWNICY</t>
  </si>
  <si>
    <t>W PRZELICZENIU</t>
  </si>
  <si>
    <t>na pełne</t>
  </si>
  <si>
    <t>(3+5)</t>
  </si>
  <si>
    <t>(4+6)</t>
  </si>
  <si>
    <t>etaty</t>
  </si>
  <si>
    <t>OGÓŁEM  (1+2+3+4+5)</t>
  </si>
  <si>
    <t>1) kierujący jednostkami organizacyjnymi</t>
  </si>
  <si>
    <t>2) działalności opiekuńczo-terapeutycznej</t>
  </si>
  <si>
    <t>3) działalności medyczno-rehabilitacyjnej</t>
  </si>
  <si>
    <t>4) działalności administracyjnej</t>
  </si>
  <si>
    <t>5) gospodarczy i obsługi</t>
  </si>
  <si>
    <t>UWAGA!    Etaty należy podać z dwoma miejscami po przecinku.</t>
  </si>
  <si>
    <t>TABLICA  NR  6</t>
  </si>
  <si>
    <t>OGÓŁEM  LICZBA  OSÓB  UMIESZCZONYCH  W  PONADGMINNYCH</t>
  </si>
  <si>
    <t>ORAZ  OCZEKUJĄCYCH  NA  UMIESZCZENIE</t>
  </si>
  <si>
    <t>W PONADGMIN. DPS-ach</t>
  </si>
  <si>
    <t>WG STANU NA DZIEŃ</t>
  </si>
  <si>
    <t xml:space="preserve">                TABLICA  NR  10</t>
  </si>
  <si>
    <t>MIESZKAŃ</t>
  </si>
  <si>
    <t>MIESZKAŃ-</t>
  </si>
  <si>
    <t>CÓW</t>
  </si>
  <si>
    <t>II. Liczba osób oczekujących na umieszczenie w mieszkaniach chronio-</t>
  </si>
  <si>
    <r>
      <t xml:space="preserve">III.Stopień zaspokojenia potrzeb:  </t>
    </r>
    <r>
      <rPr>
        <b/>
        <sz val="14"/>
        <rFont val="Arial CE"/>
        <family val="2"/>
        <charset val="238"/>
      </rPr>
      <t xml:space="preserve"> </t>
    </r>
    <r>
      <rPr>
        <b/>
        <u/>
        <sz val="12"/>
        <rFont val="Arial CE"/>
        <family val="2"/>
        <charset val="238"/>
      </rPr>
      <t>liczba osób umieszczonych    x     100</t>
    </r>
    <r>
      <rPr>
        <sz val="14"/>
        <rFont val="Arial CE"/>
        <family val="2"/>
        <charset val="238"/>
      </rPr>
      <t xml:space="preserve">      </t>
    </r>
  </si>
  <si>
    <t xml:space="preserve">                   TABLICA NR 1</t>
  </si>
  <si>
    <t>z tego  w  domach:</t>
  </si>
  <si>
    <t>LICZBA  MIEJSC</t>
  </si>
  <si>
    <t xml:space="preserve">6. PLANOWANE ZWIĘKSZENIE LICZBY </t>
  </si>
  <si>
    <t xml:space="preserve">    a) w I półroczu (1+2+3)</t>
  </si>
  <si>
    <t xml:space="preserve">         z tego:</t>
  </si>
  <si>
    <t xml:space="preserve">        1) z adaptacji i remontów</t>
  </si>
  <si>
    <t xml:space="preserve">        2) z inwestycji</t>
  </si>
  <si>
    <t xml:space="preserve">        3) inne</t>
  </si>
  <si>
    <t xml:space="preserve">    b) w II półroczu (1+2+3)</t>
  </si>
  <si>
    <t xml:space="preserve">                                                                     liczba osób umieszcz. + oczekujących </t>
  </si>
  <si>
    <t>w przelicz.</t>
  </si>
  <si>
    <t>Część  85  -  Budżety  wojewodów</t>
  </si>
  <si>
    <t>OSÓB PRZE-</t>
  </si>
  <si>
    <t>BYWAJĄCYCH</t>
  </si>
  <si>
    <t>II. Liczba osób oczekujących na umieszczenie w środowiskowych</t>
  </si>
  <si>
    <r>
      <t xml:space="preserve">III.Stopień zaspokojenia potrzeb:   </t>
    </r>
    <r>
      <rPr>
        <b/>
        <u/>
        <sz val="12"/>
        <rFont val="Arial CE"/>
        <family val="2"/>
        <charset val="238"/>
      </rPr>
      <t>liczba osób umieszczonych    x     100</t>
    </r>
    <r>
      <rPr>
        <b/>
        <sz val="14"/>
        <rFont val="Arial CE"/>
        <family val="2"/>
        <charset val="238"/>
      </rPr>
      <t xml:space="preserve">      </t>
    </r>
  </si>
  <si>
    <t xml:space="preserve">                                                                  liczba osób umieszcz. + oczekujących</t>
  </si>
  <si>
    <t>Rozdział  85202</t>
  </si>
  <si>
    <t>Sporządził:</t>
  </si>
  <si>
    <t>Imię i nazwisko ........................................................................</t>
  </si>
  <si>
    <t>Telefon .......................................................................................</t>
  </si>
  <si>
    <t>DYREKTOR</t>
  </si>
  <si>
    <t>......................................................</t>
  </si>
  <si>
    <t>Rozdział 85202</t>
  </si>
  <si>
    <t>Dział  852  -  Pomoc  społeczna</t>
  </si>
  <si>
    <t>...................................................</t>
  </si>
  <si>
    <t>Województwo</t>
  </si>
  <si>
    <t>Imię i nazwisko: .............................................</t>
  </si>
  <si>
    <t>..............................................................................</t>
  </si>
  <si>
    <t>Dział   852 - Pomoc  społeczna</t>
  </si>
  <si>
    <t>...............................................................................</t>
  </si>
  <si>
    <t xml:space="preserve">                               DYREKTOR</t>
  </si>
  <si>
    <t>tel.:                    .................................................</t>
  </si>
  <si>
    <t>...............................................</t>
  </si>
  <si>
    <t xml:space="preserve">                DYREKTOR</t>
  </si>
  <si>
    <t xml:space="preserve">         DYREKTOR</t>
  </si>
  <si>
    <t>..................................</t>
  </si>
  <si>
    <t>x</t>
  </si>
  <si>
    <t>Rozdział 85220</t>
  </si>
  <si>
    <t>Rozdział 85203</t>
  </si>
  <si>
    <t>......................................................................</t>
  </si>
  <si>
    <t>tel.:                    ............................................</t>
  </si>
  <si>
    <t xml:space="preserve">                         DYREKTOR</t>
  </si>
  <si>
    <t>otrzymujących wsparcie finansowe z pomocy społecznej</t>
  </si>
  <si>
    <t>przez członków rodziny</t>
  </si>
  <si>
    <t>Opłacających pobyt w pełnej odpłatności</t>
  </si>
  <si>
    <t>zasiłku stałego</t>
  </si>
  <si>
    <t>innych źródeł</t>
  </si>
  <si>
    <t>pełna odpłatność gminy</t>
  </si>
  <si>
    <t>Opłacających pobyt</t>
  </si>
  <si>
    <t>z tego głównie z:</t>
  </si>
  <si>
    <t>Zwolnieni z odpłatności</t>
  </si>
  <si>
    <t xml:space="preserve">Nie posiadających żadnych własnych dochodów, </t>
  </si>
  <si>
    <t>wg starych przepisów</t>
  </si>
  <si>
    <t>wg nowych przepisów</t>
  </si>
  <si>
    <t>do innych placówek</t>
  </si>
  <si>
    <t>do rodziny</t>
  </si>
  <si>
    <t>usamodzielnionych</t>
  </si>
  <si>
    <t>zmarło</t>
  </si>
  <si>
    <t>nie opuszczających łóżek</t>
  </si>
  <si>
    <t>01</t>
  </si>
  <si>
    <t>02</t>
  </si>
  <si>
    <t>03</t>
  </si>
  <si>
    <t>04</t>
  </si>
  <si>
    <t>05</t>
  </si>
  <si>
    <t>06</t>
  </si>
  <si>
    <t>07</t>
  </si>
  <si>
    <t>08</t>
  </si>
  <si>
    <t>09</t>
  </si>
  <si>
    <t>Z wiersza 10 przebywających na podstawie decyzji wydanej po 1 stycznia 2004 r.</t>
  </si>
  <si>
    <t>TABLICA  NR 3</t>
  </si>
  <si>
    <t xml:space="preserve">          W  PODZIALE  NA  MIESZKAŃCÓW  DOMÓW  POMOCY  SPOŁECZNEJ</t>
  </si>
  <si>
    <t>Z wiersza 26 opłacających pobyt (w.28+w.30+w.32+w.34)</t>
  </si>
  <si>
    <t>emerytury, renty, renty socjalnej</t>
  </si>
  <si>
    <t>(w.18+w.23)</t>
  </si>
  <si>
    <t>..........................................................................</t>
  </si>
  <si>
    <t>tel.:</t>
  </si>
  <si>
    <t>.........................................................................</t>
  </si>
  <si>
    <t>Z wiersza 10 w wieku:</t>
  </si>
  <si>
    <t>Z wiersza 10 przebywających na podstawie decyzji wydanej przed 1 stycznia 2004 r.</t>
  </si>
  <si>
    <t>Wnoszący opłatę za pobyt bez dopłaty gminy</t>
  </si>
  <si>
    <t>mieszkańca</t>
  </si>
  <si>
    <t>członków rodziny</t>
  </si>
  <si>
    <t>mieszkańca i członków rodziny</t>
  </si>
  <si>
    <t>Wnoszący opłatę za pobyt z dopłatą gminy</t>
  </si>
  <si>
    <t xml:space="preserve">w tym opłata wnoszona przez: </t>
  </si>
  <si>
    <t>w tym opłata wnoszona przez:</t>
  </si>
  <si>
    <t xml:space="preserve"> 1) osób w podeszłym wieku</t>
  </si>
  <si>
    <t xml:space="preserve"> O G Ó Ł E M    (1+2+3+4+5+6)  </t>
  </si>
  <si>
    <t>(w.01+w.02-w.05) lub (w.12 do w.16)</t>
  </si>
  <si>
    <t>POLSKA</t>
  </si>
  <si>
    <t>00</t>
  </si>
  <si>
    <t>10</t>
  </si>
  <si>
    <t>12</t>
  </si>
  <si>
    <t>14</t>
  </si>
  <si>
    <t>16</t>
  </si>
  <si>
    <t>18</t>
  </si>
  <si>
    <t>20</t>
  </si>
  <si>
    <t>22</t>
  </si>
  <si>
    <t>24</t>
  </si>
  <si>
    <t>26</t>
  </si>
  <si>
    <t>28</t>
  </si>
  <si>
    <t>30</t>
  </si>
  <si>
    <t>32</t>
  </si>
  <si>
    <t>Tablica 1-2</t>
  </si>
  <si>
    <t>Tablica 1-3</t>
  </si>
  <si>
    <t>Tablica 1-4</t>
  </si>
  <si>
    <t>Tablica 1-5</t>
  </si>
  <si>
    <t>Tablica 1-6</t>
  </si>
  <si>
    <t>Część 85 - Budżety wojewodów</t>
  </si>
  <si>
    <t xml:space="preserve">                                                                                                                                                                                                                                                               </t>
  </si>
  <si>
    <t>Dział 852 - Pomoc społeczna</t>
  </si>
  <si>
    <t>PONADGMINNE  DOMY  POMOCY  SPOŁECZNEJ  DLA  OSÓB  W  PODESZŁYM  WIEKU</t>
  </si>
  <si>
    <t xml:space="preserve">PONADGMINNE  DOMY  POMOCY  SPOŁECZNEJ  DLA  OSÓB  PRZEWLEKLE  SOMATYCZNIE  CHORYCH  </t>
  </si>
  <si>
    <t xml:space="preserve">PONADGMINNE  DOMY  POMOCY  SPOŁECZNEJ  DLA  OSÓB  PRZEWLEKLE  PSYCHICZNIE  CHORYCH  </t>
  </si>
  <si>
    <t xml:space="preserve">PONADGMINNE  DOMY  POMOCY  SPOŁ.  DLA  OSÓB  DOROSŁYCH  NIEPEŁNOSPRAWNYCH  INTELEKTUALNIE </t>
  </si>
  <si>
    <t>PONADGMINNE  DOMY  POMOCY  SPOŁ.  DLA  DZIECI  I  MŁODZIEŻY  NIEPEŁNOSPRAWN.  INTELEKTUALNIE</t>
  </si>
  <si>
    <t>PONADGMINNE  DOMY  POMOCY  SPOŁECZNEJ  DLA  OSÓB  NIEPEŁNOSPRAWNYCH  FIZYCZNIE</t>
  </si>
  <si>
    <t>OGÓŁEM  PONADGMINNE  DOMY  POMOCY  SPOŁECZNEJ</t>
  </si>
  <si>
    <t>W  PODZIALE  NA  DOMY  SAMORZĄDÓW  POWIATOWYCH  I  PODMIOTÓW  NIEPUBLICZNYCH</t>
  </si>
  <si>
    <t xml:space="preserve">  z      t  e  g  o      d o m y  :</t>
  </si>
  <si>
    <t>LP</t>
  </si>
  <si>
    <t xml:space="preserve">WOJEWÓDZTWO </t>
  </si>
  <si>
    <t xml:space="preserve"> WOJEWÓDZTWO </t>
  </si>
  <si>
    <t xml:space="preserve">LICZBA MIEJSC </t>
  </si>
  <si>
    <t xml:space="preserve"> LICZBA MIESZKAŃCÓW </t>
  </si>
  <si>
    <t xml:space="preserve">liczba domów </t>
  </si>
  <si>
    <t xml:space="preserve">liczba miejsc </t>
  </si>
  <si>
    <t xml:space="preserve"> liczba mieszkańców </t>
  </si>
  <si>
    <t>liczba miejsc</t>
  </si>
  <si>
    <t xml:space="preserve">LICZBA MIESZKAŃCÓW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</si>
  <si>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</si>
  <si>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</si>
  <si>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</si>
  <si>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</si>
  <si>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</si>
  <si>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</si>
  <si>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</si>
  <si>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</si>
  <si>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</si>
  <si>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</si>
  <si>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</si>
  <si>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</si>
  <si>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</si>
  <si>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</si>
  <si>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</si>
  <si>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</si>
  <si>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P  O  L  S  K  A :</t>
  </si>
  <si>
    <t>Tablica 2-1</t>
  </si>
  <si>
    <t>ŚRODOWISKOWE  DOMY  SAMOPOMOCY  (rozdz. 85203)</t>
  </si>
  <si>
    <t>I  MIESZKANIA  CHRONIONE  (rozdział 85220)</t>
  </si>
  <si>
    <t>WOJEWÓDZTWO</t>
  </si>
  <si>
    <t>Środowiskowe domy samopomocy</t>
  </si>
  <si>
    <t>Mieszkania chronione</t>
  </si>
  <si>
    <t xml:space="preserve"> liczba osób przebywających</t>
  </si>
  <si>
    <t>liczba mieszkań</t>
  </si>
  <si>
    <t>DZIEŃ</t>
  </si>
  <si>
    <t>STAN NA</t>
  </si>
  <si>
    <t>BILANS LICZBY MIEJSC W PONADGMINNYCH DOMACH POMOCY SPOŁECZNEJ</t>
  </si>
  <si>
    <t>OGÓŁEM
(3+4+5)</t>
  </si>
  <si>
    <t>z adaptacji i remontów</t>
  </si>
  <si>
    <t>z inwestycji</t>
  </si>
  <si>
    <t>inne</t>
  </si>
  <si>
    <t>OGÓŁEM
(7+8+9)</t>
  </si>
  <si>
    <t>z powodu
rozgęszczenia</t>
  </si>
  <si>
    <t>przekaz. in.
podmiotom</t>
  </si>
  <si>
    <t>Różnica 
(2-6)</t>
  </si>
  <si>
    <t>SAMORZĄDY POWIATOWE</t>
  </si>
  <si>
    <t>PODMIOTY NIEPUBLICZNE</t>
  </si>
  <si>
    <t>PLANOWANIE ZWIĘKSZENIE LICZBY MIEJSC W PONADGMINNYCH DOMACH POMOCY SPOŁECZNEJ</t>
  </si>
  <si>
    <t>I PÓŁROCZE</t>
  </si>
  <si>
    <t>II PÓŁROCZE</t>
  </si>
  <si>
    <t>(2+6)</t>
  </si>
  <si>
    <t>SAMORZĄDÓW POWIATOWYCH</t>
  </si>
  <si>
    <t>PODMIOTÓW NIEPUBLICZNYCH</t>
  </si>
  <si>
    <t>Tablica 3-1</t>
  </si>
  <si>
    <t>LICZBA MIESZKAŃCÓW</t>
  </si>
  <si>
    <t>ogółem</t>
  </si>
  <si>
    <t>WSKAŹNIK 
UMIERALNOŚCI</t>
  </si>
  <si>
    <t>usamodziel-
nionych</t>
  </si>
  <si>
    <t>OGÓŁEM LICZBA MIESZKAŃCÓW W DOMACH POMOCY SPOŁECZNEJ SAMORZĄDÓW POWIATOWYCH</t>
  </si>
  <si>
    <t>Tablica 3-3</t>
  </si>
  <si>
    <t>Tablica 3-2</t>
  </si>
  <si>
    <t>Tablica 3-4</t>
  </si>
  <si>
    <t>w wieku:</t>
  </si>
  <si>
    <t>do 18 lat</t>
  </si>
  <si>
    <t>od 19 do 40 lat</t>
  </si>
  <si>
    <t>od 41 do 60 lat</t>
  </si>
  <si>
    <t>od 61 do 74 lat</t>
  </si>
  <si>
    <t>% w
ogółem</t>
  </si>
  <si>
    <t>Tablica 3-5</t>
  </si>
  <si>
    <t>Tablica 3-6</t>
  </si>
  <si>
    <t>OGÓŁEM
LICZBA
MIESZKAŃCÓW</t>
  </si>
  <si>
    <t>w tym 
nie opuszczających łóżek</t>
  </si>
  <si>
    <t>Tablica 3-7</t>
  </si>
  <si>
    <t>OGÓŁEM LICZBA MIESZKAŃCÓW NIE OPUSZCZAJĄCYCH ŁÓŻEK</t>
  </si>
  <si>
    <t>Tablica 3-8</t>
  </si>
  <si>
    <t>W DOMACH POMOCY SPOŁECZNEJ SAMORZĄDÓW POWIATOWYCH</t>
  </si>
  <si>
    <t>Tablica 3-9</t>
  </si>
  <si>
    <t>Tablica 3-10</t>
  </si>
  <si>
    <t>OPŁACAJĄCYCH POBYT NA PODSTAWIE DECYZJI WYDANEJ PRZED 1 stycznia 2004r.</t>
  </si>
  <si>
    <t>Tablica 3-11</t>
  </si>
  <si>
    <t>LICZBA MIESZKAŃCÓW W DOMACH POMOCY SPOŁECZNEJ SAMORZĄDÓW POWIATOWYCH</t>
  </si>
  <si>
    <t>Tablica 3-12</t>
  </si>
  <si>
    <t>Tablica 3-13</t>
  </si>
  <si>
    <t>w tym z kolumny 1:</t>
  </si>
  <si>
    <t>opłacający pobyt</t>
  </si>
  <si>
    <t>zwolnieni 
z odpłatności</t>
  </si>
  <si>
    <t>opłacający pobyt 
w pełnej odpłatności</t>
  </si>
  <si>
    <t>bez własnych dochodów, otrzym. wsparcie finans. z pomocy społ.</t>
  </si>
  <si>
    <t>Tablica 3-14</t>
  </si>
  <si>
    <t>Tablica 3-15</t>
  </si>
  <si>
    <t>w tym z kolumny 2:</t>
  </si>
  <si>
    <t>w tym z kolumny 3:</t>
  </si>
  <si>
    <t>Tablica 3-16</t>
  </si>
  <si>
    <t>wiersz 26</t>
  </si>
  <si>
    <t>PRZEBYWAJĄCYCH NA PODSTAWIE DECYZJI WYDANEJ PRZED 1 stycznia 2004r.</t>
  </si>
  <si>
    <t>PRZEBYWAJĄCYCH NA PODSTAWIE DECYZJI WYDANEJ PO 1 stycznia 2004r.</t>
  </si>
  <si>
    <t>wnoszący opłatę za pobyt bez dopłaty gminy</t>
  </si>
  <si>
    <t>wnoszący opłatę za pobyt z dopłatą gminy</t>
  </si>
  <si>
    <t>w tym opłata wnoszona przez</t>
  </si>
  <si>
    <t>mieszkańca 
i członków rodziny</t>
  </si>
  <si>
    <t>Tablica 3-17</t>
  </si>
  <si>
    <t>Tablica 3-18</t>
  </si>
  <si>
    <t>Tablica 3-19</t>
  </si>
  <si>
    <t>OPŁACAJĄCYCH POBYT NA PODSTAWIE DECYZJI WYDANEJ PO 1 stycznia 2004r.</t>
  </si>
  <si>
    <t>Tablica 3-20</t>
  </si>
  <si>
    <t>Tablica 3-21</t>
  </si>
  <si>
    <t>Tablica 4-1</t>
  </si>
  <si>
    <t>OGÓŁEM 
(2+8)</t>
  </si>
  <si>
    <t>na podstawie umowy o prace w wymiarze czasu pracy</t>
  </si>
  <si>
    <t>razem
(4+6)</t>
  </si>
  <si>
    <t>% w ogółem</t>
  </si>
  <si>
    <t>pełnym</t>
  </si>
  <si>
    <t>niepełnym</t>
  </si>
  <si>
    <t>wg innych form</t>
  </si>
  <si>
    <t>Tablica 4-2</t>
  </si>
  <si>
    <t>Tablica 4-3</t>
  </si>
  <si>
    <t>Tablica 5-1</t>
  </si>
  <si>
    <t>OGÓŁEM
liczba
osób</t>
  </si>
  <si>
    <t>kierujący jednostkami organizacyjnymi</t>
  </si>
  <si>
    <t>działalności opiekuńczo-terapeutycznej</t>
  </si>
  <si>
    <t>działalności medyczno-rehabilitacyjnej</t>
  </si>
  <si>
    <t>działalności administracyjnej</t>
  </si>
  <si>
    <t>gospodarczy 
i obsługi</t>
  </si>
  <si>
    <t>Tablica 5-2</t>
  </si>
  <si>
    <t>Tablica 5-3</t>
  </si>
  <si>
    <t>Tablica 5-4</t>
  </si>
  <si>
    <t>Tablica 5-5</t>
  </si>
  <si>
    <t>Tablica 5-6</t>
  </si>
  <si>
    <t>Tablica 6-1</t>
  </si>
  <si>
    <t>LICZBA OSÓB UMIESZCZONYCH W PONADGMINNYCH DOMACH POMOCY SPOŁECZNEJ OGÓŁEM</t>
  </si>
  <si>
    <t>z tego w domach dla:</t>
  </si>
  <si>
    <t>OGÓŁEM
(2+3+4+5+6+7+8)</t>
  </si>
  <si>
    <t>osób 
w podeszłym wieku</t>
  </si>
  <si>
    <t>osób przewl. somatycznie chorych</t>
  </si>
  <si>
    <t>osób przewl. psychicznie chorych</t>
  </si>
  <si>
    <t>dorosłych niepełnospr. intelektualnie</t>
  </si>
  <si>
    <t>dzieci i młodzieży niepełnospr. intelektualnie</t>
  </si>
  <si>
    <t>dorosłych niepełnospr. fizycznie</t>
  </si>
  <si>
    <t>Tablica 6-2</t>
  </si>
  <si>
    <t>LICZBA OSÓB OCZEKUJĄCYCH NA UMIESZCZENIE W PONADGMINNYCH DOMACH POMOCY SPOŁECZNEJ</t>
  </si>
  <si>
    <t>PROCENTOWY WSKAŹNIK ZASPOKOJENIA POTRZEB</t>
  </si>
  <si>
    <t>liczba domów</t>
  </si>
  <si>
    <t>liczba osób przebywają
-cych</t>
  </si>
  <si>
    <t>Tablica 7-1</t>
  </si>
  <si>
    <t>Tablica 7-2</t>
  </si>
  <si>
    <t>%-owy WSKAŹNIK ZASPOKOJENIA POTRZEB</t>
  </si>
  <si>
    <t>liczba osób przebywają-
cych</t>
  </si>
  <si>
    <t>Tablica 8-1</t>
  </si>
  <si>
    <t>OGÓŁEM
(2+8)</t>
  </si>
  <si>
    <t>na podst. umowy o pracę w wymiarze czasu pracy</t>
  </si>
  <si>
    <t>'% w ogółem</t>
  </si>
  <si>
    <t>LICZBA OSÓB ZATRUDNIONYCH W ŚRODOWISKOWYCH DOMACH SAMOPOMOCY</t>
  </si>
  <si>
    <t>WEDŁUG FORM ZATRUDNIENIA ORAZ STRUKTURA ZATRUDNIENIA</t>
  </si>
  <si>
    <t>Tablica 9-1</t>
  </si>
  <si>
    <t>NA PODSTAWIE UMOWY O PRACĘ WEDŁUG DZIAŁÓW WRAZ ZE STRUTURĄ ZATRUDNIENIA</t>
  </si>
  <si>
    <t>OGÓŁEM
LICZBA
OSÓB</t>
  </si>
  <si>
    <t>kirujący jednostkami organizacyjnymi</t>
  </si>
  <si>
    <t>działalności opiekuńczo-
-terapeutycznej</t>
  </si>
  <si>
    <t>działalności medyczno-
-rehabilitacyjnej</t>
  </si>
  <si>
    <t>Tablica 9-2</t>
  </si>
  <si>
    <t xml:space="preserve">NA PODSTAWIE UMOWY O PRACĘ W PRZELICZENIU NA PEŁNE ETATY WEDŁUG DZIAŁÓW </t>
  </si>
  <si>
    <t>Tablica 10-1</t>
  </si>
  <si>
    <t>liczba mieszkańców</t>
  </si>
  <si>
    <t>Tablica 10-2</t>
  </si>
  <si>
    <t>WSKAŹNIK ZASPOKOJENIA POTRZEB</t>
  </si>
  <si>
    <t>liczba 
mieszkań</t>
  </si>
  <si>
    <t>liczba 
miejsc</t>
  </si>
  <si>
    <t>Tablica 6-3</t>
  </si>
  <si>
    <t>PROCENTOWY WSKAŹNIK ZASPOKOJENIA POTRZEB OSÓB OCZEKUJĄCYCH</t>
  </si>
  <si>
    <t>NA UMIESZCZENIE W PONADGMINNYCH DOMACH POMOCY SPOŁECZNEJ</t>
  </si>
  <si>
    <t>Tablica 1-1</t>
  </si>
  <si>
    <t>Tablica nr 11</t>
  </si>
  <si>
    <t>OGÓŁEM  LICZBA  PLACÓWEK CAŁODOBOWEJ OPIEKI,  MIEJSC  I  MIESZKAŃCÓW,</t>
  </si>
  <si>
    <t xml:space="preserve">W  PODZIALE  NA  PLACÓWKI PROWADZONE W RAMACH DZIAŁALNOŚCI STATUTOWEJ I GOSPODARCZEJ, </t>
  </si>
  <si>
    <t>z  t e g o   p l a c ó w k i  p r o w a d z o n e  w  r a m a c h   d z i a ł a l n o ś c i:</t>
  </si>
  <si>
    <t xml:space="preserve">P R Z E Z N A C Z E N I E </t>
  </si>
  <si>
    <t>statutowej</t>
  </si>
  <si>
    <t>gospodarczej</t>
  </si>
  <si>
    <t>(art. 67 i 69 ust. o pom. społ.)</t>
  </si>
  <si>
    <t>PLACÓWEK</t>
  </si>
  <si>
    <t>placówek</t>
  </si>
  <si>
    <t xml:space="preserve"> 2) osób przewlekle chorych</t>
  </si>
  <si>
    <t xml:space="preserve"> 3) osób niepełnosprawnych </t>
  </si>
  <si>
    <t xml:space="preserve"> 4) innych osób niż w.wymienione. </t>
  </si>
  <si>
    <t>tel., e-mail:         .............................................</t>
  </si>
  <si>
    <t>STOP</t>
  </si>
  <si>
    <t>Tablica 11-1</t>
  </si>
  <si>
    <t>Tablica 2-2</t>
  </si>
  <si>
    <t>Tablica 2-3</t>
  </si>
  <si>
    <t>Tablica 2-4</t>
  </si>
  <si>
    <t>Tablica 2-5</t>
  </si>
  <si>
    <t>Tablica 2-6</t>
  </si>
  <si>
    <t>Tablica 2-7</t>
  </si>
  <si>
    <t>Tablica 11-3</t>
  </si>
  <si>
    <t>Tablica 11-4</t>
  </si>
  <si>
    <t>Tablica 11-2</t>
  </si>
  <si>
    <t>Termin: 29 luty 2008 r.</t>
  </si>
  <si>
    <t xml:space="preserve"> 1) osoby w podeszłym wieku </t>
  </si>
  <si>
    <t xml:space="preserve"> 2) osoby przewlekle somatycznie chore</t>
  </si>
  <si>
    <t xml:space="preserve"> 3) osoby przewlekle psychicznie chore</t>
  </si>
  <si>
    <t xml:space="preserve"> 4) osoby dorosłe niepełnosprawne intelektualnie </t>
  </si>
  <si>
    <t xml:space="preserve"> 5) dzieci i młodzież niepełnosprawn. intelektualnie </t>
  </si>
  <si>
    <t xml:space="preserve"> 6) osoby niepełnosprawne fizycznie</t>
  </si>
  <si>
    <t>O S O B Y</t>
  </si>
  <si>
    <t xml:space="preserve"> O G Ó Ł E M  
(w. 2+3+4+5+6+7+8+9+10+11)</t>
  </si>
  <si>
    <t xml:space="preserve"> 1)  dla osób w podeszłym wieku</t>
  </si>
  <si>
    <t xml:space="preserve"> 2)  osób przewlekle somatycznie chorych</t>
  </si>
  <si>
    <t xml:space="preserve"> 3)  osób przewlekle psychicznie chorych</t>
  </si>
  <si>
    <t xml:space="preserve"> 4)  dorosłych niepełnosprawnych intelektualnie</t>
  </si>
  <si>
    <t xml:space="preserve"> 5)  dzieci i młodzieży niepełnosprawnych intelektualnie</t>
  </si>
  <si>
    <t xml:space="preserve"> 6)  osób niepełnosprawnych fizycznie</t>
  </si>
  <si>
    <t xml:space="preserve"> 7)  osób w podeszłym wieku oraz osób przewlekle
      somatycznie chorych</t>
  </si>
  <si>
    <t xml:space="preserve"> 8)  osób przewlekle somatycznie chorych oraz osób
      niepełnosprawnych fizycznie</t>
  </si>
  <si>
    <t xml:space="preserve"> 9)  osób w podeszłym wieku oraz osób
      niepełnosprawnych fizycznie</t>
  </si>
  <si>
    <t xml:space="preserve"> 10) osób dorosłych niepełnosprawnych intelektualnie
       oraz dzieci i młodzieży niepełnosprawnych
       intelektualnie</t>
  </si>
  <si>
    <t>...........................................................................………</t>
  </si>
  <si>
    <t>Tablica 2-8</t>
  </si>
  <si>
    <t>Tablica 2-9</t>
  </si>
  <si>
    <t>Tablica 2-10</t>
  </si>
  <si>
    <t>Tablica 2-11</t>
  </si>
  <si>
    <t>Tu nie wpisywać danych.</t>
  </si>
  <si>
    <t xml:space="preserve">PONADGMINNE  DOMY  POMOCY  SPOŁECZNEJ  </t>
  </si>
  <si>
    <t>DLA OSÓB W PODESZŁYM WIEKU ORAZ OSÓB PRZEWLEKLE SOMATYCZNIE CHORYCH</t>
  </si>
  <si>
    <t>DLA OSÓB PRZEWLEKLE SOMATYCZNIE CHORYCH ORAZ OSÓB NIEPEŁNOSPRAWNYCH FIZYCZNIE</t>
  </si>
  <si>
    <t>DLA OSÓB W PODESZŁYM WIEKU ORAZ OSÓB NIEPEŁNOSPRAWNYCH FIZYCZNIE</t>
  </si>
  <si>
    <t>DLA OSÓB DOROSŁYCH NIEPEŁNOSPRAWNYCH INTELEKTUALNIE ORAZ DZIECI I MŁODZIEŻY NIEPEŁNOSPRAWNYCH INTELEKTUALNIE</t>
  </si>
  <si>
    <r>
      <t xml:space="preserve"> O G Ó Ł E M  </t>
    </r>
    <r>
      <rPr>
        <sz val="12"/>
        <rFont val="Arial CE"/>
        <charset val="238"/>
      </rPr>
      <t>(dla liczby mieszkańców i miejsc)</t>
    </r>
    <r>
      <rPr>
        <sz val="18"/>
        <rFont val="Arial CE"/>
        <charset val="238"/>
      </rPr>
      <t xml:space="preserve">
(w. 2+3+4+5+6+7+8+9+10+11)</t>
    </r>
  </si>
  <si>
    <t>RZECZYWISTA 
LICZBA 
DOMÓW</t>
  </si>
  <si>
    <t>LICZBA 
MIEJSC</t>
  </si>
  <si>
    <t>rzeczywista liczba domów</t>
  </si>
  <si>
    <t>liczba 
mieszkańców</t>
  </si>
  <si>
    <t>TABLICA  NR  10</t>
  </si>
  <si>
    <t>(k5+9)</t>
  </si>
  <si>
    <t>domy zarejestrowane</t>
  </si>
  <si>
    <t>(k6+10)</t>
  </si>
  <si>
    <t>(k7+11)</t>
  </si>
  <si>
    <t>(k8+12)</t>
  </si>
  <si>
    <t xml:space="preserve">domy zarejestro-
wane </t>
  </si>
  <si>
    <t>LICZBA MIESZKAŃCÓW WEDŁUG WIEKU W DOMACH POMOCY SPOŁECZNEJ SAMORZĄDÓW POWIATOWYCH</t>
  </si>
  <si>
    <t>powyżej 74 lat</t>
  </si>
  <si>
    <t>Tablica 11-5</t>
  </si>
  <si>
    <t xml:space="preserve"> O G Ó Ł E M (dla liczby mieszkańców i miejsc)
(w. 2+3+4+5+6+7+8+9+10+11)</t>
  </si>
  <si>
    <t xml:space="preserve"> z tego dla:</t>
  </si>
  <si>
    <t xml:space="preserve"> 1) dla osób w podeszłym wieku</t>
  </si>
  <si>
    <t xml:space="preserve"> 2) osób przewlekle somatycznie chorych</t>
  </si>
  <si>
    <t xml:space="preserve"> 3) osób przewlekle psychicznie chorych</t>
  </si>
  <si>
    <t xml:space="preserve"> 4) dorosłych niepełnosprawnych intelektualnie</t>
  </si>
  <si>
    <t xml:space="preserve"> 5) dzieci i młodzieży niepełnosprawnych intelektualnie</t>
  </si>
  <si>
    <t xml:space="preserve"> 6) osób niepełnosprawnych fizycznie</t>
  </si>
  <si>
    <t xml:space="preserve"> T Y P Y D O M Ó W</t>
  </si>
  <si>
    <t xml:space="preserve"> z t e g o d o m y :</t>
  </si>
  <si>
    <t xml:space="preserve"> 7) osób w podeszłym wieku oraz osób przewlekle
 somatycznie chorych</t>
  </si>
  <si>
    <t xml:space="preserve"> 8) osób przewlekle somatycznie chorych oraz osób
 niepełnosprawnych fizycznie</t>
  </si>
  <si>
    <t xml:space="preserve"> 9) osób w podeszłym wieku oraz osób
 niepełnosprawnych fizycznie</t>
  </si>
  <si>
    <t xml:space="preserve"> 10) osób dorosłych niepełnosprawnych intelektualnie
 oraz dzieci i młodzieży niepełnosprawnych
 intelektualnie</t>
  </si>
  <si>
    <t>OGÓŁEM LICZBA GMINNYCH ORAZ PONADGMINNYCH DOMÓW POMOCY SPOŁECZNEJ, MIEJSC I MIESZKAŃCÓW WG TYPÓW DOMÓW,</t>
  </si>
  <si>
    <t>Tablica nr 2 - Sumaryczna</t>
  </si>
  <si>
    <t>samorządów</t>
  </si>
  <si>
    <t>LICZBA OSÓB ZATRUDNIONYCH W PONADGMINNYCH DOMACH POMOCY SPOŁECZNEJ</t>
  </si>
  <si>
    <t>OGÓŁEM LICZBA MIESZKAŃCÓW W PONADGMINNYCH DOMACH POMOCY SPOŁECZNEJ</t>
  </si>
  <si>
    <t>OGÓŁEM LICZBA MIESZKAŃCÓW W PONADGMINNYCH DOMACH POMOCY SPOŁECZNEJ PODMIOTÓW NIEPUBLICZNYCH</t>
  </si>
  <si>
    <t>OGÓŁEM LICZBA MIESZKAŃCÓW WEDŁUG WIEKU W PONADGMINNYCH DOMACH POMOCY SPOŁECZNEJ</t>
  </si>
  <si>
    <t>LICZBA MIESZKAŃCÓW WEDŁUG WIEKU W PONADGMINNYCH DOMACH POMOCY SPOŁECZNEJ PODMIOTÓW NIEPUBLICZNYCH</t>
  </si>
  <si>
    <t>W PONADGMINNYCH DOMACH POMOCY SPOŁECZNEJ</t>
  </si>
  <si>
    <t>W PONADGMINNYCH DOMACH POMOCY SPOŁECZNEJ PODMIOTÓW NIEPUBLICZNYCH</t>
  </si>
  <si>
    <t>LICZBA MIESZKAŃCÓW W PONADGMINNYCH DOMACH POMOCY SPOŁECZNEJ PODMIOTÓW NIEPUBLICZNYCH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</si>
</sst>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
    <numFmt numFmtId="165" formatCode="#,###"/>
    <numFmt numFmtId="166" formatCode="0.0%"/>
    <numFmt numFmtId="178" formatCode="#,##0.0"/>
    <numFmt numFmtId="179" formatCode="#,##0.000"/>
    <numFmt numFmtId="180" formatCode="#,##0.000000"/>
  </numFmts>
  <fonts count="151" x14ac:knownFonts="1">
    <font>
      <sz val="10"/>
      <name val="Arial CE"/>
      <charset val="238"/>
    </font>
    <font>
      <sz val="10"/>
      <name val="Arial CE"/>
      <charset val="238"/>
    </font>
    <font>
      <b/>
      <sz val="12"/>
      <name val="Arial CE"/>
      <family val="2"/>
      <charset val="238"/>
    </font>
    <font>
      <b/>
      <sz val="10"/>
      <name val="Arial CE"/>
      <family val="2"/>
      <charset val="238"/>
    </font>
    <font>
      <sz val="12"/>
      <name val="Arial CE"/>
      <family val="2"/>
      <charset val="238"/>
    </font>
    <font>
      <sz val="10"/>
      <name val="Arial CE"/>
      <family val="2"/>
      <charset val="238"/>
    </font>
    <font>
      <b/>
      <sz val="14"/>
      <name val="Arial CE"/>
      <family val="2"/>
      <charset val="238"/>
    </font>
    <font>
      <b/>
      <sz val="20"/>
      <name val="Arial CE"/>
      <family val="2"/>
      <charset val="238"/>
    </font>
    <font>
      <b/>
      <sz val="18"/>
      <name val="Arial CE"/>
      <family val="2"/>
      <charset val="238"/>
    </font>
    <font>
      <b/>
      <sz val="16"/>
      <name val="Arial CE"/>
      <family val="2"/>
      <charset val="238"/>
    </font>
    <font>
      <b/>
      <vertAlign val="superscript"/>
      <sz val="18"/>
      <name val="Arial CE"/>
      <family val="2"/>
      <charset val="238"/>
    </font>
    <font>
      <sz val="14"/>
      <name val="Arial CE"/>
      <family val="2"/>
      <charset val="238"/>
    </font>
    <font>
      <b/>
      <sz val="13"/>
      <name val="Arial CE"/>
      <family val="2"/>
      <charset val="238"/>
    </font>
    <font>
      <sz val="18"/>
      <name val="Arial CE"/>
      <family val="2"/>
      <charset val="238"/>
    </font>
    <font>
      <b/>
      <sz val="11"/>
      <name val="Arial CE"/>
      <family val="2"/>
      <charset val="238"/>
    </font>
    <font>
      <b/>
      <u/>
      <sz val="12"/>
      <name val="Arial CE"/>
      <family val="2"/>
      <charset val="238"/>
    </font>
    <font>
      <sz val="16"/>
      <name val="Arial CE"/>
      <family val="2"/>
      <charset val="238"/>
    </font>
    <font>
      <b/>
      <u/>
      <sz val="14"/>
      <name val="Arial CE"/>
      <family val="2"/>
      <charset val="238"/>
    </font>
    <font>
      <sz val="11"/>
      <name val="Arial CE"/>
      <family val="2"/>
      <charset val="238"/>
    </font>
    <font>
      <b/>
      <sz val="12"/>
      <color indexed="10"/>
      <name val="Arial CE"/>
      <family val="2"/>
      <charset val="238"/>
    </font>
    <font>
      <sz val="16"/>
      <color indexed="10"/>
      <name val="Arial CE"/>
      <charset val="238"/>
    </font>
    <font>
      <b/>
      <sz val="20"/>
      <color indexed="12"/>
      <name val="Arial CE"/>
      <family val="2"/>
      <charset val="238"/>
    </font>
    <font>
      <b/>
      <sz val="16"/>
      <color indexed="12"/>
      <name val="Arial CE"/>
      <family val="2"/>
      <charset val="238"/>
    </font>
    <font>
      <sz val="10"/>
      <color indexed="12"/>
      <name val="Arial CE"/>
      <charset val="238"/>
    </font>
    <font>
      <sz val="9"/>
      <name val="Arial CE"/>
      <charset val="238"/>
    </font>
    <font>
      <sz val="10"/>
      <color indexed="48"/>
      <name val="Arial CE"/>
      <charset val="238"/>
    </font>
    <font>
      <sz val="10"/>
      <color indexed="16"/>
      <name val="Arial CE"/>
      <charset val="238"/>
    </font>
    <font>
      <b/>
      <sz val="18"/>
      <color indexed="12"/>
      <name val="Arial CE"/>
      <family val="2"/>
      <charset val="238"/>
    </font>
    <font>
      <b/>
      <sz val="14"/>
      <color indexed="12"/>
      <name val="Arial CE"/>
      <family val="2"/>
      <charset val="238"/>
    </font>
    <font>
      <b/>
      <sz val="14"/>
      <color indexed="16"/>
      <name val="Arial CE"/>
      <family val="2"/>
      <charset val="238"/>
    </font>
    <font>
      <sz val="18"/>
      <color indexed="14"/>
      <name val="Arial CE"/>
      <charset val="238"/>
    </font>
    <font>
      <sz val="18"/>
      <color indexed="12"/>
      <name val="Arial CE"/>
      <family val="2"/>
      <charset val="238"/>
    </font>
    <font>
      <sz val="14"/>
      <color indexed="12"/>
      <name val="Arial CE"/>
      <charset val="238"/>
    </font>
    <font>
      <sz val="12"/>
      <color indexed="12"/>
      <name val="Arial CE"/>
      <family val="2"/>
      <charset val="238"/>
    </font>
    <font>
      <sz val="12"/>
      <color indexed="16"/>
      <name val="Arial CE"/>
      <family val="2"/>
      <charset val="238"/>
    </font>
    <font>
      <sz val="14"/>
      <color indexed="12"/>
      <name val="Arial CE"/>
      <family val="2"/>
      <charset val="238"/>
    </font>
    <font>
      <sz val="14"/>
      <color indexed="16"/>
      <name val="Arial CE"/>
      <family val="2"/>
      <charset val="238"/>
    </font>
    <font>
      <sz val="10"/>
      <color indexed="10"/>
      <name val="Arial CE"/>
      <charset val="238"/>
    </font>
    <font>
      <b/>
      <sz val="10"/>
      <color indexed="10"/>
      <name val="Arial CE"/>
      <family val="2"/>
      <charset val="238"/>
    </font>
    <font>
      <sz val="12"/>
      <color indexed="10"/>
      <name val="Arial CE"/>
      <charset val="238"/>
    </font>
    <font>
      <sz val="14"/>
      <name val="Arial CE"/>
      <charset val="238"/>
    </font>
    <font>
      <sz val="13"/>
      <color indexed="12"/>
      <name val="Arial CE"/>
      <family val="2"/>
      <charset val="238"/>
    </font>
    <font>
      <sz val="10"/>
      <color indexed="10"/>
      <name val="Arial CE"/>
      <family val="2"/>
      <charset val="238"/>
    </font>
    <font>
      <b/>
      <sz val="14"/>
      <name val="Arial"/>
      <family val="2"/>
    </font>
    <font>
      <b/>
      <sz val="16"/>
      <color indexed="10"/>
      <name val="Arial CE"/>
      <family val="2"/>
      <charset val="238"/>
    </font>
    <font>
      <b/>
      <sz val="9"/>
      <name val="Arial CE"/>
      <family val="2"/>
      <charset val="238"/>
    </font>
    <font>
      <sz val="9"/>
      <name val="Arial CE"/>
      <family val="2"/>
      <charset val="238"/>
    </font>
    <font>
      <b/>
      <sz val="8"/>
      <name val="Arial CE"/>
      <family val="2"/>
      <charset val="238"/>
    </font>
    <font>
      <b/>
      <sz val="10"/>
      <color indexed="12"/>
      <name val="Arial CE"/>
      <family val="2"/>
      <charset val="238"/>
    </font>
    <font>
      <b/>
      <sz val="12"/>
      <color indexed="12"/>
      <name val="Arial CE"/>
      <family val="2"/>
      <charset val="238"/>
    </font>
    <font>
      <b/>
      <sz val="8"/>
      <name val="Arial Narrow"/>
      <family val="2"/>
    </font>
    <font>
      <b/>
      <sz val="10"/>
      <name val="Arial CE"/>
      <charset val="238"/>
    </font>
    <font>
      <b/>
      <sz val="10"/>
      <name val="Arial Narrow"/>
      <family val="2"/>
      <charset val="238"/>
    </font>
    <font>
      <b/>
      <sz val="10"/>
      <color indexed="12"/>
      <name val="Arial CE"/>
      <charset val="238"/>
    </font>
    <font>
      <b/>
      <sz val="11"/>
      <color indexed="12"/>
      <name val="Arial CE"/>
      <family val="2"/>
      <charset val="238"/>
    </font>
    <font>
      <sz val="10"/>
      <color indexed="17"/>
      <name val="Arial CE"/>
      <charset val="238"/>
    </font>
    <font>
      <b/>
      <sz val="9"/>
      <name val="Arial CE"/>
      <charset val="238"/>
    </font>
    <font>
      <sz val="10"/>
      <color indexed="9"/>
      <name val="Arial CE"/>
      <family val="2"/>
      <charset val="238"/>
    </font>
    <font>
      <b/>
      <sz val="16"/>
      <color indexed="60"/>
      <name val="Arial CE"/>
      <family val="2"/>
      <charset val="238"/>
    </font>
    <font>
      <b/>
      <sz val="10"/>
      <color indexed="16"/>
      <name val="Arial CE"/>
      <family val="2"/>
      <charset val="238"/>
    </font>
    <font>
      <sz val="10"/>
      <color indexed="60"/>
      <name val="Arial CE"/>
      <family val="2"/>
      <charset val="238"/>
    </font>
    <font>
      <b/>
      <sz val="16"/>
      <color indexed="58"/>
      <name val="Arial CE"/>
      <family val="2"/>
      <charset val="238"/>
    </font>
    <font>
      <sz val="10"/>
      <color indexed="12"/>
      <name val="Arial CE"/>
      <family val="2"/>
      <charset val="238"/>
    </font>
    <font>
      <sz val="13"/>
      <color indexed="55"/>
      <name val="Arial CE"/>
      <family val="2"/>
      <charset val="238"/>
    </font>
    <font>
      <sz val="10"/>
      <color indexed="22"/>
      <name val="Arial CE"/>
      <family val="2"/>
      <charset val="238"/>
    </font>
    <font>
      <b/>
      <sz val="11"/>
      <color indexed="10"/>
      <name val="Arial CE"/>
      <family val="2"/>
      <charset val="238"/>
    </font>
    <font>
      <b/>
      <sz val="14"/>
      <color indexed="10"/>
      <name val="Arial CE"/>
      <family val="2"/>
      <charset val="238"/>
    </font>
    <font>
      <sz val="10"/>
      <color indexed="62"/>
      <name val="Arial CE"/>
      <family val="2"/>
      <charset val="238"/>
    </font>
    <font>
      <sz val="12"/>
      <color indexed="10"/>
      <name val="Arial CE"/>
      <family val="2"/>
      <charset val="238"/>
    </font>
    <font>
      <sz val="13"/>
      <name val="Arial CE"/>
      <family val="2"/>
      <charset val="238"/>
    </font>
    <font>
      <sz val="10"/>
      <color indexed="17"/>
      <name val="Arial CE"/>
      <family val="2"/>
      <charset val="238"/>
    </font>
    <font>
      <sz val="13"/>
      <color indexed="9"/>
      <name val="Arial CE"/>
      <family val="2"/>
      <charset val="238"/>
    </font>
    <font>
      <sz val="14"/>
      <color indexed="17"/>
      <name val="Arial CE"/>
      <family val="2"/>
      <charset val="238"/>
    </font>
    <font>
      <b/>
      <sz val="12"/>
      <color indexed="17"/>
      <name val="Arial CE"/>
      <family val="2"/>
      <charset val="238"/>
    </font>
    <font>
      <b/>
      <sz val="10"/>
      <color indexed="17"/>
      <name val="Arial CE"/>
      <family val="2"/>
      <charset val="238"/>
    </font>
    <font>
      <b/>
      <sz val="9"/>
      <color indexed="17"/>
      <name val="Arial CE"/>
      <family val="2"/>
      <charset val="238"/>
    </font>
    <font>
      <b/>
      <sz val="8"/>
      <color indexed="17"/>
      <name val="Arial CE"/>
      <family val="2"/>
      <charset val="238"/>
    </font>
    <font>
      <i/>
      <sz val="10"/>
      <color indexed="9"/>
      <name val="Arial Narrow"/>
      <family val="2"/>
      <charset val="238"/>
    </font>
    <font>
      <sz val="16"/>
      <name val="Arial CE"/>
      <charset val="238"/>
    </font>
    <font>
      <sz val="18"/>
      <name val="Arial CE"/>
      <charset val="238"/>
    </font>
    <font>
      <sz val="14"/>
      <color indexed="18"/>
      <name val="Arial CE"/>
      <family val="2"/>
      <charset val="238"/>
    </font>
    <font>
      <b/>
      <sz val="20"/>
      <color indexed="17"/>
      <name val="Arial CE"/>
      <family val="2"/>
      <charset val="238"/>
    </font>
    <font>
      <sz val="8"/>
      <name val="Arial CE"/>
      <charset val="238"/>
    </font>
    <font>
      <b/>
      <sz val="10"/>
      <color indexed="10"/>
      <name val="Arial CE"/>
      <charset val="238"/>
    </font>
    <font>
      <sz val="11"/>
      <color indexed="10"/>
      <name val="Arial CE"/>
      <family val="2"/>
      <charset val="238"/>
    </font>
    <font>
      <sz val="12"/>
      <name val="Arial CE"/>
      <charset val="238"/>
    </font>
    <font>
      <b/>
      <sz val="18"/>
      <color indexed="10"/>
      <name val="Arial CE"/>
      <family val="2"/>
      <charset val="238"/>
    </font>
    <font>
      <b/>
      <sz val="18"/>
      <color indexed="17"/>
      <name val="Arial CE"/>
      <family val="2"/>
      <charset val="238"/>
    </font>
    <font>
      <b/>
      <sz val="20"/>
      <color indexed="10"/>
      <name val="Arial CE"/>
      <family val="2"/>
      <charset val="238"/>
    </font>
    <font>
      <sz val="12"/>
      <color indexed="9"/>
      <name val="Arial CE"/>
      <family val="2"/>
      <charset val="238"/>
    </font>
    <font>
      <sz val="14"/>
      <color indexed="9"/>
      <name val="Arial CE"/>
      <family val="2"/>
      <charset val="238"/>
    </font>
    <font>
      <sz val="14"/>
      <color indexed="60"/>
      <name val="Arial CE"/>
      <family val="2"/>
      <charset val="238"/>
    </font>
    <font>
      <b/>
      <sz val="20"/>
      <color indexed="16"/>
      <name val="Arial CE"/>
      <family val="2"/>
      <charset val="238"/>
    </font>
    <font>
      <b/>
      <sz val="16"/>
      <color indexed="16"/>
      <name val="Arial CE"/>
      <family val="2"/>
      <charset val="238"/>
    </font>
    <font>
      <b/>
      <sz val="8"/>
      <color indexed="10"/>
      <name val="Arial CE"/>
      <family val="2"/>
      <charset val="238"/>
    </font>
    <font>
      <b/>
      <sz val="9"/>
      <color indexed="58"/>
      <name val="Arial CE"/>
      <family val="2"/>
      <charset val="238"/>
    </font>
    <font>
      <b/>
      <sz val="16"/>
      <color indexed="81"/>
      <name val="Arial"/>
      <family val="2"/>
      <charset val="238"/>
    </font>
    <font>
      <sz val="16"/>
      <color indexed="81"/>
      <name val="Arial"/>
      <family val="2"/>
      <charset val="238"/>
    </font>
    <font>
      <b/>
      <sz val="14"/>
      <color indexed="17"/>
      <name val="Arial CE"/>
      <family val="2"/>
      <charset val="238"/>
    </font>
    <font>
      <b/>
      <sz val="16"/>
      <color indexed="17"/>
      <name val="Arial CE"/>
      <family val="2"/>
      <charset val="238"/>
    </font>
    <font>
      <b/>
      <sz val="18"/>
      <color indexed="60"/>
      <name val="Arial CE"/>
      <family val="2"/>
      <charset val="238"/>
    </font>
    <font>
      <b/>
      <u/>
      <sz val="14"/>
      <color indexed="60"/>
      <name val="Arial CE"/>
      <charset val="238"/>
    </font>
    <font>
      <b/>
      <sz val="10"/>
      <color indexed="17"/>
      <name val="Arial CE"/>
      <charset val="238"/>
    </font>
    <font>
      <sz val="9"/>
      <color indexed="17"/>
      <name val="Arial CE"/>
      <charset val="238"/>
    </font>
    <font>
      <sz val="9"/>
      <color indexed="17"/>
      <name val="Arial CE"/>
      <family val="2"/>
      <charset val="238"/>
    </font>
    <font>
      <b/>
      <sz val="10"/>
      <color indexed="9"/>
      <name val="Arial CE"/>
      <family val="2"/>
      <charset val="238"/>
    </font>
    <font>
      <b/>
      <sz val="14"/>
      <color indexed="9"/>
      <name val="Arial CE"/>
      <family val="2"/>
      <charset val="238"/>
    </font>
    <font>
      <b/>
      <u/>
      <sz val="14"/>
      <color indexed="9"/>
      <name val="Arial CE"/>
      <family val="2"/>
      <charset val="238"/>
    </font>
    <font>
      <b/>
      <sz val="16"/>
      <color indexed="9"/>
      <name val="Arial CE"/>
      <family val="2"/>
      <charset val="238"/>
    </font>
    <font>
      <sz val="10"/>
      <color indexed="9"/>
      <name val="Arial CE"/>
      <charset val="238"/>
    </font>
    <font>
      <b/>
      <sz val="12"/>
      <color indexed="9"/>
      <name val="Arial CE"/>
      <charset val="238"/>
    </font>
    <font>
      <b/>
      <sz val="11"/>
      <color indexed="9"/>
      <name val="Arial CE"/>
      <family val="2"/>
      <charset val="238"/>
    </font>
    <font>
      <sz val="11"/>
      <color indexed="9"/>
      <name val="Arial CE"/>
      <family val="2"/>
      <charset val="238"/>
    </font>
    <font>
      <b/>
      <sz val="11"/>
      <color indexed="9"/>
      <name val="Arial CE"/>
      <charset val="238"/>
    </font>
    <font>
      <b/>
      <sz val="12"/>
      <color indexed="9"/>
      <name val="Arial CE"/>
      <family val="2"/>
      <charset val="238"/>
    </font>
    <font>
      <b/>
      <u/>
      <sz val="14"/>
      <color indexed="9"/>
      <name val="Arial CE"/>
      <charset val="238"/>
    </font>
    <font>
      <b/>
      <sz val="11"/>
      <color indexed="17"/>
      <name val="Arial CE"/>
      <family val="2"/>
      <charset val="238"/>
    </font>
    <font>
      <b/>
      <sz val="11"/>
      <color indexed="60"/>
      <name val="Arial CE"/>
      <family val="2"/>
      <charset val="238"/>
    </font>
    <font>
      <b/>
      <sz val="12"/>
      <color indexed="60"/>
      <name val="Arial CE"/>
      <family val="2"/>
      <charset val="238"/>
    </font>
    <font>
      <b/>
      <sz val="18"/>
      <color indexed="16"/>
      <name val="Arial CE"/>
      <family val="2"/>
      <charset val="238"/>
    </font>
    <font>
      <b/>
      <sz val="12"/>
      <color indexed="16"/>
      <name val="Arial CE"/>
      <family val="2"/>
      <charset val="238"/>
    </font>
    <font>
      <b/>
      <sz val="11"/>
      <color indexed="16"/>
      <name val="Arial CE"/>
      <family val="2"/>
      <charset val="238"/>
    </font>
    <font>
      <b/>
      <u/>
      <sz val="14"/>
      <color indexed="16"/>
      <name val="Arial CE"/>
      <family val="2"/>
      <charset val="238"/>
    </font>
    <font>
      <b/>
      <u/>
      <sz val="14"/>
      <color indexed="16"/>
      <name val="Arial CE"/>
      <charset val="238"/>
    </font>
    <font>
      <b/>
      <sz val="8"/>
      <color indexed="17"/>
      <name val="Arial Narrow"/>
      <family val="2"/>
    </font>
    <font>
      <b/>
      <sz val="8"/>
      <color indexed="16"/>
      <name val="Arial Narrow"/>
      <family val="2"/>
    </font>
    <font>
      <b/>
      <sz val="10"/>
      <color indexed="17"/>
      <name val="Arial Narrow"/>
      <family val="2"/>
      <charset val="238"/>
    </font>
    <font>
      <b/>
      <u/>
      <sz val="14"/>
      <color indexed="17"/>
      <name val="Arial CE"/>
      <family val="2"/>
      <charset val="238"/>
    </font>
    <font>
      <b/>
      <u/>
      <sz val="12"/>
      <color indexed="16"/>
      <name val="Arial CE"/>
      <family val="2"/>
      <charset val="238"/>
    </font>
    <font>
      <b/>
      <u/>
      <sz val="12"/>
      <color indexed="16"/>
      <name val="Arial CE"/>
      <charset val="238"/>
    </font>
    <font>
      <sz val="13"/>
      <color indexed="12"/>
      <name val="Arial CE"/>
      <charset val="238"/>
    </font>
    <font>
      <sz val="10"/>
      <color indexed="14"/>
      <name val="Arial CE"/>
      <family val="2"/>
      <charset val="238"/>
    </font>
    <font>
      <b/>
      <sz val="8"/>
      <color indexed="16"/>
      <name val="Arial CE"/>
      <family val="2"/>
      <charset val="238"/>
    </font>
    <font>
      <b/>
      <i/>
      <sz val="14"/>
      <color indexed="58"/>
      <name val="Arial CE"/>
      <charset val="238"/>
    </font>
    <font>
      <b/>
      <i/>
      <sz val="14"/>
      <name val="Arial CE"/>
      <charset val="238"/>
    </font>
    <font>
      <i/>
      <sz val="14"/>
      <name val="Arial CE"/>
      <charset val="238"/>
    </font>
    <font>
      <i/>
      <sz val="16"/>
      <name val="Arial CE"/>
      <charset val="238"/>
    </font>
    <font>
      <b/>
      <i/>
      <sz val="10"/>
      <name val="Arial CE"/>
      <charset val="238"/>
    </font>
    <font>
      <i/>
      <sz val="12"/>
      <name val="Arial CE"/>
      <charset val="238"/>
    </font>
    <font>
      <sz val="10"/>
      <color indexed="9"/>
      <name val="Arial Narrow"/>
      <family val="2"/>
      <charset val="238"/>
    </font>
    <font>
      <b/>
      <i/>
      <sz val="16"/>
      <name val="Arial CE"/>
      <charset val="238"/>
    </font>
    <font>
      <b/>
      <i/>
      <sz val="16"/>
      <color indexed="58"/>
      <name val="Arial CE"/>
      <charset val="238"/>
    </font>
    <font>
      <sz val="9"/>
      <color indexed="9"/>
      <name val="Arial CE"/>
      <charset val="238"/>
    </font>
    <font>
      <i/>
      <sz val="16"/>
      <color indexed="58"/>
      <name val="Arial CE"/>
      <charset val="238"/>
    </font>
    <font>
      <b/>
      <i/>
      <sz val="20"/>
      <color indexed="12"/>
      <name val="Arial CE"/>
      <charset val="238"/>
    </font>
    <font>
      <b/>
      <i/>
      <sz val="20"/>
      <name val="Arial CE"/>
      <charset val="238"/>
    </font>
    <font>
      <i/>
      <sz val="10"/>
      <name val="Arial CE"/>
      <charset val="238"/>
    </font>
    <font>
      <i/>
      <sz val="10"/>
      <color indexed="58"/>
      <name val="Arial CE"/>
      <charset val="238"/>
    </font>
    <font>
      <b/>
      <sz val="20"/>
      <color rgb="FF0000FF"/>
      <name val="Arial CE"/>
      <family val="2"/>
      <charset val="238"/>
    </font>
    <font>
      <b/>
      <sz val="13"/>
      <color theme="0"/>
      <name val="Arial CE"/>
      <family val="2"/>
      <charset val="238"/>
    </font>
    <font>
      <b/>
      <sz val="14"/>
      <color rgb="FF0000FF"/>
      <name val="Arial CE"/>
      <family val="2"/>
      <charset val="238"/>
    </font>
  </fonts>
  <fills count="9">
    <fill>
      <patternFill patternType="none"/>
    </fill>
    <fill>
      <patternFill patternType="gray125"/>
    </fill>
    <fill>
      <patternFill patternType="gray0625"/>
    </fill>
    <fill>
      <patternFill patternType="solid">
        <fgColor indexed="65"/>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rgb="FFFFFF00"/>
        <bgColor indexed="64"/>
      </patternFill>
    </fill>
  </fills>
  <borders count="205">
    <border>
      <left/>
      <right/>
      <top/>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diagonal/>
    </border>
    <border>
      <left/>
      <right/>
      <top/>
      <bottom style="medium">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double">
        <color indexed="64"/>
      </top>
      <bottom/>
      <diagonal/>
    </border>
    <border>
      <left style="medium">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thin">
        <color indexed="64"/>
      </bottom>
      <diagonal/>
    </border>
    <border>
      <left style="thin">
        <color indexed="64"/>
      </left>
      <right style="double">
        <color indexed="64"/>
      </right>
      <top/>
      <bottom/>
      <diagonal/>
    </border>
    <border>
      <left style="double">
        <color indexed="64"/>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medium">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bottom style="double">
        <color indexed="64"/>
      </bottom>
      <diagonal/>
    </border>
    <border>
      <left/>
      <right style="double">
        <color indexed="64"/>
      </right>
      <top/>
      <bottom style="double">
        <color indexed="64"/>
      </bottom>
      <diagonal/>
    </border>
    <border>
      <left/>
      <right/>
      <top style="double">
        <color indexed="64"/>
      </top>
      <bottom style="medium">
        <color indexed="64"/>
      </bottom>
      <diagonal/>
    </border>
    <border>
      <left style="double">
        <color indexed="64"/>
      </left>
      <right/>
      <top style="medium">
        <color indexed="64"/>
      </top>
      <bottom/>
      <diagonal/>
    </border>
    <border>
      <left/>
      <right/>
      <top style="medium">
        <color indexed="64"/>
      </top>
      <bottom/>
      <diagonal/>
    </border>
    <border>
      <left style="thick">
        <color indexed="64"/>
      </left>
      <right style="thick">
        <color indexed="64"/>
      </right>
      <top style="double">
        <color indexed="64"/>
      </top>
      <bottom/>
      <diagonal/>
    </border>
    <border>
      <left style="thick">
        <color indexed="64"/>
      </left>
      <right style="thick">
        <color indexed="64"/>
      </right>
      <top/>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style="thick">
        <color indexed="64"/>
      </bottom>
      <diagonal/>
    </border>
    <border>
      <left style="double">
        <color indexed="64"/>
      </left>
      <right/>
      <top style="thick">
        <color indexed="64"/>
      </top>
      <bottom style="thick">
        <color indexed="64"/>
      </bottom>
      <diagonal/>
    </border>
    <border>
      <left style="medium">
        <color indexed="64"/>
      </left>
      <right style="double">
        <color indexed="64"/>
      </right>
      <top/>
      <bottom style="medium">
        <color indexed="64"/>
      </bottom>
      <diagonal/>
    </border>
    <border>
      <left style="thick">
        <color indexed="64"/>
      </left>
      <right style="thick">
        <color indexed="64"/>
      </right>
      <top/>
      <bottom style="double">
        <color indexed="64"/>
      </bottom>
      <diagonal/>
    </border>
    <border>
      <left style="medium">
        <color indexed="64"/>
      </left>
      <right style="double">
        <color indexed="64"/>
      </right>
      <top/>
      <bottom style="double">
        <color indexed="64"/>
      </bottom>
      <diagonal/>
    </border>
    <border>
      <left/>
      <right/>
      <top style="double">
        <color indexed="64"/>
      </top>
      <bottom/>
      <diagonal/>
    </border>
    <border>
      <left/>
      <right style="double">
        <color indexed="64"/>
      </right>
      <top style="medium">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top style="medium">
        <color indexed="64"/>
      </top>
      <bottom style="thin">
        <color indexed="64"/>
      </bottom>
      <diagonal/>
    </border>
    <border>
      <left/>
      <right/>
      <top style="double">
        <color indexed="64"/>
      </top>
      <bottom style="thin">
        <color indexed="64"/>
      </bottom>
      <diagonal/>
    </border>
    <border>
      <left/>
      <right/>
      <top style="thin">
        <color indexed="64"/>
      </top>
      <bottom/>
      <diagonal/>
    </border>
    <border>
      <left style="double">
        <color indexed="64"/>
      </left>
      <right/>
      <top style="thin">
        <color indexed="64"/>
      </top>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double">
        <color indexed="64"/>
      </right>
      <top style="double">
        <color indexed="64"/>
      </top>
      <bottom style="thin">
        <color indexed="64"/>
      </bottom>
      <diagonal/>
    </border>
    <border>
      <left/>
      <right style="double">
        <color indexed="64"/>
      </right>
      <top style="medium">
        <color indexed="64"/>
      </top>
      <bottom style="medium">
        <color indexed="64"/>
      </bottom>
      <diagonal/>
    </border>
    <border>
      <left style="thick">
        <color indexed="64"/>
      </left>
      <right style="thick">
        <color indexed="64"/>
      </right>
      <top style="double">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medium">
        <color indexed="64"/>
      </bottom>
      <diagonal/>
    </border>
    <border>
      <left/>
      <right/>
      <top style="thick">
        <color indexed="64"/>
      </top>
      <bottom/>
      <diagonal/>
    </border>
    <border>
      <left style="medium">
        <color indexed="64"/>
      </left>
      <right style="double">
        <color indexed="64"/>
      </right>
      <top style="thick">
        <color indexed="64"/>
      </top>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double">
        <color indexed="64"/>
      </right>
      <top style="thick">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right style="thin">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bottom style="medium">
        <color indexed="64"/>
      </bottom>
      <diagonal/>
    </border>
    <border>
      <left style="double">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right/>
      <top style="medium">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double">
        <color indexed="64"/>
      </right>
      <top style="medium">
        <color indexed="64"/>
      </top>
      <bottom/>
      <diagonal/>
    </border>
    <border>
      <left/>
      <right/>
      <top style="double">
        <color indexed="64"/>
      </top>
      <bottom style="thick">
        <color indexed="64"/>
      </bottom>
      <diagonal/>
    </border>
    <border>
      <left style="medium">
        <color indexed="64"/>
      </left>
      <right style="double">
        <color indexed="64"/>
      </right>
      <top style="double">
        <color indexed="64"/>
      </top>
      <bottom style="thick">
        <color indexed="64"/>
      </bottom>
      <diagonal/>
    </border>
    <border>
      <left/>
      <right/>
      <top style="medium">
        <color indexed="64"/>
      </top>
      <bottom style="thick">
        <color indexed="64"/>
      </bottom>
      <diagonal/>
    </border>
    <border>
      <left style="medium">
        <color indexed="64"/>
      </left>
      <right style="double">
        <color indexed="64"/>
      </right>
      <top style="medium">
        <color indexed="64"/>
      </top>
      <bottom style="thick">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style="double">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top style="double">
        <color indexed="64"/>
      </top>
      <bottom style="thick">
        <color indexed="64"/>
      </bottom>
      <diagonal/>
    </border>
    <border>
      <left style="double">
        <color indexed="64"/>
      </left>
      <right/>
      <top style="thick">
        <color indexed="64"/>
      </top>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top style="double">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medium">
        <color indexed="64"/>
      </left>
      <right style="double">
        <color indexed="64"/>
      </right>
      <top/>
      <bottom style="thin">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s>
  <cellStyleXfs count="1">
    <xf numFmtId="0" fontId="0" fillId="0" borderId="0"/>
  </cellStyleXfs>
  <cellXfs count="1963">
    <xf numFmtId="0" fontId="0" fillId="0" borderId="0" xfId="0"/>
    <xf numFmtId="0" fontId="2" fillId="0" borderId="0" xfId="0" applyFont="1"/>
    <xf numFmtId="0" fontId="3" fillId="2" borderId="1" xfId="0" applyFont="1" applyFill="1" applyBorder="1" applyAlignment="1">
      <alignment horizontal="center"/>
    </xf>
    <xf numFmtId="0" fontId="3" fillId="0" borderId="0" xfId="0" applyFont="1"/>
    <xf numFmtId="0" fontId="2" fillId="0" borderId="0" xfId="0" applyFont="1" applyAlignment="1">
      <alignment horizontal="left"/>
    </xf>
    <xf numFmtId="0" fontId="3" fillId="0" borderId="2" xfId="0" applyFont="1" applyBorder="1"/>
    <xf numFmtId="0" fontId="3" fillId="0" borderId="3" xfId="0" applyFont="1" applyBorder="1"/>
    <xf numFmtId="0" fontId="3" fillId="2" borderId="4" xfId="0" applyFont="1" applyFill="1" applyBorder="1" applyAlignment="1">
      <alignment horizontal="center"/>
    </xf>
    <xf numFmtId="0" fontId="2" fillId="0" borderId="0" xfId="0" applyFont="1" applyAlignment="1">
      <alignment horizontal="center"/>
    </xf>
    <xf numFmtId="0" fontId="5" fillId="0" borderId="0" xfId="0" applyFont="1"/>
    <xf numFmtId="0" fontId="6" fillId="0" borderId="0" xfId="0" applyFont="1" applyAlignment="1">
      <alignment horizontal="right"/>
    </xf>
    <xf numFmtId="0" fontId="6" fillId="0" borderId="0" xfId="0" applyFont="1"/>
    <xf numFmtId="0" fontId="4" fillId="0" borderId="0" xfId="0" applyFont="1"/>
    <xf numFmtId="0" fontId="4" fillId="0" borderId="0" xfId="0" applyFont="1" applyAlignment="1">
      <alignment horizontal="left"/>
    </xf>
    <xf numFmtId="0" fontId="6" fillId="0" borderId="0" xfId="0" applyFont="1" applyAlignment="1">
      <alignment horizontal="left"/>
    </xf>
    <xf numFmtId="0" fontId="0" fillId="0" borderId="0" xfId="0" applyAlignment="1">
      <alignment horizontal="center"/>
    </xf>
    <xf numFmtId="0" fontId="0" fillId="0" borderId="0" xfId="0" applyAlignment="1">
      <alignment horizontal="left"/>
    </xf>
    <xf numFmtId="0" fontId="4" fillId="2" borderId="5" xfId="0" applyFont="1" applyFill="1" applyBorder="1" applyAlignment="1">
      <alignment horizontal="center"/>
    </xf>
    <xf numFmtId="0" fontId="9" fillId="0" borderId="6" xfId="0" applyFont="1" applyBorder="1" applyAlignment="1">
      <alignment vertical="center"/>
    </xf>
    <xf numFmtId="0" fontId="0" fillId="0" borderId="7" xfId="0" applyBorder="1"/>
    <xf numFmtId="0" fontId="9" fillId="0" borderId="8" xfId="0" applyFont="1" applyBorder="1" applyAlignment="1">
      <alignment vertical="center"/>
    </xf>
    <xf numFmtId="0" fontId="0" fillId="0" borderId="0" xfId="0" applyBorder="1"/>
    <xf numFmtId="0" fontId="9" fillId="0" borderId="8" xfId="0" applyFont="1" applyBorder="1"/>
    <xf numFmtId="0" fontId="8" fillId="0" borderId="9" xfId="0" applyFont="1" applyBorder="1"/>
    <xf numFmtId="0" fontId="0" fillId="0" borderId="10" xfId="0" applyBorder="1"/>
    <xf numFmtId="0" fontId="6" fillId="0" borderId="0" xfId="0" applyFont="1" applyAlignment="1">
      <alignment horizontal="center"/>
    </xf>
    <xf numFmtId="0" fontId="9" fillId="0" borderId="0" xfId="0" applyFont="1" applyAlignment="1">
      <alignment horizontal="center"/>
    </xf>
    <xf numFmtId="0" fontId="11" fillId="0" borderId="0" xfId="0" applyFont="1"/>
    <xf numFmtId="0" fontId="8" fillId="0" borderId="0" xfId="0" applyFont="1"/>
    <xf numFmtId="0" fontId="3" fillId="0" borderId="0" xfId="0" applyFont="1" applyAlignment="1">
      <alignment horizontal="left"/>
    </xf>
    <xf numFmtId="0" fontId="8" fillId="0" borderId="0" xfId="0" applyFont="1" applyAlignment="1">
      <alignment horizontal="center"/>
    </xf>
    <xf numFmtId="0" fontId="3" fillId="0" borderId="11" xfId="0" applyFont="1" applyBorder="1" applyAlignment="1">
      <alignment vertical="center"/>
    </xf>
    <xf numFmtId="0" fontId="0" fillId="0" borderId="0" xfId="0" applyAlignment="1">
      <alignment vertical="center"/>
    </xf>
    <xf numFmtId="0" fontId="8" fillId="0" borderId="12"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3" fillId="0" borderId="12" xfId="0"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2" borderId="22" xfId="0" applyFont="1" applyFill="1" applyBorder="1" applyAlignment="1">
      <alignment horizontal="center"/>
    </xf>
    <xf numFmtId="0" fontId="2" fillId="2" borderId="23"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4" xfId="0" applyFont="1" applyFill="1" applyBorder="1" applyAlignment="1">
      <alignment horizontal="center"/>
    </xf>
    <xf numFmtId="0" fontId="7" fillId="0" borderId="12" xfId="0" applyFont="1" applyBorder="1" applyAlignment="1">
      <alignment vertical="center"/>
    </xf>
    <xf numFmtId="0" fontId="3" fillId="0" borderId="12" xfId="0" applyFont="1" applyBorder="1"/>
    <xf numFmtId="3" fontId="3" fillId="0" borderId="15" xfId="0" applyNumberFormat="1" applyFont="1" applyBorder="1"/>
    <xf numFmtId="3" fontId="3" fillId="0" borderId="26" xfId="0" applyNumberFormat="1" applyFont="1" applyBorder="1"/>
    <xf numFmtId="0" fontId="2" fillId="0" borderId="11" xfId="0" applyFont="1" applyBorder="1" applyAlignment="1">
      <alignment vertical="center"/>
    </xf>
    <xf numFmtId="0" fontId="2" fillId="0" borderId="27" xfId="0" applyFont="1" applyBorder="1" applyAlignment="1">
      <alignment vertical="center"/>
    </xf>
    <xf numFmtId="0" fontId="0" fillId="0" borderId="6" xfId="0" applyBorder="1"/>
    <xf numFmtId="0" fontId="9" fillId="0" borderId="8" xfId="0" applyFont="1" applyBorder="1" applyAlignment="1">
      <alignment horizontal="center"/>
    </xf>
    <xf numFmtId="0" fontId="0" fillId="0" borderId="8" xfId="0" applyBorder="1"/>
    <xf numFmtId="0" fontId="3" fillId="2" borderId="28" xfId="0" applyFont="1" applyFill="1" applyBorder="1" applyAlignment="1">
      <alignment horizontal="center"/>
    </xf>
    <xf numFmtId="0" fontId="13" fillId="0" borderId="0" xfId="0" applyFont="1"/>
    <xf numFmtId="0" fontId="0" fillId="0" borderId="29" xfId="0" applyBorder="1"/>
    <xf numFmtId="0" fontId="6" fillId="0" borderId="17" xfId="0" applyFont="1" applyBorder="1" applyAlignment="1">
      <alignment horizontal="center"/>
    </xf>
    <xf numFmtId="0" fontId="6" fillId="0" borderId="30" xfId="0" applyFont="1" applyBorder="1" applyAlignment="1">
      <alignment horizontal="center"/>
    </xf>
    <xf numFmtId="0" fontId="0" fillId="0" borderId="21" xfId="0" applyBorder="1"/>
    <xf numFmtId="0" fontId="14" fillId="2" borderId="31" xfId="0" applyFont="1" applyFill="1" applyBorder="1" applyAlignment="1">
      <alignment horizontal="center"/>
    </xf>
    <xf numFmtId="0" fontId="14" fillId="2" borderId="32" xfId="0" applyFont="1" applyFill="1" applyBorder="1" applyAlignment="1">
      <alignment horizontal="center"/>
    </xf>
    <xf numFmtId="0" fontId="6" fillId="0" borderId="8" xfId="0" applyFont="1" applyBorder="1"/>
    <xf numFmtId="0" fontId="6" fillId="0" borderId="33" xfId="0" applyFont="1" applyBorder="1"/>
    <xf numFmtId="0" fontId="0" fillId="0" borderId="34" xfId="0" applyBorder="1"/>
    <xf numFmtId="0" fontId="6" fillId="0" borderId="35" xfId="0" applyFont="1" applyBorder="1"/>
    <xf numFmtId="0" fontId="6" fillId="0" borderId="9" xfId="0" applyFont="1" applyBorder="1"/>
    <xf numFmtId="0" fontId="12" fillId="0" borderId="36" xfId="0" applyFont="1" applyBorder="1"/>
    <xf numFmtId="0" fontId="12" fillId="0" borderId="16" xfId="0" applyFont="1" applyBorder="1"/>
    <xf numFmtId="0" fontId="6" fillId="0" borderId="37" xfId="0" applyFont="1" applyBorder="1" applyAlignment="1">
      <alignment horizontal="center"/>
    </xf>
    <xf numFmtId="0" fontId="6" fillId="0" borderId="38" xfId="0" applyFont="1" applyBorder="1" applyAlignment="1">
      <alignment horizont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39" xfId="0" applyFont="1" applyBorder="1" applyAlignment="1">
      <alignment horizontal="center"/>
    </xf>
    <xf numFmtId="0" fontId="6" fillId="0" borderId="40" xfId="0" applyFont="1" applyBorder="1" applyAlignment="1">
      <alignment horizontal="center"/>
    </xf>
    <xf numFmtId="0" fontId="6" fillId="0" borderId="16" xfId="0" applyFont="1" applyBorder="1" applyAlignment="1">
      <alignment horizontal="center"/>
    </xf>
    <xf numFmtId="0" fontId="6" fillId="0" borderId="34" xfId="0" applyFont="1" applyBorder="1" applyAlignment="1">
      <alignment horizontal="center"/>
    </xf>
    <xf numFmtId="0" fontId="6" fillId="0" borderId="19" xfId="0" applyFont="1" applyBorder="1" applyAlignment="1">
      <alignment horizontal="center"/>
    </xf>
    <xf numFmtId="0" fontId="6" fillId="0" borderId="41" xfId="0" applyFont="1" applyBorder="1" applyAlignment="1">
      <alignment horizontal="center"/>
    </xf>
    <xf numFmtId="0" fontId="0" fillId="0" borderId="42" xfId="0" applyBorder="1" applyAlignment="1">
      <alignment horizontal="center"/>
    </xf>
    <xf numFmtId="0" fontId="6" fillId="0" borderId="20" xfId="0" applyFont="1" applyBorder="1" applyAlignment="1">
      <alignment horizontal="center"/>
    </xf>
    <xf numFmtId="0" fontId="0" fillId="0" borderId="20" xfId="0" applyBorder="1" applyAlignment="1">
      <alignment horizontal="center"/>
    </xf>
    <xf numFmtId="0" fontId="6" fillId="0" borderId="21" xfId="0" applyFont="1" applyBorder="1" applyAlignment="1">
      <alignment horizontal="center"/>
    </xf>
    <xf numFmtId="0" fontId="12" fillId="0" borderId="34" xfId="0" applyFont="1" applyBorder="1"/>
    <xf numFmtId="0" fontId="14" fillId="2" borderId="28" xfId="0" applyFont="1" applyFill="1" applyBorder="1" applyAlignment="1">
      <alignment horizontal="center"/>
    </xf>
    <xf numFmtId="0" fontId="14" fillId="2" borderId="43" xfId="0" applyFont="1" applyFill="1" applyBorder="1" applyAlignment="1">
      <alignment horizontal="center"/>
    </xf>
    <xf numFmtId="0" fontId="14" fillId="2" borderId="44" xfId="0" applyFont="1" applyFill="1" applyBorder="1" applyAlignment="1">
      <alignment horizontal="center"/>
    </xf>
    <xf numFmtId="0" fontId="14" fillId="2" borderId="1" xfId="0" applyFont="1" applyFill="1" applyBorder="1" applyAlignment="1">
      <alignment horizontal="center"/>
    </xf>
    <xf numFmtId="0" fontId="14" fillId="2" borderId="24" xfId="0" applyFont="1" applyFill="1" applyBorder="1" applyAlignment="1">
      <alignment horizontal="center"/>
    </xf>
    <xf numFmtId="0" fontId="8" fillId="0" borderId="6" xfId="0" applyFont="1" applyBorder="1"/>
    <xf numFmtId="0" fontId="8" fillId="0" borderId="2" xfId="0" applyFont="1" applyBorder="1"/>
    <xf numFmtId="0" fontId="2" fillId="0" borderId="9" xfId="0" applyFont="1" applyBorder="1"/>
    <xf numFmtId="0" fontId="2" fillId="0" borderId="45" xfId="0" applyFont="1" applyBorder="1"/>
    <xf numFmtId="0" fontId="6" fillId="0" borderId="46" xfId="0" applyFont="1" applyBorder="1"/>
    <xf numFmtId="0" fontId="6" fillId="0" borderId="47" xfId="0" applyFont="1" applyBorder="1"/>
    <xf numFmtId="0" fontId="6" fillId="0" borderId="48" xfId="0" applyFont="1" applyBorder="1"/>
    <xf numFmtId="0" fontId="6" fillId="0" borderId="49" xfId="0" applyFont="1" applyBorder="1"/>
    <xf numFmtId="0" fontId="6" fillId="0" borderId="28" xfId="0" applyFont="1" applyBorder="1"/>
    <xf numFmtId="0" fontId="6" fillId="0" borderId="31" xfId="0" applyFont="1" applyBorder="1"/>
    <xf numFmtId="0" fontId="2" fillId="0" borderId="50"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4" fillId="2" borderId="54" xfId="0" applyFont="1" applyFill="1" applyBorder="1" applyAlignment="1">
      <alignment horizontal="center"/>
    </xf>
    <xf numFmtId="0" fontId="4" fillId="2" borderId="55" xfId="0" applyFont="1" applyFill="1" applyBorder="1" applyAlignment="1">
      <alignment horizontal="center"/>
    </xf>
    <xf numFmtId="0" fontId="11"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4" xfId="0" applyFont="1" applyBorder="1" applyAlignment="1">
      <alignment vertical="center"/>
    </xf>
    <xf numFmtId="0" fontId="0" fillId="0" borderId="11" xfId="0" applyBorder="1" applyAlignment="1">
      <alignment vertical="center"/>
    </xf>
    <xf numFmtId="0" fontId="9" fillId="0" borderId="12" xfId="0" applyFont="1" applyBorder="1" applyAlignment="1">
      <alignment horizontal="center" vertical="center"/>
    </xf>
    <xf numFmtId="0" fontId="6" fillId="0" borderId="0" xfId="0" applyFont="1" applyBorder="1" applyAlignment="1">
      <alignment horizontal="center" vertical="center"/>
    </xf>
    <xf numFmtId="0" fontId="6" fillId="0" borderId="59" xfId="0" applyFont="1" applyBorder="1" applyAlignment="1">
      <alignment horizontal="center" vertical="center"/>
    </xf>
    <xf numFmtId="0" fontId="6" fillId="0" borderId="26" xfId="0" applyFont="1" applyBorder="1" applyAlignment="1">
      <alignment horizontal="center" vertical="center"/>
    </xf>
    <xf numFmtId="0" fontId="0" fillId="0" borderId="60" xfId="0" applyBorder="1" applyAlignment="1">
      <alignment vertical="center"/>
    </xf>
    <xf numFmtId="0" fontId="3" fillId="0" borderId="7" xfId="0" applyFont="1" applyBorder="1" applyAlignment="1">
      <alignment horizontal="center" vertical="center"/>
    </xf>
    <xf numFmtId="0" fontId="3" fillId="0" borderId="61" xfId="0" applyFont="1" applyBorder="1" applyAlignment="1">
      <alignment horizontal="center" vertical="center"/>
    </xf>
    <xf numFmtId="0" fontId="6" fillId="0" borderId="62" xfId="0" applyFont="1" applyBorder="1" applyAlignment="1">
      <alignment horizontal="center" vertical="center"/>
    </xf>
    <xf numFmtId="0" fontId="4" fillId="2" borderId="56" xfId="0" applyFont="1" applyFill="1" applyBorder="1" applyAlignment="1">
      <alignment horizontal="center"/>
    </xf>
    <xf numFmtId="0" fontId="4" fillId="2" borderId="10" xfId="0" applyFont="1" applyFill="1" applyBorder="1" applyAlignment="1">
      <alignment horizontal="center"/>
    </xf>
    <xf numFmtId="0" fontId="4" fillId="2" borderId="63" xfId="0" applyFont="1" applyFill="1" applyBorder="1" applyAlignment="1">
      <alignment horizontal="center"/>
    </xf>
    <xf numFmtId="0" fontId="4" fillId="2" borderId="64" xfId="0" applyFont="1" applyFill="1" applyBorder="1" applyAlignment="1">
      <alignment horizontal="center"/>
    </xf>
    <xf numFmtId="0" fontId="0" fillId="0" borderId="65" xfId="0" applyBorder="1"/>
    <xf numFmtId="0" fontId="11" fillId="0" borderId="66" xfId="0" applyFont="1" applyBorder="1" applyAlignment="1">
      <alignment vertical="center"/>
    </xf>
    <xf numFmtId="0" fontId="0" fillId="0" borderId="67" xfId="0" applyBorder="1"/>
    <xf numFmtId="0" fontId="11" fillId="0" borderId="8" xfId="0" applyFont="1" applyBorder="1" applyAlignment="1"/>
    <xf numFmtId="0" fontId="2" fillId="0" borderId="9" xfId="0" applyFont="1" applyBorder="1" applyAlignment="1">
      <alignment vertical="top"/>
    </xf>
    <xf numFmtId="0" fontId="8" fillId="0" borderId="6" xfId="0" applyFont="1" applyBorder="1" applyAlignment="1">
      <alignment horizontal="center" vertical="center"/>
    </xf>
    <xf numFmtId="0" fontId="8" fillId="0" borderId="68" xfId="0" applyFont="1" applyBorder="1" applyAlignment="1">
      <alignment horizontal="center" vertical="center"/>
    </xf>
    <xf numFmtId="0" fontId="7" fillId="0" borderId="8" xfId="0" applyFont="1" applyBorder="1" applyAlignment="1">
      <alignment horizontal="center" vertical="center"/>
    </xf>
    <xf numFmtId="0" fontId="8" fillId="0" borderId="6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8" fillId="0" borderId="8" xfId="0" applyFont="1" applyBorder="1" applyAlignment="1">
      <alignment horizontal="center" vertical="center"/>
    </xf>
    <xf numFmtId="0" fontId="9" fillId="0" borderId="69"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70" xfId="0" applyFont="1" applyBorder="1"/>
    <xf numFmtId="0" fontId="9" fillId="0" borderId="71" xfId="0" applyFont="1" applyBorder="1" applyAlignment="1">
      <alignment vertical="center"/>
    </xf>
    <xf numFmtId="0" fontId="9" fillId="0" borderId="72" xfId="0" applyFont="1" applyBorder="1" applyAlignment="1">
      <alignment vertical="center"/>
    </xf>
    <xf numFmtId="0" fontId="9" fillId="0" borderId="73" xfId="0" applyFont="1" applyBorder="1" applyAlignment="1">
      <alignment vertical="center"/>
    </xf>
    <xf numFmtId="0" fontId="16" fillId="0" borderId="0" xfId="0" applyFont="1"/>
    <xf numFmtId="0" fontId="9" fillId="0" borderId="9" xfId="0" applyFont="1" applyBorder="1"/>
    <xf numFmtId="0" fontId="8" fillId="0" borderId="8" xfId="0" applyFont="1" applyBorder="1" applyAlignment="1">
      <alignment vertical="center"/>
    </xf>
    <xf numFmtId="0" fontId="9" fillId="0" borderId="9" xfId="0" applyFont="1" applyBorder="1" applyAlignment="1">
      <alignment vertical="center"/>
    </xf>
    <xf numFmtId="3" fontId="9" fillId="0" borderId="7" xfId="0" applyNumberFormat="1" applyFont="1" applyBorder="1" applyAlignment="1">
      <alignment horizontal="center" vertical="center"/>
    </xf>
    <xf numFmtId="3" fontId="9" fillId="0" borderId="74" xfId="0" applyNumberFormat="1" applyFont="1" applyBorder="1" applyAlignment="1">
      <alignment horizontal="center" vertical="center"/>
    </xf>
    <xf numFmtId="3" fontId="9" fillId="0" borderId="69"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53" xfId="0" applyNumberFormat="1" applyFont="1" applyBorder="1" applyAlignment="1">
      <alignment horizontal="center" vertical="center"/>
    </xf>
    <xf numFmtId="3" fontId="9" fillId="0" borderId="75" xfId="0" applyNumberFormat="1" applyFont="1" applyBorder="1" applyAlignment="1">
      <alignment horizontal="center" vertical="center"/>
    </xf>
    <xf numFmtId="3" fontId="9" fillId="0" borderId="10" xfId="0" applyNumberFormat="1" applyFont="1" applyBorder="1" applyAlignment="1">
      <alignment horizontal="center" vertical="center"/>
    </xf>
    <xf numFmtId="3" fontId="9" fillId="0" borderId="76"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68" xfId="0" applyNumberFormat="1" applyFont="1" applyBorder="1" applyAlignment="1">
      <alignment horizontal="center" vertical="center"/>
    </xf>
    <xf numFmtId="3" fontId="9" fillId="0" borderId="77" xfId="0" applyNumberFormat="1" applyFont="1" applyBorder="1" applyAlignment="1">
      <alignment horizontal="center" vertical="center"/>
    </xf>
    <xf numFmtId="3" fontId="9" fillId="0" borderId="51" xfId="0" applyNumberFormat="1" applyFont="1" applyBorder="1" applyAlignment="1">
      <alignment horizontal="center" vertical="center"/>
    </xf>
    <xf numFmtId="3" fontId="6" fillId="0" borderId="76" xfId="0" applyNumberFormat="1" applyFont="1" applyBorder="1" applyAlignment="1">
      <alignment vertical="center"/>
    </xf>
    <xf numFmtId="0" fontId="3" fillId="0" borderId="60" xfId="0" applyFont="1" applyBorder="1" applyAlignment="1">
      <alignment vertical="center"/>
    </xf>
    <xf numFmtId="0" fontId="2" fillId="2" borderId="56" xfId="0" applyFont="1" applyFill="1" applyBorder="1" applyAlignment="1">
      <alignment horizontal="center"/>
    </xf>
    <xf numFmtId="0" fontId="2" fillId="2" borderId="10" xfId="0" applyFont="1" applyFill="1" applyBorder="1" applyAlignment="1">
      <alignment horizontal="center"/>
    </xf>
    <xf numFmtId="0" fontId="2" fillId="2" borderId="63" xfId="0" applyFont="1" applyFill="1" applyBorder="1" applyAlignment="1">
      <alignment horizontal="center"/>
    </xf>
    <xf numFmtId="0" fontId="2" fillId="2" borderId="64" xfId="0" applyFont="1" applyFill="1" applyBorder="1" applyAlignment="1">
      <alignment horizontal="center"/>
    </xf>
    <xf numFmtId="3" fontId="9" fillId="0" borderId="78" xfId="0" applyNumberFormat="1" applyFont="1" applyBorder="1" applyAlignment="1">
      <alignment horizontal="center" vertical="center"/>
    </xf>
    <xf numFmtId="0" fontId="3" fillId="0" borderId="65" xfId="0" applyFont="1" applyBorder="1"/>
    <xf numFmtId="0" fontId="6" fillId="0" borderId="66" xfId="0" applyFont="1" applyBorder="1" applyAlignment="1">
      <alignment vertical="center"/>
    </xf>
    <xf numFmtId="0" fontId="3" fillId="0" borderId="67" xfId="0" applyFont="1" applyBorder="1"/>
    <xf numFmtId="0" fontId="3" fillId="0" borderId="7" xfId="0" applyFont="1" applyBorder="1"/>
    <xf numFmtId="0" fontId="6" fillId="0" borderId="8" xfId="0" applyFont="1" applyBorder="1" applyAlignment="1"/>
    <xf numFmtId="0" fontId="3" fillId="0" borderId="0" xfId="0" applyFont="1" applyBorder="1"/>
    <xf numFmtId="0" fontId="9" fillId="0" borderId="53" xfId="0" applyFont="1" applyBorder="1"/>
    <xf numFmtId="0" fontId="3" fillId="0" borderId="10" xfId="0" applyFont="1" applyBorder="1"/>
    <xf numFmtId="4" fontId="6" fillId="0" borderId="79" xfId="0" applyNumberFormat="1" applyFont="1" applyBorder="1"/>
    <xf numFmtId="3" fontId="11" fillId="2" borderId="78" xfId="0" applyNumberFormat="1" applyFont="1" applyFill="1" applyBorder="1" applyAlignment="1">
      <alignment horizontal="center" vertical="center"/>
    </xf>
    <xf numFmtId="3" fontId="11" fillId="0" borderId="53" xfId="0" applyNumberFormat="1" applyFont="1" applyBorder="1"/>
    <xf numFmtId="0" fontId="2" fillId="0" borderId="0" xfId="0" applyFont="1" applyBorder="1" applyAlignment="1">
      <alignment vertical="center"/>
    </xf>
    <xf numFmtId="0" fontId="9" fillId="0" borderId="0" xfId="0" applyFont="1"/>
    <xf numFmtId="0" fontId="15" fillId="0" borderId="0" xfId="0" applyFont="1" applyAlignment="1">
      <alignment horizontal="left"/>
    </xf>
    <xf numFmtId="3" fontId="3" fillId="0" borderId="80" xfId="0" applyNumberFormat="1" applyFont="1" applyBorder="1"/>
    <xf numFmtId="3" fontId="9" fillId="0" borderId="0" xfId="0" applyNumberFormat="1" applyFont="1" applyBorder="1" applyAlignment="1">
      <alignment vertical="center"/>
    </xf>
    <xf numFmtId="0" fontId="17" fillId="0" borderId="0" xfId="0" applyFont="1" applyAlignment="1">
      <alignment horizontal="left"/>
    </xf>
    <xf numFmtId="0" fontId="6" fillId="0" borderId="11" xfId="0" applyFont="1" applyBorder="1" applyAlignment="1">
      <alignment vertical="center"/>
    </xf>
    <xf numFmtId="0" fontId="6" fillId="0" borderId="81" xfId="0" applyFont="1" applyBorder="1" applyAlignment="1">
      <alignment horizontal="center"/>
    </xf>
    <xf numFmtId="0" fontId="2" fillId="0" borderId="2" xfId="0" applyFont="1" applyBorder="1"/>
    <xf numFmtId="0" fontId="4" fillId="0" borderId="79" xfId="0" applyFont="1" applyBorder="1"/>
    <xf numFmtId="0" fontId="4" fillId="0" borderId="34" xfId="0" applyFont="1" applyBorder="1"/>
    <xf numFmtId="0" fontId="4" fillId="0" borderId="45" xfId="0" applyFont="1" applyBorder="1"/>
    <xf numFmtId="0" fontId="4" fillId="0" borderId="8" xfId="0" applyFont="1" applyBorder="1"/>
    <xf numFmtId="0" fontId="4" fillId="0" borderId="33" xfId="0" applyFont="1" applyBorder="1"/>
    <xf numFmtId="0" fontId="4" fillId="0" borderId="35" xfId="0" applyFont="1" applyBorder="1"/>
    <xf numFmtId="0" fontId="4" fillId="0" borderId="9" xfId="0" applyFont="1" applyBorder="1"/>
    <xf numFmtId="0" fontId="6" fillId="0" borderId="8" xfId="0" applyFont="1" applyBorder="1" applyAlignment="1">
      <alignment horizontal="center"/>
    </xf>
    <xf numFmtId="0" fontId="3" fillId="0" borderId="6" xfId="0" applyFont="1" applyBorder="1"/>
    <xf numFmtId="0" fontId="8" fillId="0" borderId="8" xfId="0" applyFont="1" applyBorder="1" applyAlignment="1">
      <alignment horizontal="left"/>
    </xf>
    <xf numFmtId="0" fontId="3" fillId="0" borderId="8" xfId="0" applyFont="1" applyBorder="1"/>
    <xf numFmtId="0" fontId="8" fillId="0" borderId="8" xfId="0" applyFont="1" applyBorder="1"/>
    <xf numFmtId="0" fontId="6" fillId="0" borderId="6" xfId="0" applyFont="1" applyBorder="1"/>
    <xf numFmtId="0" fontId="0" fillId="0" borderId="36" xfId="0" applyBorder="1"/>
    <xf numFmtId="0" fontId="8" fillId="0" borderId="16" xfId="0" applyFont="1" applyBorder="1" applyAlignment="1">
      <alignment horizontal="center"/>
    </xf>
    <xf numFmtId="0" fontId="3" fillId="2" borderId="24" xfId="0" applyFont="1" applyFill="1" applyBorder="1" applyAlignment="1">
      <alignment horizontal="center"/>
    </xf>
    <xf numFmtId="0" fontId="3" fillId="2" borderId="32" xfId="0" applyFont="1" applyFill="1" applyBorder="1" applyAlignment="1">
      <alignment horizontal="center"/>
    </xf>
    <xf numFmtId="0" fontId="0" fillId="0" borderId="16" xfId="0" applyBorder="1"/>
    <xf numFmtId="3" fontId="6" fillId="0" borderId="16" xfId="0" applyNumberFormat="1" applyFont="1" applyBorder="1"/>
    <xf numFmtId="3" fontId="6" fillId="0" borderId="34" xfId="0" applyNumberFormat="1" applyFont="1" applyBorder="1"/>
    <xf numFmtId="0" fontId="18" fillId="2" borderId="82" xfId="0" applyFont="1" applyFill="1" applyBorder="1" applyAlignment="1">
      <alignment horizontal="center"/>
    </xf>
    <xf numFmtId="0" fontId="18" fillId="0" borderId="0" xfId="0" applyFont="1" applyAlignment="1">
      <alignment horizontal="center"/>
    </xf>
    <xf numFmtId="0" fontId="14" fillId="0" borderId="46" xfId="0" applyFont="1" applyBorder="1" applyAlignment="1">
      <alignment vertical="center"/>
    </xf>
    <xf numFmtId="0" fontId="4" fillId="0" borderId="6" xfId="0" applyFont="1" applyBorder="1"/>
    <xf numFmtId="0" fontId="2" fillId="0" borderId="8" xfId="0" applyFont="1" applyBorder="1" applyAlignment="1">
      <alignment horizontal="center"/>
    </xf>
    <xf numFmtId="0" fontId="2" fillId="0" borderId="38" xfId="0" applyFont="1" applyBorder="1" applyAlignment="1">
      <alignment horizontal="center"/>
    </xf>
    <xf numFmtId="0" fontId="2" fillId="0" borderId="18" xfId="0" applyFont="1" applyBorder="1" applyAlignment="1">
      <alignment horizontal="center"/>
    </xf>
    <xf numFmtId="0" fontId="2" fillId="0" borderId="42" xfId="0" applyFont="1" applyBorder="1" applyAlignment="1">
      <alignment horizontal="center"/>
    </xf>
    <xf numFmtId="0" fontId="2" fillId="0" borderId="21" xfId="0" applyFont="1" applyBorder="1" applyAlignment="1">
      <alignment horizontal="center"/>
    </xf>
    <xf numFmtId="0" fontId="18" fillId="0" borderId="0" xfId="0" applyFont="1"/>
    <xf numFmtId="0" fontId="14" fillId="0" borderId="0" xfId="0" applyFont="1"/>
    <xf numFmtId="0" fontId="14" fillId="0" borderId="83" xfId="0" applyFont="1" applyBorder="1"/>
    <xf numFmtId="0" fontId="14" fillId="0" borderId="84" xfId="0" applyFont="1" applyBorder="1"/>
    <xf numFmtId="0" fontId="14" fillId="0" borderId="82" xfId="0" applyFont="1" applyBorder="1"/>
    <xf numFmtId="0" fontId="14" fillId="0" borderId="0" xfId="0" applyFont="1" applyBorder="1"/>
    <xf numFmtId="0" fontId="14" fillId="0" borderId="10" xfId="0" applyFont="1" applyBorder="1"/>
    <xf numFmtId="0" fontId="14" fillId="0" borderId="77" xfId="0" applyFont="1" applyBorder="1"/>
    <xf numFmtId="0" fontId="14" fillId="2" borderId="82" xfId="0" applyFont="1" applyFill="1" applyBorder="1"/>
    <xf numFmtId="0" fontId="2" fillId="0" borderId="85" xfId="0" applyFont="1" applyBorder="1" applyAlignment="1">
      <alignment horizontal="center"/>
    </xf>
    <xf numFmtId="0" fontId="2" fillId="0" borderId="40" xfId="0" applyFont="1" applyBorder="1" applyAlignment="1">
      <alignment horizontal="center"/>
    </xf>
    <xf numFmtId="0" fontId="3" fillId="3" borderId="0" xfId="0" applyFont="1" applyFill="1" applyBorder="1" applyAlignment="1">
      <alignment horizontal="center"/>
    </xf>
    <xf numFmtId="0" fontId="14" fillId="0" borderId="65" xfId="0" applyFont="1" applyBorder="1"/>
    <xf numFmtId="0" fontId="14" fillId="0" borderId="8" xfId="0" applyFont="1" applyBorder="1"/>
    <xf numFmtId="0" fontId="14" fillId="0" borderId="70" xfId="0" applyFont="1" applyBorder="1"/>
    <xf numFmtId="0" fontId="14" fillId="0" borderId="7" xfId="0" applyFont="1" applyBorder="1"/>
    <xf numFmtId="0" fontId="14" fillId="0" borderId="0" xfId="0" applyFont="1" applyBorder="1" applyAlignment="1">
      <alignment vertical="center"/>
    </xf>
    <xf numFmtId="0" fontId="14" fillId="0" borderId="83" xfId="0" applyFont="1" applyBorder="1" applyAlignment="1">
      <alignment vertical="center"/>
    </xf>
    <xf numFmtId="0" fontId="14" fillId="0" borderId="7" xfId="0" applyFont="1" applyBorder="1" applyAlignment="1">
      <alignment vertical="center"/>
    </xf>
    <xf numFmtId="0" fontId="14" fillId="0" borderId="10" xfId="0" applyFont="1" applyBorder="1" applyAlignment="1">
      <alignment vertical="center"/>
    </xf>
    <xf numFmtId="0" fontId="18" fillId="0" borderId="0" xfId="0" applyFont="1" applyBorder="1"/>
    <xf numFmtId="0" fontId="18" fillId="0" borderId="0" xfId="0" applyFont="1" applyBorder="1" applyAlignment="1">
      <alignment vertical="center"/>
    </xf>
    <xf numFmtId="0" fontId="14" fillId="0" borderId="86" xfId="0" applyFont="1" applyBorder="1"/>
    <xf numFmtId="0" fontId="14" fillId="0" borderId="84" xfId="0" applyFont="1" applyBorder="1" applyAlignment="1">
      <alignment vertical="center"/>
    </xf>
    <xf numFmtId="0" fontId="14" fillId="0" borderId="9" xfId="0" applyFont="1" applyBorder="1"/>
    <xf numFmtId="0" fontId="14" fillId="0" borderId="33" xfId="0" applyFont="1" applyBorder="1"/>
    <xf numFmtId="0" fontId="14" fillId="0" borderId="87" xfId="0" applyFont="1" applyBorder="1"/>
    <xf numFmtId="0" fontId="14" fillId="0" borderId="48" xfId="0" applyFont="1" applyBorder="1" applyAlignment="1">
      <alignment vertical="center"/>
    </xf>
    <xf numFmtId="0" fontId="14" fillId="0" borderId="28" xfId="0" applyFont="1" applyBorder="1" applyAlignment="1">
      <alignment vertical="center"/>
    </xf>
    <xf numFmtId="0" fontId="14" fillId="0" borderId="6" xfId="0" applyFont="1" applyBorder="1"/>
    <xf numFmtId="0" fontId="14" fillId="0" borderId="88" xfId="0" applyFont="1" applyBorder="1"/>
    <xf numFmtId="0" fontId="14" fillId="0" borderId="89" xfId="0" applyFont="1" applyBorder="1"/>
    <xf numFmtId="0" fontId="0" fillId="0" borderId="85" xfId="0" applyBorder="1" applyAlignment="1">
      <alignment horizontal="center"/>
    </xf>
    <xf numFmtId="0" fontId="0" fillId="0" borderId="40" xfId="0" applyBorder="1" applyAlignment="1">
      <alignment horizontal="center"/>
    </xf>
    <xf numFmtId="0" fontId="0" fillId="2" borderId="1" xfId="0" applyFill="1" applyBorder="1" applyAlignment="1">
      <alignment horizontal="center"/>
    </xf>
    <xf numFmtId="0" fontId="4"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Fill="1" applyAlignment="1">
      <alignment horizontal="right"/>
    </xf>
    <xf numFmtId="0" fontId="14" fillId="0" borderId="90" xfId="0" applyFont="1" applyBorder="1"/>
    <xf numFmtId="0" fontId="14" fillId="0" borderId="91" xfId="0" applyFont="1" applyBorder="1"/>
    <xf numFmtId="0" fontId="14" fillId="0" borderId="46" xfId="0" applyFont="1" applyFill="1" applyBorder="1"/>
    <xf numFmtId="164" fontId="14" fillId="0" borderId="87" xfId="0" applyNumberFormat="1" applyFont="1" applyBorder="1" applyAlignment="1">
      <alignment horizontal="center"/>
    </xf>
    <xf numFmtId="3" fontId="14" fillId="0" borderId="87" xfId="0" applyNumberFormat="1" applyFont="1" applyBorder="1"/>
    <xf numFmtId="0" fontId="19" fillId="0" borderId="0" xfId="0" applyFont="1" applyBorder="1" applyAlignment="1">
      <alignment vertical="center"/>
    </xf>
    <xf numFmtId="0" fontId="2" fillId="0" borderId="22" xfId="0" applyFont="1" applyBorder="1" applyAlignment="1">
      <alignment vertical="center"/>
    </xf>
    <xf numFmtId="0" fontId="7" fillId="4" borderId="0" xfId="0" applyFont="1" applyFill="1"/>
    <xf numFmtId="164" fontId="7" fillId="4" borderId="0" xfId="0" quotePrefix="1" applyNumberFormat="1" applyFont="1" applyFill="1" applyAlignment="1">
      <alignment horizontal="center"/>
    </xf>
    <xf numFmtId="164" fontId="7" fillId="0" borderId="0" xfId="0" quotePrefix="1" applyNumberFormat="1" applyFont="1" applyFill="1" applyAlignment="1">
      <alignment horizontal="center"/>
    </xf>
    <xf numFmtId="0" fontId="20" fillId="0" borderId="0" xfId="0" applyFont="1" applyAlignment="1">
      <alignment horizontal="center" vertical="center"/>
    </xf>
    <xf numFmtId="3" fontId="9" fillId="0" borderId="0" xfId="0" applyNumberFormat="1" applyFont="1" applyFill="1" applyBorder="1" applyAlignment="1">
      <alignment horizontal="center" vertical="center"/>
    </xf>
    <xf numFmtId="3" fontId="21" fillId="0" borderId="16" xfId="0" applyNumberFormat="1" applyFont="1" applyBorder="1" applyAlignment="1">
      <alignment vertical="center"/>
    </xf>
    <xf numFmtId="3" fontId="21" fillId="0" borderId="15" xfId="0" applyNumberFormat="1" applyFont="1" applyBorder="1" applyAlignment="1">
      <alignment vertical="center"/>
    </xf>
    <xf numFmtId="3" fontId="22" fillId="0" borderId="36" xfId="0" applyNumberFormat="1" applyFont="1" applyBorder="1" applyAlignment="1">
      <alignment vertical="center"/>
    </xf>
    <xf numFmtId="3" fontId="22" fillId="0" borderId="92" xfId="0" applyNumberFormat="1" applyFont="1" applyBorder="1" applyAlignment="1">
      <alignment vertical="center"/>
    </xf>
    <xf numFmtId="3" fontId="22" fillId="0" borderId="93" xfId="0" applyNumberFormat="1" applyFont="1" applyBorder="1" applyAlignment="1">
      <alignment vertical="center"/>
    </xf>
    <xf numFmtId="3" fontId="22" fillId="0" borderId="94" xfId="0" applyNumberFormat="1" applyFont="1" applyBorder="1" applyAlignment="1">
      <alignment vertical="center"/>
    </xf>
    <xf numFmtId="3" fontId="22" fillId="0" borderId="24" xfId="0" applyNumberFormat="1" applyFont="1" applyBorder="1" applyAlignment="1">
      <alignment vertical="center"/>
    </xf>
    <xf numFmtId="3" fontId="22" fillId="0" borderId="25" xfId="0" applyNumberFormat="1" applyFont="1" applyBorder="1" applyAlignment="1">
      <alignment vertical="center"/>
    </xf>
    <xf numFmtId="3" fontId="21" fillId="0" borderId="36" xfId="0" applyNumberFormat="1" applyFont="1" applyBorder="1" applyAlignment="1">
      <alignment vertical="center"/>
    </xf>
    <xf numFmtId="3" fontId="21" fillId="0" borderId="0" xfId="0" applyNumberFormat="1" applyFont="1" applyBorder="1" applyAlignment="1">
      <alignment vertical="center"/>
    </xf>
    <xf numFmtId="3" fontId="21" fillId="0" borderId="26" xfId="0" applyNumberFormat="1" applyFont="1" applyBorder="1" applyAlignment="1">
      <alignment vertical="center"/>
    </xf>
    <xf numFmtId="0" fontId="0" fillId="0" borderId="95" xfId="0" quotePrefix="1" applyBorder="1" applyAlignment="1">
      <alignment horizontal="center" vertical="center"/>
    </xf>
    <xf numFmtId="3" fontId="23" fillId="0" borderId="95" xfId="0" applyNumberFormat="1" applyFont="1" applyBorder="1" applyAlignment="1">
      <alignment vertical="center"/>
    </xf>
    <xf numFmtId="0" fontId="0" fillId="0" borderId="96" xfId="0" quotePrefix="1" applyBorder="1" applyAlignment="1">
      <alignment horizontal="center" vertical="center"/>
    </xf>
    <xf numFmtId="3" fontId="23" fillId="0" borderId="96" xfId="0" applyNumberFormat="1" applyFont="1" applyBorder="1" applyAlignment="1">
      <alignment vertical="center"/>
    </xf>
    <xf numFmtId="0" fontId="0" fillId="0" borderId="16" xfId="0" applyBorder="1" applyAlignment="1">
      <alignment horizontal="center" vertical="center"/>
    </xf>
    <xf numFmtId="3" fontId="23" fillId="0" borderId="16" xfId="0" applyNumberFormat="1" applyFont="1" applyBorder="1" applyAlignment="1">
      <alignment vertical="center"/>
    </xf>
    <xf numFmtId="3" fontId="0" fillId="0" borderId="16" xfId="0" applyNumberFormat="1" applyBorder="1" applyAlignment="1">
      <alignment vertical="center"/>
    </xf>
    <xf numFmtId="3" fontId="0" fillId="0" borderId="26" xfId="0" applyNumberFormat="1" applyBorder="1" applyAlignment="1">
      <alignment vertical="center"/>
    </xf>
    <xf numFmtId="0" fontId="0" fillId="0" borderId="20" xfId="0" quotePrefix="1" applyBorder="1" applyAlignment="1">
      <alignment horizontal="center" vertical="center"/>
    </xf>
    <xf numFmtId="3" fontId="23" fillId="0" borderId="20" xfId="0" applyNumberFormat="1" applyFont="1" applyBorder="1" applyAlignment="1">
      <alignment vertical="center"/>
    </xf>
    <xf numFmtId="0" fontId="0" fillId="0" borderId="97" xfId="0" quotePrefix="1" applyBorder="1" applyAlignment="1">
      <alignment horizontal="center" vertical="center"/>
    </xf>
    <xf numFmtId="3" fontId="23" fillId="0" borderId="97" xfId="0" applyNumberFormat="1" applyFont="1" applyBorder="1" applyAlignment="1">
      <alignment vertical="center"/>
    </xf>
    <xf numFmtId="3" fontId="23" fillId="0" borderId="98" xfId="0" applyNumberFormat="1" applyFont="1" applyBorder="1" applyAlignment="1">
      <alignment vertical="center"/>
    </xf>
    <xf numFmtId="0" fontId="0" fillId="0" borderId="93" xfId="0" quotePrefix="1" applyBorder="1" applyAlignment="1">
      <alignment horizontal="center" vertical="center"/>
    </xf>
    <xf numFmtId="3" fontId="23" fillId="0" borderId="93" xfId="0" applyNumberFormat="1" applyFont="1" applyBorder="1" applyAlignment="1">
      <alignment vertical="center"/>
    </xf>
    <xf numFmtId="0" fontId="0" fillId="0" borderId="20" xfId="0" applyBorder="1" applyAlignment="1">
      <alignment horizontal="center" vertical="center"/>
    </xf>
    <xf numFmtId="3" fontId="23" fillId="0" borderId="99" xfId="0" applyNumberFormat="1" applyFont="1" applyBorder="1" applyAlignment="1">
      <alignment vertical="center"/>
    </xf>
    <xf numFmtId="0" fontId="0" fillId="0" borderId="80" xfId="0" applyBorder="1" applyAlignment="1">
      <alignment horizontal="center" vertical="center"/>
    </xf>
    <xf numFmtId="3" fontId="23" fillId="0" borderId="80" xfId="0" applyNumberFormat="1" applyFont="1" applyBorder="1" applyAlignment="1">
      <alignment vertical="center"/>
    </xf>
    <xf numFmtId="0" fontId="0" fillId="0" borderId="0" xfId="0" applyAlignment="1">
      <alignment horizontal="center" vertical="center"/>
    </xf>
    <xf numFmtId="3" fontId="23" fillId="0" borderId="0" xfId="0" applyNumberFormat="1" applyFont="1" applyAlignment="1">
      <alignment vertical="center"/>
    </xf>
    <xf numFmtId="3" fontId="0" fillId="0" borderId="0" xfId="0" applyNumberFormat="1" applyAlignment="1">
      <alignment vertical="center"/>
    </xf>
    <xf numFmtId="0" fontId="0" fillId="0" borderId="100" xfId="0" applyBorder="1" applyAlignment="1">
      <alignment horizontal="center" vertical="center"/>
    </xf>
    <xf numFmtId="3" fontId="14" fillId="2" borderId="101" xfId="0" applyNumberFormat="1" applyFont="1" applyFill="1" applyBorder="1" applyAlignment="1">
      <alignment horizontal="center" vertical="center"/>
    </xf>
    <xf numFmtId="3" fontId="14" fillId="2" borderId="102" xfId="0" applyNumberFormat="1" applyFont="1" applyFill="1" applyBorder="1" applyAlignment="1">
      <alignment horizontal="center" vertical="center"/>
    </xf>
    <xf numFmtId="0" fontId="0" fillId="0" borderId="93" xfId="0" applyBorder="1" applyAlignment="1">
      <alignment horizontal="center" vertical="center"/>
    </xf>
    <xf numFmtId="0" fontId="0" fillId="0" borderId="24" xfId="0" applyBorder="1" applyAlignment="1">
      <alignment horizontal="center" vertical="center"/>
    </xf>
    <xf numFmtId="3" fontId="23" fillId="0" borderId="24" xfId="0" applyNumberFormat="1" applyFont="1" applyBorder="1" applyAlignment="1">
      <alignment vertical="center"/>
    </xf>
    <xf numFmtId="0" fontId="0" fillId="0" borderId="0" xfId="0" applyBorder="1" applyAlignment="1">
      <alignment horizontal="center" vertical="center"/>
    </xf>
    <xf numFmtId="3" fontId="23" fillId="0" borderId="0" xfId="0" applyNumberFormat="1" applyFont="1" applyBorder="1" applyAlignment="1">
      <alignment vertical="center"/>
    </xf>
    <xf numFmtId="3" fontId="0" fillId="0" borderId="0" xfId="0" applyNumberFormat="1" applyBorder="1" applyAlignment="1">
      <alignment vertical="center"/>
    </xf>
    <xf numFmtId="0" fontId="0" fillId="0" borderId="36" xfId="0" applyBorder="1" applyAlignment="1">
      <alignment horizontal="center" vertical="center"/>
    </xf>
    <xf numFmtId="3" fontId="23" fillId="0" borderId="36" xfId="0" applyNumberFormat="1" applyFont="1" applyBorder="1" applyAlignment="1">
      <alignment vertical="center"/>
    </xf>
    <xf numFmtId="3" fontId="0" fillId="0" borderId="36" xfId="0" applyNumberFormat="1" applyBorder="1" applyAlignment="1">
      <alignment vertical="center"/>
    </xf>
    <xf numFmtId="3" fontId="0" fillId="0" borderId="103" xfId="0" applyNumberFormat="1" applyBorder="1" applyAlignment="1">
      <alignment vertical="center"/>
    </xf>
    <xf numFmtId="3" fontId="25" fillId="0" borderId="20" xfId="0" applyNumberFormat="1" applyFont="1" applyBorder="1" applyAlignment="1">
      <alignment vertical="center"/>
    </xf>
    <xf numFmtId="3" fontId="25" fillId="0" borderId="99" xfId="0" applyNumberFormat="1" applyFont="1" applyBorder="1" applyAlignment="1">
      <alignment vertical="center"/>
    </xf>
    <xf numFmtId="0" fontId="0" fillId="0" borderId="14" xfId="0" applyBorder="1" applyAlignment="1">
      <alignment horizontal="center" vertical="center"/>
    </xf>
    <xf numFmtId="3" fontId="23" fillId="0" borderId="14" xfId="0" applyNumberFormat="1" applyFont="1" applyBorder="1" applyAlignment="1">
      <alignment vertical="center"/>
    </xf>
    <xf numFmtId="3" fontId="0" fillId="0" borderId="14" xfId="0" applyNumberFormat="1" applyBorder="1" applyAlignment="1">
      <alignment vertical="center"/>
    </xf>
    <xf numFmtId="3" fontId="0" fillId="0" borderId="104" xfId="0" applyNumberFormat="1" applyBorder="1" applyAlignment="1">
      <alignment vertical="center"/>
    </xf>
    <xf numFmtId="0" fontId="0" fillId="0" borderId="101" xfId="0" applyBorder="1" applyAlignment="1">
      <alignment horizontal="center" vertical="center"/>
    </xf>
    <xf numFmtId="3" fontId="23" fillId="0" borderId="101" xfId="0" applyNumberFormat="1" applyFont="1" applyBorder="1" applyAlignment="1">
      <alignment vertical="center"/>
    </xf>
    <xf numFmtId="0" fontId="0" fillId="0" borderId="105" xfId="0" applyBorder="1" applyAlignment="1">
      <alignment horizontal="center" vertical="center"/>
    </xf>
    <xf numFmtId="3" fontId="23" fillId="0" borderId="105" xfId="0" applyNumberFormat="1" applyFont="1" applyBorder="1" applyAlignment="1">
      <alignment vertical="center"/>
    </xf>
    <xf numFmtId="0" fontId="0" fillId="0" borderId="96" xfId="0" applyBorder="1" applyAlignment="1">
      <alignment horizontal="center" vertical="center"/>
    </xf>
    <xf numFmtId="3" fontId="25" fillId="0" borderId="98" xfId="0" applyNumberFormat="1" applyFont="1" applyBorder="1" applyAlignment="1">
      <alignment vertical="center"/>
    </xf>
    <xf numFmtId="3" fontId="23" fillId="0" borderId="102" xfId="0" applyNumberFormat="1" applyFont="1" applyBorder="1" applyAlignment="1">
      <alignment vertical="center"/>
    </xf>
    <xf numFmtId="0" fontId="14" fillId="4" borderId="0" xfId="0" applyFont="1" applyFill="1"/>
    <xf numFmtId="164" fontId="7" fillId="4" borderId="0" xfId="0" quotePrefix="1" applyNumberFormat="1" applyFont="1" applyFill="1" applyAlignment="1">
      <alignment horizontal="center" vertical="center"/>
    </xf>
    <xf numFmtId="3" fontId="27" fillId="0" borderId="16" xfId="0" applyNumberFormat="1" applyFont="1" applyBorder="1"/>
    <xf numFmtId="3" fontId="28" fillId="0" borderId="36" xfId="0" applyNumberFormat="1" applyFont="1" applyBorder="1"/>
    <xf numFmtId="3" fontId="28" fillId="0" borderId="29" xfId="0" applyNumberFormat="1" applyFont="1" applyBorder="1"/>
    <xf numFmtId="3" fontId="27" fillId="0" borderId="34" xfId="0" applyNumberFormat="1" applyFont="1" applyBorder="1"/>
    <xf numFmtId="0" fontId="0" fillId="0" borderId="16" xfId="0" applyBorder="1" applyAlignment="1">
      <alignment horizontal="center"/>
    </xf>
    <xf numFmtId="3" fontId="29" fillId="0" borderId="93" xfId="0" applyNumberFormat="1" applyFont="1" applyBorder="1"/>
    <xf numFmtId="3" fontId="29" fillId="0" borderId="106" xfId="0" applyNumberFormat="1" applyFont="1" applyBorder="1"/>
    <xf numFmtId="3" fontId="29" fillId="0" borderId="105" xfId="0" applyNumberFormat="1" applyFont="1" applyBorder="1"/>
    <xf numFmtId="3" fontId="29" fillId="0" borderId="107" xfId="0" applyNumberFormat="1" applyFont="1" applyBorder="1"/>
    <xf numFmtId="3" fontId="29" fillId="0" borderId="80" xfId="0" applyNumberFormat="1" applyFont="1" applyBorder="1"/>
    <xf numFmtId="3" fontId="29" fillId="0" borderId="79" xfId="0" applyNumberFormat="1" applyFont="1" applyBorder="1"/>
    <xf numFmtId="0" fontId="30" fillId="0" borderId="0" xfId="0" applyFont="1" applyAlignment="1">
      <alignment horizontal="center" vertical="center"/>
    </xf>
    <xf numFmtId="3" fontId="29" fillId="0" borderId="0" xfId="0" applyNumberFormat="1" applyFont="1" applyFill="1" applyBorder="1"/>
    <xf numFmtId="3" fontId="31" fillId="0" borderId="108" xfId="0" applyNumberFormat="1" applyFont="1" applyBorder="1"/>
    <xf numFmtId="4" fontId="31" fillId="0" borderId="109" xfId="0" applyNumberFormat="1" applyFont="1" applyBorder="1"/>
    <xf numFmtId="3" fontId="31" fillId="0" borderId="85" xfId="0" applyNumberFormat="1" applyFont="1" applyBorder="1"/>
    <xf numFmtId="4" fontId="31" fillId="0" borderId="36" xfId="0" applyNumberFormat="1" applyFont="1" applyBorder="1"/>
    <xf numFmtId="3" fontId="31" fillId="0" borderId="36" xfId="0" applyNumberFormat="1" applyFont="1" applyBorder="1"/>
    <xf numFmtId="4" fontId="31" fillId="0" borderId="29" xfId="0" applyNumberFormat="1" applyFont="1" applyBorder="1"/>
    <xf numFmtId="0" fontId="32" fillId="0" borderId="0" xfId="0" applyFont="1" applyAlignment="1">
      <alignment horizontal="center" vertical="center"/>
    </xf>
    <xf numFmtId="3" fontId="27" fillId="0" borderId="52" xfId="0" applyNumberFormat="1" applyFont="1" applyBorder="1" applyAlignment="1">
      <alignment vertical="center"/>
    </xf>
    <xf numFmtId="3" fontId="27" fillId="0" borderId="53" xfId="0" applyNumberFormat="1" applyFont="1" applyBorder="1" applyAlignment="1">
      <alignment vertical="center"/>
    </xf>
    <xf numFmtId="166" fontId="22" fillId="0" borderId="76" xfId="0" applyNumberFormat="1" applyFont="1" applyBorder="1"/>
    <xf numFmtId="3" fontId="22" fillId="0" borderId="110" xfId="0" applyNumberFormat="1" applyFont="1" applyBorder="1" applyAlignment="1">
      <alignment vertical="center"/>
    </xf>
    <xf numFmtId="3" fontId="22" fillId="0" borderId="111" xfId="0" applyNumberFormat="1" applyFont="1" applyBorder="1" applyAlignment="1">
      <alignment vertical="center"/>
    </xf>
    <xf numFmtId="3" fontId="22" fillId="0" borderId="112" xfId="0" applyNumberFormat="1" applyFont="1" applyBorder="1" applyAlignment="1">
      <alignment vertical="center"/>
    </xf>
    <xf numFmtId="164" fontId="9" fillId="4" borderId="0" xfId="0" quotePrefix="1" applyNumberFormat="1" applyFont="1" applyFill="1" applyAlignment="1">
      <alignment horizontal="center" vertical="center"/>
    </xf>
    <xf numFmtId="0" fontId="33" fillId="0" borderId="29" xfId="0" applyFont="1" applyBorder="1"/>
    <xf numFmtId="3" fontId="27" fillId="0" borderId="36" xfId="0" applyNumberFormat="1" applyFont="1" applyBorder="1"/>
    <xf numFmtId="4" fontId="27" fillId="0" borderId="29" xfId="0" applyNumberFormat="1" applyFont="1" applyBorder="1"/>
    <xf numFmtId="3" fontId="29" fillId="0" borderId="101" xfId="0" applyNumberFormat="1" applyFont="1" applyBorder="1"/>
    <xf numFmtId="4" fontId="29" fillId="0" borderId="113" xfId="0" applyNumberFormat="1" applyFont="1" applyBorder="1"/>
    <xf numFmtId="4" fontId="29" fillId="0" borderId="106" xfId="0" applyNumberFormat="1" applyFont="1" applyBorder="1"/>
    <xf numFmtId="3" fontId="29" fillId="0" borderId="24" xfId="0" applyNumberFormat="1" applyFont="1" applyBorder="1"/>
    <xf numFmtId="4" fontId="29" fillId="0" borderId="32" xfId="0" applyNumberFormat="1" applyFont="1" applyBorder="1"/>
    <xf numFmtId="3" fontId="35" fillId="0" borderId="110" xfId="0" applyNumberFormat="1" applyFont="1" applyBorder="1" applyAlignment="1">
      <alignment vertical="center"/>
    </xf>
    <xf numFmtId="3" fontId="35" fillId="0" borderId="111" xfId="0" applyNumberFormat="1" applyFont="1" applyBorder="1" applyAlignment="1">
      <alignment vertical="center"/>
    </xf>
    <xf numFmtId="3" fontId="35" fillId="0" borderId="114" xfId="0" applyNumberFormat="1" applyFont="1" applyBorder="1" applyAlignment="1">
      <alignment vertical="center"/>
    </xf>
    <xf numFmtId="0" fontId="0" fillId="0" borderId="0" xfId="0" quotePrefix="1"/>
    <xf numFmtId="166" fontId="35" fillId="0" borderId="76" xfId="0" quotePrefix="1" applyNumberFormat="1" applyFont="1" applyBorder="1"/>
    <xf numFmtId="3" fontId="22" fillId="0" borderId="115" xfId="0" applyNumberFormat="1" applyFont="1" applyBorder="1" applyAlignment="1">
      <alignment horizontal="center" vertical="center"/>
    </xf>
    <xf numFmtId="3" fontId="22" fillId="0" borderId="116" xfId="0" applyNumberFormat="1" applyFont="1" applyBorder="1" applyAlignment="1">
      <alignment horizontal="center" vertical="center"/>
    </xf>
    <xf numFmtId="3" fontId="22" fillId="0" borderId="117" xfId="0" applyNumberFormat="1" applyFont="1" applyBorder="1" applyAlignment="1">
      <alignment horizontal="center" vertical="center"/>
    </xf>
    <xf numFmtId="3" fontId="22" fillId="0" borderId="118" xfId="0" applyNumberFormat="1" applyFont="1" applyBorder="1" applyAlignment="1">
      <alignment horizontal="center" vertical="center"/>
    </xf>
    <xf numFmtId="3" fontId="22" fillId="0" borderId="119" xfId="0" applyNumberFormat="1" applyFont="1" applyBorder="1" applyAlignment="1">
      <alignment horizontal="center" vertical="center"/>
    </xf>
    <xf numFmtId="3" fontId="22" fillId="0" borderId="69" xfId="0" applyNumberFormat="1" applyFont="1" applyBorder="1" applyAlignment="1">
      <alignment horizontal="center" vertical="center"/>
    </xf>
    <xf numFmtId="3" fontId="22" fillId="0" borderId="0" xfId="0" applyNumberFormat="1" applyFont="1" applyBorder="1" applyAlignment="1">
      <alignment horizontal="center" vertical="center"/>
    </xf>
    <xf numFmtId="3" fontId="22" fillId="0" borderId="53" xfId="0" applyNumberFormat="1" applyFont="1" applyBorder="1" applyAlignment="1">
      <alignment horizontal="center" vertical="center"/>
    </xf>
    <xf numFmtId="3" fontId="22" fillId="0" borderId="120" xfId="0" applyNumberFormat="1" applyFont="1" applyBorder="1" applyAlignment="1">
      <alignment horizontal="center" vertical="center"/>
    </xf>
    <xf numFmtId="3" fontId="22" fillId="0" borderId="121" xfId="0" applyNumberFormat="1" applyFont="1" applyBorder="1" applyAlignment="1">
      <alignment horizontal="center" vertical="center"/>
    </xf>
    <xf numFmtId="3" fontId="22" fillId="0" borderId="122" xfId="0" applyNumberFormat="1" applyFont="1" applyBorder="1" applyAlignment="1">
      <alignment horizontal="center" vertical="center"/>
    </xf>
    <xf numFmtId="3" fontId="22" fillId="0" borderId="123" xfId="0" applyNumberFormat="1" applyFont="1" applyBorder="1" applyAlignment="1">
      <alignment horizontal="center" vertical="center"/>
    </xf>
    <xf numFmtId="3" fontId="22" fillId="0" borderId="124" xfId="0" applyNumberFormat="1" applyFont="1" applyBorder="1" applyAlignment="1">
      <alignment horizontal="center" vertical="center"/>
    </xf>
    <xf numFmtId="3" fontId="22" fillId="0" borderId="75" xfId="0" applyNumberFormat="1" applyFont="1" applyBorder="1" applyAlignment="1">
      <alignment horizontal="center" vertical="center"/>
    </xf>
    <xf numFmtId="3" fontId="22" fillId="0" borderId="10" xfId="0" applyNumberFormat="1" applyFont="1" applyBorder="1" applyAlignment="1">
      <alignment horizontal="center" vertical="center"/>
    </xf>
    <xf numFmtId="3" fontId="22" fillId="0" borderId="76" xfId="0" applyNumberFormat="1" applyFont="1" applyBorder="1" applyAlignment="1">
      <alignment horizontal="center" vertical="center"/>
    </xf>
    <xf numFmtId="3" fontId="0" fillId="0" borderId="26" xfId="0" applyNumberFormat="1" applyBorder="1" applyAlignment="1">
      <alignment horizontal="center" vertical="center"/>
    </xf>
    <xf numFmtId="3" fontId="23" fillId="0" borderId="16" xfId="0" applyNumberFormat="1" applyFont="1" applyBorder="1" applyAlignment="1">
      <alignment horizontal="center" vertical="center"/>
    </xf>
    <xf numFmtId="3" fontId="37" fillId="0" borderId="16" xfId="0" applyNumberFormat="1" applyFont="1" applyBorder="1" applyAlignment="1">
      <alignment horizontal="center" vertical="center"/>
    </xf>
    <xf numFmtId="3" fontId="26" fillId="0" borderId="20" xfId="0" applyNumberFormat="1" applyFont="1" applyBorder="1" applyAlignment="1">
      <alignment vertical="center"/>
    </xf>
    <xf numFmtId="3" fontId="26" fillId="0" borderId="99" xfId="0" applyNumberFormat="1" applyFont="1" applyBorder="1" applyAlignment="1">
      <alignment vertical="center"/>
    </xf>
    <xf numFmtId="3" fontId="26" fillId="0" borderId="93" xfId="0" applyNumberFormat="1" applyFont="1" applyBorder="1" applyAlignment="1">
      <alignment vertical="center"/>
    </xf>
    <xf numFmtId="3" fontId="26" fillId="0" borderId="125" xfId="0" applyNumberFormat="1" applyFont="1" applyBorder="1" applyAlignment="1">
      <alignment vertical="center"/>
    </xf>
    <xf numFmtId="3" fontId="26" fillId="0" borderId="126" xfId="0" applyNumberFormat="1" applyFont="1" applyBorder="1" applyAlignment="1">
      <alignment vertical="center"/>
    </xf>
    <xf numFmtId="3" fontId="26" fillId="0" borderId="80" xfId="0" applyNumberFormat="1" applyFont="1" applyBorder="1" applyAlignment="1">
      <alignment vertical="center"/>
    </xf>
    <xf numFmtId="3" fontId="26" fillId="0" borderId="64" xfId="0" applyNumberFormat="1" applyFont="1" applyBorder="1" applyAlignment="1">
      <alignment vertical="center"/>
    </xf>
    <xf numFmtId="3" fontId="37" fillId="0" borderId="26" xfId="0" applyNumberFormat="1" applyFont="1" applyBorder="1" applyAlignment="1">
      <alignment horizontal="center" vertical="center"/>
    </xf>
    <xf numFmtId="3" fontId="38" fillId="0" borderId="16" xfId="0" applyNumberFormat="1" applyFont="1" applyBorder="1"/>
    <xf numFmtId="3" fontId="38" fillId="0" borderId="15" xfId="0" applyNumberFormat="1" applyFont="1" applyBorder="1"/>
    <xf numFmtId="0" fontId="39" fillId="0" borderId="16" xfId="0" applyFont="1" applyBorder="1" applyAlignment="1">
      <alignment horizontal="center"/>
    </xf>
    <xf numFmtId="3" fontId="40" fillId="0" borderId="0" xfId="0" applyNumberFormat="1" applyFont="1"/>
    <xf numFmtId="0" fontId="40" fillId="0" borderId="0" xfId="0" applyFont="1"/>
    <xf numFmtId="3" fontId="41" fillId="0" borderId="110" xfId="0" applyNumberFormat="1" applyFont="1" applyBorder="1" applyAlignment="1">
      <alignment vertical="center"/>
    </xf>
    <xf numFmtId="3" fontId="42" fillId="0" borderId="0" xfId="0" applyNumberFormat="1" applyFont="1" applyAlignment="1">
      <alignment horizontal="center" vertical="center"/>
    </xf>
    <xf numFmtId="0" fontId="43" fillId="0" borderId="0" xfId="0" applyFont="1"/>
    <xf numFmtId="4" fontId="16" fillId="0" borderId="0" xfId="0" applyNumberFormat="1" applyFont="1"/>
    <xf numFmtId="3" fontId="36" fillId="0" borderId="0" xfId="0" applyNumberFormat="1" applyFont="1" applyFill="1" applyBorder="1" applyAlignment="1">
      <alignment vertical="center"/>
    </xf>
    <xf numFmtId="3" fontId="42" fillId="0" borderId="0" xfId="0" applyNumberFormat="1" applyFont="1" applyBorder="1" applyAlignment="1">
      <alignment vertical="center"/>
    </xf>
    <xf numFmtId="3" fontId="44" fillId="0" borderId="0" xfId="0" applyNumberFormat="1" applyFont="1" applyBorder="1" applyAlignment="1">
      <alignment vertical="center"/>
    </xf>
    <xf numFmtId="180" fontId="16" fillId="0" borderId="0" xfId="0" applyNumberFormat="1" applyFont="1"/>
    <xf numFmtId="3" fontId="42" fillId="0" borderId="0" xfId="0" applyNumberFormat="1" applyFont="1"/>
    <xf numFmtId="0" fontId="3" fillId="0" borderId="0" xfId="0" applyFont="1" applyAlignment="1">
      <alignment horizontal="centerContinuous"/>
    </xf>
    <xf numFmtId="0" fontId="3" fillId="0" borderId="127" xfId="0" applyFont="1" applyBorder="1"/>
    <xf numFmtId="0" fontId="3" fillId="0" borderId="81" xfId="0" applyFont="1" applyBorder="1"/>
    <xf numFmtId="0" fontId="3" fillId="0" borderId="128" xfId="0" applyFont="1" applyBorder="1" applyAlignment="1">
      <alignment horizontal="center"/>
    </xf>
    <xf numFmtId="0" fontId="45" fillId="0" borderId="3" xfId="0" applyFont="1" applyBorder="1"/>
    <xf numFmtId="0" fontId="45" fillId="0" borderId="129" xfId="0" applyFont="1" applyBorder="1"/>
    <xf numFmtId="0" fontId="45" fillId="0" borderId="130" xfId="0" applyFont="1" applyBorder="1" applyAlignment="1">
      <alignment horizontal="center" vertical="center" wrapText="1"/>
    </xf>
    <xf numFmtId="0" fontId="45" fillId="0" borderId="93" xfId="0" applyFont="1" applyBorder="1" applyAlignment="1">
      <alignment horizontal="center" vertical="center" wrapText="1"/>
    </xf>
    <xf numFmtId="0" fontId="45" fillId="0" borderId="131" xfId="0" applyFont="1" applyBorder="1" applyAlignment="1">
      <alignment horizontal="center" vertical="center" wrapText="1"/>
    </xf>
    <xf numFmtId="0" fontId="45" fillId="0" borderId="132" xfId="0" applyFont="1" applyBorder="1" applyAlignment="1">
      <alignment horizontal="center" vertical="center" wrapText="1"/>
    </xf>
    <xf numFmtId="0" fontId="45" fillId="0" borderId="133" xfId="0" applyFont="1" applyBorder="1" applyAlignment="1">
      <alignment horizontal="center" vertical="center" wrapText="1"/>
    </xf>
    <xf numFmtId="0" fontId="45" fillId="0" borderId="106" xfId="0" applyFont="1" applyBorder="1" applyAlignment="1">
      <alignment horizontal="center" vertical="center" wrapText="1"/>
    </xf>
    <xf numFmtId="0" fontId="47" fillId="2" borderId="31" xfId="0" applyFont="1" applyFill="1" applyBorder="1" applyAlignment="1">
      <alignment horizontal="center"/>
    </xf>
    <xf numFmtId="0" fontId="47" fillId="2" borderId="134" xfId="0" applyFont="1" applyFill="1" applyBorder="1" applyAlignment="1">
      <alignment horizontal="center"/>
    </xf>
    <xf numFmtId="0" fontId="47" fillId="2" borderId="43" xfId="0" applyFont="1" applyFill="1" applyBorder="1" applyAlignment="1">
      <alignment horizontal="center"/>
    </xf>
    <xf numFmtId="0" fontId="47" fillId="2" borderId="24" xfId="0" applyFont="1" applyFill="1" applyBorder="1" applyAlignment="1">
      <alignment horizontal="center"/>
    </xf>
    <xf numFmtId="0" fontId="47" fillId="2" borderId="44" xfId="0" applyFont="1" applyFill="1" applyBorder="1" applyAlignment="1">
      <alignment horizontal="center"/>
    </xf>
    <xf numFmtId="0" fontId="47" fillId="2" borderId="1" xfId="0" applyFont="1" applyFill="1" applyBorder="1" applyAlignment="1">
      <alignment horizontal="center"/>
    </xf>
    <xf numFmtId="0" fontId="47" fillId="2" borderId="32" xfId="0" applyFont="1" applyFill="1" applyBorder="1" applyAlignment="1">
      <alignment horizontal="center"/>
    </xf>
    <xf numFmtId="0" fontId="47" fillId="2" borderId="4" xfId="0" applyFont="1" applyFill="1" applyBorder="1" applyAlignment="1">
      <alignment horizontal="center"/>
    </xf>
    <xf numFmtId="0" fontId="3" fillId="0" borderId="135" xfId="0" applyFont="1" applyBorder="1"/>
    <xf numFmtId="165" fontId="3" fillId="0" borderId="136" xfId="0" applyNumberFormat="1" applyFont="1" applyBorder="1"/>
    <xf numFmtId="165" fontId="3" fillId="0" borderId="101" xfId="0" applyNumberFormat="1" applyFont="1" applyBorder="1"/>
    <xf numFmtId="165" fontId="3" fillId="0" borderId="137" xfId="0" applyNumberFormat="1" applyFont="1" applyBorder="1"/>
    <xf numFmtId="165" fontId="3" fillId="0" borderId="135" xfId="0" applyNumberFormat="1" applyFont="1" applyBorder="1"/>
    <xf numFmtId="165" fontId="3" fillId="0" borderId="113" xfId="0" applyNumberFormat="1" applyFont="1" applyBorder="1"/>
    <xf numFmtId="0" fontId="3" fillId="0" borderId="133" xfId="0" applyFont="1" applyBorder="1"/>
    <xf numFmtId="165" fontId="3" fillId="0" borderId="130" xfId="0" applyNumberFormat="1" applyFont="1" applyBorder="1"/>
    <xf numFmtId="165" fontId="3" fillId="0" borderId="93" xfId="0" applyNumberFormat="1" applyFont="1" applyBorder="1"/>
    <xf numFmtId="165" fontId="3" fillId="0" borderId="131" xfId="0" applyNumberFormat="1" applyFont="1" applyBorder="1"/>
    <xf numFmtId="165" fontId="3" fillId="0" borderId="133" xfId="0" applyNumberFormat="1" applyFont="1" applyBorder="1"/>
    <xf numFmtId="165" fontId="3" fillId="0" borderId="106" xfId="0" applyNumberFormat="1" applyFont="1" applyBorder="1"/>
    <xf numFmtId="0" fontId="2" fillId="0" borderId="54" xfId="0" applyFont="1" applyBorder="1"/>
    <xf numFmtId="0" fontId="2" fillId="0" borderId="138" xfId="0" applyFont="1" applyBorder="1"/>
    <xf numFmtId="165" fontId="48" fillId="0" borderId="136" xfId="0" applyNumberFormat="1" applyFont="1" applyBorder="1"/>
    <xf numFmtId="165" fontId="48" fillId="0" borderId="101" xfId="0" applyNumberFormat="1" applyFont="1" applyBorder="1"/>
    <xf numFmtId="165" fontId="48" fillId="0" borderId="137" xfId="0" applyNumberFormat="1" applyFont="1" applyBorder="1"/>
    <xf numFmtId="165" fontId="48" fillId="0" borderId="130" xfId="0" applyNumberFormat="1" applyFont="1" applyBorder="1"/>
    <xf numFmtId="165" fontId="48" fillId="0" borderId="93" xfId="0" applyNumberFormat="1" applyFont="1" applyBorder="1"/>
    <xf numFmtId="165" fontId="48" fillId="0" borderId="131" xfId="0" applyNumberFormat="1" applyFont="1" applyBorder="1"/>
    <xf numFmtId="165" fontId="49" fillId="0" borderId="139" xfId="0" applyNumberFormat="1" applyFont="1" applyBorder="1"/>
    <xf numFmtId="165" fontId="49" fillId="0" borderId="140" xfId="0" applyNumberFormat="1" applyFont="1" applyBorder="1"/>
    <xf numFmtId="165" fontId="49" fillId="0" borderId="141" xfId="0" applyNumberFormat="1" applyFont="1" applyBorder="1"/>
    <xf numFmtId="165" fontId="49" fillId="0" borderId="142" xfId="0" applyNumberFormat="1" applyFont="1" applyBorder="1"/>
    <xf numFmtId="165" fontId="49" fillId="0" borderId="143" xfId="0" applyNumberFormat="1" applyFont="1" applyBorder="1"/>
    <xf numFmtId="165" fontId="48" fillId="0" borderId="113" xfId="0" applyNumberFormat="1" applyFont="1" applyBorder="1"/>
    <xf numFmtId="165" fontId="48" fillId="0" borderId="106" xfId="0" applyNumberFormat="1" applyFont="1" applyBorder="1"/>
    <xf numFmtId="0" fontId="3" fillId="0" borderId="0" xfId="0" applyFont="1" applyAlignment="1">
      <alignment horizontal="center"/>
    </xf>
    <xf numFmtId="164" fontId="5" fillId="0" borderId="47" xfId="0" applyNumberFormat="1" applyFont="1" applyBorder="1" applyAlignment="1">
      <alignment horizontal="center"/>
    </xf>
    <xf numFmtId="164" fontId="5" fillId="0" borderId="49" xfId="0" applyNumberFormat="1" applyFont="1" applyBorder="1" applyAlignment="1">
      <alignment horizontal="center"/>
    </xf>
    <xf numFmtId="0" fontId="5" fillId="0" borderId="49" xfId="0" applyFont="1" applyBorder="1" applyAlignment="1">
      <alignment horizontal="center"/>
    </xf>
    <xf numFmtId="0" fontId="47" fillId="2" borderId="144" xfId="0" applyFont="1" applyFill="1" applyBorder="1" applyAlignment="1">
      <alignment horizontal="center"/>
    </xf>
    <xf numFmtId="0" fontId="3" fillId="0" borderId="145" xfId="0" applyFont="1" applyBorder="1" applyAlignment="1">
      <alignment horizontal="center"/>
    </xf>
    <xf numFmtId="0" fontId="47" fillId="2" borderId="80" xfId="0" applyFont="1" applyFill="1" applyBorder="1" applyAlignment="1">
      <alignment horizontal="center"/>
    </xf>
    <xf numFmtId="0" fontId="47" fillId="2" borderId="146" xfId="0" applyFont="1" applyFill="1" applyBorder="1" applyAlignment="1">
      <alignment horizontal="center"/>
    </xf>
    <xf numFmtId="0" fontId="47" fillId="2" borderId="147" xfId="0" applyFont="1" applyFill="1" applyBorder="1" applyAlignment="1">
      <alignment horizontal="center"/>
    </xf>
    <xf numFmtId="0" fontId="3" fillId="0" borderId="13" xfId="0" applyFont="1" applyBorder="1" applyAlignment="1">
      <alignment horizontal="center"/>
    </xf>
    <xf numFmtId="165" fontId="3" fillId="0" borderId="87" xfId="0" applyNumberFormat="1" applyFont="1" applyBorder="1"/>
    <xf numFmtId="165" fontId="3" fillId="0" borderId="84" xfId="0" applyNumberFormat="1" applyFont="1" applyBorder="1"/>
    <xf numFmtId="165" fontId="3" fillId="0" borderId="132" xfId="0" applyNumberFormat="1" applyFont="1" applyBorder="1"/>
    <xf numFmtId="3" fontId="3" fillId="0" borderId="148" xfId="0" applyNumberFormat="1" applyFont="1" applyBorder="1"/>
    <xf numFmtId="3" fontId="48" fillId="0" borderId="55" xfId="0" applyNumberFormat="1" applyFont="1" applyBorder="1" applyAlignment="1">
      <alignment vertical="center"/>
    </xf>
    <xf numFmtId="3" fontId="48" fillId="0" borderId="139" xfId="0" applyNumberFormat="1" applyFont="1" applyBorder="1" applyAlignment="1">
      <alignment vertical="center"/>
    </xf>
    <xf numFmtId="3" fontId="48" fillId="0" borderId="140" xfId="0" applyNumberFormat="1" applyFont="1" applyBorder="1" applyAlignment="1">
      <alignment vertical="center"/>
    </xf>
    <xf numFmtId="3" fontId="48" fillId="0" borderId="142" xfId="0" applyNumberFormat="1" applyFont="1" applyBorder="1" applyAlignment="1">
      <alignment vertical="center"/>
    </xf>
    <xf numFmtId="3" fontId="48" fillId="0" borderId="141" xfId="0" applyNumberFormat="1" applyFont="1" applyBorder="1" applyAlignment="1">
      <alignment vertical="center"/>
    </xf>
    <xf numFmtId="3" fontId="48" fillId="0" borderId="149" xfId="0" applyNumberFormat="1" applyFont="1" applyBorder="1" applyAlignment="1">
      <alignment vertical="center"/>
    </xf>
    <xf numFmtId="3" fontId="48" fillId="0" borderId="143" xfId="0" applyNumberFormat="1" applyFont="1" applyBorder="1" applyAlignment="1">
      <alignment vertical="center"/>
    </xf>
    <xf numFmtId="3" fontId="3" fillId="0" borderId="150" xfId="0" applyNumberFormat="1" applyFont="1" applyBorder="1"/>
    <xf numFmtId="165" fontId="48" fillId="0" borderId="87" xfId="0" applyNumberFormat="1" applyFont="1" applyBorder="1"/>
    <xf numFmtId="165" fontId="48" fillId="0" borderId="84" xfId="0" applyNumberFormat="1" applyFont="1" applyBorder="1"/>
    <xf numFmtId="165" fontId="48" fillId="0" borderId="132" xfId="0" applyNumberFormat="1" applyFont="1" applyBorder="1"/>
    <xf numFmtId="3" fontId="44" fillId="0" borderId="0" xfId="0" applyNumberFormat="1" applyFont="1" applyBorder="1" applyAlignment="1">
      <alignment horizontal="center" vertical="center"/>
    </xf>
    <xf numFmtId="3" fontId="20" fillId="0" borderId="0" xfId="0" applyNumberFormat="1" applyFont="1" applyAlignment="1">
      <alignment vertical="center"/>
    </xf>
    <xf numFmtId="0" fontId="45" fillId="0" borderId="151" xfId="0" quotePrefix="1" applyFont="1" applyBorder="1" applyAlignment="1">
      <alignment horizontal="center"/>
    </xf>
    <xf numFmtId="3" fontId="48" fillId="0" borderId="148" xfId="0" applyNumberFormat="1" applyFont="1" applyBorder="1"/>
    <xf numFmtId="3" fontId="48" fillId="0" borderId="150" xfId="0" applyNumberFormat="1" applyFont="1" applyBorder="1"/>
    <xf numFmtId="0" fontId="47" fillId="2" borderId="152" xfId="0" applyFont="1" applyFill="1" applyBorder="1" applyAlignment="1">
      <alignment horizontal="center"/>
    </xf>
    <xf numFmtId="165" fontId="3" fillId="0" borderId="100" xfId="0" applyNumberFormat="1" applyFont="1" applyBorder="1"/>
    <xf numFmtId="165" fontId="49" fillId="0" borderId="149" xfId="0" applyNumberFormat="1" applyFont="1" applyBorder="1"/>
    <xf numFmtId="0" fontId="47" fillId="2" borderId="63" xfId="0" applyFont="1" applyFill="1" applyBorder="1" applyAlignment="1">
      <alignment horizontal="center"/>
    </xf>
    <xf numFmtId="165" fontId="3" fillId="0" borderId="148" xfId="0" applyNumberFormat="1" applyFont="1" applyBorder="1"/>
    <xf numFmtId="165" fontId="49" fillId="0" borderId="55" xfId="0" applyNumberFormat="1" applyFont="1" applyBorder="1"/>
    <xf numFmtId="0" fontId="47" fillId="2" borderId="153" xfId="0" applyFont="1" applyFill="1" applyBorder="1" applyAlignment="1">
      <alignment horizontal="center"/>
    </xf>
    <xf numFmtId="0" fontId="47" fillId="2" borderId="64" xfId="0" applyFont="1" applyFill="1" applyBorder="1" applyAlignment="1">
      <alignment horizontal="center"/>
    </xf>
    <xf numFmtId="178" fontId="49" fillId="0" borderId="55" xfId="0" applyNumberFormat="1" applyFont="1" applyBorder="1"/>
    <xf numFmtId="178" fontId="48" fillId="0" borderId="148" xfId="0" applyNumberFormat="1" applyFont="1" applyBorder="1"/>
    <xf numFmtId="178" fontId="48" fillId="0" borderId="150" xfId="0" applyNumberFormat="1" applyFont="1" applyBorder="1"/>
    <xf numFmtId="178" fontId="49" fillId="0" borderId="78" xfId="0" applyNumberFormat="1" applyFont="1" applyBorder="1"/>
    <xf numFmtId="178" fontId="48" fillId="0" borderId="102" xfId="0" applyNumberFormat="1" applyFont="1" applyBorder="1"/>
    <xf numFmtId="178" fontId="48" fillId="0" borderId="125" xfId="0" applyNumberFormat="1" applyFont="1" applyBorder="1"/>
    <xf numFmtId="0" fontId="2" fillId="0" borderId="0" xfId="0" applyFont="1" applyAlignment="1"/>
    <xf numFmtId="0" fontId="3" fillId="0" borderId="109" xfId="0" applyFont="1" applyBorder="1"/>
    <xf numFmtId="0" fontId="3" fillId="0" borderId="39" xfId="0" applyFont="1" applyBorder="1" applyAlignment="1">
      <alignment horizontal="center"/>
    </xf>
    <xf numFmtId="0" fontId="45" fillId="0" borderId="41" xfId="0" applyFont="1" applyBorder="1"/>
    <xf numFmtId="0" fontId="3" fillId="0" borderId="137" xfId="0" applyFont="1" applyBorder="1"/>
    <xf numFmtId="0" fontId="3" fillId="0" borderId="131" xfId="0" applyFont="1" applyBorder="1"/>
    <xf numFmtId="0" fontId="3" fillId="0" borderId="154" xfId="0" applyFont="1" applyBorder="1"/>
    <xf numFmtId="0" fontId="3" fillId="0" borderId="50" xfId="0" applyFont="1" applyBorder="1"/>
    <xf numFmtId="0" fontId="3" fillId="0" borderId="52" xfId="0" applyFont="1" applyBorder="1" applyAlignment="1">
      <alignment horizontal="center"/>
    </xf>
    <xf numFmtId="0" fontId="45" fillId="0" borderId="155" xfId="0" applyFont="1" applyBorder="1"/>
    <xf numFmtId="3" fontId="49" fillId="0" borderId="55" xfId="0" applyNumberFormat="1" applyFont="1" applyBorder="1"/>
    <xf numFmtId="3" fontId="0" fillId="0" borderId="136" xfId="0" applyNumberFormat="1" applyBorder="1"/>
    <xf numFmtId="3" fontId="0" fillId="0" borderId="130" xfId="0" applyNumberFormat="1" applyBorder="1"/>
    <xf numFmtId="3" fontId="0" fillId="0" borderId="156" xfId="0" applyNumberFormat="1" applyBorder="1"/>
    <xf numFmtId="3" fontId="0" fillId="0" borderId="101" xfId="0" applyNumberFormat="1" applyBorder="1"/>
    <xf numFmtId="3" fontId="0" fillId="0" borderId="93" xfId="0" applyNumberFormat="1" applyBorder="1"/>
    <xf numFmtId="3" fontId="0" fillId="0" borderId="105" xfId="0" applyNumberFormat="1" applyBorder="1"/>
    <xf numFmtId="178" fontId="23" fillId="0" borderId="101" xfId="0" applyNumberFormat="1" applyFont="1" applyBorder="1"/>
    <xf numFmtId="178" fontId="23" fillId="0" borderId="93" xfId="0" applyNumberFormat="1" applyFont="1" applyBorder="1"/>
    <xf numFmtId="178" fontId="23" fillId="0" borderId="105" xfId="0" applyNumberFormat="1" applyFont="1" applyBorder="1"/>
    <xf numFmtId="178" fontId="23" fillId="0" borderId="113" xfId="0" applyNumberFormat="1" applyFont="1" applyBorder="1"/>
    <xf numFmtId="178" fontId="23" fillId="0" borderId="106" xfId="0" applyNumberFormat="1" applyFont="1" applyBorder="1"/>
    <xf numFmtId="178" fontId="23" fillId="0" borderId="107" xfId="0" applyNumberFormat="1" applyFont="1" applyBorder="1"/>
    <xf numFmtId="3" fontId="53" fillId="0" borderId="153" xfId="0" applyNumberFormat="1" applyFont="1" applyBorder="1"/>
    <xf numFmtId="178" fontId="53" fillId="0" borderId="80" xfId="0" applyNumberFormat="1" applyFont="1" applyBorder="1"/>
    <xf numFmtId="3" fontId="53" fillId="0" borderId="80" xfId="0" applyNumberFormat="1" applyFont="1" applyBorder="1"/>
    <xf numFmtId="178" fontId="53" fillId="0" borderId="143" xfId="0" applyNumberFormat="1" applyFont="1" applyBorder="1"/>
    <xf numFmtId="178" fontId="53" fillId="0" borderId="79" xfId="0" applyNumberFormat="1" applyFont="1" applyBorder="1"/>
    <xf numFmtId="0" fontId="3" fillId="0" borderId="52" xfId="0" applyFont="1" applyBorder="1" applyAlignment="1">
      <alignment horizontal="center" vertical="center"/>
    </xf>
    <xf numFmtId="178" fontId="0" fillId="0" borderId="0" xfId="0" applyNumberFormat="1"/>
    <xf numFmtId="3" fontId="0" fillId="0" borderId="100" xfId="0" applyNumberFormat="1" applyBorder="1"/>
    <xf numFmtId="3" fontId="0" fillId="0" borderId="132" xfId="0" applyNumberFormat="1" applyBorder="1"/>
    <xf numFmtId="3" fontId="0" fillId="0" borderId="157" xfId="0" applyNumberFormat="1" applyBorder="1"/>
    <xf numFmtId="3" fontId="53" fillId="0" borderId="152" xfId="0" applyNumberFormat="1" applyFont="1" applyBorder="1"/>
    <xf numFmtId="178" fontId="23" fillId="0" borderId="137" xfId="0" applyNumberFormat="1" applyFont="1" applyBorder="1"/>
    <xf numFmtId="178" fontId="23" fillId="0" borderId="131" xfId="0" applyNumberFormat="1" applyFont="1" applyBorder="1"/>
    <xf numFmtId="178" fontId="23" fillId="0" borderId="154" xfId="0" applyNumberFormat="1" applyFont="1" applyBorder="1"/>
    <xf numFmtId="178" fontId="53" fillId="0" borderId="147" xfId="0" applyNumberFormat="1" applyFont="1" applyBorder="1"/>
    <xf numFmtId="0" fontId="3" fillId="0" borderId="81" xfId="0" applyFont="1" applyBorder="1" applyAlignment="1">
      <alignment vertical="center"/>
    </xf>
    <xf numFmtId="0" fontId="3" fillId="0" borderId="39" xfId="0" applyFont="1" applyBorder="1" applyAlignment="1">
      <alignment horizontal="center" vertical="center"/>
    </xf>
    <xf numFmtId="3" fontId="54" fillId="0" borderId="55" xfId="0" applyNumberFormat="1" applyFont="1" applyBorder="1"/>
    <xf numFmtId="3" fontId="54" fillId="0" borderId="153" xfId="0" applyNumberFormat="1" applyFont="1" applyBorder="1"/>
    <xf numFmtId="3" fontId="54" fillId="0" borderId="80" xfId="0" applyNumberFormat="1" applyFont="1" applyBorder="1"/>
    <xf numFmtId="3" fontId="54" fillId="0" borderId="143" xfId="0" applyNumberFormat="1" applyFont="1" applyBorder="1"/>
    <xf numFmtId="0" fontId="1" fillId="0" borderId="0" xfId="0" applyFont="1" applyAlignment="1">
      <alignment horizontal="right"/>
    </xf>
    <xf numFmtId="3" fontId="54" fillId="0" borderId="152" xfId="0" applyNumberFormat="1" applyFont="1" applyBorder="1"/>
    <xf numFmtId="3" fontId="54" fillId="0" borderId="147" xfId="0" applyNumberFormat="1" applyFont="1" applyBorder="1"/>
    <xf numFmtId="0" fontId="0" fillId="0" borderId="93" xfId="0" quotePrefix="1" applyBorder="1" applyAlignment="1">
      <alignment horizontal="center" vertical="center" wrapText="1"/>
    </xf>
    <xf numFmtId="0" fontId="0" fillId="0" borderId="93" xfId="0" applyBorder="1" applyAlignment="1">
      <alignment horizontal="center" vertical="center" wrapText="1"/>
    </xf>
    <xf numFmtId="0" fontId="0" fillId="0" borderId="132" xfId="0" applyBorder="1" applyAlignment="1">
      <alignment horizontal="center" vertical="center" wrapText="1"/>
    </xf>
    <xf numFmtId="0" fontId="0" fillId="0" borderId="131" xfId="0" quotePrefix="1" applyBorder="1" applyAlignment="1">
      <alignment horizontal="center" vertical="center" wrapText="1"/>
    </xf>
    <xf numFmtId="3" fontId="3" fillId="0" borderId="158" xfId="0" applyNumberFormat="1" applyFont="1" applyBorder="1"/>
    <xf numFmtId="3" fontId="49" fillId="0" borderId="63" xfId="0" applyNumberFormat="1" applyFont="1" applyBorder="1"/>
    <xf numFmtId="178" fontId="23" fillId="0" borderId="41" xfId="0" applyNumberFormat="1" applyFont="1" applyBorder="1"/>
    <xf numFmtId="3" fontId="0" fillId="0" borderId="42" xfId="0" applyNumberFormat="1" applyBorder="1"/>
    <xf numFmtId="178" fontId="23" fillId="0" borderId="20" xfId="0" applyNumberFormat="1" applyFont="1" applyBorder="1"/>
    <xf numFmtId="3" fontId="0" fillId="0" borderId="20" xfId="0" applyNumberFormat="1" applyBorder="1"/>
    <xf numFmtId="3" fontId="53" fillId="0" borderId="139" xfId="0" applyNumberFormat="1" applyFont="1" applyBorder="1"/>
    <xf numFmtId="178" fontId="53" fillId="0" borderId="141" xfId="0" applyNumberFormat="1" applyFont="1" applyBorder="1"/>
    <xf numFmtId="3" fontId="53" fillId="0" borderId="149" xfId="0" applyNumberFormat="1" applyFont="1" applyBorder="1"/>
    <xf numFmtId="178" fontId="53" fillId="0" borderId="140" xfId="0" applyNumberFormat="1" applyFont="1" applyBorder="1"/>
    <xf numFmtId="3" fontId="53" fillId="0" borderId="140" xfId="0" applyNumberFormat="1" applyFont="1" applyBorder="1"/>
    <xf numFmtId="3" fontId="23" fillId="0" borderId="19" xfId="0" applyNumberFormat="1" applyFont="1" applyBorder="1"/>
    <xf numFmtId="3" fontId="23" fillId="0" borderId="130" xfId="0" applyNumberFormat="1" applyFont="1" applyBorder="1"/>
    <xf numFmtId="3" fontId="23" fillId="0" borderId="156" xfId="0" applyNumberFormat="1" applyFont="1" applyBorder="1"/>
    <xf numFmtId="0" fontId="55" fillId="0" borderId="0" xfId="0" applyFont="1"/>
    <xf numFmtId="4" fontId="48" fillId="0" borderId="148" xfId="0" applyNumberFormat="1" applyFont="1" applyBorder="1"/>
    <xf numFmtId="4" fontId="0" fillId="0" borderId="136" xfId="0" applyNumberFormat="1" applyBorder="1"/>
    <xf numFmtId="4" fontId="48" fillId="0" borderId="150" xfId="0" applyNumberFormat="1" applyFont="1" applyBorder="1"/>
    <xf numFmtId="4" fontId="0" fillId="0" borderId="130" xfId="0" applyNumberFormat="1" applyBorder="1"/>
    <xf numFmtId="4" fontId="0" fillId="0" borderId="156" xfId="0" applyNumberFormat="1" applyBorder="1"/>
    <xf numFmtId="4" fontId="49" fillId="0" borderId="55" xfId="0" applyNumberFormat="1" applyFont="1" applyBorder="1"/>
    <xf numFmtId="4" fontId="53" fillId="0" borderId="153" xfId="0" applyNumberFormat="1" applyFont="1" applyBorder="1"/>
    <xf numFmtId="4" fontId="0" fillId="0" borderId="101" xfId="0" applyNumberFormat="1" applyBorder="1"/>
    <xf numFmtId="4" fontId="0" fillId="0" borderId="93" xfId="0" applyNumberFormat="1" applyBorder="1"/>
    <xf numFmtId="4" fontId="0" fillId="0" borderId="105" xfId="0" applyNumberFormat="1" applyBorder="1"/>
    <xf numFmtId="4" fontId="53" fillId="0" borderId="80" xfId="0" applyNumberFormat="1" applyFont="1" applyBorder="1"/>
    <xf numFmtId="0" fontId="3" fillId="0" borderId="159" xfId="0" applyFont="1" applyBorder="1"/>
    <xf numFmtId="3" fontId="51" fillId="0" borderId="41" xfId="0" applyNumberFormat="1" applyFont="1" applyBorder="1"/>
    <xf numFmtId="3" fontId="51" fillId="0" borderId="131" xfId="0" applyNumberFormat="1" applyFont="1" applyBorder="1"/>
    <xf numFmtId="3" fontId="51" fillId="0" borderId="154" xfId="0" applyNumberFormat="1" applyFont="1" applyBorder="1"/>
    <xf numFmtId="3" fontId="51" fillId="0" borderId="19" xfId="0" applyNumberFormat="1" applyFont="1" applyBorder="1"/>
    <xf numFmtId="3" fontId="51" fillId="0" borderId="130" xfId="0" applyNumberFormat="1" applyFont="1" applyBorder="1"/>
    <xf numFmtId="3" fontId="51" fillId="0" borderId="156" xfId="0" applyNumberFormat="1" applyFont="1" applyBorder="1"/>
    <xf numFmtId="178" fontId="53" fillId="0" borderId="99" xfId="0" applyNumberFormat="1" applyFont="1" applyBorder="1"/>
    <xf numFmtId="178" fontId="53" fillId="0" borderId="125" xfId="0" applyNumberFormat="1" applyFont="1" applyBorder="1"/>
    <xf numFmtId="178" fontId="53" fillId="0" borderId="126" xfId="0" applyNumberFormat="1" applyFont="1" applyBorder="1"/>
    <xf numFmtId="178" fontId="54" fillId="0" borderId="64" xfId="0" applyNumberFormat="1" applyFont="1" applyBorder="1"/>
    <xf numFmtId="0" fontId="3" fillId="0" borderId="0" xfId="0" applyFont="1" applyAlignment="1"/>
    <xf numFmtId="0" fontId="47" fillId="2" borderId="79" xfId="0" applyFont="1" applyFill="1" applyBorder="1" applyAlignment="1">
      <alignment horizontal="center"/>
    </xf>
    <xf numFmtId="3" fontId="54" fillId="0" borderId="146" xfId="0" applyNumberFormat="1" applyFont="1" applyBorder="1"/>
    <xf numFmtId="3" fontId="54" fillId="0" borderId="140" xfId="0" applyNumberFormat="1" applyFont="1" applyBorder="1"/>
    <xf numFmtId="0" fontId="3" fillId="0" borderId="93" xfId="0" applyFont="1" applyBorder="1" applyAlignment="1">
      <alignment horizontal="center" vertical="center" wrapText="1"/>
    </xf>
    <xf numFmtId="3" fontId="48" fillId="0" borderId="136" xfId="0" applyNumberFormat="1" applyFont="1" applyBorder="1"/>
    <xf numFmtId="3" fontId="3" fillId="0" borderId="101" xfId="0" applyNumberFormat="1" applyFont="1" applyBorder="1"/>
    <xf numFmtId="3" fontId="3" fillId="0" borderId="135" xfId="0" applyNumberFormat="1" applyFont="1" applyBorder="1"/>
    <xf numFmtId="3" fontId="3" fillId="0" borderId="20" xfId="0" applyNumberFormat="1" applyFont="1" applyBorder="1"/>
    <xf numFmtId="3" fontId="48" fillId="0" borderId="130" xfId="0" applyNumberFormat="1" applyFont="1" applyBorder="1"/>
    <xf numFmtId="3" fontId="3" fillId="0" borderId="93" xfId="0" applyNumberFormat="1" applyFont="1" applyBorder="1"/>
    <xf numFmtId="3" fontId="3" fillId="0" borderId="133" xfId="0" applyNumberFormat="1" applyFont="1" applyBorder="1"/>
    <xf numFmtId="3" fontId="3" fillId="0" borderId="105" xfId="0" applyNumberFormat="1" applyFont="1" applyBorder="1"/>
    <xf numFmtId="3" fontId="3" fillId="0" borderId="159" xfId="0" applyNumberFormat="1" applyFont="1" applyBorder="1"/>
    <xf numFmtId="0" fontId="3" fillId="0" borderId="93" xfId="0" quotePrefix="1" applyFont="1" applyBorder="1" applyAlignment="1">
      <alignment horizontal="center" vertical="center" wrapText="1"/>
    </xf>
    <xf numFmtId="3" fontId="33" fillId="0" borderId="29" xfId="0" applyNumberFormat="1" applyFont="1" applyBorder="1"/>
    <xf numFmtId="3" fontId="34" fillId="0" borderId="106" xfId="0" applyNumberFormat="1" applyFont="1" applyBorder="1" applyAlignment="1">
      <alignment vertical="center"/>
    </xf>
    <xf numFmtId="3" fontId="34" fillId="0" borderId="160" xfId="0" applyNumberFormat="1" applyFont="1" applyBorder="1" applyAlignment="1">
      <alignment vertical="center"/>
    </xf>
    <xf numFmtId="3" fontId="34" fillId="0" borderId="143" xfId="0" applyNumberFormat="1" applyFont="1" applyBorder="1" applyAlignment="1">
      <alignment vertical="center"/>
    </xf>
    <xf numFmtId="178" fontId="48" fillId="0" borderId="101" xfId="0" applyNumberFormat="1" applyFont="1" applyBorder="1"/>
    <xf numFmtId="178" fontId="48" fillId="0" borderId="93" xfId="0" applyNumberFormat="1" applyFont="1" applyBorder="1"/>
    <xf numFmtId="178" fontId="48" fillId="0" borderId="105" xfId="0" applyNumberFormat="1" applyFont="1" applyBorder="1"/>
    <xf numFmtId="178" fontId="54" fillId="0" borderId="80" xfId="0" applyNumberFormat="1" applyFont="1" applyBorder="1"/>
    <xf numFmtId="178" fontId="48" fillId="0" borderId="20" xfId="0" applyNumberFormat="1" applyFont="1" applyBorder="1"/>
    <xf numFmtId="178" fontId="54" fillId="0" borderId="140" xfId="0" applyNumberFormat="1" applyFont="1" applyBorder="1"/>
    <xf numFmtId="178" fontId="48" fillId="0" borderId="21" xfId="0" applyNumberFormat="1" applyFont="1" applyBorder="1"/>
    <xf numFmtId="178" fontId="48" fillId="0" borderId="106" xfId="0" applyNumberFormat="1" applyFont="1" applyBorder="1"/>
    <xf numFmtId="178" fontId="48" fillId="0" borderId="107" xfId="0" applyNumberFormat="1" applyFont="1" applyBorder="1"/>
    <xf numFmtId="178" fontId="54" fillId="0" borderId="143" xfId="0" applyNumberFormat="1" applyFont="1" applyBorder="1"/>
    <xf numFmtId="3" fontId="3" fillId="0" borderId="42" xfId="0" applyNumberFormat="1" applyFont="1" applyBorder="1"/>
    <xf numFmtId="3" fontId="3" fillId="0" borderId="132" xfId="0" applyNumberFormat="1" applyFont="1" applyBorder="1"/>
    <xf numFmtId="3" fontId="3" fillId="0" borderId="157" xfId="0" applyNumberFormat="1" applyFont="1" applyBorder="1"/>
    <xf numFmtId="3" fontId="54" fillId="0" borderId="149" xfId="0" applyNumberFormat="1" applyFont="1" applyBorder="1"/>
    <xf numFmtId="0" fontId="46" fillId="0" borderId="93" xfId="0" applyFont="1" applyBorder="1" applyAlignment="1">
      <alignment horizontal="center" vertical="center" wrapText="1"/>
    </xf>
    <xf numFmtId="0" fontId="46" fillId="0" borderId="93" xfId="0" quotePrefix="1" applyFont="1" applyBorder="1" applyAlignment="1">
      <alignment horizontal="center" vertical="center" wrapText="1"/>
    </xf>
    <xf numFmtId="0" fontId="46" fillId="0" borderId="132" xfId="0" quotePrefix="1" applyFont="1" applyBorder="1" applyAlignment="1">
      <alignment horizontal="center" vertical="center" wrapText="1"/>
    </xf>
    <xf numFmtId="0" fontId="46" fillId="0" borderId="106" xfId="0" quotePrefix="1" applyFont="1" applyBorder="1" applyAlignment="1">
      <alignment horizontal="center" vertical="center" wrapText="1"/>
    </xf>
    <xf numFmtId="3" fontId="3" fillId="0" borderId="136" xfId="0" applyNumberFormat="1" applyFont="1" applyBorder="1"/>
    <xf numFmtId="3" fontId="3" fillId="0" borderId="130" xfId="0" applyNumberFormat="1" applyFont="1" applyBorder="1"/>
    <xf numFmtId="3" fontId="3" fillId="0" borderId="156" xfId="0" applyNumberFormat="1" applyFont="1" applyBorder="1"/>
    <xf numFmtId="4" fontId="3" fillId="0" borderId="136" xfId="0" applyNumberFormat="1" applyFont="1" applyBorder="1"/>
    <xf numFmtId="4" fontId="3" fillId="0" borderId="130" xfId="0" applyNumberFormat="1" applyFont="1" applyBorder="1"/>
    <xf numFmtId="4" fontId="3" fillId="0" borderId="156" xfId="0" applyNumberFormat="1" applyFont="1" applyBorder="1"/>
    <xf numFmtId="4" fontId="54" fillId="0" borderId="153" xfId="0" applyNumberFormat="1" applyFont="1" applyBorder="1"/>
    <xf numFmtId="4" fontId="3" fillId="0" borderId="101" xfId="0" applyNumberFormat="1" applyFont="1" applyBorder="1"/>
    <xf numFmtId="4" fontId="3" fillId="0" borderId="93" xfId="0" applyNumberFormat="1" applyFont="1" applyBorder="1"/>
    <xf numFmtId="4" fontId="3" fillId="0" borderId="105" xfId="0" applyNumberFormat="1" applyFont="1" applyBorder="1"/>
    <xf numFmtId="4" fontId="54" fillId="0" borderId="80" xfId="0" applyNumberFormat="1" applyFont="1" applyBorder="1"/>
    <xf numFmtId="4" fontId="3" fillId="0" borderId="135" xfId="0" applyNumberFormat="1" applyFont="1" applyBorder="1"/>
    <xf numFmtId="4" fontId="3" fillId="0" borderId="133" xfId="0" applyNumberFormat="1" applyFont="1" applyBorder="1"/>
    <xf numFmtId="4" fontId="3" fillId="0" borderId="159" xfId="0" applyNumberFormat="1" applyFont="1" applyBorder="1"/>
    <xf numFmtId="4" fontId="54" fillId="0" borderId="146" xfId="0" applyNumberFormat="1" applyFont="1" applyBorder="1"/>
    <xf numFmtId="4" fontId="3" fillId="0" borderId="20" xfId="0" applyNumberFormat="1" applyFont="1" applyBorder="1"/>
    <xf numFmtId="4" fontId="54" fillId="0" borderId="140" xfId="0" applyNumberFormat="1" applyFont="1" applyBorder="1"/>
    <xf numFmtId="4" fontId="3" fillId="0" borderId="42" xfId="0" applyNumberFormat="1" applyFont="1" applyBorder="1"/>
    <xf numFmtId="4" fontId="3" fillId="0" borderId="132" xfId="0" applyNumberFormat="1" applyFont="1" applyBorder="1"/>
    <xf numFmtId="4" fontId="3" fillId="0" borderId="157" xfId="0" applyNumberFormat="1" applyFont="1" applyBorder="1"/>
    <xf numFmtId="4" fontId="54" fillId="0" borderId="149" xfId="0" applyNumberFormat="1" applyFont="1" applyBorder="1"/>
    <xf numFmtId="4" fontId="54" fillId="0" borderId="55" xfId="0" applyNumberFormat="1" applyFont="1" applyBorder="1"/>
    <xf numFmtId="3" fontId="3" fillId="0" borderId="100" xfId="0" applyNumberFormat="1" applyFont="1" applyBorder="1"/>
    <xf numFmtId="3" fontId="54" fillId="0" borderId="139" xfId="0" applyNumberFormat="1" applyFont="1" applyBorder="1"/>
    <xf numFmtId="3" fontId="3" fillId="0" borderId="137" xfId="0" applyNumberFormat="1" applyFont="1" applyBorder="1"/>
    <xf numFmtId="3" fontId="3" fillId="0" borderId="131" xfId="0" applyNumberFormat="1" applyFont="1" applyBorder="1"/>
    <xf numFmtId="3" fontId="3" fillId="0" borderId="154" xfId="0" applyNumberFormat="1" applyFont="1" applyBorder="1"/>
    <xf numFmtId="3" fontId="3" fillId="0" borderId="19" xfId="0" applyNumberFormat="1" applyFont="1" applyBorder="1"/>
    <xf numFmtId="3" fontId="3" fillId="0" borderId="21" xfId="0" applyNumberFormat="1" applyFont="1" applyBorder="1"/>
    <xf numFmtId="3" fontId="3" fillId="0" borderId="106" xfId="0" applyNumberFormat="1" applyFont="1" applyBorder="1"/>
    <xf numFmtId="3" fontId="3" fillId="0" borderId="107" xfId="0" applyNumberFormat="1" applyFont="1" applyBorder="1"/>
    <xf numFmtId="3" fontId="3" fillId="0" borderId="41" xfId="0" applyNumberFormat="1" applyFont="1" applyBorder="1"/>
    <xf numFmtId="0" fontId="3" fillId="0" borderId="131" xfId="0" applyFont="1" applyFill="1" applyBorder="1"/>
    <xf numFmtId="3" fontId="3" fillId="0" borderId="150" xfId="0" applyNumberFormat="1" applyFont="1" applyFill="1" applyBorder="1"/>
    <xf numFmtId="3" fontId="0" fillId="0" borderId="130" xfId="0" applyNumberFormat="1" applyFill="1" applyBorder="1"/>
    <xf numFmtId="178" fontId="23" fillId="0" borderId="106" xfId="0" applyNumberFormat="1" applyFont="1" applyFill="1" applyBorder="1"/>
    <xf numFmtId="0" fontId="4" fillId="0" borderId="0" xfId="0" applyFont="1" applyBorder="1"/>
    <xf numFmtId="0" fontId="0" fillId="0" borderId="0" xfId="0" applyBorder="1" applyAlignment="1">
      <alignment horizontal="center"/>
    </xf>
    <xf numFmtId="0" fontId="8" fillId="0" borderId="12" xfId="0" applyFont="1" applyBorder="1" applyAlignment="1">
      <alignment horizontal="left" vertical="center"/>
    </xf>
    <xf numFmtId="0" fontId="2" fillId="0" borderId="161" xfId="0" applyFont="1" applyBorder="1" applyAlignment="1">
      <alignmen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51" xfId="0" applyFont="1" applyBorder="1" applyAlignment="1">
      <alignment horizontal="center" vertical="center"/>
    </xf>
    <xf numFmtId="3" fontId="22" fillId="0" borderId="53" xfId="0" applyNumberFormat="1" applyFont="1" applyFill="1" applyBorder="1" applyAlignment="1">
      <alignment horizontal="center" vertical="center"/>
    </xf>
    <xf numFmtId="3" fontId="9" fillId="0" borderId="76" xfId="0" applyNumberFormat="1" applyFont="1" applyFill="1" applyBorder="1" applyAlignment="1">
      <alignment horizontal="center" vertical="center"/>
    </xf>
    <xf numFmtId="3" fontId="22" fillId="0" borderId="116" xfId="0" applyNumberFormat="1" applyFont="1" applyFill="1" applyBorder="1" applyAlignment="1">
      <alignment horizontal="center" vertical="center"/>
    </xf>
    <xf numFmtId="3" fontId="22" fillId="0" borderId="118" xfId="0" applyNumberFormat="1" applyFont="1" applyFill="1" applyBorder="1" applyAlignment="1">
      <alignment horizontal="center" vertical="center"/>
    </xf>
    <xf numFmtId="3" fontId="22" fillId="0" borderId="119" xfId="0" applyNumberFormat="1" applyFont="1" applyFill="1" applyBorder="1" applyAlignment="1">
      <alignment horizontal="center" vertical="center"/>
    </xf>
    <xf numFmtId="3" fontId="22" fillId="0" borderId="117" xfId="0" applyNumberFormat="1" applyFont="1" applyFill="1" applyBorder="1" applyAlignment="1">
      <alignment horizontal="center" vertical="center"/>
    </xf>
    <xf numFmtId="3" fontId="9" fillId="0" borderId="7" xfId="0" applyNumberFormat="1" applyFont="1" applyFill="1" applyBorder="1" applyAlignment="1">
      <alignment horizontal="center" vertical="center"/>
    </xf>
    <xf numFmtId="3" fontId="9" fillId="0" borderId="74" xfId="0" applyNumberFormat="1" applyFont="1" applyFill="1" applyBorder="1" applyAlignment="1">
      <alignment horizontal="center" vertical="center"/>
    </xf>
    <xf numFmtId="3" fontId="22" fillId="0" borderId="123" xfId="0" applyNumberFormat="1" applyFont="1" applyFill="1" applyBorder="1" applyAlignment="1">
      <alignment horizontal="center" vertical="center"/>
    </xf>
    <xf numFmtId="3" fontId="22" fillId="0" borderId="124" xfId="0" applyNumberFormat="1" applyFont="1" applyFill="1" applyBorder="1" applyAlignment="1">
      <alignment horizontal="center" vertical="center"/>
    </xf>
    <xf numFmtId="3" fontId="22" fillId="0" borderId="69" xfId="0" applyNumberFormat="1" applyFont="1" applyFill="1" applyBorder="1" applyAlignment="1">
      <alignment horizontal="center" vertical="center"/>
    </xf>
    <xf numFmtId="3" fontId="22" fillId="0" borderId="0" xfId="0" applyNumberFormat="1" applyFont="1" applyFill="1" applyBorder="1" applyAlignment="1">
      <alignment horizontal="center" vertical="center"/>
    </xf>
    <xf numFmtId="3" fontId="9" fillId="0" borderId="69" xfId="0" applyNumberFormat="1" applyFont="1" applyFill="1" applyBorder="1" applyAlignment="1">
      <alignment horizontal="center" vertical="center"/>
    </xf>
    <xf numFmtId="3" fontId="9" fillId="0" borderId="53" xfId="0" applyNumberFormat="1" applyFont="1" applyFill="1" applyBorder="1" applyAlignment="1">
      <alignment horizontal="center" vertical="center"/>
    </xf>
    <xf numFmtId="3" fontId="22" fillId="0" borderId="120" xfId="0" applyNumberFormat="1" applyFont="1" applyFill="1" applyBorder="1" applyAlignment="1">
      <alignment horizontal="center" vertical="center"/>
    </xf>
    <xf numFmtId="3" fontId="22" fillId="0" borderId="121" xfId="0" applyNumberFormat="1" applyFont="1" applyFill="1" applyBorder="1" applyAlignment="1">
      <alignment horizontal="center" vertical="center"/>
    </xf>
    <xf numFmtId="3" fontId="22" fillId="0" borderId="122" xfId="0" applyNumberFormat="1" applyFont="1" applyFill="1" applyBorder="1" applyAlignment="1">
      <alignment horizontal="center" vertical="center"/>
    </xf>
    <xf numFmtId="3" fontId="23" fillId="0" borderId="20" xfId="0" applyNumberFormat="1" applyFont="1" applyFill="1" applyBorder="1" applyAlignment="1">
      <alignment vertical="center"/>
    </xf>
    <xf numFmtId="3" fontId="23" fillId="0" borderId="99" xfId="0" applyNumberFormat="1" applyFont="1" applyFill="1" applyBorder="1" applyAlignment="1">
      <alignment vertical="center"/>
    </xf>
    <xf numFmtId="3" fontId="26" fillId="0" borderId="20" xfId="0" applyNumberFormat="1" applyFont="1" applyFill="1" applyBorder="1" applyAlignment="1">
      <alignment vertical="center"/>
    </xf>
    <xf numFmtId="3" fontId="26" fillId="0" borderId="93" xfId="0" applyNumberFormat="1" applyFont="1" applyFill="1" applyBorder="1" applyAlignment="1">
      <alignment vertical="center"/>
    </xf>
    <xf numFmtId="3" fontId="37" fillId="0" borderId="16" xfId="0" applyNumberFormat="1" applyFont="1" applyFill="1" applyBorder="1" applyAlignment="1">
      <alignment vertical="center"/>
    </xf>
    <xf numFmtId="3" fontId="26" fillId="0" borderId="105" xfId="0" applyNumberFormat="1" applyFont="1" applyFill="1" applyBorder="1" applyAlignment="1">
      <alignment vertical="center"/>
    </xf>
    <xf numFmtId="3" fontId="23" fillId="0" borderId="98" xfId="0" applyNumberFormat="1" applyFont="1" applyFill="1" applyBorder="1" applyAlignment="1">
      <alignment vertical="center"/>
    </xf>
    <xf numFmtId="3" fontId="0" fillId="0" borderId="26" xfId="0" applyNumberFormat="1" applyFill="1" applyBorder="1" applyAlignment="1">
      <alignment vertical="center"/>
    </xf>
    <xf numFmtId="3" fontId="23" fillId="0" borderId="105" xfId="0" applyNumberFormat="1" applyFont="1" applyFill="1" applyBorder="1" applyAlignment="1">
      <alignment vertical="center"/>
    </xf>
    <xf numFmtId="3" fontId="23" fillId="0" borderId="95" xfId="0" applyNumberFormat="1" applyFont="1" applyFill="1" applyBorder="1" applyAlignment="1">
      <alignment vertical="center"/>
    </xf>
    <xf numFmtId="3" fontId="23" fillId="0" borderId="96" xfId="0" applyNumberFormat="1" applyFont="1" applyFill="1" applyBorder="1" applyAlignment="1">
      <alignment vertical="center"/>
    </xf>
    <xf numFmtId="3" fontId="42" fillId="0" borderId="16" xfId="0" applyNumberFormat="1" applyFont="1" applyFill="1" applyBorder="1" applyAlignment="1">
      <alignment vertical="center"/>
    </xf>
    <xf numFmtId="3" fontId="42" fillId="0" borderId="16" xfId="0" applyNumberFormat="1" applyFont="1" applyFill="1" applyBorder="1" applyAlignment="1">
      <alignment horizontal="center" vertical="center"/>
    </xf>
    <xf numFmtId="3" fontId="42" fillId="0" borderId="26" xfId="0" applyNumberFormat="1" applyFont="1" applyFill="1" applyBorder="1" applyAlignment="1">
      <alignment horizontal="center" vertical="center"/>
    </xf>
    <xf numFmtId="3" fontId="23" fillId="0" borderId="97" xfId="0" applyNumberFormat="1" applyFont="1" applyFill="1" applyBorder="1" applyAlignment="1">
      <alignment vertical="center"/>
    </xf>
    <xf numFmtId="3" fontId="23" fillId="0" borderId="16" xfId="0" applyNumberFormat="1" applyFont="1" applyFill="1" applyBorder="1" applyAlignment="1">
      <alignment vertical="center"/>
    </xf>
    <xf numFmtId="3" fontId="0" fillId="0" borderId="16" xfId="0" applyNumberFormat="1" applyFill="1" applyBorder="1" applyAlignment="1">
      <alignment vertical="center"/>
    </xf>
    <xf numFmtId="3" fontId="25" fillId="0" borderId="20" xfId="0" applyNumberFormat="1" applyFont="1" applyFill="1" applyBorder="1" applyAlignment="1">
      <alignment vertical="center"/>
    </xf>
    <xf numFmtId="3" fontId="25" fillId="0" borderId="99" xfId="0" applyNumberFormat="1" applyFont="1" applyFill="1" applyBorder="1" applyAlignment="1">
      <alignment vertical="center"/>
    </xf>
    <xf numFmtId="3" fontId="25" fillId="0" borderId="98" xfId="0" applyNumberFormat="1" applyFont="1" applyFill="1" applyBorder="1" applyAlignment="1">
      <alignment vertical="center"/>
    </xf>
    <xf numFmtId="4" fontId="27" fillId="0" borderId="29" xfId="0" applyNumberFormat="1" applyFont="1" applyFill="1" applyBorder="1"/>
    <xf numFmtId="164" fontId="9" fillId="4" borderId="0" xfId="0" applyNumberFormat="1" applyFont="1" applyFill="1" applyAlignment="1">
      <alignment horizontal="center" vertical="center"/>
    </xf>
    <xf numFmtId="3" fontId="21" fillId="0" borderId="13" xfId="0" applyNumberFormat="1" applyFont="1" applyBorder="1" applyAlignment="1">
      <alignment horizontal="center" vertical="center"/>
    </xf>
    <xf numFmtId="3" fontId="21" fillId="0" borderId="16" xfId="0" applyNumberFormat="1" applyFont="1" applyBorder="1" applyAlignment="1">
      <alignment horizontal="center" vertical="center"/>
    </xf>
    <xf numFmtId="3" fontId="21" fillId="0" borderId="15" xfId="0" applyNumberFormat="1" applyFont="1" applyBorder="1" applyAlignment="1">
      <alignment horizontal="center" vertical="center"/>
    </xf>
    <xf numFmtId="3" fontId="22" fillId="0" borderId="145" xfId="0" applyNumberFormat="1" applyFont="1" applyBorder="1" applyAlignment="1">
      <alignment horizontal="center" vertical="center"/>
    </xf>
    <xf numFmtId="3" fontId="22" fillId="0" borderId="36" xfId="0" applyNumberFormat="1" applyFont="1" applyBorder="1" applyAlignment="1">
      <alignment horizontal="center" vertical="center"/>
    </xf>
    <xf numFmtId="3" fontId="22" fillId="0" borderId="92" xfId="0" applyNumberFormat="1" applyFont="1" applyBorder="1" applyAlignment="1">
      <alignment horizontal="center" vertical="center"/>
    </xf>
    <xf numFmtId="3" fontId="22" fillId="0" borderId="162" xfId="0" applyNumberFormat="1" applyFont="1" applyBorder="1" applyAlignment="1">
      <alignment horizontal="center" vertical="center"/>
    </xf>
    <xf numFmtId="3" fontId="22" fillId="0" borderId="93" xfId="0" applyNumberFormat="1" applyFont="1" applyBorder="1" applyAlignment="1">
      <alignment horizontal="center" vertical="center"/>
    </xf>
    <xf numFmtId="3" fontId="22" fillId="0" borderId="94" xfId="0" applyNumberFormat="1" applyFont="1" applyBorder="1" applyAlignment="1">
      <alignment horizontal="center" vertical="center"/>
    </xf>
    <xf numFmtId="3" fontId="22" fillId="0" borderId="163" xfId="0" applyNumberFormat="1" applyFont="1" applyBorder="1" applyAlignment="1">
      <alignment horizontal="center" vertical="center"/>
    </xf>
    <xf numFmtId="3" fontId="22" fillId="0" borderId="14" xfId="0" applyNumberFormat="1" applyFont="1" applyBorder="1" applyAlignment="1">
      <alignment horizontal="center" vertical="center"/>
    </xf>
    <xf numFmtId="3" fontId="22" fillId="0" borderId="164" xfId="0" applyNumberFormat="1" applyFont="1" applyBorder="1" applyAlignment="1">
      <alignment horizontal="center" vertical="center"/>
    </xf>
    <xf numFmtId="3" fontId="22" fillId="0" borderId="23" xfId="0" applyNumberFormat="1" applyFont="1" applyBorder="1" applyAlignment="1">
      <alignment horizontal="center" vertical="center"/>
    </xf>
    <xf numFmtId="3" fontId="22" fillId="0" borderId="24" xfId="0" applyNumberFormat="1" applyFont="1" applyBorder="1" applyAlignment="1">
      <alignment horizontal="center" vertical="center"/>
    </xf>
    <xf numFmtId="3" fontId="22" fillId="0" borderId="25" xfId="0" applyNumberFormat="1" applyFont="1" applyBorder="1" applyAlignment="1">
      <alignment horizontal="center" vertical="center"/>
    </xf>
    <xf numFmtId="3" fontId="3" fillId="0" borderId="13" xfId="0" applyNumberFormat="1" applyFont="1" applyBorder="1" applyAlignment="1">
      <alignment horizontal="center" vertical="center"/>
    </xf>
    <xf numFmtId="3" fontId="3" fillId="0" borderId="16"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80" xfId="0" applyNumberFormat="1" applyFont="1" applyBorder="1" applyAlignment="1">
      <alignment horizontal="center" vertical="center"/>
    </xf>
    <xf numFmtId="3" fontId="3" fillId="0" borderId="26"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16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51" xfId="0" applyFont="1" applyBorder="1" applyAlignment="1">
      <alignment horizontal="center" vertical="center"/>
    </xf>
    <xf numFmtId="0" fontId="14" fillId="0" borderId="20" xfId="0" applyFont="1" applyBorder="1" applyAlignment="1">
      <alignment horizontal="center" vertical="center"/>
    </xf>
    <xf numFmtId="0" fontId="14" fillId="0" borderId="165" xfId="0" applyFont="1" applyBorder="1" applyAlignment="1">
      <alignment horizontal="center" vertical="center"/>
    </xf>
    <xf numFmtId="3" fontId="48" fillId="0" borderId="100" xfId="0" applyNumberFormat="1" applyFont="1" applyBorder="1"/>
    <xf numFmtId="3" fontId="48" fillId="0" borderId="137" xfId="0" applyNumberFormat="1" applyFont="1" applyBorder="1"/>
    <xf numFmtId="3" fontId="48" fillId="0" borderId="132" xfId="0" applyNumberFormat="1" applyFont="1" applyBorder="1"/>
    <xf numFmtId="3" fontId="48" fillId="0" borderId="131" xfId="0" applyNumberFormat="1" applyFont="1" applyBorder="1"/>
    <xf numFmtId="3" fontId="48" fillId="0" borderId="157" xfId="0" applyNumberFormat="1" applyFont="1" applyBorder="1"/>
    <xf numFmtId="3" fontId="48" fillId="0" borderId="154" xfId="0" applyNumberFormat="1" applyFont="1" applyBorder="1"/>
    <xf numFmtId="3" fontId="59" fillId="0" borderId="136" xfId="0" applyNumberFormat="1" applyFont="1" applyBorder="1"/>
    <xf numFmtId="3" fontId="59" fillId="0" borderId="101" xfId="0" applyNumberFormat="1" applyFont="1" applyBorder="1"/>
    <xf numFmtId="3" fontId="59" fillId="0" borderId="137" xfId="0" applyNumberFormat="1" applyFont="1" applyBorder="1"/>
    <xf numFmtId="3" fontId="59" fillId="0" borderId="19" xfId="0" applyNumberFormat="1" applyFont="1" applyBorder="1"/>
    <xf numFmtId="3" fontId="59" fillId="0" borderId="20" xfId="0" applyNumberFormat="1" applyFont="1" applyBorder="1"/>
    <xf numFmtId="3" fontId="59" fillId="0" borderId="21" xfId="0" applyNumberFormat="1" applyFont="1" applyBorder="1"/>
    <xf numFmtId="3" fontId="59" fillId="0" borderId="130" xfId="0" applyNumberFormat="1" applyFont="1" applyBorder="1"/>
    <xf numFmtId="3" fontId="59" fillId="0" borderId="93" xfId="0" applyNumberFormat="1" applyFont="1" applyBorder="1"/>
    <xf numFmtId="3" fontId="59" fillId="0" borderId="131" xfId="0" applyNumberFormat="1" applyFont="1" applyBorder="1"/>
    <xf numFmtId="3" fontId="59" fillId="0" borderId="106" xfId="0" applyNumberFormat="1" applyFont="1" applyBorder="1"/>
    <xf numFmtId="3" fontId="59" fillId="0" borderId="156" xfId="0" applyNumberFormat="1" applyFont="1" applyBorder="1"/>
    <xf numFmtId="3" fontId="59" fillId="0" borderId="105" xfId="0" applyNumberFormat="1" applyFont="1" applyBorder="1"/>
    <xf numFmtId="3" fontId="59" fillId="0" borderId="154" xfId="0" applyNumberFormat="1" applyFont="1" applyBorder="1"/>
    <xf numFmtId="3" fontId="59" fillId="0" borderId="107" xfId="0" applyNumberFormat="1" applyFont="1" applyBorder="1"/>
    <xf numFmtId="3" fontId="21" fillId="0" borderId="36" xfId="0" applyNumberFormat="1" applyFont="1" applyBorder="1" applyAlignment="1">
      <alignment horizontal="center" vertical="center"/>
    </xf>
    <xf numFmtId="3" fontId="21" fillId="0" borderId="0" xfId="0" applyNumberFormat="1" applyFont="1" applyBorder="1" applyAlignment="1">
      <alignment horizontal="center" vertical="center"/>
    </xf>
    <xf numFmtId="3" fontId="21" fillId="0" borderId="26" xfId="0" applyNumberFormat="1" applyFont="1" applyBorder="1" applyAlignment="1">
      <alignment horizontal="center" vertical="center"/>
    </xf>
    <xf numFmtId="3" fontId="60" fillId="0" borderId="14" xfId="0" applyNumberFormat="1" applyFont="1" applyBorder="1" applyAlignment="1">
      <alignment vertical="center"/>
    </xf>
    <xf numFmtId="3" fontId="60" fillId="0" borderId="104" xfId="0" applyNumberFormat="1" applyFont="1" applyBorder="1" applyAlignment="1">
      <alignment vertical="center"/>
    </xf>
    <xf numFmtId="3" fontId="58" fillId="0" borderId="65" xfId="0" applyNumberFormat="1" applyFont="1" applyBorder="1" applyAlignment="1">
      <alignment vertical="center"/>
    </xf>
    <xf numFmtId="3" fontId="58" fillId="0" borderId="166" xfId="0" applyNumberFormat="1" applyFont="1" applyBorder="1" applyAlignment="1">
      <alignment vertical="center"/>
    </xf>
    <xf numFmtId="3" fontId="58" fillId="0" borderId="167" xfId="0" applyNumberFormat="1" applyFont="1" applyBorder="1" applyAlignment="1">
      <alignment vertical="center"/>
    </xf>
    <xf numFmtId="3" fontId="58" fillId="0" borderId="110" xfId="0" applyNumberFormat="1" applyFont="1" applyBorder="1" applyAlignment="1">
      <alignment vertical="center"/>
    </xf>
    <xf numFmtId="3" fontId="58" fillId="0" borderId="111" xfId="0" applyNumberFormat="1" applyFont="1" applyBorder="1" applyAlignment="1">
      <alignment vertical="center"/>
    </xf>
    <xf numFmtId="3" fontId="58" fillId="0" borderId="114" xfId="0" applyNumberFormat="1" applyFont="1" applyBorder="1" applyAlignment="1">
      <alignment vertical="center"/>
    </xf>
    <xf numFmtId="3" fontId="58" fillId="0" borderId="168" xfId="0" applyNumberFormat="1" applyFont="1" applyBorder="1" applyAlignment="1">
      <alignment vertical="center"/>
    </xf>
    <xf numFmtId="3" fontId="58" fillId="0" borderId="55" xfId="0" applyNumberFormat="1" applyFont="1" applyBorder="1" applyAlignment="1">
      <alignment vertical="center"/>
    </xf>
    <xf numFmtId="3" fontId="58" fillId="0" borderId="169" xfId="0" applyNumberFormat="1" applyFont="1" applyBorder="1"/>
    <xf numFmtId="3" fontId="58" fillId="0" borderId="74" xfId="0" applyNumberFormat="1" applyFont="1" applyBorder="1"/>
    <xf numFmtId="3" fontId="58" fillId="0" borderId="68" xfId="0" applyNumberFormat="1" applyFont="1" applyBorder="1" applyAlignment="1">
      <alignment horizontal="center" vertical="center"/>
    </xf>
    <xf numFmtId="3" fontId="58" fillId="0" borderId="77" xfId="0" applyNumberFormat="1" applyFont="1" applyBorder="1" applyAlignment="1">
      <alignment horizontal="center" vertical="center"/>
    </xf>
    <xf numFmtId="3" fontId="58" fillId="0" borderId="51" xfId="0" applyNumberFormat="1" applyFont="1" applyBorder="1" applyAlignment="1">
      <alignment horizontal="center" vertical="center"/>
    </xf>
    <xf numFmtId="0" fontId="0" fillId="0" borderId="0" xfId="0" applyFill="1"/>
    <xf numFmtId="3" fontId="62" fillId="0" borderId="96" xfId="0" applyNumberFormat="1" applyFont="1" applyBorder="1" applyAlignment="1">
      <alignment vertical="center"/>
    </xf>
    <xf numFmtId="3" fontId="62" fillId="0" borderId="98" xfId="0" applyNumberFormat="1" applyFont="1" applyBorder="1" applyAlignment="1">
      <alignment vertical="center"/>
    </xf>
    <xf numFmtId="0" fontId="4" fillId="5" borderId="170" xfId="0" applyFont="1" applyFill="1" applyBorder="1" applyAlignment="1">
      <alignment horizontal="center" vertical="center"/>
    </xf>
    <xf numFmtId="0" fontId="18" fillId="5" borderId="171" xfId="0" applyFont="1" applyFill="1" applyBorder="1" applyAlignment="1">
      <alignment horizontal="center" vertical="center"/>
    </xf>
    <xf numFmtId="0" fontId="18" fillId="5" borderId="168" xfId="0" applyFont="1" applyFill="1" applyBorder="1" applyAlignment="1">
      <alignment horizontal="center" vertical="center"/>
    </xf>
    <xf numFmtId="0" fontId="18" fillId="5" borderId="5" xfId="0" applyFont="1" applyFill="1" applyBorder="1" applyAlignment="1">
      <alignment horizontal="center" vertical="center"/>
    </xf>
    <xf numFmtId="3" fontId="63" fillId="0" borderId="69" xfId="0" applyNumberFormat="1" applyFont="1" applyBorder="1" applyAlignment="1">
      <alignment horizontal="center" vertical="center"/>
    </xf>
    <xf numFmtId="3" fontId="63" fillId="0" borderId="0" xfId="0" applyNumberFormat="1" applyFont="1" applyBorder="1" applyAlignment="1">
      <alignment horizontal="center" vertical="center"/>
    </xf>
    <xf numFmtId="3" fontId="63" fillId="0" borderId="53" xfId="0" applyNumberFormat="1" applyFont="1" applyBorder="1" applyAlignment="1">
      <alignment horizontal="center" vertical="center"/>
    </xf>
    <xf numFmtId="3" fontId="64" fillId="0" borderId="0" xfId="0" applyNumberFormat="1" applyFont="1" applyAlignment="1">
      <alignment horizontal="center"/>
    </xf>
    <xf numFmtId="3" fontId="62" fillId="0" borderId="20" xfId="0" applyNumberFormat="1" applyFont="1" applyFill="1" applyBorder="1" applyAlignment="1">
      <alignment vertical="center"/>
    </xf>
    <xf numFmtId="3" fontId="62" fillId="0" borderId="99" xfId="0" applyNumberFormat="1" applyFont="1" applyFill="1" applyBorder="1" applyAlignment="1">
      <alignment vertical="center"/>
    </xf>
    <xf numFmtId="0" fontId="65" fillId="0" borderId="8" xfId="0" applyFont="1" applyFill="1" applyBorder="1" applyAlignment="1">
      <alignment horizontal="center" vertical="center"/>
    </xf>
    <xf numFmtId="0" fontId="61" fillId="0" borderId="53" xfId="0" applyFont="1" applyBorder="1"/>
    <xf numFmtId="3" fontId="67" fillId="0" borderId="96" xfId="0" applyNumberFormat="1" applyFont="1" applyFill="1" applyBorder="1" applyAlignment="1">
      <alignment vertical="center"/>
    </xf>
    <xf numFmtId="179" fontId="16" fillId="0" borderId="0" xfId="0" applyNumberFormat="1" applyFont="1"/>
    <xf numFmtId="0" fontId="42" fillId="0" borderId="0" xfId="0" applyFont="1"/>
    <xf numFmtId="4" fontId="65" fillId="0" borderId="8" xfId="0" applyNumberFormat="1" applyFont="1" applyFill="1" applyBorder="1" applyAlignment="1">
      <alignment horizontal="center" vertical="center"/>
    </xf>
    <xf numFmtId="0" fontId="68" fillId="0" borderId="0" xfId="0" applyFont="1" applyAlignment="1">
      <alignment horizontal="center"/>
    </xf>
    <xf numFmtId="3" fontId="68" fillId="0" borderId="0" xfId="0" applyNumberFormat="1" applyFont="1"/>
    <xf numFmtId="4" fontId="68" fillId="0" borderId="0" xfId="0" applyNumberFormat="1" applyFont="1"/>
    <xf numFmtId="0" fontId="57" fillId="0" borderId="0" xfId="0" applyFont="1"/>
    <xf numFmtId="3" fontId="57" fillId="0" borderId="0" xfId="0" applyNumberFormat="1" applyFont="1"/>
    <xf numFmtId="3" fontId="69" fillId="0" borderId="0" xfId="0" applyNumberFormat="1" applyFont="1"/>
    <xf numFmtId="3" fontId="71" fillId="0" borderId="69" xfId="0" applyNumberFormat="1" applyFont="1" applyBorder="1" applyAlignment="1">
      <alignment horizontal="center" vertical="center"/>
    </xf>
    <xf numFmtId="3" fontId="71" fillId="0" borderId="0" xfId="0" applyNumberFormat="1" applyFont="1" applyBorder="1" applyAlignment="1">
      <alignment horizontal="center" vertical="center"/>
    </xf>
    <xf numFmtId="3" fontId="71" fillId="0" borderId="53" xfId="0" applyNumberFormat="1" applyFont="1" applyBorder="1" applyAlignment="1">
      <alignment horizontal="center" vertical="center"/>
    </xf>
    <xf numFmtId="0" fontId="2" fillId="0" borderId="0" xfId="0" applyFont="1" applyAlignment="1">
      <alignment horizontal="right"/>
    </xf>
    <xf numFmtId="0" fontId="0" fillId="0" borderId="0" xfId="0" applyAlignment="1"/>
    <xf numFmtId="0" fontId="2" fillId="0" borderId="0" xfId="0" applyFont="1" applyAlignment="1">
      <alignment horizontal="center" vertical="center"/>
    </xf>
    <xf numFmtId="0" fontId="8" fillId="0" borderId="12" xfId="0" quotePrefix="1" applyFont="1" applyBorder="1" applyAlignment="1">
      <alignment horizontal="left" vertical="center" wrapText="1"/>
    </xf>
    <xf numFmtId="0" fontId="2" fillId="0" borderId="11" xfId="0" quotePrefix="1" applyFont="1" applyBorder="1" applyAlignment="1">
      <alignment horizontal="left" vertical="center"/>
    </xf>
    <xf numFmtId="0" fontId="6" fillId="0" borderId="77" xfId="0" quotePrefix="1" applyFont="1" applyBorder="1" applyAlignment="1">
      <alignment horizontal="center" vertical="center"/>
    </xf>
    <xf numFmtId="0" fontId="2" fillId="0" borderId="27" xfId="0" quotePrefix="1" applyFont="1" applyBorder="1" applyAlignment="1">
      <alignment horizontal="left" vertical="center"/>
    </xf>
    <xf numFmtId="0" fontId="6" fillId="0" borderId="84" xfId="0" quotePrefix="1" applyFont="1" applyBorder="1" applyAlignment="1">
      <alignment horizontal="center" vertical="center"/>
    </xf>
    <xf numFmtId="0" fontId="2" fillId="0" borderId="22" xfId="0" quotePrefix="1" applyFont="1" applyBorder="1" applyAlignment="1">
      <alignment horizontal="left" vertical="center"/>
    </xf>
    <xf numFmtId="0" fontId="6" fillId="0" borderId="82" xfId="0" quotePrefix="1" applyFont="1" applyBorder="1" applyAlignment="1">
      <alignment horizontal="center" vertical="center"/>
    </xf>
    <xf numFmtId="0" fontId="2" fillId="0" borderId="172" xfId="0" quotePrefix="1" applyFont="1" applyBorder="1" applyAlignment="1">
      <alignment horizontal="left" vertical="center" wrapText="1"/>
    </xf>
    <xf numFmtId="0" fontId="6" fillId="0" borderId="148" xfId="0" quotePrefix="1" applyFont="1" applyBorder="1" applyAlignment="1">
      <alignment horizontal="center" vertical="center" wrapText="1"/>
    </xf>
    <xf numFmtId="0" fontId="2" fillId="0" borderId="27" xfId="0" quotePrefix="1" applyFont="1" applyBorder="1" applyAlignment="1">
      <alignment horizontal="left" vertical="center" wrapText="1"/>
    </xf>
    <xf numFmtId="0" fontId="6" fillId="0" borderId="150" xfId="0" quotePrefix="1" applyFont="1" applyBorder="1" applyAlignment="1">
      <alignment horizontal="center" vertical="center" wrapText="1"/>
    </xf>
    <xf numFmtId="0" fontId="2" fillId="0" borderId="22" xfId="0" quotePrefix="1" applyFont="1" applyBorder="1" applyAlignment="1">
      <alignment horizontal="left" vertical="center" wrapText="1"/>
    </xf>
    <xf numFmtId="0" fontId="6" fillId="0" borderId="144" xfId="0" quotePrefix="1" applyFont="1" applyBorder="1" applyAlignment="1">
      <alignment horizontal="center" vertical="center" wrapText="1"/>
    </xf>
    <xf numFmtId="3" fontId="22" fillId="0" borderId="42" xfId="0" applyNumberFormat="1" applyFont="1" applyBorder="1" applyAlignment="1">
      <alignment vertical="center"/>
    </xf>
    <xf numFmtId="3" fontId="22" fillId="0" borderId="20" xfId="0" applyNumberFormat="1" applyFont="1" applyBorder="1" applyAlignment="1">
      <alignment vertical="center"/>
    </xf>
    <xf numFmtId="3" fontId="22" fillId="0" borderId="137" xfId="0" applyNumberFormat="1" applyFont="1" applyBorder="1" applyAlignment="1">
      <alignment vertical="center"/>
    </xf>
    <xf numFmtId="3" fontId="22" fillId="0" borderId="132" xfId="0" applyNumberFormat="1" applyFont="1" applyBorder="1" applyAlignment="1">
      <alignment vertical="center"/>
    </xf>
    <xf numFmtId="3" fontId="22" fillId="0" borderId="131" xfId="0" applyNumberFormat="1" applyFont="1" applyBorder="1" applyAlignment="1">
      <alignment vertical="center"/>
    </xf>
    <xf numFmtId="3" fontId="22" fillId="0" borderId="1" xfId="0" applyNumberFormat="1" applyFont="1" applyBorder="1" applyAlignment="1">
      <alignment vertical="center"/>
    </xf>
    <xf numFmtId="3" fontId="22" fillId="0" borderId="44" xfId="0" applyNumberFormat="1" applyFont="1" applyBorder="1" applyAlignment="1">
      <alignment vertical="center"/>
    </xf>
    <xf numFmtId="0" fontId="2" fillId="0" borderId="54" xfId="0" applyFont="1" applyBorder="1" applyAlignment="1">
      <alignment vertical="center"/>
    </xf>
    <xf numFmtId="0" fontId="2" fillId="0" borderId="138" xfId="0" applyFont="1" applyBorder="1" applyAlignment="1">
      <alignment vertical="center"/>
    </xf>
    <xf numFmtId="165" fontId="49" fillId="0" borderId="139" xfId="0" applyNumberFormat="1" applyFont="1" applyBorder="1" applyAlignment="1">
      <alignment vertical="center"/>
    </xf>
    <xf numFmtId="165" fontId="49" fillId="0" borderId="140" xfId="0" applyNumberFormat="1" applyFont="1" applyBorder="1" applyAlignment="1">
      <alignment vertical="center"/>
    </xf>
    <xf numFmtId="165" fontId="49" fillId="0" borderId="141" xfId="0" applyNumberFormat="1" applyFont="1" applyBorder="1" applyAlignment="1">
      <alignment vertical="center"/>
    </xf>
    <xf numFmtId="165" fontId="49" fillId="0" borderId="142" xfId="0" applyNumberFormat="1" applyFont="1" applyBorder="1" applyAlignment="1">
      <alignment vertical="center"/>
    </xf>
    <xf numFmtId="165" fontId="49" fillId="0" borderId="143" xfId="0" applyNumberFormat="1" applyFont="1" applyBorder="1" applyAlignment="1">
      <alignment vertical="center"/>
    </xf>
    <xf numFmtId="0" fontId="47" fillId="2" borderId="31" xfId="0" applyFont="1" applyFill="1" applyBorder="1" applyAlignment="1">
      <alignment horizontal="center" vertical="center"/>
    </xf>
    <xf numFmtId="164" fontId="5" fillId="0" borderId="47" xfId="0" applyNumberFormat="1" applyFont="1" applyBorder="1" applyAlignment="1">
      <alignment horizontal="center" vertical="center"/>
    </xf>
    <xf numFmtId="0" fontId="3" fillId="0" borderId="135" xfId="0" applyFont="1" applyBorder="1" applyAlignment="1">
      <alignment vertical="center"/>
    </xf>
    <xf numFmtId="164" fontId="5" fillId="0" borderId="49" xfId="0" applyNumberFormat="1" applyFont="1" applyBorder="1" applyAlignment="1">
      <alignment horizontal="center" vertical="center"/>
    </xf>
    <xf numFmtId="0" fontId="3" fillId="0" borderId="133" xfId="0" applyFont="1" applyBorder="1" applyAlignment="1">
      <alignment vertical="center"/>
    </xf>
    <xf numFmtId="0" fontId="5" fillId="0" borderId="49" xfId="0" applyFont="1" applyBorder="1" applyAlignment="1">
      <alignment horizontal="center" vertical="center"/>
    </xf>
    <xf numFmtId="165" fontId="59" fillId="0" borderId="136" xfId="0" applyNumberFormat="1" applyFont="1" applyBorder="1"/>
    <xf numFmtId="165" fontId="59" fillId="0" borderId="101" xfId="0" applyNumberFormat="1" applyFont="1" applyBorder="1"/>
    <xf numFmtId="165" fontId="59" fillId="0" borderId="137" xfId="0" applyNumberFormat="1" applyFont="1" applyBorder="1"/>
    <xf numFmtId="165" fontId="59" fillId="0" borderId="113" xfId="0" applyNumberFormat="1" applyFont="1" applyBorder="1"/>
    <xf numFmtId="165" fontId="59" fillId="0" borderId="130" xfId="0" applyNumberFormat="1" applyFont="1" applyBorder="1"/>
    <xf numFmtId="165" fontId="59" fillId="0" borderId="93" xfId="0" applyNumberFormat="1" applyFont="1" applyBorder="1"/>
    <xf numFmtId="165" fontId="59" fillId="0" borderId="131" xfId="0" applyNumberFormat="1" applyFont="1" applyBorder="1"/>
    <xf numFmtId="165" fontId="59" fillId="0" borderId="106" xfId="0" applyNumberFormat="1" applyFont="1" applyBorder="1"/>
    <xf numFmtId="165" fontId="2" fillId="0" borderId="139" xfId="0" applyNumberFormat="1" applyFont="1" applyBorder="1" applyAlignment="1">
      <alignment vertical="center"/>
    </xf>
    <xf numFmtId="165" fontId="2" fillId="0" borderId="140" xfId="0" applyNumberFormat="1" applyFont="1" applyBorder="1" applyAlignment="1">
      <alignment vertical="center"/>
    </xf>
    <xf numFmtId="165" fontId="2" fillId="0" borderId="141" xfId="0" applyNumberFormat="1" applyFont="1" applyBorder="1" applyAlignment="1">
      <alignment vertical="center"/>
    </xf>
    <xf numFmtId="165" fontId="2" fillId="0" borderId="142" xfId="0" applyNumberFormat="1" applyFont="1" applyBorder="1" applyAlignment="1">
      <alignment vertical="center"/>
    </xf>
    <xf numFmtId="165" fontId="2" fillId="0" borderId="143" xfId="0" applyNumberFormat="1" applyFont="1" applyBorder="1" applyAlignment="1">
      <alignment vertical="center"/>
    </xf>
    <xf numFmtId="165" fontId="59" fillId="0" borderId="135" xfId="0" applyNumberFormat="1" applyFont="1" applyBorder="1"/>
    <xf numFmtId="165" fontId="59" fillId="0" borderId="133" xfId="0" applyNumberFormat="1" applyFont="1" applyBorder="1"/>
    <xf numFmtId="0" fontId="74" fillId="0" borderId="0" xfId="0" applyFont="1"/>
    <xf numFmtId="0" fontId="73" fillId="0" borderId="0" xfId="0" applyFont="1" applyAlignment="1">
      <alignment horizontal="left"/>
    </xf>
    <xf numFmtId="0" fontId="74" fillId="0" borderId="0" xfId="0" applyFont="1" applyAlignment="1">
      <alignment horizontal="centerContinuous"/>
    </xf>
    <xf numFmtId="0" fontId="70" fillId="0" borderId="0" xfId="0" applyFont="1"/>
    <xf numFmtId="3" fontId="44" fillId="0" borderId="117" xfId="0" applyNumberFormat="1" applyFont="1" applyBorder="1" applyAlignment="1">
      <alignment horizontal="center" vertical="center"/>
    </xf>
    <xf numFmtId="3" fontId="44" fillId="0" borderId="7" xfId="0" applyNumberFormat="1" applyFont="1" applyBorder="1" applyAlignment="1">
      <alignment horizontal="center" vertical="center"/>
    </xf>
    <xf numFmtId="3" fontId="44" fillId="0" borderId="74" xfId="0" applyNumberFormat="1" applyFont="1" applyBorder="1" applyAlignment="1">
      <alignment horizontal="center" vertical="center"/>
    </xf>
    <xf numFmtId="3" fontId="44" fillId="0" borderId="69" xfId="0" applyNumberFormat="1" applyFont="1" applyBorder="1" applyAlignment="1">
      <alignment horizontal="center" vertical="center"/>
    </xf>
    <xf numFmtId="3" fontId="44" fillId="0" borderId="53" xfId="0" applyNumberFormat="1" applyFont="1" applyBorder="1" applyAlignment="1">
      <alignment horizontal="center" vertical="center"/>
    </xf>
    <xf numFmtId="3" fontId="44" fillId="0" borderId="75" xfId="0" applyNumberFormat="1" applyFont="1" applyBorder="1" applyAlignment="1">
      <alignment horizontal="center" vertical="center"/>
    </xf>
    <xf numFmtId="3" fontId="44" fillId="0" borderId="10" xfId="0" applyNumberFormat="1" applyFont="1" applyBorder="1" applyAlignment="1">
      <alignment horizontal="center" vertical="center"/>
    </xf>
    <xf numFmtId="3" fontId="44" fillId="0" borderId="76" xfId="0" applyNumberFormat="1" applyFont="1" applyBorder="1" applyAlignment="1">
      <alignment horizontal="center" vertical="center"/>
    </xf>
    <xf numFmtId="3" fontId="59" fillId="0" borderId="148" xfId="0" applyNumberFormat="1" applyFont="1" applyBorder="1"/>
    <xf numFmtId="3" fontId="59" fillId="0" borderId="150" xfId="0" applyNumberFormat="1" applyFont="1" applyBorder="1"/>
    <xf numFmtId="165" fontId="59" fillId="0" borderId="87" xfId="0" applyNumberFormat="1" applyFont="1" applyBorder="1"/>
    <xf numFmtId="165" fontId="59" fillId="0" borderId="84" xfId="0" applyNumberFormat="1" applyFont="1" applyBorder="1"/>
    <xf numFmtId="165" fontId="59" fillId="0" borderId="132" xfId="0" applyNumberFormat="1" applyFont="1" applyBorder="1"/>
    <xf numFmtId="0" fontId="0" fillId="0" borderId="16" xfId="0" applyFill="1" applyBorder="1" applyAlignment="1">
      <alignment horizontal="center" vertical="center"/>
    </xf>
    <xf numFmtId="3" fontId="78" fillId="0" borderId="0" xfId="0" applyNumberFormat="1" applyFont="1"/>
    <xf numFmtId="3" fontId="28" fillId="0" borderId="93" xfId="0" applyNumberFormat="1" applyFont="1" applyBorder="1"/>
    <xf numFmtId="3" fontId="28" fillId="0" borderId="105" xfId="0" applyNumberFormat="1" applyFont="1" applyBorder="1"/>
    <xf numFmtId="3" fontId="28" fillId="0" borderId="80" xfId="0" applyNumberFormat="1" applyFont="1" applyBorder="1"/>
    <xf numFmtId="3" fontId="79" fillId="0" borderId="0" xfId="0" applyNumberFormat="1" applyFont="1"/>
    <xf numFmtId="3" fontId="80" fillId="0" borderId="136" xfId="0" applyNumberFormat="1" applyFont="1" applyBorder="1"/>
    <xf numFmtId="3" fontId="80" fillId="0" borderId="130" xfId="0" applyNumberFormat="1" applyFont="1" applyBorder="1"/>
    <xf numFmtId="3" fontId="80" fillId="0" borderId="43" xfId="0" applyNumberFormat="1" applyFont="1" applyBorder="1"/>
    <xf numFmtId="4" fontId="80" fillId="0" borderId="137" xfId="0" applyNumberFormat="1" applyFont="1" applyBorder="1"/>
    <xf numFmtId="4" fontId="80" fillId="0" borderId="131" xfId="0" applyNumberFormat="1" applyFont="1" applyBorder="1"/>
    <xf numFmtId="4" fontId="80" fillId="0" borderId="44" xfId="0" applyNumberFormat="1" applyFont="1" applyBorder="1"/>
    <xf numFmtId="0" fontId="83" fillId="6" borderId="0" xfId="0" applyFont="1" applyFill="1" applyAlignment="1">
      <alignment horizontal="center" vertical="center" shrinkToFit="1"/>
    </xf>
    <xf numFmtId="3" fontId="68" fillId="0" borderId="153" xfId="0" applyNumberFormat="1" applyFont="1" applyFill="1" applyBorder="1" applyAlignment="1">
      <alignment horizontal="center" vertical="center"/>
    </xf>
    <xf numFmtId="4" fontId="68" fillId="0" borderId="147" xfId="0" applyNumberFormat="1" applyFont="1" applyFill="1" applyBorder="1" applyAlignment="1">
      <alignment horizontal="center" vertical="center"/>
    </xf>
    <xf numFmtId="3" fontId="68" fillId="0" borderId="152" xfId="0" applyNumberFormat="1" applyFont="1" applyFill="1" applyBorder="1" applyAlignment="1">
      <alignment horizontal="center"/>
    </xf>
    <xf numFmtId="4" fontId="68" fillId="0" borderId="80" xfId="0" applyNumberFormat="1" applyFont="1" applyFill="1" applyBorder="1" applyAlignment="1">
      <alignment horizontal="center"/>
    </xf>
    <xf numFmtId="3" fontId="68" fillId="0" borderId="80" xfId="0" applyNumberFormat="1" applyFont="1" applyFill="1" applyBorder="1" applyAlignment="1">
      <alignment horizontal="center"/>
    </xf>
    <xf numFmtId="4" fontId="68" fillId="0" borderId="79" xfId="0" applyNumberFormat="1" applyFont="1" applyFill="1" applyBorder="1" applyAlignment="1">
      <alignment horizontal="center"/>
    </xf>
    <xf numFmtId="3" fontId="84" fillId="0" borderId="153" xfId="0" applyNumberFormat="1" applyFont="1" applyFill="1" applyBorder="1" applyAlignment="1">
      <alignment horizontal="center" vertical="center" shrinkToFit="1"/>
    </xf>
    <xf numFmtId="4" fontId="84" fillId="0" borderId="147" xfId="0" applyNumberFormat="1" applyFont="1" applyFill="1" applyBorder="1" applyAlignment="1">
      <alignment horizontal="center" vertical="center" shrinkToFit="1"/>
    </xf>
    <xf numFmtId="3" fontId="84" fillId="0" borderId="152" xfId="0" applyNumberFormat="1" applyFont="1" applyFill="1" applyBorder="1" applyAlignment="1">
      <alignment horizontal="center" vertical="center" shrinkToFit="1"/>
    </xf>
    <xf numFmtId="4" fontId="84" fillId="0" borderId="80" xfId="0" applyNumberFormat="1" applyFont="1" applyFill="1" applyBorder="1" applyAlignment="1">
      <alignment horizontal="center" vertical="center" shrinkToFit="1"/>
    </xf>
    <xf numFmtId="3" fontId="84" fillId="0" borderId="80" xfId="0" applyNumberFormat="1" applyFont="1" applyFill="1" applyBorder="1" applyAlignment="1">
      <alignment horizontal="center" vertical="center" shrinkToFit="1"/>
    </xf>
    <xf numFmtId="4" fontId="84" fillId="0" borderId="79" xfId="0" applyNumberFormat="1" applyFont="1" applyFill="1" applyBorder="1" applyAlignment="1">
      <alignment horizontal="center" vertical="center" shrinkToFit="1"/>
    </xf>
    <xf numFmtId="3" fontId="68" fillId="0" borderId="153" xfId="0" applyNumberFormat="1" applyFont="1" applyFill="1" applyBorder="1" applyAlignment="1">
      <alignment horizontal="center" vertical="center" shrinkToFit="1"/>
    </xf>
    <xf numFmtId="4" fontId="68" fillId="0" borderId="147" xfId="0" applyNumberFormat="1" applyFont="1" applyFill="1" applyBorder="1" applyAlignment="1">
      <alignment horizontal="center" vertical="center" shrinkToFit="1"/>
    </xf>
    <xf numFmtId="3" fontId="68" fillId="0" borderId="152" xfId="0" applyNumberFormat="1" applyFont="1" applyFill="1" applyBorder="1" applyAlignment="1">
      <alignment horizontal="center" vertical="center" shrinkToFit="1"/>
    </xf>
    <xf numFmtId="4" fontId="68" fillId="0" borderId="80" xfId="0" applyNumberFormat="1" applyFont="1" applyFill="1" applyBorder="1" applyAlignment="1">
      <alignment horizontal="center" vertical="center" shrinkToFit="1"/>
    </xf>
    <xf numFmtId="3" fontId="68" fillId="0" borderId="80" xfId="0" applyNumberFormat="1" applyFont="1" applyFill="1" applyBorder="1" applyAlignment="1">
      <alignment horizontal="center" vertical="center" shrinkToFit="1"/>
    </xf>
    <xf numFmtId="4" fontId="68" fillId="0" borderId="79" xfId="0" applyNumberFormat="1" applyFont="1" applyFill="1" applyBorder="1" applyAlignment="1">
      <alignment horizontal="center" vertical="center" shrinkToFit="1"/>
    </xf>
    <xf numFmtId="3" fontId="68" fillId="0" borderId="153" xfId="0" applyNumberFormat="1" applyFont="1" applyFill="1" applyBorder="1" applyAlignment="1">
      <alignment horizontal="center" vertical="top" shrinkToFit="1"/>
    </xf>
    <xf numFmtId="4" fontId="68" fillId="0" borderId="147" xfId="0" applyNumberFormat="1" applyFont="1" applyFill="1" applyBorder="1" applyAlignment="1">
      <alignment horizontal="center" vertical="top" shrinkToFit="1"/>
    </xf>
    <xf numFmtId="3" fontId="68" fillId="0" borderId="152" xfId="0" applyNumberFormat="1" applyFont="1" applyFill="1" applyBorder="1" applyAlignment="1">
      <alignment horizontal="center" vertical="top" shrinkToFit="1"/>
    </xf>
    <xf numFmtId="4" fontId="68" fillId="0" borderId="80" xfId="0" applyNumberFormat="1" applyFont="1" applyFill="1" applyBorder="1" applyAlignment="1">
      <alignment horizontal="center" vertical="top" shrinkToFit="1"/>
    </xf>
    <xf numFmtId="3" fontId="68" fillId="0" borderId="80" xfId="0" applyNumberFormat="1" applyFont="1" applyFill="1" applyBorder="1" applyAlignment="1">
      <alignment horizontal="center" vertical="top" shrinkToFit="1"/>
    </xf>
    <xf numFmtId="4" fontId="68" fillId="0" borderId="79" xfId="0" applyNumberFormat="1" applyFont="1" applyFill="1" applyBorder="1" applyAlignment="1">
      <alignment horizontal="center" vertical="top" shrinkToFit="1"/>
    </xf>
    <xf numFmtId="3" fontId="68" fillId="0" borderId="152" xfId="0" applyNumberFormat="1" applyFont="1" applyFill="1" applyBorder="1" applyAlignment="1">
      <alignment horizontal="center" shrinkToFit="1"/>
    </xf>
    <xf numFmtId="4" fontId="68" fillId="0" borderId="80" xfId="0" applyNumberFormat="1" applyFont="1" applyFill="1" applyBorder="1" applyAlignment="1">
      <alignment horizontal="center" shrinkToFit="1"/>
    </xf>
    <xf numFmtId="3" fontId="68" fillId="0" borderId="80" xfId="0" applyNumberFormat="1" applyFont="1" applyFill="1" applyBorder="1" applyAlignment="1">
      <alignment horizontal="center" shrinkToFit="1"/>
    </xf>
    <xf numFmtId="4" fontId="68" fillId="0" borderId="79" xfId="0" applyNumberFormat="1" applyFont="1" applyFill="1" applyBorder="1" applyAlignment="1">
      <alignment horizontal="center" shrinkToFit="1"/>
    </xf>
    <xf numFmtId="3" fontId="66" fillId="0" borderId="63" xfId="0" applyNumberFormat="1" applyFont="1" applyFill="1" applyBorder="1" applyAlignment="1">
      <alignment horizontal="center" vertical="center" shrinkToFit="1"/>
    </xf>
    <xf numFmtId="3" fontId="66" fillId="0" borderId="80" xfId="0" applyNumberFormat="1" applyFont="1" applyFill="1" applyBorder="1" applyAlignment="1">
      <alignment horizontal="center" vertical="center" shrinkToFit="1"/>
    </xf>
    <xf numFmtId="3" fontId="37" fillId="0" borderId="16" xfId="0" applyNumberFormat="1" applyFont="1" applyFill="1" applyBorder="1" applyAlignment="1">
      <alignment horizontal="center" vertical="center" shrinkToFit="1"/>
    </xf>
    <xf numFmtId="3" fontId="37" fillId="0" borderId="26" xfId="0" applyNumberFormat="1" applyFont="1" applyFill="1" applyBorder="1" applyAlignment="1">
      <alignment horizontal="center" vertical="center" shrinkToFit="1"/>
    </xf>
    <xf numFmtId="3" fontId="22" fillId="0" borderId="75" xfId="0" applyNumberFormat="1" applyFont="1" applyFill="1" applyBorder="1" applyAlignment="1">
      <alignment horizontal="center" vertical="center"/>
    </xf>
    <xf numFmtId="3" fontId="22" fillId="0" borderId="10" xfId="0" applyNumberFormat="1" applyFont="1" applyFill="1" applyBorder="1" applyAlignment="1">
      <alignment horizontal="center" vertical="center"/>
    </xf>
    <xf numFmtId="3" fontId="22" fillId="0" borderId="76" xfId="0" applyNumberFormat="1" applyFont="1" applyFill="1" applyBorder="1" applyAlignment="1">
      <alignment horizontal="center" vertical="center"/>
    </xf>
    <xf numFmtId="3" fontId="22" fillId="0" borderId="115" xfId="0" applyNumberFormat="1" applyFont="1" applyFill="1" applyBorder="1" applyAlignment="1">
      <alignment horizontal="center" vertical="center"/>
    </xf>
    <xf numFmtId="164" fontId="85" fillId="4" borderId="0" xfId="0" quotePrefix="1" applyNumberFormat="1" applyFont="1" applyFill="1" applyAlignment="1">
      <alignment horizontal="center" vertical="center" shrinkToFit="1"/>
    </xf>
    <xf numFmtId="4" fontId="31" fillId="0" borderId="109" xfId="0" applyNumberFormat="1" applyFont="1" applyFill="1" applyBorder="1"/>
    <xf numFmtId="3" fontId="27" fillId="0" borderId="36" xfId="0" applyNumberFormat="1" applyFont="1" applyFill="1" applyBorder="1"/>
    <xf numFmtId="3" fontId="80" fillId="0" borderId="43" xfId="0" applyNumberFormat="1" applyFont="1" applyFill="1" applyBorder="1"/>
    <xf numFmtId="3" fontId="22" fillId="0" borderId="23" xfId="0" applyNumberFormat="1" applyFont="1" applyFill="1" applyBorder="1" applyAlignment="1">
      <alignment horizontal="center" vertical="center"/>
    </xf>
    <xf numFmtId="3" fontId="21" fillId="0" borderId="13" xfId="0" applyNumberFormat="1" applyFont="1" applyFill="1" applyBorder="1" applyAlignment="1">
      <alignment horizontal="center" vertical="center"/>
    </xf>
    <xf numFmtId="4" fontId="80" fillId="0" borderId="131" xfId="0" applyNumberFormat="1" applyFont="1" applyFill="1" applyBorder="1"/>
    <xf numFmtId="166" fontId="35" fillId="0" borderId="76" xfId="0" quotePrefix="1" applyNumberFormat="1" applyFont="1" applyFill="1" applyBorder="1"/>
    <xf numFmtId="3" fontId="22" fillId="0" borderId="111" xfId="0" applyNumberFormat="1" applyFont="1" applyFill="1" applyBorder="1" applyAlignment="1">
      <alignment vertical="center"/>
    </xf>
    <xf numFmtId="3" fontId="27" fillId="0" borderId="52" xfId="0" applyNumberFormat="1" applyFont="1" applyFill="1" applyBorder="1" applyAlignment="1">
      <alignment vertical="center"/>
    </xf>
    <xf numFmtId="10" fontId="35" fillId="0" borderId="76" xfId="0" applyNumberFormat="1" applyFont="1" applyBorder="1"/>
    <xf numFmtId="3" fontId="86" fillId="0" borderId="0" xfId="0" applyNumberFormat="1" applyFont="1" applyFill="1" applyAlignment="1">
      <alignment horizontal="center" vertical="center" shrinkToFit="1"/>
    </xf>
    <xf numFmtId="0" fontId="86" fillId="0" borderId="0" xfId="0" applyFont="1" applyFill="1" applyAlignment="1">
      <alignment horizontal="center" vertical="center" shrinkToFit="1"/>
    </xf>
    <xf numFmtId="0" fontId="42" fillId="0" borderId="0" xfId="0" applyFont="1" applyAlignment="1">
      <alignment horizontal="center" vertical="center" shrinkToFit="1"/>
    </xf>
    <xf numFmtId="3" fontId="86" fillId="0" borderId="0" xfId="0" applyNumberFormat="1" applyFont="1" applyAlignment="1">
      <alignment horizontal="center" vertical="center" shrinkToFit="1"/>
    </xf>
    <xf numFmtId="3" fontId="37" fillId="0" borderId="16" xfId="0" applyNumberFormat="1" applyFont="1" applyFill="1" applyBorder="1" applyAlignment="1">
      <alignment horizontal="center" vertical="center"/>
    </xf>
    <xf numFmtId="3" fontId="37" fillId="0" borderId="26" xfId="0" applyNumberFormat="1" applyFont="1" applyFill="1" applyBorder="1" applyAlignment="1">
      <alignment horizontal="center" vertical="center"/>
    </xf>
    <xf numFmtId="0" fontId="82" fillId="0" borderId="0" xfId="0" applyFont="1" applyAlignment="1">
      <alignment horizontal="right"/>
    </xf>
    <xf numFmtId="0" fontId="79" fillId="0" borderId="12" xfId="0" quotePrefix="1" applyFont="1" applyBorder="1" applyAlignment="1">
      <alignment horizontal="left" vertical="center" wrapText="1"/>
    </xf>
    <xf numFmtId="164" fontId="88" fillId="4" borderId="0" xfId="0" applyNumberFormat="1" applyFont="1" applyFill="1" applyAlignment="1">
      <alignment horizontal="center" vertical="center" shrinkToFit="1"/>
    </xf>
    <xf numFmtId="3" fontId="36" fillId="0" borderId="100" xfId="0" applyNumberFormat="1" applyFont="1" applyBorder="1"/>
    <xf numFmtId="4" fontId="36" fillId="0" borderId="101" xfId="0" applyNumberFormat="1" applyFont="1" applyBorder="1"/>
    <xf numFmtId="3" fontId="36" fillId="0" borderId="101" xfId="0" applyNumberFormat="1" applyFont="1" applyBorder="1"/>
    <xf numFmtId="4" fontId="36" fillId="0" borderId="113" xfId="0" applyNumberFormat="1" applyFont="1" applyBorder="1"/>
    <xf numFmtId="3" fontId="36" fillId="0" borderId="132" xfId="0" applyNumberFormat="1" applyFont="1" applyBorder="1"/>
    <xf numFmtId="4" fontId="36" fillId="0" borderId="93" xfId="0" applyNumberFormat="1" applyFont="1" applyBorder="1"/>
    <xf numFmtId="3" fontId="36" fillId="0" borderId="93" xfId="0" applyNumberFormat="1" applyFont="1" applyBorder="1"/>
    <xf numFmtId="4" fontId="36" fillId="0" borderId="106" xfId="0" applyNumberFormat="1" applyFont="1" applyBorder="1"/>
    <xf numFmtId="3" fontId="36" fillId="0" borderId="1" xfId="0" applyNumberFormat="1" applyFont="1" applyBorder="1"/>
    <xf numFmtId="4" fontId="36" fillId="0" borderId="24" xfId="0" applyNumberFormat="1" applyFont="1" applyBorder="1"/>
    <xf numFmtId="3" fontId="36" fillId="0" borderId="24" xfId="0" applyNumberFormat="1" applyFont="1" applyBorder="1"/>
    <xf numFmtId="4" fontId="36" fillId="0" borderId="32" xfId="0" applyNumberFormat="1" applyFont="1" applyBorder="1"/>
    <xf numFmtId="3" fontId="29" fillId="0" borderId="166" xfId="0" applyNumberFormat="1" applyFont="1" applyBorder="1" applyAlignment="1">
      <alignment vertical="center"/>
    </xf>
    <xf numFmtId="3" fontId="29" fillId="0" borderId="169" xfId="0" applyNumberFormat="1" applyFont="1" applyBorder="1" applyAlignment="1">
      <alignment vertical="center"/>
    </xf>
    <xf numFmtId="3" fontId="29" fillId="0" borderId="61" xfId="0" applyNumberFormat="1" applyFont="1" applyBorder="1" applyAlignment="1">
      <alignment vertical="center"/>
    </xf>
    <xf numFmtId="3" fontId="29" fillId="0" borderId="74" xfId="0" applyNumberFormat="1" applyFont="1" applyBorder="1" applyAlignment="1">
      <alignment vertical="center"/>
    </xf>
    <xf numFmtId="3" fontId="29" fillId="0" borderId="111" xfId="0" applyNumberFormat="1" applyFont="1" applyBorder="1" applyAlignment="1">
      <alignment vertical="center"/>
    </xf>
    <xf numFmtId="3" fontId="29" fillId="0" borderId="112" xfId="0" applyNumberFormat="1" applyFont="1" applyBorder="1" applyAlignment="1">
      <alignment vertical="center"/>
    </xf>
    <xf numFmtId="3" fontId="29" fillId="0" borderId="59" xfId="0" applyNumberFormat="1" applyFont="1" applyBorder="1" applyAlignment="1">
      <alignment vertical="center"/>
    </xf>
    <xf numFmtId="3" fontId="29" fillId="0" borderId="173" xfId="0" applyNumberFormat="1" applyFont="1" applyBorder="1" applyAlignment="1">
      <alignment vertical="center"/>
    </xf>
    <xf numFmtId="3" fontId="29" fillId="0" borderId="55" xfId="0" applyNumberFormat="1" applyFont="1" applyBorder="1" applyAlignment="1">
      <alignment vertical="center"/>
    </xf>
    <xf numFmtId="3" fontId="29" fillId="0" borderId="5" xfId="0" applyNumberFormat="1" applyFont="1" applyBorder="1" applyAlignment="1">
      <alignment vertical="center"/>
    </xf>
    <xf numFmtId="3" fontId="89" fillId="0" borderId="79" xfId="0" applyNumberFormat="1" applyFont="1" applyBorder="1"/>
    <xf numFmtId="3" fontId="89" fillId="0" borderId="34" xfId="0" applyNumberFormat="1" applyFont="1" applyBorder="1"/>
    <xf numFmtId="3" fontId="91" fillId="0" borderId="65" xfId="0" applyNumberFormat="1" applyFont="1" applyBorder="1" applyAlignment="1">
      <alignment vertical="center"/>
    </xf>
    <xf numFmtId="3" fontId="91" fillId="0" borderId="166" xfId="0" applyNumberFormat="1" applyFont="1" applyBorder="1" applyAlignment="1">
      <alignment vertical="center"/>
    </xf>
    <xf numFmtId="3" fontId="91" fillId="0" borderId="167" xfId="0" applyNumberFormat="1" applyFont="1" applyBorder="1" applyAlignment="1">
      <alignment vertical="center"/>
    </xf>
    <xf numFmtId="3" fontId="91" fillId="0" borderId="110" xfId="0" applyNumberFormat="1" applyFont="1" applyBorder="1" applyAlignment="1">
      <alignment vertical="center"/>
    </xf>
    <xf numFmtId="3" fontId="91" fillId="0" borderId="111" xfId="0" applyNumberFormat="1" applyFont="1" applyBorder="1" applyAlignment="1">
      <alignment vertical="center"/>
    </xf>
    <xf numFmtId="3" fontId="91" fillId="0" borderId="114" xfId="0" applyNumberFormat="1" applyFont="1" applyBorder="1" applyAlignment="1">
      <alignment vertical="center"/>
    </xf>
    <xf numFmtId="3" fontId="91" fillId="0" borderId="168" xfId="0" applyNumberFormat="1" applyFont="1" applyBorder="1" applyAlignment="1">
      <alignment vertical="center"/>
    </xf>
    <xf numFmtId="3" fontId="91" fillId="0" borderId="55" xfId="0" applyNumberFormat="1" applyFont="1" applyBorder="1" applyAlignment="1">
      <alignment vertical="center"/>
    </xf>
    <xf numFmtId="3" fontId="48" fillId="0" borderId="13" xfId="0" applyNumberFormat="1" applyFont="1" applyBorder="1" applyAlignment="1">
      <alignment horizontal="center" vertical="center"/>
    </xf>
    <xf numFmtId="3" fontId="48" fillId="0" borderId="16" xfId="0" applyNumberFormat="1" applyFont="1" applyBorder="1" applyAlignment="1">
      <alignment horizontal="center" vertical="center"/>
    </xf>
    <xf numFmtId="3" fontId="48" fillId="0" borderId="15" xfId="0" applyNumberFormat="1" applyFont="1" applyBorder="1" applyAlignment="1">
      <alignment horizontal="center" vertical="center"/>
    </xf>
    <xf numFmtId="3" fontId="59" fillId="0" borderId="13" xfId="0" applyNumberFormat="1" applyFont="1" applyBorder="1" applyAlignment="1">
      <alignment horizontal="center" vertical="center"/>
    </xf>
    <xf numFmtId="3" fontId="59" fillId="0" borderId="80" xfId="0" applyNumberFormat="1" applyFont="1" applyBorder="1" applyAlignment="1">
      <alignment horizontal="center" vertical="center"/>
    </xf>
    <xf numFmtId="3" fontId="59" fillId="0" borderId="15" xfId="0" applyNumberFormat="1" applyFont="1" applyBorder="1" applyAlignment="1">
      <alignment horizontal="center" vertical="center"/>
    </xf>
    <xf numFmtId="3" fontId="59" fillId="0" borderId="26" xfId="0" applyNumberFormat="1" applyFont="1" applyBorder="1" applyAlignment="1">
      <alignment horizontal="center" vertical="center"/>
    </xf>
    <xf numFmtId="3" fontId="93" fillId="0" borderId="145" xfId="0" applyNumberFormat="1" applyFont="1" applyBorder="1" applyAlignment="1">
      <alignment horizontal="center" vertical="center"/>
    </xf>
    <xf numFmtId="3" fontId="93" fillId="0" borderId="36" xfId="0" applyNumberFormat="1" applyFont="1" applyBorder="1" applyAlignment="1">
      <alignment horizontal="center" vertical="center"/>
    </xf>
    <xf numFmtId="3" fontId="93" fillId="0" borderId="92" xfId="0" applyNumberFormat="1" applyFont="1" applyBorder="1" applyAlignment="1">
      <alignment horizontal="center" vertical="center"/>
    </xf>
    <xf numFmtId="3" fontId="93" fillId="0" borderId="103" xfId="0" applyNumberFormat="1" applyFont="1" applyBorder="1" applyAlignment="1">
      <alignment horizontal="center" vertical="center"/>
    </xf>
    <xf numFmtId="3" fontId="93" fillId="0" borderId="162" xfId="0" applyNumberFormat="1" applyFont="1" applyBorder="1" applyAlignment="1">
      <alignment horizontal="center" vertical="center"/>
    </xf>
    <xf numFmtId="3" fontId="93" fillId="0" borderId="93" xfId="0" applyNumberFormat="1" applyFont="1" applyBorder="1" applyAlignment="1">
      <alignment horizontal="center" vertical="center"/>
    </xf>
    <xf numFmtId="3" fontId="93" fillId="0" borderId="94" xfId="0" applyNumberFormat="1" applyFont="1" applyBorder="1" applyAlignment="1">
      <alignment horizontal="center" vertical="center"/>
    </xf>
    <xf numFmtId="3" fontId="93" fillId="0" borderId="125" xfId="0" applyNumberFormat="1" applyFont="1" applyBorder="1" applyAlignment="1">
      <alignment horizontal="center" vertical="center"/>
    </xf>
    <xf numFmtId="3" fontId="93" fillId="0" borderId="163" xfId="0" applyNumberFormat="1" applyFont="1" applyBorder="1" applyAlignment="1">
      <alignment horizontal="center" vertical="center"/>
    </xf>
    <xf numFmtId="3" fontId="93" fillId="0" borderId="14" xfId="0" applyNumberFormat="1" applyFont="1" applyBorder="1" applyAlignment="1">
      <alignment horizontal="center" vertical="center"/>
    </xf>
    <xf numFmtId="3" fontId="93" fillId="0" borderId="164" xfId="0" applyNumberFormat="1" applyFont="1" applyBorder="1" applyAlignment="1">
      <alignment horizontal="center" vertical="center"/>
    </xf>
    <xf numFmtId="3" fontId="93" fillId="0" borderId="104" xfId="0" applyNumberFormat="1" applyFont="1" applyBorder="1" applyAlignment="1">
      <alignment horizontal="center" vertical="center"/>
    </xf>
    <xf numFmtId="3" fontId="93" fillId="0" borderId="23" xfId="0" applyNumberFormat="1" applyFont="1" applyBorder="1" applyAlignment="1">
      <alignment horizontal="center" vertical="center"/>
    </xf>
    <xf numFmtId="3" fontId="93" fillId="0" borderId="24" xfId="0" applyNumberFormat="1" applyFont="1" applyBorder="1" applyAlignment="1">
      <alignment horizontal="center" vertical="center"/>
    </xf>
    <xf numFmtId="3" fontId="93" fillId="0" borderId="25" xfId="0" applyNumberFormat="1" applyFont="1" applyBorder="1" applyAlignment="1">
      <alignment horizontal="center" vertical="center"/>
    </xf>
    <xf numFmtId="3" fontId="93" fillId="0" borderId="4" xfId="0" applyNumberFormat="1" applyFont="1" applyBorder="1" applyAlignment="1">
      <alignment horizontal="center" vertical="center"/>
    </xf>
    <xf numFmtId="3" fontId="35" fillId="0" borderId="136" xfId="0" applyNumberFormat="1" applyFont="1" applyBorder="1"/>
    <xf numFmtId="4" fontId="35" fillId="0" borderId="137" xfId="0" applyNumberFormat="1" applyFont="1" applyBorder="1"/>
    <xf numFmtId="3" fontId="35" fillId="0" borderId="130" xfId="0" applyNumberFormat="1" applyFont="1" applyBorder="1"/>
    <xf numFmtId="4" fontId="35" fillId="0" borderId="131" xfId="0" applyNumberFormat="1" applyFont="1" applyBorder="1"/>
    <xf numFmtId="3" fontId="35" fillId="0" borderId="43" xfId="0" applyNumberFormat="1" applyFont="1" applyBorder="1"/>
    <xf numFmtId="4" fontId="35" fillId="0" borderId="44" xfId="0" applyNumberFormat="1" applyFont="1" applyBorder="1"/>
    <xf numFmtId="3" fontId="93" fillId="0" borderId="36" xfId="0" applyNumberFormat="1" applyFont="1" applyBorder="1" applyAlignment="1">
      <alignment vertical="center"/>
    </xf>
    <xf numFmtId="3" fontId="93" fillId="0" borderId="92" xfId="0" applyNumberFormat="1" applyFont="1" applyBorder="1" applyAlignment="1">
      <alignment vertical="center"/>
    </xf>
    <xf numFmtId="3" fontId="93" fillId="0" borderId="103" xfId="0" applyNumberFormat="1" applyFont="1" applyBorder="1" applyAlignment="1">
      <alignment vertical="center"/>
    </xf>
    <xf numFmtId="3" fontId="93" fillId="0" borderId="93" xfId="0" applyNumberFormat="1" applyFont="1" applyBorder="1" applyAlignment="1">
      <alignment vertical="center"/>
    </xf>
    <xf numFmtId="3" fontId="93" fillId="0" borderId="94" xfId="0" applyNumberFormat="1" applyFont="1" applyBorder="1" applyAlignment="1">
      <alignment vertical="center"/>
    </xf>
    <xf numFmtId="3" fontId="93" fillId="0" borderId="125" xfId="0" applyNumberFormat="1" applyFont="1" applyBorder="1" applyAlignment="1">
      <alignment vertical="center"/>
    </xf>
    <xf numFmtId="3" fontId="93" fillId="0" borderId="24" xfId="0" applyNumberFormat="1" applyFont="1" applyBorder="1" applyAlignment="1">
      <alignment vertical="center"/>
    </xf>
    <xf numFmtId="3" fontId="93" fillId="0" borderId="25" xfId="0" applyNumberFormat="1" applyFont="1" applyBorder="1" applyAlignment="1">
      <alignment vertical="center"/>
    </xf>
    <xf numFmtId="3" fontId="93" fillId="0" borderId="4" xfId="0" applyNumberFormat="1" applyFont="1" applyBorder="1" applyAlignment="1">
      <alignment vertical="center"/>
    </xf>
    <xf numFmtId="3" fontId="93" fillId="0" borderId="42" xfId="0" applyNumberFormat="1" applyFont="1" applyBorder="1" applyAlignment="1">
      <alignment vertical="center"/>
    </xf>
    <xf numFmtId="3" fontId="93" fillId="0" borderId="20" xfId="0" applyNumberFormat="1" applyFont="1" applyBorder="1" applyAlignment="1">
      <alignment vertical="center"/>
    </xf>
    <xf numFmtId="3" fontId="93" fillId="0" borderId="137" xfId="0" applyNumberFormat="1" applyFont="1" applyBorder="1" applyAlignment="1">
      <alignment vertical="center"/>
    </xf>
    <xf numFmtId="3" fontId="93" fillId="0" borderId="21" xfId="0" applyNumberFormat="1" applyFont="1" applyBorder="1" applyAlignment="1">
      <alignment vertical="center"/>
    </xf>
    <xf numFmtId="3" fontId="93" fillId="0" borderId="132" xfId="0" applyNumberFormat="1" applyFont="1" applyBorder="1" applyAlignment="1">
      <alignment vertical="center"/>
    </xf>
    <xf numFmtId="3" fontId="93" fillId="0" borderId="131" xfId="0" applyNumberFormat="1" applyFont="1" applyBorder="1" applyAlignment="1">
      <alignment vertical="center"/>
    </xf>
    <xf numFmtId="3" fontId="93" fillId="0" borderId="106" xfId="0" applyNumberFormat="1" applyFont="1" applyBorder="1" applyAlignment="1">
      <alignment vertical="center"/>
    </xf>
    <xf numFmtId="3" fontId="93" fillId="0" borderId="1" xfId="0" applyNumberFormat="1" applyFont="1" applyBorder="1" applyAlignment="1">
      <alignment vertical="center"/>
    </xf>
    <xf numFmtId="3" fontId="93" fillId="0" borderId="44" xfId="0" applyNumberFormat="1" applyFont="1" applyBorder="1" applyAlignment="1">
      <alignment vertical="center"/>
    </xf>
    <xf numFmtId="3" fontId="93" fillId="0" borderId="32" xfId="0" applyNumberFormat="1" applyFont="1" applyBorder="1" applyAlignment="1">
      <alignment vertical="center"/>
    </xf>
    <xf numFmtId="3" fontId="93" fillId="0" borderId="115" xfId="0" applyNumberFormat="1" applyFont="1" applyBorder="1" applyAlignment="1">
      <alignment horizontal="center" vertical="center"/>
    </xf>
    <xf numFmtId="3" fontId="93" fillId="0" borderId="174" xfId="0" applyNumberFormat="1" applyFont="1" applyBorder="1" applyAlignment="1">
      <alignment horizontal="center" vertical="center"/>
    </xf>
    <xf numFmtId="3" fontId="93" fillId="0" borderId="175" xfId="0" applyNumberFormat="1" applyFont="1" applyBorder="1" applyAlignment="1">
      <alignment horizontal="center" vertical="center"/>
    </xf>
    <xf numFmtId="3" fontId="93" fillId="0" borderId="116" xfId="0" applyNumberFormat="1" applyFont="1" applyBorder="1" applyAlignment="1">
      <alignment horizontal="center" vertical="center"/>
    </xf>
    <xf numFmtId="3" fontId="93" fillId="0" borderId="118" xfId="0" applyNumberFormat="1" applyFont="1" applyBorder="1" applyAlignment="1">
      <alignment horizontal="center" vertical="center"/>
    </xf>
    <xf numFmtId="3" fontId="93" fillId="0" borderId="119" xfId="0" applyNumberFormat="1" applyFont="1" applyBorder="1" applyAlignment="1">
      <alignment horizontal="center" vertical="center"/>
    </xf>
    <xf numFmtId="3" fontId="93" fillId="0" borderId="123" xfId="0" applyNumberFormat="1" applyFont="1" applyBorder="1" applyAlignment="1">
      <alignment horizontal="center" vertical="center"/>
    </xf>
    <xf numFmtId="3" fontId="93" fillId="0" borderId="110" xfId="0" applyNumberFormat="1" applyFont="1" applyBorder="1" applyAlignment="1">
      <alignment horizontal="center" vertical="center"/>
    </xf>
    <xf numFmtId="3" fontId="93" fillId="0" borderId="112" xfId="0" applyNumberFormat="1" applyFont="1" applyBorder="1" applyAlignment="1">
      <alignment horizontal="center" vertical="center"/>
    </xf>
    <xf numFmtId="3" fontId="93" fillId="0" borderId="124" xfId="0" applyNumberFormat="1" applyFont="1" applyBorder="1" applyAlignment="1">
      <alignment horizontal="center" vertical="center"/>
    </xf>
    <xf numFmtId="3" fontId="93" fillId="0" borderId="176" xfId="0" applyNumberFormat="1" applyFont="1" applyBorder="1" applyAlignment="1">
      <alignment horizontal="center" vertical="center"/>
    </xf>
    <xf numFmtId="3" fontId="93" fillId="0" borderId="177" xfId="0" applyNumberFormat="1" applyFont="1" applyBorder="1" applyAlignment="1">
      <alignment horizontal="center" vertical="center"/>
    </xf>
    <xf numFmtId="3" fontId="93" fillId="0" borderId="69" xfId="0" applyNumberFormat="1" applyFont="1" applyBorder="1" applyAlignment="1">
      <alignment horizontal="center" vertical="center"/>
    </xf>
    <xf numFmtId="3" fontId="93" fillId="0" borderId="0" xfId="0" applyNumberFormat="1" applyFont="1" applyBorder="1" applyAlignment="1">
      <alignment horizontal="center" vertical="center"/>
    </xf>
    <xf numFmtId="3" fontId="93" fillId="0" borderId="53" xfId="0" applyNumberFormat="1" applyFont="1" applyBorder="1" applyAlignment="1">
      <alignment horizontal="center" vertical="center"/>
    </xf>
    <xf numFmtId="3" fontId="93" fillId="0" borderId="120" xfId="0" applyNumberFormat="1" applyFont="1" applyBorder="1" applyAlignment="1">
      <alignment horizontal="center" vertical="center"/>
    </xf>
    <xf numFmtId="3" fontId="93" fillId="0" borderId="121" xfId="0" applyNumberFormat="1" applyFont="1" applyBorder="1" applyAlignment="1">
      <alignment horizontal="center" vertical="center"/>
    </xf>
    <xf numFmtId="3" fontId="93" fillId="0" borderId="122" xfId="0" applyNumberFormat="1" applyFont="1" applyBorder="1" applyAlignment="1">
      <alignment horizontal="center" vertical="center"/>
    </xf>
    <xf numFmtId="3" fontId="93" fillId="0" borderId="178" xfId="0" applyNumberFormat="1" applyFont="1" applyBorder="1" applyAlignment="1">
      <alignment horizontal="center" vertical="center"/>
    </xf>
    <xf numFmtId="3" fontId="93" fillId="0" borderId="75" xfId="0" applyNumberFormat="1" applyFont="1" applyBorder="1" applyAlignment="1">
      <alignment horizontal="center" vertical="center"/>
    </xf>
    <xf numFmtId="3" fontId="93" fillId="0" borderId="10" xfId="0" applyNumberFormat="1" applyFont="1" applyBorder="1" applyAlignment="1">
      <alignment horizontal="center" vertical="center"/>
    </xf>
    <xf numFmtId="3" fontId="93" fillId="0" borderId="76" xfId="0" applyNumberFormat="1" applyFont="1" applyBorder="1" applyAlignment="1">
      <alignment horizontal="center" vertical="center"/>
    </xf>
    <xf numFmtId="3" fontId="26" fillId="0" borderId="95" xfId="0" applyNumberFormat="1" applyFont="1" applyBorder="1" applyAlignment="1">
      <alignment vertical="center"/>
    </xf>
    <xf numFmtId="3" fontId="26" fillId="0" borderId="167" xfId="0" applyNumberFormat="1" applyFont="1" applyBorder="1" applyAlignment="1">
      <alignment vertical="center"/>
    </xf>
    <xf numFmtId="3" fontId="26" fillId="0" borderId="97" xfId="0" applyNumberFormat="1" applyFont="1" applyBorder="1" applyAlignment="1">
      <alignment vertical="center"/>
    </xf>
    <xf numFmtId="3" fontId="26" fillId="0" borderId="62" xfId="0" applyNumberFormat="1" applyFont="1" applyBorder="1" applyAlignment="1">
      <alignment vertical="center"/>
    </xf>
    <xf numFmtId="3" fontId="26" fillId="0" borderId="24" xfId="0" applyNumberFormat="1" applyFont="1" applyBorder="1" applyAlignment="1">
      <alignment vertical="center"/>
    </xf>
    <xf numFmtId="3" fontId="26" fillId="0" borderId="4" xfId="0" applyNumberFormat="1" applyFont="1" applyBorder="1" applyAlignment="1">
      <alignment vertical="center"/>
    </xf>
    <xf numFmtId="0" fontId="2" fillId="2" borderId="82" xfId="0" applyFont="1" applyFill="1" applyBorder="1" applyAlignment="1">
      <alignment horizontal="center"/>
    </xf>
    <xf numFmtId="3" fontId="22" fillId="0" borderId="77" xfId="0" applyNumberFormat="1" applyFont="1" applyBorder="1" applyAlignment="1">
      <alignment vertical="center"/>
    </xf>
    <xf numFmtId="3" fontId="22" fillId="0" borderId="84" xfId="0" applyNumberFormat="1" applyFont="1" applyBorder="1" applyAlignment="1">
      <alignment vertical="center"/>
    </xf>
    <xf numFmtId="3" fontId="22" fillId="0" borderId="82" xfId="0" applyNumberFormat="1" applyFont="1" applyBorder="1" applyAlignment="1">
      <alignment vertical="center"/>
    </xf>
    <xf numFmtId="3" fontId="93" fillId="0" borderId="77" xfId="0" applyNumberFormat="1" applyFont="1" applyBorder="1" applyAlignment="1">
      <alignment vertical="center"/>
    </xf>
    <xf numFmtId="3" fontId="93" fillId="0" borderId="84" xfId="0" applyNumberFormat="1" applyFont="1" applyBorder="1" applyAlignment="1">
      <alignment vertical="center"/>
    </xf>
    <xf numFmtId="3" fontId="93" fillId="0" borderId="82" xfId="0" applyNumberFormat="1" applyFont="1" applyBorder="1" applyAlignment="1">
      <alignment vertical="center"/>
    </xf>
    <xf numFmtId="3" fontId="22" fillId="0" borderId="108" xfId="0" applyNumberFormat="1" applyFont="1" applyBorder="1" applyAlignment="1">
      <alignment vertical="center"/>
    </xf>
    <xf numFmtId="3" fontId="22" fillId="0" borderId="130" xfId="0" applyNumberFormat="1" applyFont="1" applyBorder="1" applyAlignment="1">
      <alignment vertical="center"/>
    </xf>
    <xf numFmtId="3" fontId="22" fillId="0" borderId="43" xfId="0" applyNumberFormat="1" applyFont="1" applyBorder="1" applyAlignment="1">
      <alignment vertical="center"/>
    </xf>
    <xf numFmtId="3" fontId="21" fillId="0" borderId="108" xfId="0" applyNumberFormat="1" applyFont="1" applyBorder="1" applyAlignment="1">
      <alignment vertical="center"/>
    </xf>
    <xf numFmtId="3" fontId="38" fillId="0" borderId="153" xfId="0" applyNumberFormat="1" applyFont="1" applyBorder="1"/>
    <xf numFmtId="3" fontId="93" fillId="0" borderId="108" xfId="0" applyNumberFormat="1" applyFont="1" applyBorder="1" applyAlignment="1">
      <alignment vertical="center"/>
    </xf>
    <xf numFmtId="3" fontId="93" fillId="0" borderId="130" xfId="0" applyNumberFormat="1" applyFont="1" applyBorder="1" applyAlignment="1">
      <alignment vertical="center"/>
    </xf>
    <xf numFmtId="3" fontId="93" fillId="0" borderId="43" xfId="0" applyNumberFormat="1" applyFont="1" applyBorder="1" applyAlignment="1">
      <alignment vertical="center"/>
    </xf>
    <xf numFmtId="0" fontId="2" fillId="0" borderId="96" xfId="0" applyFont="1" applyBorder="1" applyAlignment="1">
      <alignment horizontal="center" vertical="center"/>
    </xf>
    <xf numFmtId="0" fontId="2" fillId="0" borderId="179" xfId="0" applyFont="1" applyBorder="1" applyAlignment="1">
      <alignment horizontal="center" vertical="center"/>
    </xf>
    <xf numFmtId="0" fontId="2" fillId="0" borderId="180" xfId="0" applyFont="1" applyBorder="1" applyAlignment="1">
      <alignment horizontal="center" vertical="center"/>
    </xf>
    <xf numFmtId="0" fontId="2" fillId="0" borderId="86" xfId="0" applyFont="1" applyBorder="1" applyAlignment="1">
      <alignment horizontal="center" vertical="center"/>
    </xf>
    <xf numFmtId="0" fontId="2" fillId="2" borderId="43" xfId="0" applyFont="1" applyFill="1" applyBorder="1" applyAlignment="1">
      <alignment horizontal="center"/>
    </xf>
    <xf numFmtId="3" fontId="21" fillId="0" borderId="30" xfId="0" applyNumberFormat="1" applyFont="1" applyBorder="1" applyAlignment="1">
      <alignment vertical="center"/>
    </xf>
    <xf numFmtId="3" fontId="3" fillId="0" borderId="30" xfId="0" applyNumberFormat="1" applyFont="1" applyBorder="1"/>
    <xf numFmtId="0" fontId="94" fillId="2" borderId="1" xfId="0" applyFont="1" applyFill="1" applyBorder="1" applyAlignment="1">
      <alignment horizontal="center"/>
    </xf>
    <xf numFmtId="165" fontId="48" fillId="0" borderId="100" xfId="0" applyNumberFormat="1" applyFont="1" applyBorder="1"/>
    <xf numFmtId="165" fontId="49" fillId="0" borderId="149" xfId="0" applyNumberFormat="1" applyFont="1" applyBorder="1" applyAlignment="1">
      <alignment vertical="center"/>
    </xf>
    <xf numFmtId="165" fontId="59" fillId="0" borderId="100" xfId="0" applyNumberFormat="1" applyFont="1" applyBorder="1"/>
    <xf numFmtId="165" fontId="59" fillId="0" borderId="156" xfId="0" applyNumberFormat="1" applyFont="1" applyBorder="1"/>
    <xf numFmtId="165" fontId="59" fillId="0" borderId="105" xfId="0" applyNumberFormat="1" applyFont="1" applyBorder="1"/>
    <xf numFmtId="165" fontId="59" fillId="0" borderId="154" xfId="0" applyNumberFormat="1" applyFont="1" applyBorder="1"/>
    <xf numFmtId="165" fontId="2" fillId="0" borderId="149" xfId="0" applyNumberFormat="1" applyFont="1" applyBorder="1" applyAlignment="1">
      <alignment vertical="center"/>
    </xf>
    <xf numFmtId="165" fontId="3" fillId="0" borderId="156" xfId="0" applyNumberFormat="1" applyFont="1" applyBorder="1"/>
    <xf numFmtId="165" fontId="3" fillId="0" borderId="105" xfId="0" applyNumberFormat="1" applyFont="1" applyBorder="1"/>
    <xf numFmtId="165" fontId="3" fillId="0" borderId="154" xfId="0" applyNumberFormat="1" applyFont="1" applyBorder="1"/>
    <xf numFmtId="0" fontId="95" fillId="0" borderId="132" xfId="0" applyFont="1" applyBorder="1" applyAlignment="1">
      <alignment horizontal="center" vertical="center" wrapText="1"/>
    </xf>
    <xf numFmtId="165" fontId="38" fillId="0" borderId="100" xfId="0" applyNumberFormat="1" applyFont="1" applyBorder="1"/>
    <xf numFmtId="165" fontId="38" fillId="0" borderId="132" xfId="0" applyNumberFormat="1" applyFont="1" applyBorder="1"/>
    <xf numFmtId="165" fontId="38" fillId="0" borderId="157" xfId="0" applyNumberFormat="1" applyFont="1" applyBorder="1"/>
    <xf numFmtId="165" fontId="38" fillId="0" borderId="87" xfId="0" applyNumberFormat="1" applyFont="1" applyBorder="1"/>
    <xf numFmtId="165" fontId="38" fillId="0" borderId="93" xfId="0" applyNumberFormat="1" applyFont="1" applyBorder="1"/>
    <xf numFmtId="3" fontId="22" fillId="0" borderId="181" xfId="0" applyNumberFormat="1" applyFont="1" applyBorder="1" applyAlignment="1">
      <alignment horizontal="center" vertical="center"/>
    </xf>
    <xf numFmtId="3" fontId="9" fillId="0" borderId="182" xfId="0" applyNumberFormat="1" applyFont="1" applyBorder="1" applyAlignment="1">
      <alignment horizontal="center" vertical="center"/>
    </xf>
    <xf numFmtId="3" fontId="22" fillId="0" borderId="183" xfId="0" applyNumberFormat="1" applyFont="1" applyBorder="1" applyAlignment="1">
      <alignment horizontal="center" vertical="center"/>
    </xf>
    <xf numFmtId="3" fontId="9" fillId="0" borderId="183" xfId="0" applyNumberFormat="1" applyFont="1" applyBorder="1" applyAlignment="1">
      <alignment horizontal="center" vertical="center"/>
    </xf>
    <xf numFmtId="3" fontId="22" fillId="0" borderId="184" xfId="0" applyNumberFormat="1" applyFont="1" applyBorder="1" applyAlignment="1">
      <alignment horizontal="center" vertical="center"/>
    </xf>
    <xf numFmtId="3" fontId="63" fillId="0" borderId="183" xfId="0" applyNumberFormat="1" applyFont="1" applyBorder="1" applyAlignment="1">
      <alignment horizontal="center" vertical="center"/>
    </xf>
    <xf numFmtId="3" fontId="22" fillId="0" borderId="185" xfId="0" applyNumberFormat="1" applyFont="1" applyBorder="1" applyAlignment="1">
      <alignment horizontal="center" vertical="center"/>
    </xf>
    <xf numFmtId="3" fontId="38" fillId="0" borderId="0" xfId="0" applyNumberFormat="1" applyFont="1" applyBorder="1" applyAlignment="1">
      <alignment horizontal="center"/>
    </xf>
    <xf numFmtId="3" fontId="44" fillId="0" borderId="0" xfId="0" applyNumberFormat="1" applyFont="1" applyFill="1" applyBorder="1" applyAlignment="1">
      <alignment vertical="center"/>
    </xf>
    <xf numFmtId="3" fontId="27" fillId="0" borderId="53" xfId="0" applyNumberFormat="1" applyFont="1" applyFill="1" applyBorder="1" applyAlignment="1">
      <alignment vertical="center"/>
    </xf>
    <xf numFmtId="3" fontId="23" fillId="0" borderId="80" xfId="0" applyNumberFormat="1" applyFont="1" applyFill="1" applyBorder="1" applyAlignment="1">
      <alignment vertical="center"/>
    </xf>
    <xf numFmtId="3" fontId="22" fillId="0" borderId="93" xfId="0" applyNumberFormat="1" applyFont="1" applyFill="1" applyBorder="1" applyAlignment="1">
      <alignment vertical="center"/>
    </xf>
    <xf numFmtId="3" fontId="22" fillId="0" borderId="130" xfId="0" applyNumberFormat="1" applyFont="1" applyFill="1" applyBorder="1" applyAlignment="1">
      <alignment vertical="center"/>
    </xf>
    <xf numFmtId="3" fontId="23" fillId="0" borderId="102" xfId="0" applyNumberFormat="1" applyFont="1" applyFill="1" applyBorder="1" applyAlignment="1">
      <alignment vertical="center"/>
    </xf>
    <xf numFmtId="3" fontId="23" fillId="0" borderId="101" xfId="0" applyNumberFormat="1" applyFont="1" applyFill="1" applyBorder="1" applyAlignment="1">
      <alignment vertical="center"/>
    </xf>
    <xf numFmtId="166" fontId="22" fillId="0" borderId="76" xfId="0" applyNumberFormat="1" applyFont="1" applyFill="1" applyBorder="1"/>
    <xf numFmtId="3" fontId="23" fillId="0" borderId="93" xfId="0" applyNumberFormat="1" applyFont="1" applyFill="1" applyBorder="1" applyAlignment="1">
      <alignment vertical="center"/>
    </xf>
    <xf numFmtId="3" fontId="23" fillId="0" borderId="24" xfId="0" applyNumberFormat="1" applyFont="1" applyFill="1" applyBorder="1" applyAlignment="1">
      <alignment vertical="center"/>
    </xf>
    <xf numFmtId="3" fontId="62" fillId="0" borderId="96" xfId="0" applyNumberFormat="1" applyFont="1" applyFill="1" applyBorder="1" applyAlignment="1">
      <alignment vertical="center"/>
    </xf>
    <xf numFmtId="3" fontId="31" fillId="0" borderId="36" xfId="0" applyNumberFormat="1" applyFont="1" applyFill="1" applyBorder="1"/>
    <xf numFmtId="3" fontId="80" fillId="0" borderId="130" xfId="0" applyNumberFormat="1" applyFont="1" applyFill="1" applyBorder="1"/>
    <xf numFmtId="3" fontId="31" fillId="0" borderId="108" xfId="0" applyNumberFormat="1" applyFont="1" applyFill="1" applyBorder="1"/>
    <xf numFmtId="3" fontId="28" fillId="0" borderId="93" xfId="0" applyNumberFormat="1" applyFont="1" applyFill="1" applyBorder="1"/>
    <xf numFmtId="3" fontId="28" fillId="0" borderId="36" xfId="0" applyNumberFormat="1" applyFont="1" applyFill="1" applyBorder="1"/>
    <xf numFmtId="3" fontId="27" fillId="0" borderId="16" xfId="0" applyNumberFormat="1" applyFont="1" applyFill="1" applyBorder="1"/>
    <xf numFmtId="3" fontId="28" fillId="0" borderId="29" xfId="0" applyNumberFormat="1" applyFont="1" applyFill="1" applyBorder="1"/>
    <xf numFmtId="3" fontId="27" fillId="0" borderId="34" xfId="0" applyNumberFormat="1" applyFont="1" applyFill="1" applyBorder="1"/>
    <xf numFmtId="3" fontId="22" fillId="0" borderId="36" xfId="0" applyNumberFormat="1" applyFont="1" applyFill="1" applyBorder="1" applyAlignment="1">
      <alignment vertical="center"/>
    </xf>
    <xf numFmtId="3" fontId="22" fillId="0" borderId="84" xfId="0" applyNumberFormat="1" applyFont="1" applyFill="1" applyBorder="1" applyAlignment="1">
      <alignment vertical="center"/>
    </xf>
    <xf numFmtId="4" fontId="31" fillId="0" borderId="29" xfId="0" applyNumberFormat="1" applyFont="1" applyFill="1" applyBorder="1"/>
    <xf numFmtId="4" fontId="31" fillId="0" borderId="36" xfId="0" applyNumberFormat="1" applyFont="1" applyFill="1" applyBorder="1"/>
    <xf numFmtId="3" fontId="31" fillId="0" borderId="85" xfId="0" applyNumberFormat="1" applyFont="1" applyFill="1" applyBorder="1"/>
    <xf numFmtId="4" fontId="80" fillId="0" borderId="137" xfId="0" applyNumberFormat="1" applyFont="1" applyFill="1" applyBorder="1"/>
    <xf numFmtId="0" fontId="72" fillId="0" borderId="57" xfId="0" applyFont="1" applyBorder="1" applyAlignment="1">
      <alignment vertical="center"/>
    </xf>
    <xf numFmtId="0" fontId="72" fillId="0" borderId="186" xfId="0" applyFont="1" applyBorder="1" applyAlignment="1">
      <alignment vertical="center"/>
    </xf>
    <xf numFmtId="0" fontId="72" fillId="0" borderId="70" xfId="0" applyFont="1" applyBorder="1" applyAlignment="1">
      <alignment vertical="center"/>
    </xf>
    <xf numFmtId="0" fontId="72" fillId="0" borderId="54" xfId="0" applyFont="1" applyBorder="1" applyAlignment="1">
      <alignment vertical="center"/>
    </xf>
    <xf numFmtId="0" fontId="72" fillId="0" borderId="187" xfId="0" applyFont="1" applyBorder="1" applyAlignment="1">
      <alignment vertical="center"/>
    </xf>
    <xf numFmtId="0" fontId="36" fillId="0" borderId="187" xfId="0" applyFont="1" applyBorder="1" applyAlignment="1">
      <alignment vertical="center"/>
    </xf>
    <xf numFmtId="0" fontId="36" fillId="0" borderId="57" xfId="0" applyFont="1" applyBorder="1" applyAlignment="1">
      <alignment vertical="center"/>
    </xf>
    <xf numFmtId="0" fontId="36" fillId="0" borderId="54" xfId="0" applyFont="1" applyBorder="1" applyAlignment="1">
      <alignment vertical="center"/>
    </xf>
    <xf numFmtId="0" fontId="36" fillId="0" borderId="186" xfId="0" applyFont="1" applyBorder="1" applyAlignment="1">
      <alignment vertical="center"/>
    </xf>
    <xf numFmtId="0" fontId="36" fillId="0" borderId="70" xfId="0" applyFont="1" applyBorder="1" applyAlignment="1">
      <alignment vertical="center"/>
    </xf>
    <xf numFmtId="0" fontId="106" fillId="0" borderId="0" xfId="0" applyFont="1"/>
    <xf numFmtId="0" fontId="107" fillId="0" borderId="0" xfId="0" applyFont="1" applyBorder="1" applyAlignment="1">
      <alignment horizontal="right"/>
    </xf>
    <xf numFmtId="0" fontId="106" fillId="0" borderId="0" xfId="0" applyFont="1" applyAlignment="1">
      <alignment horizontal="center"/>
    </xf>
    <xf numFmtId="0" fontId="108" fillId="0" borderId="0" xfId="0" applyFont="1" applyAlignment="1">
      <alignment horizontal="center"/>
    </xf>
    <xf numFmtId="0" fontId="99" fillId="0" borderId="188" xfId="0" applyFont="1" applyBorder="1" applyAlignment="1">
      <alignment vertical="center"/>
    </xf>
    <xf numFmtId="0" fontId="99" fillId="0" borderId="189" xfId="0" applyFont="1" applyBorder="1" applyAlignment="1">
      <alignment vertical="center"/>
    </xf>
    <xf numFmtId="0" fontId="99" fillId="0" borderId="8" xfId="0" applyFont="1" applyBorder="1" applyAlignment="1">
      <alignment vertical="center"/>
    </xf>
    <xf numFmtId="0" fontId="109" fillId="0" borderId="0" xfId="0" applyFont="1"/>
    <xf numFmtId="0" fontId="111" fillId="0" borderId="0" xfId="0" applyFont="1"/>
    <xf numFmtId="0" fontId="112" fillId="0" borderId="0" xfId="0" applyFont="1" applyAlignment="1">
      <alignment horizontal="center"/>
    </xf>
    <xf numFmtId="0" fontId="112" fillId="0" borderId="0" xfId="0" applyFont="1"/>
    <xf numFmtId="0" fontId="113" fillId="0" borderId="0" xfId="0" applyFont="1" applyAlignment="1">
      <alignment horizontal="right"/>
    </xf>
    <xf numFmtId="0" fontId="114" fillId="0" borderId="0" xfId="0" applyFont="1"/>
    <xf numFmtId="0" fontId="107" fillId="0" borderId="0" xfId="0" applyFont="1" applyAlignment="1">
      <alignment horizontal="right"/>
    </xf>
    <xf numFmtId="0" fontId="90" fillId="0" borderId="0" xfId="0" applyFont="1"/>
    <xf numFmtId="0" fontId="106" fillId="0" borderId="0" xfId="0" applyFont="1" applyAlignment="1">
      <alignment horizontal="left"/>
    </xf>
    <xf numFmtId="0" fontId="105" fillId="0" borderId="0" xfId="0" applyFont="1"/>
    <xf numFmtId="0" fontId="89" fillId="0" borderId="0" xfId="0" applyFont="1"/>
    <xf numFmtId="0" fontId="89" fillId="0" borderId="0" xfId="0" applyFont="1" applyAlignment="1">
      <alignment horizontal="center"/>
    </xf>
    <xf numFmtId="0" fontId="89" fillId="0" borderId="0" xfId="0" applyFont="1" applyAlignment="1">
      <alignment horizontal="left"/>
    </xf>
    <xf numFmtId="0" fontId="114" fillId="0" borderId="0" xfId="0" applyFont="1" applyAlignment="1">
      <alignment horizontal="left"/>
    </xf>
    <xf numFmtId="0" fontId="93" fillId="0" borderId="188" xfId="0" applyFont="1" applyBorder="1" applyAlignment="1">
      <alignment vertical="center"/>
    </xf>
    <xf numFmtId="0" fontId="93" fillId="0" borderId="189" xfId="0" applyFont="1" applyBorder="1" applyAlignment="1">
      <alignment vertical="center"/>
    </xf>
    <xf numFmtId="0" fontId="93" fillId="0" borderId="8" xfId="0" applyFont="1" applyBorder="1" applyAlignment="1">
      <alignment vertical="center"/>
    </xf>
    <xf numFmtId="0" fontId="120" fillId="0" borderId="0" xfId="0" applyFont="1"/>
    <xf numFmtId="0" fontId="9" fillId="4" borderId="0" xfId="0" quotePrefix="1" applyFont="1" applyFill="1" applyAlignment="1">
      <alignment horizontal="center" vertical="center"/>
    </xf>
    <xf numFmtId="0" fontId="116" fillId="0" borderId="190" xfId="0" applyFont="1" applyBorder="1" applyAlignment="1">
      <alignment vertical="center"/>
    </xf>
    <xf numFmtId="0" fontId="116" fillId="0" borderId="191" xfId="0" applyFont="1" applyBorder="1" applyAlignment="1">
      <alignment vertical="center"/>
    </xf>
    <xf numFmtId="0" fontId="116" fillId="0" borderId="191" xfId="0" applyFont="1" applyBorder="1"/>
    <xf numFmtId="0" fontId="116" fillId="0" borderId="66" xfId="0" applyFont="1" applyBorder="1"/>
    <xf numFmtId="0" fontId="121" fillId="0" borderId="190" xfId="0" applyFont="1" applyBorder="1" applyAlignment="1">
      <alignment vertical="center"/>
    </xf>
    <xf numFmtId="0" fontId="121" fillId="0" borderId="191" xfId="0" applyFont="1" applyBorder="1" applyAlignment="1">
      <alignment vertical="center"/>
    </xf>
    <xf numFmtId="0" fontId="121" fillId="0" borderId="191" xfId="0" applyFont="1" applyBorder="1"/>
    <xf numFmtId="0" fontId="121" fillId="0" borderId="66" xfId="0" applyFont="1" applyBorder="1"/>
    <xf numFmtId="0" fontId="122" fillId="0" borderId="0" xfId="0" applyFont="1" applyAlignment="1">
      <alignment horizontal="right"/>
    </xf>
    <xf numFmtId="0" fontId="98" fillId="0" borderId="187" xfId="0" applyFont="1" applyBorder="1" applyAlignment="1">
      <alignment vertical="center"/>
    </xf>
    <xf numFmtId="0" fontId="98" fillId="0" borderId="57" xfId="0" applyFont="1" applyBorder="1" applyAlignment="1">
      <alignment vertical="center"/>
    </xf>
    <xf numFmtId="0" fontId="98" fillId="0" borderId="54" xfId="0" applyFont="1" applyBorder="1" applyAlignment="1">
      <alignment vertical="center"/>
    </xf>
    <xf numFmtId="0" fontId="98" fillId="0" borderId="186" xfId="0" applyFont="1" applyBorder="1" applyAlignment="1">
      <alignment vertical="center"/>
    </xf>
    <xf numFmtId="0" fontId="98" fillId="0" borderId="70" xfId="0" applyFont="1" applyBorder="1" applyAlignment="1">
      <alignment vertical="center"/>
    </xf>
    <xf numFmtId="0" fontId="29" fillId="0" borderId="187" xfId="0" applyFont="1" applyBorder="1" applyAlignment="1">
      <alignment vertical="center"/>
    </xf>
    <xf numFmtId="0" fontId="29" fillId="0" borderId="57" xfId="0" applyFont="1" applyBorder="1" applyAlignment="1">
      <alignment vertical="center"/>
    </xf>
    <xf numFmtId="0" fontId="29" fillId="0" borderId="54" xfId="0" applyFont="1" applyBorder="1" applyAlignment="1">
      <alignment vertical="center"/>
    </xf>
    <xf numFmtId="0" fontId="29" fillId="0" borderId="186" xfId="0" applyFont="1" applyBorder="1" applyAlignment="1">
      <alignment vertical="center"/>
    </xf>
    <xf numFmtId="0" fontId="29" fillId="0" borderId="70" xfId="0" applyFont="1" applyBorder="1" applyAlignment="1">
      <alignment vertical="center"/>
    </xf>
    <xf numFmtId="0" fontId="73" fillId="0" borderId="61" xfId="0" applyFont="1" applyBorder="1" applyAlignment="1">
      <alignment horizontal="center"/>
    </xf>
    <xf numFmtId="0" fontId="73" fillId="0" borderId="74" xfId="0" applyFont="1" applyBorder="1" applyAlignment="1">
      <alignment horizontal="center"/>
    </xf>
    <xf numFmtId="0" fontId="120" fillId="0" borderId="61" xfId="0" applyFont="1" applyBorder="1" applyAlignment="1">
      <alignment horizontal="center"/>
    </xf>
    <xf numFmtId="0" fontId="120" fillId="0" borderId="74" xfId="0" applyFont="1" applyBorder="1" applyAlignment="1">
      <alignment horizontal="center"/>
    </xf>
    <xf numFmtId="0" fontId="75" fillId="0" borderId="151" xfId="0" applyFont="1" applyBorder="1" applyAlignment="1">
      <alignment horizontal="center"/>
    </xf>
    <xf numFmtId="0" fontId="75" fillId="0" borderId="151" xfId="0" applyFont="1" applyBorder="1" applyAlignment="1">
      <alignment horizontal="center" vertical="center" shrinkToFit="1"/>
    </xf>
    <xf numFmtId="0" fontId="74" fillId="0" borderId="145" xfId="0" applyFont="1" applyBorder="1" applyAlignment="1">
      <alignment horizontal="center"/>
    </xf>
    <xf numFmtId="0" fontId="59" fillId="0" borderId="145" xfId="0" applyFont="1" applyBorder="1" applyAlignment="1">
      <alignment horizontal="center"/>
    </xf>
    <xf numFmtId="0" fontId="47" fillId="2" borderId="82" xfId="0" applyFont="1" applyFill="1" applyBorder="1" applyAlignment="1">
      <alignment horizontal="center"/>
    </xf>
    <xf numFmtId="0" fontId="127" fillId="0" borderId="0" xfId="0" applyFont="1" applyBorder="1" applyAlignment="1">
      <alignment horizontal="right"/>
    </xf>
    <xf numFmtId="0" fontId="122" fillId="0" borderId="0" xfId="0" applyFont="1" applyBorder="1" applyAlignment="1">
      <alignment horizontal="right"/>
    </xf>
    <xf numFmtId="3" fontId="7" fillId="0" borderId="0" xfId="0" applyNumberFormat="1" applyFont="1" applyBorder="1" applyAlignment="1">
      <alignment vertical="center"/>
    </xf>
    <xf numFmtId="3" fontId="9" fillId="7" borderId="173" xfId="0" applyNumberFormat="1" applyFont="1" applyFill="1" applyBorder="1"/>
    <xf numFmtId="3" fontId="77" fillId="0" borderId="173" xfId="0" applyNumberFormat="1" applyFont="1" applyFill="1" applyBorder="1" applyAlignment="1">
      <alignment horizontal="center" vertical="center" shrinkToFit="1"/>
    </xf>
    <xf numFmtId="3" fontId="22" fillId="0" borderId="112" xfId="0" applyNumberFormat="1" applyFont="1" applyFill="1" applyBorder="1" applyAlignment="1">
      <alignment vertical="center"/>
    </xf>
    <xf numFmtId="3" fontId="36" fillId="0" borderId="169" xfId="0" applyNumberFormat="1" applyFont="1" applyBorder="1"/>
    <xf numFmtId="3" fontId="36" fillId="0" borderId="74" xfId="0" applyNumberFormat="1" applyFont="1" applyBorder="1"/>
    <xf numFmtId="3" fontId="22" fillId="0" borderId="110" xfId="0" applyNumberFormat="1" applyFont="1" applyFill="1" applyBorder="1" applyAlignment="1">
      <alignment vertical="center"/>
    </xf>
    <xf numFmtId="3" fontId="22" fillId="0" borderId="77" xfId="0" applyNumberFormat="1" applyFont="1" applyFill="1" applyBorder="1" applyAlignment="1">
      <alignment vertical="center"/>
    </xf>
    <xf numFmtId="3" fontId="37" fillId="0" borderId="16" xfId="0" applyNumberFormat="1" applyFont="1" applyBorder="1" applyAlignment="1">
      <alignment vertical="center"/>
    </xf>
    <xf numFmtId="3" fontId="37" fillId="0" borderId="26" xfId="0" applyNumberFormat="1" applyFont="1" applyBorder="1" applyAlignment="1">
      <alignment vertical="center"/>
    </xf>
    <xf numFmtId="3" fontId="22" fillId="0" borderId="163" xfId="0" applyNumberFormat="1" applyFont="1" applyFill="1" applyBorder="1" applyAlignment="1">
      <alignment horizontal="center" vertical="center"/>
    </xf>
    <xf numFmtId="3" fontId="21" fillId="0" borderId="36" xfId="0" applyNumberFormat="1" applyFont="1" applyFill="1" applyBorder="1" applyAlignment="1">
      <alignment horizontal="center" vertical="center"/>
    </xf>
    <xf numFmtId="3" fontId="21" fillId="0" borderId="16" xfId="0" applyNumberFormat="1" applyFont="1" applyFill="1" applyBorder="1" applyAlignment="1">
      <alignment horizontal="center" vertical="center"/>
    </xf>
    <xf numFmtId="3" fontId="22" fillId="0" borderId="36" xfId="0" applyNumberFormat="1" applyFont="1" applyFill="1" applyBorder="1" applyAlignment="1">
      <alignment horizontal="center" vertical="center"/>
    </xf>
    <xf numFmtId="3" fontId="130" fillId="0" borderId="111" xfId="0" applyNumberFormat="1" applyFont="1" applyBorder="1" applyAlignment="1">
      <alignment vertical="center"/>
    </xf>
    <xf numFmtId="3" fontId="21" fillId="0" borderId="0" xfId="0" applyNumberFormat="1" applyFont="1" applyFill="1" applyBorder="1" applyAlignment="1">
      <alignment vertical="center"/>
    </xf>
    <xf numFmtId="165" fontId="0" fillId="0" borderId="101" xfId="0" applyNumberFormat="1" applyBorder="1"/>
    <xf numFmtId="165" fontId="0" fillId="0" borderId="93" xfId="0" applyNumberFormat="1" applyBorder="1"/>
    <xf numFmtId="165" fontId="0" fillId="0" borderId="105" xfId="0" applyNumberFormat="1" applyBorder="1"/>
    <xf numFmtId="165" fontId="53" fillId="0" borderId="80" xfId="0" applyNumberFormat="1" applyFont="1" applyBorder="1"/>
    <xf numFmtId="165" fontId="0" fillId="0" borderId="100" xfId="0" applyNumberFormat="1" applyBorder="1"/>
    <xf numFmtId="165" fontId="0" fillId="0" borderId="132" xfId="0" applyNumberFormat="1" applyBorder="1"/>
    <xf numFmtId="165" fontId="0" fillId="0" borderId="157" xfId="0" applyNumberFormat="1" applyBorder="1"/>
    <xf numFmtId="165" fontId="53" fillId="0" borderId="152" xfId="0" applyNumberFormat="1" applyFont="1" applyBorder="1"/>
    <xf numFmtId="165" fontId="0" fillId="0" borderId="136" xfId="0" applyNumberFormat="1" applyBorder="1"/>
    <xf numFmtId="165" fontId="3" fillId="0" borderId="150" xfId="0" applyNumberFormat="1" applyFont="1" applyBorder="1"/>
    <xf numFmtId="165" fontId="0" fillId="0" borderId="130" xfId="0" applyNumberFormat="1" applyBorder="1"/>
    <xf numFmtId="165" fontId="0" fillId="0" borderId="156" xfId="0" applyNumberFormat="1" applyBorder="1"/>
    <xf numFmtId="165" fontId="53" fillId="0" borderId="153" xfId="0" applyNumberFormat="1" applyFont="1" applyBorder="1"/>
    <xf numFmtId="165" fontId="5" fillId="0" borderId="136" xfId="0" applyNumberFormat="1" applyFont="1" applyBorder="1"/>
    <xf numFmtId="165" fontId="5" fillId="0" borderId="101" xfId="0" applyNumberFormat="1" applyFont="1" applyBorder="1"/>
    <xf numFmtId="165" fontId="5" fillId="0" borderId="137" xfId="0" applyNumberFormat="1" applyFont="1" applyBorder="1"/>
    <xf numFmtId="165" fontId="5" fillId="0" borderId="100" xfId="0" applyNumberFormat="1" applyFont="1" applyBorder="1"/>
    <xf numFmtId="165" fontId="5" fillId="0" borderId="113" xfId="0" applyNumberFormat="1" applyFont="1" applyBorder="1"/>
    <xf numFmtId="165" fontId="5" fillId="0" borderId="130" xfId="0" applyNumberFormat="1" applyFont="1" applyBorder="1"/>
    <xf numFmtId="165" fontId="5" fillId="0" borderId="93" xfId="0" applyNumberFormat="1" applyFont="1" applyBorder="1"/>
    <xf numFmtId="165" fontId="5" fillId="0" borderId="131" xfId="0" applyNumberFormat="1" applyFont="1" applyBorder="1"/>
    <xf numFmtId="165" fontId="5" fillId="0" borderId="132" xfId="0" applyNumberFormat="1" applyFont="1" applyBorder="1"/>
    <xf numFmtId="165" fontId="5" fillId="0" borderId="106" xfId="0" applyNumberFormat="1" applyFont="1" applyBorder="1"/>
    <xf numFmtId="165" fontId="5" fillId="0" borderId="156" xfId="0" applyNumberFormat="1" applyFont="1" applyBorder="1"/>
    <xf numFmtId="165" fontId="5" fillId="0" borderId="105" xfId="0" applyNumberFormat="1" applyFont="1" applyBorder="1"/>
    <xf numFmtId="165" fontId="5" fillId="0" borderId="154" xfId="0" applyNumberFormat="1" applyFont="1" applyBorder="1"/>
    <xf numFmtId="165" fontId="5" fillId="0" borderId="157" xfId="0" applyNumberFormat="1" applyFont="1" applyBorder="1"/>
    <xf numFmtId="165" fontId="5" fillId="0" borderId="107" xfId="0" applyNumberFormat="1" applyFont="1" applyBorder="1"/>
    <xf numFmtId="165" fontId="54" fillId="0" borderId="55" xfId="0" applyNumberFormat="1" applyFont="1" applyBorder="1"/>
    <xf numFmtId="165" fontId="54" fillId="0" borderId="153" xfId="0" applyNumberFormat="1" applyFont="1" applyBorder="1"/>
    <xf numFmtId="165" fontId="54" fillId="0" borderId="80" xfId="0" applyNumberFormat="1" applyFont="1" applyBorder="1"/>
    <xf numFmtId="165" fontId="54" fillId="0" borderId="147" xfId="0" applyNumberFormat="1" applyFont="1" applyBorder="1"/>
    <xf numFmtId="165" fontId="54" fillId="0" borderId="152" xfId="0" applyNumberFormat="1" applyFont="1" applyBorder="1"/>
    <xf numFmtId="165" fontId="54" fillId="0" borderId="143" xfId="0" applyNumberFormat="1" applyFont="1" applyBorder="1"/>
    <xf numFmtId="165" fontId="48" fillId="0" borderId="148" xfId="0" applyNumberFormat="1" applyFont="1" applyBorder="1"/>
    <xf numFmtId="165" fontId="1" fillId="0" borderId="136" xfId="0" applyNumberFormat="1" applyFont="1" applyBorder="1"/>
    <xf numFmtId="165" fontId="1" fillId="0" borderId="101" xfId="0" applyNumberFormat="1" applyFont="1" applyBorder="1"/>
    <xf numFmtId="165" fontId="1" fillId="0" borderId="113" xfId="0" applyNumberFormat="1" applyFont="1" applyBorder="1"/>
    <xf numFmtId="165" fontId="48" fillId="0" borderId="150" xfId="0" applyNumberFormat="1" applyFont="1" applyBorder="1"/>
    <xf numFmtId="165" fontId="1" fillId="0" borderId="130" xfId="0" applyNumberFormat="1" applyFont="1" applyBorder="1"/>
    <xf numFmtId="165" fontId="1" fillId="0" borderId="93" xfId="0" applyNumberFormat="1" applyFont="1" applyBorder="1"/>
    <xf numFmtId="165" fontId="1" fillId="0" borderId="106" xfId="0" applyNumberFormat="1" applyFont="1" applyBorder="1"/>
    <xf numFmtId="165" fontId="1" fillId="0" borderId="156" xfId="0" applyNumberFormat="1" applyFont="1" applyBorder="1"/>
    <xf numFmtId="165" fontId="1" fillId="0" borderId="105" xfId="0" applyNumberFormat="1" applyFont="1" applyBorder="1"/>
    <xf numFmtId="165" fontId="1" fillId="0" borderId="107" xfId="0" applyNumberFormat="1" applyFont="1" applyBorder="1"/>
    <xf numFmtId="165" fontId="54" fillId="0" borderId="79" xfId="0" applyNumberFormat="1" applyFont="1" applyBorder="1"/>
    <xf numFmtId="165" fontId="51" fillId="0" borderId="136" xfId="0" applyNumberFormat="1" applyFont="1" applyBorder="1"/>
    <xf numFmtId="165" fontId="51" fillId="0" borderId="101" xfId="0" applyNumberFormat="1" applyFont="1" applyBorder="1"/>
    <xf numFmtId="165" fontId="51" fillId="0" borderId="137" xfId="0" applyNumberFormat="1" applyFont="1" applyBorder="1"/>
    <xf numFmtId="165" fontId="51" fillId="0" borderId="100" xfId="0" applyNumberFormat="1" applyFont="1" applyBorder="1"/>
    <xf numFmtId="165" fontId="51" fillId="0" borderId="113" xfId="0" applyNumberFormat="1" applyFont="1" applyBorder="1"/>
    <xf numFmtId="165" fontId="51" fillId="0" borderId="130" xfId="0" applyNumberFormat="1" applyFont="1" applyBorder="1"/>
    <xf numFmtId="165" fontId="51" fillId="0" borderId="93" xfId="0" applyNumberFormat="1" applyFont="1" applyBorder="1"/>
    <xf numFmtId="165" fontId="51" fillId="0" borderId="131" xfId="0" applyNumberFormat="1" applyFont="1" applyBorder="1"/>
    <xf numFmtId="165" fontId="51" fillId="0" borderId="132" xfId="0" applyNumberFormat="1" applyFont="1" applyBorder="1"/>
    <xf numFmtId="165" fontId="51" fillId="0" borderId="106" xfId="0" applyNumberFormat="1" applyFont="1" applyBorder="1"/>
    <xf numFmtId="165" fontId="51" fillId="0" borderId="156" xfId="0" applyNumberFormat="1" applyFont="1" applyBorder="1"/>
    <xf numFmtId="165" fontId="51" fillId="0" borderId="105" xfId="0" applyNumberFormat="1" applyFont="1" applyBorder="1"/>
    <xf numFmtId="165" fontId="51" fillId="0" borderId="154" xfId="0" applyNumberFormat="1" applyFont="1" applyBorder="1"/>
    <xf numFmtId="165" fontId="51" fillId="0" borderId="157" xfId="0" applyNumberFormat="1" applyFont="1" applyBorder="1"/>
    <xf numFmtId="165" fontId="51" fillId="0" borderId="107" xfId="0" applyNumberFormat="1" applyFont="1" applyBorder="1"/>
    <xf numFmtId="165" fontId="53" fillId="0" borderId="147" xfId="0" applyNumberFormat="1" applyFont="1" applyBorder="1"/>
    <xf numFmtId="165" fontId="53" fillId="0" borderId="79" xfId="0" applyNumberFormat="1" applyFont="1" applyBorder="1"/>
    <xf numFmtId="165" fontId="48" fillId="0" borderId="102" xfId="0" applyNumberFormat="1" applyFont="1" applyBorder="1"/>
    <xf numFmtId="165" fontId="48" fillId="0" borderId="125" xfId="0" applyNumberFormat="1" applyFont="1" applyBorder="1"/>
    <xf numFmtId="165" fontId="48" fillId="0" borderId="126" xfId="0" applyNumberFormat="1" applyFont="1" applyBorder="1"/>
    <xf numFmtId="165" fontId="53" fillId="0" borderId="64" xfId="0" applyNumberFormat="1" applyFont="1" applyBorder="1"/>
    <xf numFmtId="165" fontId="48" fillId="0" borderId="156" xfId="0" applyNumberFormat="1" applyFont="1" applyBorder="1"/>
    <xf numFmtId="165" fontId="3" fillId="0" borderId="159" xfId="0" applyNumberFormat="1" applyFont="1" applyBorder="1"/>
    <xf numFmtId="165" fontId="54" fillId="0" borderId="146" xfId="0" applyNumberFormat="1" applyFont="1" applyBorder="1"/>
    <xf numFmtId="165" fontId="3" fillId="0" borderId="20" xfId="0" applyNumberFormat="1" applyFont="1" applyBorder="1"/>
    <xf numFmtId="165" fontId="54" fillId="0" borderId="140" xfId="0" applyNumberFormat="1" applyFont="1" applyBorder="1"/>
    <xf numFmtId="0" fontId="5" fillId="0" borderId="49" xfId="0" applyFont="1" applyFill="1" applyBorder="1" applyAlignment="1">
      <alignment horizontal="center" vertical="center"/>
    </xf>
    <xf numFmtId="0" fontId="3" fillId="0" borderId="133" xfId="0" applyFont="1" applyFill="1" applyBorder="1" applyAlignment="1">
      <alignment vertical="center"/>
    </xf>
    <xf numFmtId="165" fontId="59" fillId="0" borderId="130" xfId="0" applyNumberFormat="1" applyFont="1" applyFill="1" applyBorder="1"/>
    <xf numFmtId="165" fontId="38" fillId="0" borderId="132" xfId="0" applyNumberFormat="1" applyFont="1" applyFill="1" applyBorder="1"/>
    <xf numFmtId="165" fontId="59" fillId="0" borderId="93" xfId="0" applyNumberFormat="1" applyFont="1" applyFill="1" applyBorder="1"/>
    <xf numFmtId="165" fontId="59" fillId="0" borderId="131" xfId="0" applyNumberFormat="1" applyFont="1" applyFill="1" applyBorder="1"/>
    <xf numFmtId="165" fontId="59" fillId="0" borderId="106" xfId="0" applyNumberFormat="1" applyFont="1" applyFill="1" applyBorder="1"/>
    <xf numFmtId="165" fontId="48" fillId="0" borderId="130" xfId="0" applyNumberFormat="1" applyFont="1" applyFill="1" applyBorder="1"/>
    <xf numFmtId="165" fontId="48" fillId="0" borderId="132" xfId="0" applyNumberFormat="1" applyFont="1" applyFill="1" applyBorder="1"/>
    <xf numFmtId="165" fontId="48" fillId="0" borderId="93" xfId="0" applyNumberFormat="1" applyFont="1" applyFill="1" applyBorder="1"/>
    <xf numFmtId="165" fontId="48" fillId="0" borderId="131" xfId="0" applyNumberFormat="1" applyFont="1" applyFill="1" applyBorder="1"/>
    <xf numFmtId="165" fontId="3" fillId="0" borderId="130" xfId="0" applyNumberFormat="1" applyFont="1" applyFill="1" applyBorder="1"/>
    <xf numFmtId="165" fontId="3" fillId="0" borderId="93" xfId="0" applyNumberFormat="1" applyFont="1" applyFill="1" applyBorder="1"/>
    <xf numFmtId="165" fontId="3" fillId="0" borderId="131" xfId="0" applyNumberFormat="1" applyFont="1" applyFill="1" applyBorder="1"/>
    <xf numFmtId="165" fontId="3" fillId="0" borderId="132" xfId="0" applyNumberFormat="1" applyFont="1" applyFill="1" applyBorder="1"/>
    <xf numFmtId="165" fontId="3" fillId="0" borderId="106" xfId="0" applyNumberFormat="1" applyFont="1" applyFill="1" applyBorder="1"/>
    <xf numFmtId="165" fontId="59" fillId="0" borderId="132" xfId="0" applyNumberFormat="1" applyFont="1" applyFill="1" applyBorder="1"/>
    <xf numFmtId="165" fontId="73" fillId="0" borderId="149" xfId="0" applyNumberFormat="1" applyFont="1" applyBorder="1" applyAlignment="1">
      <alignment horizontal="right" vertical="center"/>
    </xf>
    <xf numFmtId="3" fontId="131" fillId="0" borderId="0" xfId="0" applyNumberFormat="1" applyFont="1" applyAlignment="1">
      <alignment horizontal="center"/>
    </xf>
    <xf numFmtId="165" fontId="73" fillId="0" borderId="168" xfId="0" applyNumberFormat="1" applyFont="1" applyBorder="1" applyAlignment="1">
      <alignment horizontal="right" vertical="center"/>
    </xf>
    <xf numFmtId="165" fontId="49" fillId="0" borderId="168" xfId="0" applyNumberFormat="1" applyFont="1" applyBorder="1" applyAlignment="1">
      <alignment vertical="center"/>
    </xf>
    <xf numFmtId="165" fontId="74" fillId="0" borderId="136" xfId="0" applyNumberFormat="1" applyFont="1" applyBorder="1"/>
    <xf numFmtId="165" fontId="74" fillId="0" borderId="100" xfId="0" applyNumberFormat="1" applyFont="1" applyBorder="1" applyAlignment="1">
      <alignment horizontal="right"/>
    </xf>
    <xf numFmtId="165" fontId="74" fillId="0" borderId="101" xfId="0" applyNumberFormat="1" applyFont="1" applyBorder="1"/>
    <xf numFmtId="165" fontId="74" fillId="0" borderId="137" xfId="0" applyNumberFormat="1" applyFont="1" applyBorder="1"/>
    <xf numFmtId="165" fontId="74" fillId="0" borderId="130" xfId="0" applyNumberFormat="1" applyFont="1" applyBorder="1"/>
    <xf numFmtId="165" fontId="74" fillId="0" borderId="132" xfId="0" applyNumberFormat="1" applyFont="1" applyBorder="1" applyAlignment="1">
      <alignment horizontal="right"/>
    </xf>
    <xf numFmtId="165" fontId="74" fillId="0" borderId="93" xfId="0" applyNumberFormat="1" applyFont="1" applyBorder="1"/>
    <xf numFmtId="165" fontId="74" fillId="0" borderId="131" xfId="0" applyNumberFormat="1" applyFont="1" applyBorder="1"/>
    <xf numFmtId="165" fontId="74" fillId="0" borderId="130" xfId="0" applyNumberFormat="1" applyFont="1" applyFill="1" applyBorder="1"/>
    <xf numFmtId="165" fontId="74" fillId="0" borderId="132" xfId="0" applyNumberFormat="1" applyFont="1" applyFill="1" applyBorder="1" applyAlignment="1">
      <alignment horizontal="right"/>
    </xf>
    <xf numFmtId="165" fontId="74" fillId="0" borderId="93" xfId="0" applyNumberFormat="1" applyFont="1" applyFill="1" applyBorder="1"/>
    <xf numFmtId="165" fontId="74" fillId="0" borderId="131" xfId="0" applyNumberFormat="1" applyFont="1" applyFill="1" applyBorder="1"/>
    <xf numFmtId="165" fontId="74" fillId="0" borderId="156" xfId="0" applyNumberFormat="1" applyFont="1" applyBorder="1"/>
    <xf numFmtId="165" fontId="74" fillId="0" borderId="157" xfId="0" applyNumberFormat="1" applyFont="1" applyBorder="1" applyAlignment="1">
      <alignment horizontal="right"/>
    </xf>
    <xf numFmtId="165" fontId="74" fillId="0" borderId="105" xfId="0" applyNumberFormat="1" applyFont="1" applyBorder="1"/>
    <xf numFmtId="165" fontId="74" fillId="0" borderId="154" xfId="0" applyNumberFormat="1" applyFont="1" applyBorder="1"/>
    <xf numFmtId="165" fontId="74" fillId="0" borderId="113" xfId="0" applyNumberFormat="1" applyFont="1" applyBorder="1"/>
    <xf numFmtId="165" fontId="74" fillId="0" borderId="106" xfId="0" applyNumberFormat="1" applyFont="1" applyBorder="1"/>
    <xf numFmtId="165" fontId="74" fillId="0" borderId="106" xfId="0" applyNumberFormat="1" applyFont="1" applyFill="1" applyBorder="1"/>
    <xf numFmtId="165" fontId="74" fillId="0" borderId="107" xfId="0" applyNumberFormat="1" applyFont="1" applyBorder="1"/>
    <xf numFmtId="165" fontId="38" fillId="0" borderId="135" xfId="0" applyNumberFormat="1" applyFont="1" applyBorder="1" applyAlignment="1">
      <alignment horizontal="right"/>
    </xf>
    <xf numFmtId="165" fontId="38" fillId="0" borderId="133" xfId="0" applyNumberFormat="1" applyFont="1" applyBorder="1"/>
    <xf numFmtId="165" fontId="38" fillId="0" borderId="133" xfId="0" applyNumberFormat="1" applyFont="1" applyFill="1" applyBorder="1"/>
    <xf numFmtId="165" fontId="38" fillId="0" borderId="159" xfId="0" applyNumberFormat="1" applyFont="1" applyBorder="1" applyAlignment="1">
      <alignment horizontal="right"/>
    </xf>
    <xf numFmtId="0" fontId="45" fillId="0" borderId="133" xfId="0" applyFont="1" applyBorder="1" applyAlignment="1">
      <alignment vertical="center" wrapText="1"/>
    </xf>
    <xf numFmtId="0" fontId="132" fillId="0" borderId="151" xfId="0" applyFont="1" applyBorder="1" applyAlignment="1">
      <alignment horizontal="center"/>
    </xf>
    <xf numFmtId="3" fontId="133" fillId="0" borderId="93" xfId="0" applyNumberFormat="1" applyFont="1" applyBorder="1"/>
    <xf numFmtId="3" fontId="133" fillId="0" borderId="106" xfId="0" applyNumberFormat="1" applyFont="1" applyBorder="1"/>
    <xf numFmtId="3" fontId="133" fillId="0" borderId="105" xfId="0" applyNumberFormat="1" applyFont="1" applyBorder="1"/>
    <xf numFmtId="3" fontId="133" fillId="0" borderId="107" xfId="0" applyNumberFormat="1" applyFont="1" applyBorder="1"/>
    <xf numFmtId="3" fontId="133" fillId="0" borderId="80" xfId="0" applyNumberFormat="1" applyFont="1" applyBorder="1"/>
    <xf numFmtId="3" fontId="133" fillId="0" borderId="79" xfId="0" applyNumberFormat="1" applyFont="1" applyBorder="1"/>
    <xf numFmtId="3" fontId="134" fillId="0" borderId="93" xfId="0" applyNumberFormat="1" applyFont="1" applyBorder="1"/>
    <xf numFmtId="3" fontId="134" fillId="0" borderId="106" xfId="0" applyNumberFormat="1" applyFont="1" applyBorder="1"/>
    <xf numFmtId="3" fontId="134" fillId="0" borderId="105" xfId="0" applyNumberFormat="1" applyFont="1" applyBorder="1"/>
    <xf numFmtId="3" fontId="134" fillId="0" borderId="107" xfId="0" applyNumberFormat="1" applyFont="1" applyBorder="1"/>
    <xf numFmtId="3" fontId="134" fillId="0" borderId="80" xfId="0" applyNumberFormat="1" applyFont="1" applyBorder="1"/>
    <xf numFmtId="3" fontId="134" fillId="0" borderId="79" xfId="0" applyNumberFormat="1" applyFont="1" applyBorder="1"/>
    <xf numFmtId="3" fontId="133" fillId="0" borderId="80" xfId="0" applyNumberFormat="1" applyFont="1" applyFill="1" applyBorder="1"/>
    <xf numFmtId="3" fontId="133" fillId="0" borderId="79" xfId="0" applyNumberFormat="1" applyFont="1" applyFill="1" applyBorder="1"/>
    <xf numFmtId="3" fontId="135" fillId="0" borderId="100" xfId="0" applyNumberFormat="1" applyFont="1" applyBorder="1"/>
    <xf numFmtId="4" fontId="135" fillId="0" borderId="101" xfId="0" applyNumberFormat="1" applyFont="1" applyBorder="1"/>
    <xf numFmtId="3" fontId="135" fillId="0" borderId="101" xfId="0" applyNumberFormat="1" applyFont="1" applyBorder="1"/>
    <xf numFmtId="4" fontId="135" fillId="0" borderId="113" xfId="0" applyNumberFormat="1" applyFont="1" applyBorder="1"/>
    <xf numFmtId="3" fontId="135" fillId="0" borderId="132" xfId="0" applyNumberFormat="1" applyFont="1" applyBorder="1"/>
    <xf numFmtId="4" fontId="135" fillId="0" borderId="93" xfId="0" applyNumberFormat="1" applyFont="1" applyBorder="1"/>
    <xf numFmtId="3" fontId="135" fillId="0" borderId="93" xfId="0" applyNumberFormat="1" applyFont="1" applyBorder="1"/>
    <xf numFmtId="4" fontId="135" fillId="0" borderId="106" xfId="0" applyNumberFormat="1" applyFont="1" applyBorder="1"/>
    <xf numFmtId="3" fontId="135" fillId="0" borderId="1" xfId="0" applyNumberFormat="1" applyFont="1" applyBorder="1"/>
    <xf numFmtId="4" fontId="135" fillId="0" borderId="24" xfId="0" applyNumberFormat="1" applyFont="1" applyBorder="1"/>
    <xf numFmtId="3" fontId="135" fillId="0" borderId="24" xfId="0" applyNumberFormat="1" applyFont="1" applyBorder="1"/>
    <xf numFmtId="4" fontId="135" fillId="0" borderId="32" xfId="0" applyNumberFormat="1" applyFont="1" applyBorder="1"/>
    <xf numFmtId="3" fontId="135" fillId="0" borderId="93" xfId="0" applyNumberFormat="1" applyFont="1" applyFill="1" applyBorder="1"/>
    <xf numFmtId="4" fontId="135" fillId="0" borderId="93" xfId="0" applyNumberFormat="1" applyFont="1" applyFill="1" applyBorder="1"/>
    <xf numFmtId="3" fontId="135" fillId="0" borderId="166" xfId="0" applyNumberFormat="1" applyFont="1" applyBorder="1" applyAlignment="1">
      <alignment vertical="center"/>
    </xf>
    <xf numFmtId="3" fontId="135" fillId="0" borderId="169" xfId="0" applyNumberFormat="1" applyFont="1" applyBorder="1" applyAlignment="1">
      <alignment vertical="center"/>
    </xf>
    <xf numFmtId="3" fontId="135" fillId="0" borderId="61" xfId="0" applyNumberFormat="1" applyFont="1" applyBorder="1" applyAlignment="1">
      <alignment vertical="center"/>
    </xf>
    <xf numFmtId="3" fontId="135" fillId="0" borderId="74" xfId="0" applyNumberFormat="1" applyFont="1" applyBorder="1" applyAlignment="1">
      <alignment vertical="center"/>
    </xf>
    <xf numFmtId="3" fontId="135" fillId="0" borderId="111" xfId="0" applyNumberFormat="1" applyFont="1" applyBorder="1" applyAlignment="1">
      <alignment vertical="center"/>
    </xf>
    <xf numFmtId="3" fontId="135" fillId="0" borderId="112" xfId="0" applyNumberFormat="1" applyFont="1" applyBorder="1" applyAlignment="1">
      <alignment vertical="center"/>
    </xf>
    <xf numFmtId="3" fontId="135" fillId="0" borderId="59" xfId="0" applyNumberFormat="1" applyFont="1" applyBorder="1" applyAlignment="1">
      <alignment vertical="center"/>
    </xf>
    <xf numFmtId="3" fontId="135" fillId="0" borderId="173" xfId="0" applyNumberFormat="1" applyFont="1" applyBorder="1" applyAlignment="1">
      <alignment vertical="center"/>
    </xf>
    <xf numFmtId="3" fontId="135" fillId="0" borderId="55" xfId="0" applyNumberFormat="1" applyFont="1" applyBorder="1" applyAlignment="1">
      <alignment vertical="center"/>
    </xf>
    <xf numFmtId="3" fontId="135" fillId="0" borderId="5" xfId="0" applyNumberFormat="1" applyFont="1" applyBorder="1" applyAlignment="1">
      <alignment vertical="center"/>
    </xf>
    <xf numFmtId="3" fontId="136" fillId="0" borderId="65" xfId="0" applyNumberFormat="1" applyFont="1" applyFill="1" applyBorder="1" applyAlignment="1">
      <alignment vertical="center"/>
    </xf>
    <xf numFmtId="3" fontId="136" fillId="0" borderId="166" xfId="0" applyNumberFormat="1" applyFont="1" applyFill="1" applyBorder="1" applyAlignment="1">
      <alignment vertical="center"/>
    </xf>
    <xf numFmtId="3" fontId="136" fillId="0" borderId="167" xfId="0" applyNumberFormat="1" applyFont="1" applyFill="1" applyBorder="1" applyAlignment="1">
      <alignment vertical="center"/>
    </xf>
    <xf numFmtId="3" fontId="136" fillId="0" borderId="110" xfId="0" applyNumberFormat="1" applyFont="1" applyBorder="1" applyAlignment="1">
      <alignment vertical="center"/>
    </xf>
    <xf numFmtId="3" fontId="136" fillId="0" borderId="111" xfId="0" applyNumberFormat="1" applyFont="1" applyBorder="1" applyAlignment="1">
      <alignment vertical="center"/>
    </xf>
    <xf numFmtId="3" fontId="136" fillId="0" borderId="114" xfId="0" applyNumberFormat="1" applyFont="1" applyBorder="1" applyAlignment="1">
      <alignment vertical="center"/>
    </xf>
    <xf numFmtId="3" fontId="136" fillId="0" borderId="168" xfId="0" applyNumberFormat="1" applyFont="1" applyBorder="1" applyAlignment="1">
      <alignment vertical="center"/>
    </xf>
    <xf numFmtId="3" fontId="136" fillId="0" borderId="55" xfId="0" applyNumberFormat="1" applyFont="1" applyBorder="1" applyAlignment="1">
      <alignment vertical="center"/>
    </xf>
    <xf numFmtId="3" fontId="136" fillId="0" borderId="169" xfId="0" applyNumberFormat="1" applyFont="1" applyBorder="1"/>
    <xf numFmtId="3" fontId="136" fillId="0" borderId="74" xfId="0" applyNumberFormat="1" applyFont="1" applyBorder="1"/>
    <xf numFmtId="3" fontId="136" fillId="0" borderId="65" xfId="0" applyNumberFormat="1" applyFont="1" applyBorder="1" applyAlignment="1">
      <alignment vertical="center"/>
    </xf>
    <xf numFmtId="3" fontId="136" fillId="0" borderId="166" xfId="0" applyNumberFormat="1" applyFont="1" applyBorder="1" applyAlignment="1">
      <alignment vertical="center"/>
    </xf>
    <xf numFmtId="3" fontId="136" fillId="0" borderId="167" xfId="0" applyNumberFormat="1" applyFont="1" applyBorder="1" applyAlignment="1">
      <alignment vertical="center"/>
    </xf>
    <xf numFmtId="0" fontId="137" fillId="0" borderId="0" xfId="0" applyFont="1"/>
    <xf numFmtId="3" fontId="136" fillId="0" borderId="55" xfId="0" applyNumberFormat="1" applyFont="1" applyFill="1" applyBorder="1" applyAlignment="1">
      <alignment vertical="center"/>
    </xf>
    <xf numFmtId="3" fontId="136" fillId="0" borderId="168" xfId="0" applyNumberFormat="1" applyFont="1" applyFill="1" applyBorder="1" applyAlignment="1">
      <alignment vertical="center"/>
    </xf>
    <xf numFmtId="0" fontId="138" fillId="0" borderId="106" xfId="0" applyFont="1" applyBorder="1"/>
    <xf numFmtId="0" fontId="138" fillId="0" borderId="160" xfId="0" applyFont="1" applyBorder="1"/>
    <xf numFmtId="0" fontId="138" fillId="0" borderId="143" xfId="0" applyFont="1" applyBorder="1"/>
    <xf numFmtId="0" fontId="138" fillId="0" borderId="160" xfId="0" applyFont="1" applyFill="1" applyBorder="1"/>
    <xf numFmtId="4" fontId="135" fillId="0" borderId="106" xfId="0" applyNumberFormat="1" applyFont="1" applyFill="1" applyBorder="1"/>
    <xf numFmtId="4" fontId="135" fillId="0" borderId="32" xfId="0" applyNumberFormat="1" applyFont="1" applyFill="1" applyBorder="1"/>
    <xf numFmtId="3" fontId="135" fillId="0" borderId="24" xfId="0" applyNumberFormat="1" applyFont="1" applyFill="1" applyBorder="1"/>
    <xf numFmtId="3" fontId="139" fillId="7" borderId="173" xfId="0" applyNumberFormat="1" applyFont="1" applyFill="1" applyBorder="1" applyAlignment="1">
      <alignment horizontal="center" vertical="center" shrinkToFit="1"/>
    </xf>
    <xf numFmtId="3" fontId="135" fillId="0" borderId="65" xfId="0" applyNumberFormat="1" applyFont="1" applyBorder="1" applyAlignment="1">
      <alignment vertical="center"/>
    </xf>
    <xf numFmtId="3" fontId="135" fillId="0" borderId="167" xfId="0" applyNumberFormat="1" applyFont="1" applyBorder="1" applyAlignment="1">
      <alignment vertical="center"/>
    </xf>
    <xf numFmtId="3" fontId="135" fillId="0" borderId="110" xfId="0" applyNumberFormat="1" applyFont="1" applyBorder="1" applyAlignment="1">
      <alignment vertical="center"/>
    </xf>
    <xf numFmtId="3" fontId="135" fillId="0" borderId="114" xfId="0" applyNumberFormat="1" applyFont="1" applyBorder="1" applyAlignment="1">
      <alignment vertical="center"/>
    </xf>
    <xf numFmtId="3" fontId="135" fillId="0" borderId="168" xfId="0" applyNumberFormat="1" applyFont="1" applyBorder="1" applyAlignment="1">
      <alignment vertical="center"/>
    </xf>
    <xf numFmtId="3" fontId="135" fillId="0" borderId="169" xfId="0" applyNumberFormat="1" applyFont="1" applyBorder="1"/>
    <xf numFmtId="3" fontId="135" fillId="0" borderId="74" xfId="0" applyNumberFormat="1" applyFont="1" applyBorder="1"/>
    <xf numFmtId="3" fontId="135" fillId="0" borderId="65" xfId="0" applyNumberFormat="1" applyFont="1" applyFill="1" applyBorder="1" applyAlignment="1">
      <alignment vertical="center"/>
    </xf>
    <xf numFmtId="3" fontId="135" fillId="0" borderId="166" xfId="0" applyNumberFormat="1" applyFont="1" applyFill="1" applyBorder="1" applyAlignment="1">
      <alignment vertical="center"/>
    </xf>
    <xf numFmtId="3" fontId="135" fillId="0" borderId="167" xfId="0" applyNumberFormat="1" applyFont="1" applyFill="1" applyBorder="1" applyAlignment="1">
      <alignment vertical="center"/>
    </xf>
    <xf numFmtId="3" fontId="135" fillId="0" borderId="169" xfId="0" applyNumberFormat="1" applyFont="1" applyFill="1" applyBorder="1"/>
    <xf numFmtId="3" fontId="135" fillId="0" borderId="74" xfId="0" applyNumberFormat="1" applyFont="1" applyFill="1" applyBorder="1"/>
    <xf numFmtId="3" fontId="140" fillId="0" borderId="145" xfId="0" applyNumberFormat="1" applyFont="1" applyBorder="1" applyAlignment="1">
      <alignment horizontal="center" vertical="center"/>
    </xf>
    <xf numFmtId="3" fontId="140" fillId="0" borderId="36" xfId="0" applyNumberFormat="1" applyFont="1" applyBorder="1" applyAlignment="1">
      <alignment horizontal="center" vertical="center"/>
    </xf>
    <xf numFmtId="3" fontId="140" fillId="0" borderId="92" xfId="0" applyNumberFormat="1" applyFont="1" applyBorder="1" applyAlignment="1">
      <alignment horizontal="center" vertical="center"/>
    </xf>
    <xf numFmtId="3" fontId="140" fillId="0" borderId="103" xfId="0" applyNumberFormat="1" applyFont="1" applyBorder="1" applyAlignment="1">
      <alignment horizontal="center" vertical="center"/>
    </xf>
    <xf numFmtId="3" fontId="140" fillId="0" borderId="162" xfId="0" applyNumberFormat="1" applyFont="1" applyBorder="1" applyAlignment="1">
      <alignment horizontal="center" vertical="center"/>
    </xf>
    <xf numFmtId="3" fontId="140" fillId="0" borderId="93" xfId="0" applyNumberFormat="1" applyFont="1" applyBorder="1" applyAlignment="1">
      <alignment horizontal="center" vertical="center"/>
    </xf>
    <xf numFmtId="3" fontId="140" fillId="0" borderId="94" xfId="0" applyNumberFormat="1" applyFont="1" applyBorder="1" applyAlignment="1">
      <alignment horizontal="center" vertical="center"/>
    </xf>
    <xf numFmtId="3" fontId="140" fillId="0" borderId="125" xfId="0" applyNumberFormat="1" applyFont="1" applyBorder="1" applyAlignment="1">
      <alignment horizontal="center" vertical="center"/>
    </xf>
    <xf numFmtId="3" fontId="140" fillId="0" borderId="163" xfId="0" applyNumberFormat="1" applyFont="1" applyBorder="1" applyAlignment="1">
      <alignment horizontal="center" vertical="center"/>
    </xf>
    <xf numFmtId="3" fontId="140" fillId="0" borderId="14" xfId="0" applyNumberFormat="1" applyFont="1" applyBorder="1" applyAlignment="1">
      <alignment horizontal="center" vertical="center"/>
    </xf>
    <xf numFmtId="3" fontId="140" fillId="0" borderId="164" xfId="0" applyNumberFormat="1" applyFont="1" applyBorder="1" applyAlignment="1">
      <alignment horizontal="center" vertical="center"/>
    </xf>
    <xf numFmtId="3" fontId="140" fillId="0" borderId="104" xfId="0" applyNumberFormat="1" applyFont="1" applyBorder="1" applyAlignment="1">
      <alignment horizontal="center" vertical="center"/>
    </xf>
    <xf numFmtId="3" fontId="140" fillId="0" borderId="23" xfId="0" applyNumberFormat="1" applyFont="1" applyBorder="1" applyAlignment="1">
      <alignment horizontal="center" vertical="center"/>
    </xf>
    <xf numFmtId="3" fontId="140" fillId="0" borderId="24" xfId="0" applyNumberFormat="1" applyFont="1" applyBorder="1" applyAlignment="1">
      <alignment horizontal="center" vertical="center"/>
    </xf>
    <xf numFmtId="3" fontId="140" fillId="0" borderId="25" xfId="0" applyNumberFormat="1" applyFont="1" applyBorder="1" applyAlignment="1">
      <alignment horizontal="center" vertical="center"/>
    </xf>
    <xf numFmtId="3" fontId="140" fillId="0" borderId="4" xfId="0" applyNumberFormat="1" applyFont="1" applyBorder="1" applyAlignment="1">
      <alignment horizontal="center" vertical="center"/>
    </xf>
    <xf numFmtId="3" fontId="141" fillId="0" borderId="145" xfId="0" applyNumberFormat="1" applyFont="1" applyFill="1" applyBorder="1" applyAlignment="1">
      <alignment horizontal="center" vertical="center"/>
    </xf>
    <xf numFmtId="3" fontId="141" fillId="0" borderId="36" xfId="0" applyNumberFormat="1" applyFont="1" applyFill="1" applyBorder="1" applyAlignment="1">
      <alignment horizontal="center" vertical="center"/>
    </xf>
    <xf numFmtId="3" fontId="141" fillId="0" borderId="92" xfId="0" applyNumberFormat="1" applyFont="1" applyFill="1" applyBorder="1" applyAlignment="1">
      <alignment horizontal="center" vertical="center"/>
    </xf>
    <xf numFmtId="3" fontId="141" fillId="0" borderId="103" xfId="0" applyNumberFormat="1" applyFont="1" applyFill="1" applyBorder="1" applyAlignment="1">
      <alignment horizontal="center" vertical="center"/>
    </xf>
    <xf numFmtId="3" fontId="141" fillId="0" borderId="162" xfId="0" applyNumberFormat="1" applyFont="1" applyFill="1" applyBorder="1" applyAlignment="1">
      <alignment horizontal="center" vertical="center"/>
    </xf>
    <xf numFmtId="3" fontId="141" fillId="0" borderId="93" xfId="0" applyNumberFormat="1" applyFont="1" applyFill="1" applyBorder="1" applyAlignment="1">
      <alignment horizontal="center" vertical="center"/>
    </xf>
    <xf numFmtId="3" fontId="141" fillId="0" borderId="94" xfId="0" applyNumberFormat="1" applyFont="1" applyFill="1" applyBorder="1" applyAlignment="1">
      <alignment horizontal="center" vertical="center"/>
    </xf>
    <xf numFmtId="3" fontId="141" fillId="0" borderId="163" xfId="0" applyNumberFormat="1" applyFont="1" applyBorder="1" applyAlignment="1">
      <alignment horizontal="center" vertical="center"/>
    </xf>
    <xf numFmtId="3" fontId="141" fillId="0" borderId="14" xfId="0" applyNumberFormat="1" applyFont="1" applyBorder="1" applyAlignment="1">
      <alignment horizontal="center" vertical="center"/>
    </xf>
    <xf numFmtId="3" fontId="141" fillId="0" borderId="164" xfId="0" applyNumberFormat="1" applyFont="1" applyBorder="1" applyAlignment="1">
      <alignment horizontal="center" vertical="center"/>
    </xf>
    <xf numFmtId="3" fontId="141" fillId="0" borderId="104" xfId="0" applyNumberFormat="1" applyFont="1" applyBorder="1" applyAlignment="1">
      <alignment horizontal="center" vertical="center"/>
    </xf>
    <xf numFmtId="3" fontId="141" fillId="0" borderId="23" xfId="0" applyNumberFormat="1" applyFont="1" applyBorder="1" applyAlignment="1">
      <alignment horizontal="center" vertical="center"/>
    </xf>
    <xf numFmtId="3" fontId="141" fillId="0" borderId="24" xfId="0" applyNumberFormat="1" applyFont="1" applyBorder="1" applyAlignment="1">
      <alignment horizontal="center" vertical="center"/>
    </xf>
    <xf numFmtId="3" fontId="141" fillId="0" borderId="25" xfId="0" applyNumberFormat="1" applyFont="1" applyBorder="1" applyAlignment="1">
      <alignment horizontal="center" vertical="center"/>
    </xf>
    <xf numFmtId="3" fontId="141" fillId="0" borderId="4" xfId="0" applyNumberFormat="1" applyFont="1" applyBorder="1" applyAlignment="1">
      <alignment horizontal="center" vertical="center"/>
    </xf>
    <xf numFmtId="3" fontId="141" fillId="0" borderId="145" xfId="0" applyNumberFormat="1" applyFont="1" applyBorder="1" applyAlignment="1">
      <alignment horizontal="center" vertical="center"/>
    </xf>
    <xf numFmtId="3" fontId="141" fillId="0" borderId="36" xfId="0" applyNumberFormat="1" applyFont="1" applyBorder="1" applyAlignment="1">
      <alignment horizontal="center" vertical="center"/>
    </xf>
    <xf numFmtId="3" fontId="141" fillId="0" borderId="92" xfId="0" applyNumberFormat="1" applyFont="1" applyBorder="1" applyAlignment="1">
      <alignment horizontal="center" vertical="center"/>
    </xf>
    <xf numFmtId="3" fontId="141" fillId="0" borderId="103" xfId="0" applyNumberFormat="1" applyFont="1" applyBorder="1" applyAlignment="1">
      <alignment horizontal="center" vertical="center"/>
    </xf>
    <xf numFmtId="3" fontId="141" fillId="0" borderId="162" xfId="0" applyNumberFormat="1" applyFont="1" applyBorder="1" applyAlignment="1">
      <alignment horizontal="center" vertical="center"/>
    </xf>
    <xf numFmtId="3" fontId="141" fillId="0" borderId="93" xfId="0" applyNumberFormat="1" applyFont="1" applyBorder="1" applyAlignment="1">
      <alignment horizontal="center" vertical="center"/>
    </xf>
    <xf numFmtId="3" fontId="141" fillId="0" borderId="94" xfId="0" applyNumberFormat="1" applyFont="1" applyBorder="1" applyAlignment="1">
      <alignment horizontal="center" vertical="center"/>
    </xf>
    <xf numFmtId="3" fontId="141" fillId="0" borderId="125" xfId="0" applyNumberFormat="1" applyFont="1" applyBorder="1" applyAlignment="1">
      <alignment horizontal="center" vertical="center"/>
    </xf>
    <xf numFmtId="3" fontId="140" fillId="0" borderId="163" xfId="0" applyNumberFormat="1" applyFont="1" applyFill="1" applyBorder="1" applyAlignment="1">
      <alignment horizontal="center" vertical="center"/>
    </xf>
    <xf numFmtId="3" fontId="140" fillId="0" borderId="93" xfId="0" applyNumberFormat="1" applyFont="1" applyFill="1" applyBorder="1" applyAlignment="1">
      <alignment horizontal="center" vertical="center"/>
    </xf>
    <xf numFmtId="3" fontId="140" fillId="0" borderId="94" xfId="0" applyNumberFormat="1" applyFont="1" applyFill="1" applyBorder="1" applyAlignment="1">
      <alignment horizontal="center" vertical="center"/>
    </xf>
    <xf numFmtId="3" fontId="140" fillId="0" borderId="14" xfId="0" applyNumberFormat="1" applyFont="1" applyFill="1" applyBorder="1" applyAlignment="1">
      <alignment horizontal="center" vertical="center"/>
    </xf>
    <xf numFmtId="3" fontId="140" fillId="0" borderId="164" xfId="0" applyNumberFormat="1" applyFont="1" applyFill="1" applyBorder="1" applyAlignment="1">
      <alignment horizontal="center" vertical="center"/>
    </xf>
    <xf numFmtId="3" fontId="140" fillId="0" borderId="162" xfId="0" applyNumberFormat="1" applyFont="1" applyFill="1" applyBorder="1" applyAlignment="1">
      <alignment horizontal="center" vertical="center"/>
    </xf>
    <xf numFmtId="3" fontId="140" fillId="0" borderId="125" xfId="0" applyNumberFormat="1" applyFont="1" applyFill="1" applyBorder="1" applyAlignment="1">
      <alignment horizontal="center" vertical="center"/>
    </xf>
    <xf numFmtId="3" fontId="140" fillId="0" borderId="104" xfId="0" applyNumberFormat="1" applyFont="1" applyFill="1" applyBorder="1" applyAlignment="1">
      <alignment horizontal="center" vertical="center"/>
    </xf>
    <xf numFmtId="3" fontId="140" fillId="0" borderId="23" xfId="0" applyNumberFormat="1" applyFont="1" applyFill="1" applyBorder="1" applyAlignment="1">
      <alignment horizontal="center" vertical="center"/>
    </xf>
    <xf numFmtId="3" fontId="140" fillId="0" borderId="24" xfId="0" applyNumberFormat="1" applyFont="1" applyFill="1" applyBorder="1" applyAlignment="1">
      <alignment horizontal="center" vertical="center"/>
    </xf>
    <xf numFmtId="3" fontId="140" fillId="0" borderId="25" xfId="0" applyNumberFormat="1" applyFont="1" applyFill="1" applyBorder="1" applyAlignment="1">
      <alignment horizontal="center" vertical="center"/>
    </xf>
    <xf numFmtId="3" fontId="140" fillId="0" borderId="4" xfId="0" applyNumberFormat="1" applyFont="1" applyFill="1" applyBorder="1" applyAlignment="1">
      <alignment horizontal="center" vertical="center"/>
    </xf>
    <xf numFmtId="0" fontId="51" fillId="0" borderId="83" xfId="0" applyFont="1" applyBorder="1" applyAlignment="1">
      <alignment horizontal="centerContinuous"/>
    </xf>
    <xf numFmtId="0" fontId="51" fillId="0" borderId="99" xfId="0" applyFont="1" applyBorder="1" applyAlignment="1">
      <alignment horizontal="centerContinuous"/>
    </xf>
    <xf numFmtId="3" fontId="142" fillId="0" borderId="16" xfId="0" applyNumberFormat="1" applyFont="1" applyBorder="1" applyAlignment="1">
      <alignment vertical="center"/>
    </xf>
    <xf numFmtId="3" fontId="142" fillId="0" borderId="26" xfId="0" applyNumberFormat="1" applyFont="1" applyBorder="1" applyAlignment="1">
      <alignment vertical="center"/>
    </xf>
    <xf numFmtId="165" fontId="0" fillId="0" borderId="101" xfId="0" applyNumberFormat="1" applyFont="1" applyBorder="1"/>
    <xf numFmtId="165" fontId="0" fillId="0" borderId="100" xfId="0" applyNumberFormat="1" applyFont="1" applyBorder="1"/>
    <xf numFmtId="165" fontId="0" fillId="0" borderId="93" xfId="0" applyNumberFormat="1" applyFont="1" applyBorder="1"/>
    <xf numFmtId="165" fontId="0" fillId="0" borderId="132" xfId="0" applyNumberFormat="1" applyFont="1" applyBorder="1"/>
    <xf numFmtId="165" fontId="0" fillId="0" borderId="105" xfId="0" applyNumberFormat="1" applyFont="1" applyBorder="1"/>
    <xf numFmtId="165" fontId="0" fillId="0" borderId="157" xfId="0" applyNumberFormat="1" applyFont="1" applyBorder="1"/>
    <xf numFmtId="3" fontId="0" fillId="0" borderId="101" xfId="0" applyNumberFormat="1" applyFont="1" applyBorder="1"/>
    <xf numFmtId="3" fontId="0" fillId="0" borderId="100" xfId="0" applyNumberFormat="1" applyFont="1" applyBorder="1"/>
    <xf numFmtId="3" fontId="0" fillId="0" borderId="93" xfId="0" applyNumberFormat="1" applyFont="1" applyBorder="1"/>
    <xf numFmtId="3" fontId="0" fillId="0" borderId="132" xfId="0" applyNumberFormat="1" applyFont="1" applyBorder="1"/>
    <xf numFmtId="3" fontId="0" fillId="0" borderId="105" xfId="0" applyNumberFormat="1" applyFont="1" applyBorder="1"/>
    <xf numFmtId="3" fontId="0" fillId="0" borderId="157" xfId="0" applyNumberFormat="1" applyFont="1" applyBorder="1"/>
    <xf numFmtId="165" fontId="0" fillId="0" borderId="136" xfId="0" applyNumberFormat="1" applyFont="1" applyBorder="1"/>
    <xf numFmtId="165" fontId="0" fillId="0" borderId="130" xfId="0" applyNumberFormat="1" applyFont="1" applyBorder="1"/>
    <xf numFmtId="165" fontId="0" fillId="0" borderId="156" xfId="0" applyNumberFormat="1" applyFont="1" applyBorder="1"/>
    <xf numFmtId="3" fontId="143" fillId="0" borderId="174" xfId="0" applyNumberFormat="1" applyFont="1" applyFill="1" applyBorder="1" applyAlignment="1">
      <alignment horizontal="center" vertical="center"/>
    </xf>
    <xf numFmtId="3" fontId="143" fillId="0" borderId="175" xfId="0" applyNumberFormat="1" applyFont="1" applyBorder="1" applyAlignment="1">
      <alignment horizontal="center" vertical="center"/>
    </xf>
    <xf numFmtId="3" fontId="143" fillId="0" borderId="192" xfId="0" applyNumberFormat="1" applyFont="1" applyBorder="1" applyAlignment="1">
      <alignment horizontal="center" vertical="center"/>
    </xf>
    <xf numFmtId="3" fontId="143" fillId="0" borderId="112" xfId="0" applyNumberFormat="1" applyFont="1" applyBorder="1" applyAlignment="1">
      <alignment horizontal="center" vertical="center"/>
    </xf>
    <xf numFmtId="3" fontId="143" fillId="0" borderId="193" xfId="0" applyNumberFormat="1" applyFont="1" applyBorder="1" applyAlignment="1">
      <alignment horizontal="center" vertical="center"/>
    </xf>
    <xf numFmtId="3" fontId="143" fillId="0" borderId="177" xfId="0" applyNumberFormat="1" applyFont="1" applyBorder="1" applyAlignment="1">
      <alignment horizontal="center" vertical="center"/>
    </xf>
    <xf numFmtId="3" fontId="143" fillId="0" borderId="183" xfId="0" applyNumberFormat="1" applyFont="1" applyBorder="1" applyAlignment="1">
      <alignment horizontal="center" vertical="center"/>
    </xf>
    <xf numFmtId="3" fontId="143" fillId="0" borderId="53" xfId="0" applyNumberFormat="1" applyFont="1" applyBorder="1" applyAlignment="1">
      <alignment horizontal="center" vertical="center"/>
    </xf>
    <xf numFmtId="3" fontId="143" fillId="0" borderId="178" xfId="0" applyNumberFormat="1" applyFont="1" applyBorder="1" applyAlignment="1">
      <alignment horizontal="center" vertical="center"/>
    </xf>
    <xf numFmtId="3" fontId="143" fillId="0" borderId="176" xfId="0" applyNumberFormat="1" applyFont="1" applyBorder="1" applyAlignment="1">
      <alignment horizontal="center" vertical="center"/>
    </xf>
    <xf numFmtId="3" fontId="143" fillId="0" borderId="110" xfId="0" applyNumberFormat="1" applyFont="1" applyBorder="1" applyAlignment="1">
      <alignment horizontal="center" vertical="center"/>
    </xf>
    <xf numFmtId="3" fontId="143" fillId="0" borderId="10" xfId="0" applyNumberFormat="1" applyFont="1" applyBorder="1" applyAlignment="1">
      <alignment horizontal="center" vertical="center"/>
    </xf>
    <xf numFmtId="3" fontId="143" fillId="0" borderId="76" xfId="0" applyNumberFormat="1" applyFont="1" applyBorder="1" applyAlignment="1">
      <alignment horizontal="center" vertical="center"/>
    </xf>
    <xf numFmtId="3" fontId="143" fillId="0" borderId="175" xfId="0" applyNumberFormat="1" applyFont="1" applyFill="1" applyBorder="1" applyAlignment="1">
      <alignment horizontal="center" vertical="center"/>
    </xf>
    <xf numFmtId="3" fontId="143" fillId="0" borderId="0" xfId="0" applyNumberFormat="1" applyFont="1" applyBorder="1" applyAlignment="1">
      <alignment horizontal="center" vertical="center"/>
    </xf>
    <xf numFmtId="3" fontId="143" fillId="0" borderId="174" xfId="0" applyNumberFormat="1" applyFont="1" applyBorder="1" applyAlignment="1">
      <alignment horizontal="center" vertical="center"/>
    </xf>
    <xf numFmtId="3" fontId="143" fillId="0" borderId="110" xfId="0" applyNumberFormat="1" applyFont="1" applyFill="1" applyBorder="1" applyAlignment="1">
      <alignment horizontal="center" vertical="center"/>
    </xf>
    <xf numFmtId="3" fontId="143" fillId="0" borderId="112" xfId="0" applyNumberFormat="1" applyFont="1" applyFill="1" applyBorder="1" applyAlignment="1">
      <alignment horizontal="center" vertical="center"/>
    </xf>
    <xf numFmtId="3" fontId="143" fillId="0" borderId="176" xfId="0" applyNumberFormat="1" applyFont="1" applyFill="1" applyBorder="1" applyAlignment="1">
      <alignment horizontal="center" vertical="center"/>
    </xf>
    <xf numFmtId="3" fontId="143" fillId="0" borderId="177" xfId="0" applyNumberFormat="1" applyFont="1" applyFill="1" applyBorder="1" applyAlignment="1">
      <alignment horizontal="center" vertical="center"/>
    </xf>
    <xf numFmtId="3" fontId="143" fillId="0" borderId="0" xfId="0" applyNumberFormat="1" applyFont="1" applyFill="1" applyBorder="1" applyAlignment="1">
      <alignment horizontal="center" vertical="center"/>
    </xf>
    <xf numFmtId="3" fontId="143" fillId="0" borderId="53" xfId="0" applyNumberFormat="1" applyFont="1" applyFill="1" applyBorder="1" applyAlignment="1">
      <alignment horizontal="center" vertical="center"/>
    </xf>
    <xf numFmtId="3" fontId="136" fillId="0" borderId="108" xfId="0" applyNumberFormat="1" applyFont="1" applyBorder="1" applyAlignment="1">
      <alignment vertical="center"/>
    </xf>
    <xf numFmtId="3" fontId="136" fillId="0" borderId="77" xfId="0" applyNumberFormat="1" applyFont="1" applyFill="1" applyBorder="1" applyAlignment="1">
      <alignment vertical="center"/>
    </xf>
    <xf numFmtId="3" fontId="136" fillId="0" borderId="36" xfId="0" applyNumberFormat="1" applyFont="1" applyBorder="1" applyAlignment="1">
      <alignment vertical="center"/>
    </xf>
    <xf numFmtId="3" fontId="136" fillId="0" borderId="92" xfId="0" applyNumberFormat="1" applyFont="1" applyBorder="1" applyAlignment="1">
      <alignment vertical="center"/>
    </xf>
    <xf numFmtId="3" fontId="136" fillId="0" borderId="103" xfId="0" applyNumberFormat="1" applyFont="1" applyBorder="1" applyAlignment="1">
      <alignment vertical="center"/>
    </xf>
    <xf numFmtId="3" fontId="136" fillId="0" borderId="130" xfId="0" applyNumberFormat="1" applyFont="1" applyBorder="1" applyAlignment="1">
      <alignment vertical="center"/>
    </xf>
    <xf numFmtId="3" fontId="136" fillId="0" borderId="84" xfId="0" applyNumberFormat="1" applyFont="1" applyBorder="1" applyAlignment="1">
      <alignment vertical="center"/>
    </xf>
    <xf numFmtId="3" fontId="136" fillId="0" borderId="93" xfId="0" applyNumberFormat="1" applyFont="1" applyBorder="1" applyAlignment="1">
      <alignment vertical="center"/>
    </xf>
    <xf numFmtId="3" fontId="136" fillId="0" borderId="94" xfId="0" applyNumberFormat="1" applyFont="1" applyBorder="1" applyAlignment="1">
      <alignment vertical="center"/>
    </xf>
    <xf numFmtId="3" fontId="136" fillId="0" borderId="125" xfId="0" applyNumberFormat="1" applyFont="1" applyBorder="1" applyAlignment="1">
      <alignment vertical="center"/>
    </xf>
    <xf numFmtId="3" fontId="136" fillId="0" borderId="43" xfId="0" applyNumberFormat="1" applyFont="1" applyBorder="1" applyAlignment="1">
      <alignment vertical="center"/>
    </xf>
    <xf numFmtId="3" fontId="136" fillId="0" borderId="82" xfId="0" applyNumberFormat="1" applyFont="1" applyBorder="1" applyAlignment="1">
      <alignment vertical="center"/>
    </xf>
    <xf numFmtId="3" fontId="136" fillId="0" borderId="24" xfId="0" applyNumberFormat="1" applyFont="1" applyBorder="1" applyAlignment="1">
      <alignment vertical="center"/>
    </xf>
    <xf numFmtId="3" fontId="136" fillId="0" borderId="25" xfId="0" applyNumberFormat="1" applyFont="1" applyBorder="1" applyAlignment="1">
      <alignment vertical="center"/>
    </xf>
    <xf numFmtId="3" fontId="136" fillId="0" borderId="4" xfId="0" applyNumberFormat="1" applyFont="1" applyBorder="1" applyAlignment="1">
      <alignment vertical="center"/>
    </xf>
    <xf numFmtId="3" fontId="136" fillId="0" borderId="42" xfId="0" applyNumberFormat="1" applyFont="1" applyBorder="1" applyAlignment="1">
      <alignment vertical="center"/>
    </xf>
    <xf numFmtId="3" fontId="136" fillId="0" borderId="20" xfId="0" applyNumberFormat="1" applyFont="1" applyBorder="1" applyAlignment="1">
      <alignment vertical="center"/>
    </xf>
    <xf numFmtId="3" fontId="136" fillId="0" borderId="137" xfId="0" applyNumberFormat="1" applyFont="1" applyBorder="1" applyAlignment="1">
      <alignment vertical="center"/>
    </xf>
    <xf numFmtId="3" fontId="136" fillId="0" borderId="21" xfId="0" applyNumberFormat="1" applyFont="1" applyBorder="1" applyAlignment="1">
      <alignment vertical="center"/>
    </xf>
    <xf numFmtId="3" fontId="136" fillId="0" borderId="132" xfId="0" applyNumberFormat="1" applyFont="1" applyBorder="1" applyAlignment="1">
      <alignment vertical="center"/>
    </xf>
    <xf numFmtId="3" fontId="136" fillId="0" borderId="131" xfId="0" applyNumberFormat="1" applyFont="1" applyBorder="1" applyAlignment="1">
      <alignment vertical="center"/>
    </xf>
    <xf numFmtId="3" fontId="136" fillId="0" borderId="106" xfId="0" applyNumberFormat="1" applyFont="1" applyBorder="1" applyAlignment="1">
      <alignment vertical="center"/>
    </xf>
    <xf numFmtId="3" fontId="136" fillId="0" borderId="1" xfId="0" applyNumberFormat="1" applyFont="1" applyBorder="1" applyAlignment="1">
      <alignment vertical="center"/>
    </xf>
    <xf numFmtId="3" fontId="136" fillId="0" borderId="44" xfId="0" applyNumberFormat="1" applyFont="1" applyBorder="1" applyAlignment="1">
      <alignment vertical="center"/>
    </xf>
    <xf numFmtId="3" fontId="136" fillId="0" borderId="32" xfId="0" applyNumberFormat="1" applyFont="1" applyBorder="1" applyAlignment="1">
      <alignment vertical="center"/>
    </xf>
    <xf numFmtId="3" fontId="136" fillId="0" borderId="77" xfId="0" applyNumberFormat="1" applyFont="1" applyBorder="1" applyAlignment="1">
      <alignment vertical="center"/>
    </xf>
    <xf numFmtId="3" fontId="136" fillId="0" borderId="42" xfId="0" applyNumberFormat="1" applyFont="1" applyFill="1" applyBorder="1" applyAlignment="1">
      <alignment vertical="center"/>
    </xf>
    <xf numFmtId="3" fontId="136" fillId="0" borderId="130" xfId="0" applyNumberFormat="1" applyFont="1" applyFill="1" applyBorder="1" applyAlignment="1">
      <alignment vertical="center"/>
    </xf>
    <xf numFmtId="3" fontId="136" fillId="0" borderId="84" xfId="0" applyNumberFormat="1" applyFont="1" applyFill="1" applyBorder="1" applyAlignment="1">
      <alignment vertical="center"/>
    </xf>
    <xf numFmtId="3" fontId="136" fillId="0" borderId="93" xfId="0" applyNumberFormat="1" applyFont="1" applyFill="1" applyBorder="1" applyAlignment="1">
      <alignment vertical="center"/>
    </xf>
    <xf numFmtId="3" fontId="136" fillId="0" borderId="94" xfId="0" applyNumberFormat="1" applyFont="1" applyFill="1" applyBorder="1" applyAlignment="1">
      <alignment vertical="center"/>
    </xf>
    <xf numFmtId="3" fontId="136" fillId="0" borderId="92" xfId="0" applyNumberFormat="1" applyFont="1" applyFill="1" applyBorder="1" applyAlignment="1">
      <alignment vertical="center"/>
    </xf>
    <xf numFmtId="3" fontId="136" fillId="0" borderId="125" xfId="0" applyNumberFormat="1" applyFont="1" applyFill="1" applyBorder="1" applyAlignment="1">
      <alignment vertical="center"/>
    </xf>
    <xf numFmtId="3" fontId="144" fillId="0" borderId="36" xfId="0" applyNumberFormat="1" applyFont="1" applyBorder="1" applyAlignment="1">
      <alignment vertical="center"/>
    </xf>
    <xf numFmtId="3" fontId="145" fillId="0" borderId="0" xfId="0" applyNumberFormat="1" applyFont="1" applyBorder="1" applyAlignment="1">
      <alignment vertical="center"/>
    </xf>
    <xf numFmtId="3" fontId="144" fillId="0" borderId="36" xfId="0" applyNumberFormat="1" applyFont="1" applyFill="1" applyBorder="1" applyAlignment="1">
      <alignment vertical="center"/>
    </xf>
    <xf numFmtId="3" fontId="145" fillId="0" borderId="0" xfId="0" applyNumberFormat="1" applyFont="1" applyFill="1" applyBorder="1" applyAlignment="1">
      <alignment vertical="center"/>
    </xf>
    <xf numFmtId="3" fontId="146" fillId="0" borderId="95" xfId="0" applyNumberFormat="1" applyFont="1" applyFill="1" applyBorder="1" applyAlignment="1">
      <alignment vertical="center"/>
    </xf>
    <xf numFmtId="3" fontId="146" fillId="0" borderId="167" xfId="0" applyNumberFormat="1" applyFont="1" applyFill="1" applyBorder="1" applyAlignment="1">
      <alignment vertical="center"/>
    </xf>
    <xf numFmtId="3" fontId="146" fillId="0" borderId="20" xfId="0" applyNumberFormat="1" applyFont="1" applyBorder="1" applyAlignment="1">
      <alignment vertical="center"/>
    </xf>
    <xf numFmtId="3" fontId="146" fillId="0" borderId="99" xfId="0" applyNumberFormat="1" applyFont="1" applyBorder="1" applyAlignment="1">
      <alignment vertical="center"/>
    </xf>
    <xf numFmtId="3" fontId="146" fillId="0" borderId="97" xfId="0" applyNumberFormat="1" applyFont="1" applyBorder="1" applyAlignment="1">
      <alignment vertical="center"/>
    </xf>
    <xf numFmtId="3" fontId="146" fillId="0" borderId="62" xfId="0" applyNumberFormat="1" applyFont="1" applyBorder="1" applyAlignment="1">
      <alignment vertical="center"/>
    </xf>
    <xf numFmtId="3" fontId="146" fillId="0" borderId="93" xfId="0" applyNumberFormat="1" applyFont="1" applyBorder="1" applyAlignment="1">
      <alignment vertical="center"/>
    </xf>
    <xf numFmtId="3" fontId="146" fillId="0" borderId="125" xfId="0" applyNumberFormat="1" applyFont="1" applyBorder="1" applyAlignment="1">
      <alignment vertical="center"/>
    </xf>
    <xf numFmtId="3" fontId="146" fillId="0" borderId="80" xfId="0" applyNumberFormat="1" applyFont="1" applyBorder="1" applyAlignment="1">
      <alignment vertical="center"/>
    </xf>
    <xf numFmtId="3" fontId="146" fillId="0" borderId="64" xfId="0" applyNumberFormat="1" applyFont="1" applyBorder="1" applyAlignment="1">
      <alignment vertical="center"/>
    </xf>
    <xf numFmtId="3" fontId="146" fillId="0" borderId="24" xfId="0" applyNumberFormat="1" applyFont="1" applyBorder="1" applyAlignment="1">
      <alignment vertical="center"/>
    </xf>
    <xf numFmtId="3" fontId="146" fillId="0" borderId="4" xfId="0" applyNumberFormat="1" applyFont="1" applyBorder="1" applyAlignment="1">
      <alignment vertical="center"/>
    </xf>
    <xf numFmtId="3" fontId="146" fillId="0" borderId="20" xfId="0" applyNumberFormat="1" applyFont="1" applyFill="1" applyBorder="1" applyAlignment="1">
      <alignment vertical="center"/>
    </xf>
    <xf numFmtId="3" fontId="146" fillId="0" borderId="93" xfId="0" applyNumberFormat="1" applyFont="1" applyFill="1" applyBorder="1" applyAlignment="1">
      <alignment vertical="center"/>
    </xf>
    <xf numFmtId="3" fontId="146" fillId="0" borderId="105" xfId="0" applyNumberFormat="1" applyFont="1" applyFill="1" applyBorder="1" applyAlignment="1">
      <alignment vertical="center"/>
    </xf>
    <xf numFmtId="3" fontId="146" fillId="0" borderId="126" xfId="0" applyNumberFormat="1" applyFont="1" applyBorder="1" applyAlignment="1">
      <alignment vertical="center"/>
    </xf>
    <xf numFmtId="3" fontId="147" fillId="0" borderId="95" xfId="0" applyNumberFormat="1" applyFont="1" applyBorder="1" applyAlignment="1">
      <alignment vertical="center"/>
    </xf>
    <xf numFmtId="3" fontId="147" fillId="0" borderId="167" xfId="0" applyNumberFormat="1" applyFont="1" applyBorder="1" applyAlignment="1">
      <alignment vertical="center"/>
    </xf>
    <xf numFmtId="3" fontId="147" fillId="0" borderId="20" xfId="0" applyNumberFormat="1" applyFont="1" applyBorder="1" applyAlignment="1">
      <alignment vertical="center"/>
    </xf>
    <xf numFmtId="3" fontId="147" fillId="0" borderId="99" xfId="0" applyNumberFormat="1" applyFont="1" applyBorder="1" applyAlignment="1">
      <alignment vertical="center"/>
    </xf>
    <xf numFmtId="3" fontId="147" fillId="0" borderId="97" xfId="0" applyNumberFormat="1" applyFont="1" applyBorder="1" applyAlignment="1">
      <alignment vertical="center"/>
    </xf>
    <xf numFmtId="3" fontId="147" fillId="0" borderId="62" xfId="0" applyNumberFormat="1" applyFont="1" applyBorder="1" applyAlignment="1">
      <alignment vertical="center"/>
    </xf>
    <xf numFmtId="3" fontId="147" fillId="0" borderId="93" xfId="0" applyNumberFormat="1" applyFont="1" applyBorder="1" applyAlignment="1">
      <alignment vertical="center"/>
    </xf>
    <xf numFmtId="3" fontId="147" fillId="0" borderId="125" xfId="0" applyNumberFormat="1" applyFont="1" applyBorder="1" applyAlignment="1">
      <alignment vertical="center"/>
    </xf>
    <xf numFmtId="3" fontId="147" fillId="0" borderId="80" xfId="0" applyNumberFormat="1" applyFont="1" applyBorder="1" applyAlignment="1">
      <alignment vertical="center"/>
    </xf>
    <xf numFmtId="3" fontId="147" fillId="0" borderId="64" xfId="0" applyNumberFormat="1" applyFont="1" applyBorder="1" applyAlignment="1">
      <alignment vertical="center"/>
    </xf>
    <xf numFmtId="3" fontId="147" fillId="0" borderId="24" xfId="0" applyNumberFormat="1" applyFont="1" applyBorder="1" applyAlignment="1">
      <alignment vertical="center"/>
    </xf>
    <xf numFmtId="3" fontId="147" fillId="0" borderId="4" xfId="0" applyNumberFormat="1" applyFont="1" applyBorder="1" applyAlignment="1">
      <alignment vertical="center"/>
    </xf>
    <xf numFmtId="3" fontId="147" fillId="0" borderId="20" xfId="0" applyNumberFormat="1" applyFont="1" applyFill="1" applyBorder="1" applyAlignment="1">
      <alignment vertical="center"/>
    </xf>
    <xf numFmtId="3" fontId="147" fillId="0" borderId="93" xfId="0" applyNumberFormat="1" applyFont="1" applyFill="1" applyBorder="1" applyAlignment="1">
      <alignment vertical="center"/>
    </xf>
    <xf numFmtId="3" fontId="147" fillId="0" borderId="105" xfId="0" applyNumberFormat="1" applyFont="1" applyFill="1" applyBorder="1" applyAlignment="1">
      <alignment vertical="center"/>
    </xf>
    <xf numFmtId="3" fontId="147" fillId="0" borderId="126" xfId="0" applyNumberFormat="1" applyFont="1" applyBorder="1" applyAlignment="1">
      <alignment vertical="center"/>
    </xf>
    <xf numFmtId="3" fontId="147" fillId="0" borderId="95" xfId="0" applyNumberFormat="1" applyFont="1" applyFill="1" applyBorder="1" applyAlignment="1">
      <alignment vertical="center"/>
    </xf>
    <xf numFmtId="3" fontId="147" fillId="0" borderId="167" xfId="0" applyNumberFormat="1" applyFont="1" applyFill="1" applyBorder="1" applyAlignment="1">
      <alignment vertical="center"/>
    </xf>
    <xf numFmtId="3" fontId="147" fillId="0" borderId="99" xfId="0" applyNumberFormat="1" applyFont="1" applyFill="1" applyBorder="1" applyAlignment="1">
      <alignment vertical="center"/>
    </xf>
    <xf numFmtId="3" fontId="147" fillId="0" borderId="105" xfId="0" applyNumberFormat="1" applyFont="1" applyBorder="1" applyAlignment="1">
      <alignment vertical="center"/>
    </xf>
    <xf numFmtId="3" fontId="147" fillId="0" borderId="125" xfId="0" applyNumberFormat="1" applyFont="1" applyFill="1" applyBorder="1" applyAlignment="1">
      <alignment vertical="center"/>
    </xf>
    <xf numFmtId="3" fontId="147" fillId="0" borderId="24" xfId="0" applyNumberFormat="1" applyFont="1" applyFill="1" applyBorder="1" applyAlignment="1">
      <alignment vertical="center"/>
    </xf>
    <xf numFmtId="3" fontId="147" fillId="0" borderId="4" xfId="0" applyNumberFormat="1" applyFont="1" applyFill="1" applyBorder="1" applyAlignment="1">
      <alignment vertical="center"/>
    </xf>
    <xf numFmtId="3" fontId="147" fillId="0" borderId="97" xfId="0" applyNumberFormat="1" applyFont="1" applyFill="1" applyBorder="1" applyAlignment="1">
      <alignment vertical="center"/>
    </xf>
    <xf numFmtId="3" fontId="147" fillId="0" borderId="62" xfId="0" applyNumberFormat="1" applyFont="1" applyFill="1" applyBorder="1" applyAlignment="1">
      <alignment vertical="center"/>
    </xf>
    <xf numFmtId="3" fontId="22" fillId="0" borderId="44" xfId="0" applyNumberFormat="1" applyFont="1" applyFill="1" applyBorder="1" applyAlignment="1">
      <alignment vertical="center"/>
    </xf>
    <xf numFmtId="3" fontId="22" fillId="0" borderId="137" xfId="0" applyNumberFormat="1" applyFont="1" applyFill="1" applyBorder="1" applyAlignment="1">
      <alignment vertical="center"/>
    </xf>
    <xf numFmtId="3" fontId="22" fillId="0" borderId="25" xfId="0" applyNumberFormat="1" applyFont="1" applyFill="1" applyBorder="1" applyAlignment="1">
      <alignment vertical="center"/>
    </xf>
    <xf numFmtId="3" fontId="22" fillId="0" borderId="92" xfId="0" applyNumberFormat="1" applyFont="1" applyFill="1" applyBorder="1" applyAlignment="1">
      <alignment vertical="center"/>
    </xf>
    <xf numFmtId="3" fontId="21" fillId="0" borderId="15" xfId="0" applyNumberFormat="1" applyFont="1" applyFill="1" applyBorder="1" applyAlignment="1">
      <alignment vertical="center"/>
    </xf>
    <xf numFmtId="3" fontId="21" fillId="0" borderId="36" xfId="0" applyNumberFormat="1" applyFont="1" applyFill="1" applyBorder="1" applyAlignment="1">
      <alignment vertical="center"/>
    </xf>
    <xf numFmtId="3" fontId="21" fillId="0" borderId="16" xfId="0" applyNumberFormat="1" applyFont="1" applyFill="1" applyBorder="1" applyAlignment="1">
      <alignment vertical="center"/>
    </xf>
    <xf numFmtId="3" fontId="141" fillId="0" borderId="125" xfId="0" applyNumberFormat="1" applyFont="1" applyFill="1" applyBorder="1" applyAlignment="1">
      <alignment horizontal="center" vertical="center"/>
    </xf>
    <xf numFmtId="3" fontId="136" fillId="0" borderId="82" xfId="0" applyNumberFormat="1" applyFont="1" applyFill="1" applyBorder="1" applyAlignment="1">
      <alignment vertical="center"/>
    </xf>
    <xf numFmtId="3" fontId="22" fillId="0" borderId="82" xfId="0" applyNumberFormat="1" applyFont="1" applyFill="1" applyBorder="1" applyAlignment="1">
      <alignment vertical="center"/>
    </xf>
    <xf numFmtId="3" fontId="135" fillId="8" borderId="65" xfId="0" applyNumberFormat="1" applyFont="1" applyFill="1" applyBorder="1" applyAlignment="1">
      <alignment vertical="center"/>
    </xf>
    <xf numFmtId="3" fontId="135" fillId="8" borderId="166" xfId="0" applyNumberFormat="1" applyFont="1" applyFill="1" applyBorder="1" applyAlignment="1">
      <alignment vertical="center"/>
    </xf>
    <xf numFmtId="3" fontId="135" fillId="8" borderId="167" xfId="0" applyNumberFormat="1" applyFont="1" applyFill="1" applyBorder="1" applyAlignment="1">
      <alignment vertical="center"/>
    </xf>
    <xf numFmtId="3" fontId="135" fillId="8" borderId="110" xfId="0" applyNumberFormat="1" applyFont="1" applyFill="1" applyBorder="1" applyAlignment="1">
      <alignment vertical="center"/>
    </xf>
    <xf numFmtId="3" fontId="135" fillId="8" borderId="111" xfId="0" applyNumberFormat="1" applyFont="1" applyFill="1" applyBorder="1" applyAlignment="1">
      <alignment vertical="center"/>
    </xf>
    <xf numFmtId="3" fontId="135" fillId="8" borderId="114" xfId="0" applyNumberFormat="1" applyFont="1" applyFill="1" applyBorder="1" applyAlignment="1">
      <alignment vertical="center"/>
    </xf>
    <xf numFmtId="3" fontId="135" fillId="8" borderId="168" xfId="0" applyNumberFormat="1" applyFont="1" applyFill="1" applyBorder="1" applyAlignment="1">
      <alignment vertical="center"/>
    </xf>
    <xf numFmtId="3" fontId="135" fillId="8" borderId="55" xfId="0" applyNumberFormat="1" applyFont="1" applyFill="1" applyBorder="1" applyAlignment="1">
      <alignment vertical="center"/>
    </xf>
    <xf numFmtId="3" fontId="135" fillId="8" borderId="169" xfId="0" applyNumberFormat="1" applyFont="1" applyFill="1" applyBorder="1"/>
    <xf numFmtId="3" fontId="135" fillId="8" borderId="74" xfId="0" applyNumberFormat="1" applyFont="1" applyFill="1" applyBorder="1"/>
    <xf numFmtId="3" fontId="148" fillId="0" borderId="13" xfId="0" applyNumberFormat="1" applyFont="1" applyBorder="1" applyAlignment="1">
      <alignment horizontal="center" vertical="center"/>
    </xf>
    <xf numFmtId="3" fontId="148" fillId="0" borderId="36" xfId="0" applyNumberFormat="1" applyFont="1" applyBorder="1" applyAlignment="1">
      <alignment horizontal="center" vertical="center"/>
    </xf>
    <xf numFmtId="3" fontId="148" fillId="0" borderId="0" xfId="0" applyNumberFormat="1" applyFont="1" applyBorder="1" applyAlignment="1">
      <alignment horizontal="center" vertical="center"/>
    </xf>
    <xf numFmtId="3" fontId="148" fillId="0" borderId="26" xfId="0" applyNumberFormat="1" applyFont="1" applyBorder="1" applyAlignment="1">
      <alignment horizontal="center" vertical="center"/>
    </xf>
    <xf numFmtId="0" fontId="149" fillId="0" borderId="0" xfId="0" applyFont="1" applyFill="1" applyBorder="1" applyAlignment="1">
      <alignment horizontal="center" vertical="center"/>
    </xf>
    <xf numFmtId="164" fontId="7" fillId="8" borderId="0" xfId="0" quotePrefix="1" applyNumberFormat="1" applyFont="1" applyFill="1" applyBorder="1" applyAlignment="1">
      <alignment horizontal="center"/>
    </xf>
    <xf numFmtId="0" fontId="9" fillId="0" borderId="194" xfId="0" applyFont="1" applyBorder="1" applyAlignment="1">
      <alignment horizontal="center" vertical="center"/>
    </xf>
    <xf numFmtId="0" fontId="9" fillId="0" borderId="167" xfId="0" applyFont="1" applyBorder="1" applyAlignment="1">
      <alignment horizontal="center" vertical="center"/>
    </xf>
    <xf numFmtId="0" fontId="81" fillId="0" borderId="0" xfId="0" applyFont="1" applyAlignment="1">
      <alignment horizontal="center"/>
    </xf>
    <xf numFmtId="0" fontId="92"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118" fillId="0" borderId="0" xfId="0" applyFont="1" applyAlignment="1">
      <alignment horizontal="center"/>
    </xf>
    <xf numFmtId="0" fontId="3" fillId="0" borderId="108" xfId="0" applyFont="1" applyBorder="1" applyAlignment="1">
      <alignment horizontal="center" vertical="center" wrapText="1"/>
    </xf>
    <xf numFmtId="0" fontId="3" fillId="0" borderId="30" xfId="0" applyFont="1" applyBorder="1" applyAlignment="1">
      <alignment horizontal="center" vertical="center"/>
    </xf>
    <xf numFmtId="0" fontId="3" fillId="0" borderId="19" xfId="0" applyFont="1" applyBorder="1" applyAlignment="1">
      <alignment horizontal="center" vertical="center"/>
    </xf>
    <xf numFmtId="0" fontId="124" fillId="0" borderId="29" xfId="0" applyFont="1" applyBorder="1" applyAlignment="1">
      <alignment horizontal="center" vertical="center" wrapText="1"/>
    </xf>
    <xf numFmtId="0" fontId="124" fillId="0" borderId="34" xfId="0" applyFont="1" applyBorder="1" applyAlignment="1">
      <alignment horizontal="center" vertical="center" wrapText="1"/>
    </xf>
    <xf numFmtId="0" fontId="124"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20" xfId="0" applyFont="1" applyBorder="1" applyAlignment="1">
      <alignment horizontal="center" vertical="center" wrapText="1"/>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3" fillId="0" borderId="130" xfId="0" applyFont="1" applyBorder="1" applyAlignment="1">
      <alignment horizontal="center" vertical="center" wrapText="1"/>
    </xf>
    <xf numFmtId="0" fontId="3" fillId="0" borderId="130" xfId="0" applyFont="1" applyBorder="1" applyAlignment="1">
      <alignment horizontal="center" vertical="center"/>
    </xf>
    <xf numFmtId="0" fontId="74" fillId="0" borderId="136" xfId="0" applyFont="1" applyBorder="1" applyAlignment="1">
      <alignment horizontal="center"/>
    </xf>
    <xf numFmtId="0" fontId="74" fillId="0" borderId="101" xfId="0" applyFont="1" applyBorder="1" applyAlignment="1">
      <alignment horizontal="center"/>
    </xf>
    <xf numFmtId="0" fontId="74" fillId="0" borderId="137" xfId="0" applyFont="1" applyBorder="1" applyAlignment="1">
      <alignment horizontal="center"/>
    </xf>
    <xf numFmtId="0" fontId="3" fillId="0" borderId="131" xfId="0" applyFont="1" applyBorder="1" applyAlignment="1">
      <alignment horizontal="center" vertical="center"/>
    </xf>
    <xf numFmtId="0" fontId="74" fillId="0" borderId="195" xfId="0" applyFont="1" applyBorder="1" applyAlignment="1">
      <alignment horizontal="center"/>
    </xf>
    <xf numFmtId="0" fontId="74" fillId="0" borderId="87" xfId="0" applyFont="1" applyBorder="1" applyAlignment="1">
      <alignment horizontal="center"/>
    </xf>
    <xf numFmtId="0" fontId="74" fillId="0" borderId="196" xfId="0" applyFont="1" applyBorder="1" applyAlignment="1">
      <alignment horizontal="center"/>
    </xf>
    <xf numFmtId="0" fontId="59" fillId="0" borderId="136" xfId="0" applyFont="1" applyBorder="1" applyAlignment="1">
      <alignment horizontal="center"/>
    </xf>
    <xf numFmtId="0" fontId="59" fillId="0" borderId="101" xfId="0" applyFont="1" applyBorder="1" applyAlignment="1">
      <alignment horizontal="center"/>
    </xf>
    <xf numFmtId="0" fontId="59" fillId="0" borderId="137" xfId="0" applyFont="1" applyBorder="1" applyAlignment="1">
      <alignment horizontal="center"/>
    </xf>
    <xf numFmtId="0" fontId="59" fillId="0" borderId="195" xfId="0" applyFont="1" applyBorder="1" applyAlignment="1">
      <alignment horizontal="center"/>
    </xf>
    <xf numFmtId="0" fontId="59" fillId="0" borderId="87" xfId="0" applyFont="1" applyBorder="1" applyAlignment="1">
      <alignment horizontal="center"/>
    </xf>
    <xf numFmtId="0" fontId="59" fillId="0" borderId="196" xfId="0" applyFont="1" applyBorder="1" applyAlignment="1">
      <alignment horizontal="center"/>
    </xf>
    <xf numFmtId="0" fontId="125" fillId="0" borderId="29" xfId="0" applyFont="1" applyBorder="1" applyAlignment="1">
      <alignment horizontal="center" vertical="center" wrapText="1"/>
    </xf>
    <xf numFmtId="0" fontId="125" fillId="0" borderId="34" xfId="0" applyFont="1" applyBorder="1" applyAlignment="1">
      <alignment horizontal="center" vertical="center" wrapText="1"/>
    </xf>
    <xf numFmtId="0" fontId="125" fillId="0" borderId="21" xfId="0" applyFont="1" applyBorder="1" applyAlignment="1">
      <alignment horizontal="center" vertical="center" wrapText="1"/>
    </xf>
    <xf numFmtId="0" fontId="3" fillId="0" borderId="106" xfId="0" applyFont="1" applyBorder="1" applyAlignment="1">
      <alignment horizontal="center" vertical="center"/>
    </xf>
    <xf numFmtId="0" fontId="14" fillId="0" borderId="0" xfId="0" applyFont="1" applyAlignment="1">
      <alignment horizontal="center"/>
    </xf>
    <xf numFmtId="0" fontId="116" fillId="0" borderId="0" xfId="0" applyFont="1" applyAlignment="1">
      <alignment horizontal="center"/>
    </xf>
    <xf numFmtId="0" fontId="3" fillId="0" borderId="136" xfId="0" applyFont="1" applyBorder="1" applyAlignment="1">
      <alignment horizontal="center"/>
    </xf>
    <xf numFmtId="0" fontId="3" fillId="0" borderId="101" xfId="0" applyFont="1" applyBorder="1" applyAlignment="1">
      <alignment horizontal="center"/>
    </xf>
    <xf numFmtId="0" fontId="3" fillId="0" borderId="137" xfId="0" applyFont="1" applyBorder="1" applyAlignment="1">
      <alignment horizontal="center"/>
    </xf>
    <xf numFmtId="0" fontId="3" fillId="0" borderId="195" xfId="0" applyFont="1" applyBorder="1" applyAlignment="1">
      <alignment horizontal="center"/>
    </xf>
    <xf numFmtId="0" fontId="3" fillId="0" borderId="87" xfId="0" applyFont="1" applyBorder="1" applyAlignment="1">
      <alignment horizontal="center"/>
    </xf>
    <xf numFmtId="0" fontId="3" fillId="0" borderId="102" xfId="0" applyFont="1" applyBorder="1" applyAlignment="1">
      <alignment horizontal="center"/>
    </xf>
    <xf numFmtId="0" fontId="117" fillId="0" borderId="0" xfId="0" applyFont="1" applyAlignment="1">
      <alignment horizontal="center"/>
    </xf>
    <xf numFmtId="0" fontId="119" fillId="0" borderId="0" xfId="0" quotePrefix="1" applyFont="1" applyAlignment="1">
      <alignment horizont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0" xfId="0" quotePrefix="1" applyFont="1" applyBorder="1" applyAlignment="1">
      <alignment horizontal="center" vertical="center" wrapText="1"/>
    </xf>
    <xf numFmtId="0" fontId="6" fillId="0" borderId="63" xfId="0" quotePrefix="1" applyFont="1" applyBorder="1" applyAlignment="1">
      <alignment horizontal="center" vertical="center" wrapText="1"/>
    </xf>
    <xf numFmtId="0" fontId="0" fillId="0" borderId="0" xfId="0" applyAlignment="1">
      <alignment horizontal="center"/>
    </xf>
    <xf numFmtId="0" fontId="8" fillId="0" borderId="0" xfId="0" applyFont="1" applyAlignment="1">
      <alignment horizontal="center"/>
    </xf>
    <xf numFmtId="0" fontId="6" fillId="0" borderId="83" xfId="0" applyFont="1" applyBorder="1" applyAlignment="1">
      <alignment horizontal="center" vertical="center"/>
    </xf>
    <xf numFmtId="0" fontId="6" fillId="0" borderId="165" xfId="0" applyFont="1" applyBorder="1" applyAlignment="1">
      <alignment horizontal="center" vertical="center"/>
    </xf>
    <xf numFmtId="0" fontId="6" fillId="0" borderId="151" xfId="0" applyFont="1" applyBorder="1" applyAlignment="1">
      <alignment horizontal="center" vertical="center"/>
    </xf>
    <xf numFmtId="0" fontId="6" fillId="0" borderId="99" xfId="0" applyFont="1" applyBorder="1" applyAlignment="1">
      <alignment horizontal="center" vertical="center"/>
    </xf>
    <xf numFmtId="0" fontId="8" fillId="0" borderId="6" xfId="0" quotePrefix="1" applyFont="1" applyBorder="1" applyAlignment="1">
      <alignment horizontal="center" vertical="center"/>
    </xf>
    <xf numFmtId="0" fontId="8" fillId="0" borderId="92" xfId="0" quotePrefix="1" applyFont="1" applyBorder="1" applyAlignment="1">
      <alignment horizontal="center" vertical="center"/>
    </xf>
    <xf numFmtId="0" fontId="8" fillId="0" borderId="8" xfId="0" quotePrefix="1" applyFont="1" applyBorder="1" applyAlignment="1">
      <alignment horizontal="center" vertical="center"/>
    </xf>
    <xf numFmtId="0" fontId="8" fillId="0" borderId="15" xfId="0" quotePrefix="1" applyFont="1" applyBorder="1" applyAlignment="1">
      <alignment horizontal="center" vertical="center"/>
    </xf>
    <xf numFmtId="0" fontId="8" fillId="0" borderId="33" xfId="0" quotePrefix="1" applyFont="1" applyBorder="1" applyAlignment="1">
      <alignment horizontal="center" vertical="center"/>
    </xf>
    <xf numFmtId="0" fontId="8" fillId="0" borderId="165" xfId="0" quotePrefix="1" applyFont="1" applyBorder="1" applyAlignment="1">
      <alignment horizontal="center" vertical="center"/>
    </xf>
    <xf numFmtId="0" fontId="6" fillId="0" borderId="37"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45" xfId="0" applyFont="1" applyBorder="1" applyAlignment="1">
      <alignment horizontal="center" vertical="center"/>
    </xf>
    <xf numFmtId="0" fontId="6" fillId="0" borderId="77" xfId="0" applyFont="1" applyBorder="1" applyAlignment="1">
      <alignment horizontal="center" vertical="center"/>
    </xf>
    <xf numFmtId="0" fontId="6" fillId="0" borderId="103" xfId="0" applyFont="1" applyBorder="1" applyAlignment="1">
      <alignment horizontal="center" vertical="center"/>
    </xf>
    <xf numFmtId="0" fontId="6" fillId="0" borderId="197" xfId="0" applyFont="1" applyBorder="1" applyAlignment="1">
      <alignment horizontal="center" vertical="center"/>
    </xf>
    <xf numFmtId="0" fontId="6" fillId="0" borderId="7" xfId="0" applyFont="1" applyBorder="1" applyAlignment="1">
      <alignment horizontal="center" vertical="center"/>
    </xf>
    <xf numFmtId="0" fontId="6" fillId="0" borderId="62" xfId="0" applyFont="1" applyBorder="1" applyAlignment="1">
      <alignment horizontal="center" vertical="center"/>
    </xf>
    <xf numFmtId="0" fontId="6" fillId="0" borderId="41" xfId="0" applyFont="1" applyBorder="1" applyAlignment="1">
      <alignment horizontal="center" vertical="center" wrapText="1"/>
    </xf>
    <xf numFmtId="0" fontId="6" fillId="0" borderId="0" xfId="0" applyFont="1" applyAlignment="1">
      <alignment horizontal="right"/>
    </xf>
    <xf numFmtId="0" fontId="128" fillId="0" borderId="0" xfId="0" applyFont="1" applyAlignment="1">
      <alignment horizontal="right"/>
    </xf>
    <xf numFmtId="0" fontId="8" fillId="0" borderId="195" xfId="0" applyFont="1" applyBorder="1" applyAlignment="1">
      <alignment horizontal="center" vertical="center"/>
    </xf>
    <xf numFmtId="0" fontId="8" fillId="0" borderId="87" xfId="0" applyFont="1" applyBorder="1" applyAlignment="1">
      <alignment horizontal="center" vertical="center"/>
    </xf>
    <xf numFmtId="0" fontId="8" fillId="0" borderId="196" xfId="0" applyFont="1" applyBorder="1" applyAlignment="1">
      <alignment horizontal="center" vertical="center"/>
    </xf>
    <xf numFmtId="0" fontId="2" fillId="2" borderId="28" xfId="0" applyFont="1" applyFill="1" applyBorder="1" applyAlignment="1">
      <alignment horizontal="center"/>
    </xf>
    <xf numFmtId="0" fontId="2" fillId="2" borderId="25" xfId="0" applyFont="1" applyFill="1" applyBorder="1" applyAlignment="1">
      <alignment horizontal="center"/>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1" xfId="0" applyFont="1" applyBorder="1" applyAlignment="1">
      <alignment horizontal="center" vertical="center" wrapText="1"/>
    </xf>
    <xf numFmtId="0" fontId="87" fillId="0" borderId="0" xfId="0" quotePrefix="1" applyFont="1" applyAlignment="1">
      <alignment horizontal="center"/>
    </xf>
    <xf numFmtId="0" fontId="110" fillId="0" borderId="0" xfId="0" applyFont="1" applyAlignment="1">
      <alignment horizontal="center"/>
    </xf>
    <xf numFmtId="0" fontId="109" fillId="0" borderId="0" xfId="0" applyFont="1" applyAlignment="1">
      <alignment horizontal="center"/>
    </xf>
    <xf numFmtId="0" fontId="150" fillId="0" borderId="0" xfId="0" applyFont="1" applyAlignment="1">
      <alignment horizontal="center" vertical="center"/>
    </xf>
    <xf numFmtId="0" fontId="2" fillId="0" borderId="0" xfId="0" quotePrefix="1" applyFont="1" applyAlignment="1">
      <alignment horizontal="right"/>
    </xf>
    <xf numFmtId="0" fontId="73" fillId="0" borderId="0" xfId="0" applyFont="1" applyAlignment="1">
      <alignment horizontal="center"/>
    </xf>
    <xf numFmtId="0" fontId="73" fillId="0" borderId="0" xfId="0" quotePrefix="1" applyFont="1" applyAlignment="1">
      <alignment horizontal="center"/>
    </xf>
    <xf numFmtId="0" fontId="3" fillId="0" borderId="2" xfId="0" applyFont="1" applyBorder="1" applyAlignment="1">
      <alignment horizontal="center" vertical="center"/>
    </xf>
    <xf numFmtId="0" fontId="3" fillId="0" borderId="81" xfId="0" applyFont="1" applyBorder="1" applyAlignment="1">
      <alignment horizontal="center" vertical="center"/>
    </xf>
    <xf numFmtId="0" fontId="3" fillId="0" borderId="3" xfId="0" applyFont="1" applyBorder="1" applyAlignment="1">
      <alignment horizontal="center" vertical="center"/>
    </xf>
    <xf numFmtId="0" fontId="3" fillId="0" borderId="109" xfId="0" applyFont="1" applyBorder="1" applyAlignment="1">
      <alignment horizontal="lef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3" fillId="0" borderId="145" xfId="0" applyFont="1" applyBorder="1" applyAlignment="1">
      <alignment horizontal="center" vertical="center"/>
    </xf>
    <xf numFmtId="0" fontId="3" fillId="0" borderId="77" xfId="0" applyFont="1" applyBorder="1" applyAlignment="1">
      <alignment horizontal="center" vertical="center"/>
    </xf>
    <xf numFmtId="0" fontId="3" fillId="0" borderId="92" xfId="0" applyFont="1" applyBorder="1" applyAlignment="1">
      <alignment horizontal="center" vertical="center"/>
    </xf>
    <xf numFmtId="0" fontId="3" fillId="0" borderId="151" xfId="0" applyFont="1" applyBorder="1" applyAlignment="1">
      <alignment horizontal="center" vertical="center"/>
    </xf>
    <xf numFmtId="0" fontId="3" fillId="0" borderId="83" xfId="0" applyFont="1" applyBorder="1" applyAlignment="1">
      <alignment horizontal="center" vertical="center"/>
    </xf>
    <xf numFmtId="0" fontId="3" fillId="0" borderId="165" xfId="0" applyFont="1" applyBorder="1" applyAlignment="1">
      <alignment horizontal="center" vertical="center"/>
    </xf>
    <xf numFmtId="0" fontId="51" fillId="0" borderId="198" xfId="0" applyFont="1" applyBorder="1" applyAlignment="1">
      <alignment horizontal="center" vertical="center"/>
    </xf>
    <xf numFmtId="0" fontId="0" fillId="0" borderId="86" xfId="0" applyBorder="1" applyAlignment="1">
      <alignment horizontal="center" vertical="center"/>
    </xf>
    <xf numFmtId="0" fontId="0" fillId="0" borderId="98" xfId="0" applyBorder="1" applyAlignment="1">
      <alignment horizontal="center" vertical="center"/>
    </xf>
    <xf numFmtId="0" fontId="51" fillId="0" borderId="151" xfId="0" applyFont="1" applyBorder="1" applyAlignment="1">
      <alignment horizontal="center"/>
    </xf>
    <xf numFmtId="0" fontId="51" fillId="0" borderId="83" xfId="0" applyFont="1" applyBorder="1" applyAlignment="1">
      <alignment horizontal="center"/>
    </xf>
    <xf numFmtId="0" fontId="51" fillId="0" borderId="165" xfId="0" applyFont="1" applyBorder="1" applyAlignment="1">
      <alignment horizontal="center"/>
    </xf>
    <xf numFmtId="0" fontId="51" fillId="0" borderId="99" xfId="0" applyFont="1" applyBorder="1" applyAlignment="1">
      <alignment horizontal="center"/>
    </xf>
    <xf numFmtId="0" fontId="3" fillId="0" borderId="199" xfId="0" applyFont="1" applyBorder="1" applyAlignment="1">
      <alignment horizontal="center"/>
    </xf>
    <xf numFmtId="0" fontId="3" fillId="0" borderId="65" xfId="0" applyFont="1" applyBorder="1" applyAlignment="1">
      <alignment horizontal="center"/>
    </xf>
    <xf numFmtId="0" fontId="3" fillId="0" borderId="167" xfId="0" applyFont="1" applyBorder="1" applyAlignment="1">
      <alignment horizontal="center"/>
    </xf>
    <xf numFmtId="0" fontId="51" fillId="0" borderId="162" xfId="0" applyFont="1" applyBorder="1" applyAlignment="1">
      <alignment horizontal="center"/>
    </xf>
    <xf numFmtId="0" fontId="51" fillId="0" borderId="84" xfId="0" applyFont="1" applyBorder="1" applyAlignment="1">
      <alignment horizontal="center"/>
    </xf>
    <xf numFmtId="0" fontId="51" fillId="0" borderId="125" xfId="0" applyFont="1" applyBorder="1" applyAlignment="1">
      <alignment horizontal="center"/>
    </xf>
    <xf numFmtId="0" fontId="51" fillId="0" borderId="94"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center" shrinkToFit="1"/>
    </xf>
    <xf numFmtId="0" fontId="0" fillId="0" borderId="179" xfId="0" applyBorder="1" applyAlignment="1">
      <alignment horizontal="center" vertical="center"/>
    </xf>
    <xf numFmtId="0" fontId="129" fillId="0" borderId="0" xfId="0" applyFont="1" applyAlignment="1">
      <alignment horizontal="right"/>
    </xf>
    <xf numFmtId="0" fontId="2" fillId="0" borderId="87" xfId="0" applyFont="1" applyBorder="1" applyAlignment="1">
      <alignment horizontal="center"/>
    </xf>
    <xf numFmtId="0" fontId="2" fillId="0" borderId="102" xfId="0" applyFont="1" applyBorder="1" applyAlignment="1">
      <alignment horizontal="center"/>
    </xf>
    <xf numFmtId="0" fontId="75" fillId="0" borderId="108" xfId="0" quotePrefix="1" applyFont="1" applyBorder="1" applyAlignment="1">
      <alignment horizontal="center" vertical="center" wrapText="1"/>
    </xf>
    <xf numFmtId="0" fontId="75" fillId="0" borderId="30" xfId="0" applyFont="1" applyBorder="1" applyAlignment="1">
      <alignment horizontal="center" vertical="center" wrapText="1"/>
    </xf>
    <xf numFmtId="0" fontId="75" fillId="0" borderId="19" xfId="0" applyFont="1" applyBorder="1" applyAlignment="1">
      <alignment horizontal="center" vertical="center" wrapText="1"/>
    </xf>
    <xf numFmtId="0" fontId="3" fillId="0" borderId="87" xfId="0" applyFont="1" applyBorder="1" applyAlignment="1">
      <alignment horizontal="center" vertical="center"/>
    </xf>
    <xf numFmtId="0" fontId="3" fillId="0" borderId="100" xfId="0" applyFont="1" applyBorder="1" applyAlignment="1">
      <alignment horizontal="center" vertical="center"/>
    </xf>
    <xf numFmtId="0" fontId="51" fillId="0" borderId="38" xfId="0" applyFont="1" applyBorder="1" applyAlignment="1">
      <alignment horizontal="center" vertical="center" wrapText="1"/>
    </xf>
    <xf numFmtId="0" fontId="51" fillId="0" borderId="42"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41" xfId="0" applyFont="1" applyBorder="1" applyAlignment="1">
      <alignment horizontal="center" vertical="center" wrapText="1"/>
    </xf>
    <xf numFmtId="0" fontId="3" fillId="0" borderId="196" xfId="0" applyFont="1" applyBorder="1" applyAlignment="1">
      <alignment horizontal="center"/>
    </xf>
    <xf numFmtId="0" fontId="74" fillId="0" borderId="133" xfId="0" quotePrefix="1" applyFont="1" applyBorder="1" applyAlignment="1">
      <alignment horizontal="center"/>
    </xf>
    <xf numFmtId="0" fontId="74" fillId="0" borderId="84" xfId="0" applyFont="1" applyBorder="1" applyAlignment="1">
      <alignment horizontal="center"/>
    </xf>
    <xf numFmtId="0" fontId="74" fillId="0" borderId="94" xfId="0" applyFont="1" applyBorder="1" applyAlignment="1">
      <alignment horizontal="center"/>
    </xf>
    <xf numFmtId="0" fontId="74" fillId="0" borderId="17" xfId="0" quotePrefix="1" applyFont="1" applyBorder="1" applyAlignment="1">
      <alignment horizontal="center" vertical="center" wrapText="1"/>
    </xf>
    <xf numFmtId="0" fontId="74" fillId="0" borderId="19" xfId="0" applyFont="1" applyBorder="1" applyAlignment="1">
      <alignment horizontal="center" vertical="center" wrapText="1"/>
    </xf>
    <xf numFmtId="0" fontId="74" fillId="0" borderId="50" xfId="0" quotePrefix="1" applyFont="1" applyBorder="1" applyAlignment="1">
      <alignment horizontal="center" vertical="center" wrapText="1"/>
    </xf>
    <xf numFmtId="0" fontId="74" fillId="0" borderId="52" xfId="0" applyFont="1" applyBorder="1" applyAlignment="1">
      <alignment horizontal="center" vertical="center" wrapText="1"/>
    </xf>
    <xf numFmtId="0" fontId="74" fillId="0" borderId="155" xfId="0" applyFont="1" applyBorder="1" applyAlignment="1">
      <alignment horizontal="center" vertical="center" wrapText="1"/>
    </xf>
    <xf numFmtId="0" fontId="126" fillId="0" borderId="50" xfId="0" quotePrefix="1" applyFont="1" applyBorder="1" applyAlignment="1">
      <alignment horizontal="center" vertical="center" wrapText="1"/>
    </xf>
    <xf numFmtId="0" fontId="126" fillId="0" borderId="15" xfId="0" applyFont="1" applyBorder="1" applyAlignment="1">
      <alignment horizontal="center" vertical="center" wrapText="1"/>
    </xf>
    <xf numFmtId="0" fontId="126" fillId="0" borderId="165"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3" xfId="0" applyFont="1" applyBorder="1" applyAlignment="1">
      <alignment horizontal="center" vertical="center" wrapText="1"/>
    </xf>
    <xf numFmtId="0" fontId="52" fillId="0" borderId="200" xfId="0" applyFont="1" applyBorder="1" applyAlignment="1">
      <alignment horizontal="center" vertical="center" wrapText="1"/>
    </xf>
    <xf numFmtId="0" fontId="0" fillId="0" borderId="93" xfId="0" quotePrefix="1" applyBorder="1" applyAlignment="1">
      <alignment horizontal="center" vertical="center" wrapText="1"/>
    </xf>
    <xf numFmtId="0" fontId="0" fillId="0" borderId="93" xfId="0" applyBorder="1" applyAlignment="1">
      <alignment horizontal="center" vertical="center" wrapText="1"/>
    </xf>
    <xf numFmtId="0" fontId="0" fillId="0" borderId="136" xfId="0" applyBorder="1" applyAlignment="1">
      <alignment horizontal="center"/>
    </xf>
    <xf numFmtId="0" fontId="0" fillId="0" borderId="101" xfId="0" applyBorder="1" applyAlignment="1">
      <alignment horizontal="center"/>
    </xf>
    <xf numFmtId="0" fontId="0" fillId="0" borderId="113" xfId="0" applyBorder="1" applyAlignment="1">
      <alignment horizontal="center"/>
    </xf>
    <xf numFmtId="0" fontId="0" fillId="0" borderId="130" xfId="0" applyBorder="1" applyAlignment="1">
      <alignment horizontal="center"/>
    </xf>
    <xf numFmtId="0" fontId="0" fillId="0" borderId="93" xfId="0" applyBorder="1" applyAlignment="1">
      <alignment horizontal="center"/>
    </xf>
    <xf numFmtId="0" fontId="73" fillId="0" borderId="0" xfId="0" quotePrefix="1" applyFont="1" applyAlignment="1">
      <alignment horizontal="center" vertical="center"/>
    </xf>
    <xf numFmtId="0" fontId="70" fillId="0" borderId="0" xfId="0" applyFont="1" applyAlignment="1">
      <alignment horizontal="center" vertical="center"/>
    </xf>
    <xf numFmtId="0" fontId="0" fillId="0" borderId="106" xfId="0" quotePrefix="1" applyBorder="1" applyAlignment="1">
      <alignment horizontal="center" vertical="center" wrapText="1"/>
    </xf>
    <xf numFmtId="0" fontId="0" fillId="0" borderId="106" xfId="0" applyBorder="1" applyAlignment="1">
      <alignment horizontal="center" vertical="center" wrapText="1"/>
    </xf>
    <xf numFmtId="0" fontId="0" fillId="0" borderId="106" xfId="0" applyBorder="1" applyAlignment="1">
      <alignment horizontal="center"/>
    </xf>
    <xf numFmtId="0" fontId="0" fillId="0" borderId="130" xfId="0" applyBorder="1" applyAlignment="1">
      <alignment horizontal="center" vertical="center" wrapText="1"/>
    </xf>
    <xf numFmtId="0" fontId="14" fillId="0" borderId="0" xfId="0" applyFont="1" applyAlignment="1">
      <alignment horizontal="center" vertical="center"/>
    </xf>
    <xf numFmtId="0" fontId="0" fillId="0" borderId="145" xfId="0" applyBorder="1" applyAlignment="1">
      <alignment horizontal="center" vertical="center" wrapText="1"/>
    </xf>
    <xf numFmtId="0" fontId="0" fillId="0" borderId="103" xfId="0" applyBorder="1" applyAlignment="1">
      <alignment horizontal="center" vertical="center"/>
    </xf>
    <xf numFmtId="0" fontId="0" fillId="0" borderId="151" xfId="0" applyBorder="1" applyAlignment="1">
      <alignment horizontal="center" vertical="center"/>
    </xf>
    <xf numFmtId="0" fontId="0" fillId="0" borderId="99" xfId="0" applyBorder="1" applyAlignment="1">
      <alignment horizontal="center" vertical="center"/>
    </xf>
    <xf numFmtId="0" fontId="51" fillId="0" borderId="0" xfId="0" applyFont="1" applyAlignment="1">
      <alignment horizontal="center"/>
    </xf>
    <xf numFmtId="0" fontId="3" fillId="0" borderId="50" xfId="0" applyFont="1" applyBorder="1" applyAlignment="1">
      <alignment horizontal="center" vertical="center" wrapText="1"/>
    </xf>
    <xf numFmtId="0" fontId="3" fillId="0" borderId="52" xfId="0" applyFont="1" applyBorder="1" applyAlignment="1">
      <alignment horizontal="center" vertical="center"/>
    </xf>
    <xf numFmtId="0" fontId="3" fillId="0" borderId="155" xfId="0" applyFont="1" applyBorder="1" applyAlignment="1">
      <alignment horizontal="center" vertical="center"/>
    </xf>
    <xf numFmtId="0" fontId="56" fillId="0" borderId="0" xfId="0" applyFont="1" applyAlignment="1">
      <alignment horizontal="center" vertical="center"/>
    </xf>
    <xf numFmtId="0" fontId="0" fillId="0" borderId="133" xfId="0" applyBorder="1" applyAlignment="1">
      <alignment horizontal="center" vertical="center" wrapText="1"/>
    </xf>
    <xf numFmtId="0" fontId="0" fillId="0" borderId="125" xfId="0" applyBorder="1" applyAlignment="1">
      <alignment horizontal="center" vertical="center" wrapText="1"/>
    </xf>
    <xf numFmtId="0" fontId="0" fillId="0" borderId="195" xfId="0" applyBorder="1" applyAlignment="1">
      <alignment horizontal="center"/>
    </xf>
    <xf numFmtId="0" fontId="0" fillId="0" borderId="87" xfId="0" applyBorder="1" applyAlignment="1">
      <alignment horizontal="center"/>
    </xf>
    <xf numFmtId="0" fontId="0" fillId="0" borderId="102" xfId="0" applyBorder="1" applyAlignment="1">
      <alignment horizontal="center"/>
    </xf>
    <xf numFmtId="0" fontId="0" fillId="0" borderId="162" xfId="0" applyBorder="1" applyAlignment="1">
      <alignment horizontal="center" vertical="center" wrapText="1"/>
    </xf>
    <xf numFmtId="0" fontId="0" fillId="0" borderId="132" xfId="0" applyBorder="1" applyAlignment="1">
      <alignment horizontal="center" vertical="center" wrapText="1"/>
    </xf>
    <xf numFmtId="0" fontId="3" fillId="0" borderId="0" xfId="0" applyFont="1" applyAlignment="1">
      <alignment horizontal="center" vertical="center"/>
    </xf>
    <xf numFmtId="0" fontId="24" fillId="0" borderId="162" xfId="0" applyFont="1" applyBorder="1" applyAlignment="1">
      <alignment horizontal="center" vertical="center" wrapText="1"/>
    </xf>
    <xf numFmtId="0" fontId="24" fillId="0" borderId="132" xfId="0" applyFont="1" applyBorder="1" applyAlignment="1">
      <alignment horizontal="center" vertical="center" wrapText="1"/>
    </xf>
    <xf numFmtId="0" fontId="24" fillId="0" borderId="13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84" xfId="0" applyFont="1" applyBorder="1" applyAlignment="1">
      <alignment horizontal="center" vertical="center" wrapText="1"/>
    </xf>
    <xf numFmtId="0" fontId="0" fillId="0" borderId="196" xfId="0" applyBorder="1" applyAlignment="1">
      <alignment horizontal="center"/>
    </xf>
    <xf numFmtId="0" fontId="24" fillId="0" borderId="125" xfId="0" applyFont="1" applyBorder="1" applyAlignment="1">
      <alignment horizontal="center" vertical="center" wrapText="1"/>
    </xf>
    <xf numFmtId="0" fontId="0" fillId="0" borderId="131" xfId="0" quotePrefix="1" applyBorder="1" applyAlignment="1">
      <alignment horizontal="center" vertical="center" wrapText="1"/>
    </xf>
    <xf numFmtId="0" fontId="0" fillId="0" borderId="131" xfId="0" applyBorder="1" applyAlignment="1">
      <alignment horizontal="center" vertical="center" wrapText="1"/>
    </xf>
    <xf numFmtId="0" fontId="51" fillId="0" borderId="0" xfId="0" applyFont="1" applyAlignment="1">
      <alignment horizontal="right"/>
    </xf>
    <xf numFmtId="0" fontId="24" fillId="0" borderId="162" xfId="0" applyFont="1" applyBorder="1" applyAlignment="1">
      <alignment horizontal="center"/>
    </xf>
    <xf numFmtId="0" fontId="24" fillId="0" borderId="84" xfId="0" applyFont="1" applyBorder="1" applyAlignment="1">
      <alignment horizontal="center"/>
    </xf>
    <xf numFmtId="0" fontId="24" fillId="0" borderId="94" xfId="0" applyFont="1" applyBorder="1" applyAlignment="1">
      <alignment horizontal="center"/>
    </xf>
    <xf numFmtId="0" fontId="24" fillId="0" borderId="133" xfId="0" applyFont="1" applyBorder="1" applyAlignment="1">
      <alignment horizontal="center"/>
    </xf>
    <xf numFmtId="0" fontId="0" fillId="0" borderId="17"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24" fillId="0" borderId="93" xfId="0" applyFont="1" applyBorder="1" applyAlignment="1">
      <alignment horizontal="center" vertical="center" wrapText="1"/>
    </xf>
    <xf numFmtId="0" fontId="3" fillId="0" borderId="50" xfId="0" applyFont="1" applyBorder="1" applyAlignment="1">
      <alignment horizontal="center" vertical="center"/>
    </xf>
    <xf numFmtId="0" fontId="0" fillId="0" borderId="133" xfId="0" applyBorder="1" applyAlignment="1">
      <alignment horizontal="center"/>
    </xf>
    <xf numFmtId="0" fontId="0" fillId="0" borderId="84" xfId="0" applyBorder="1" applyAlignment="1">
      <alignment horizontal="center"/>
    </xf>
    <xf numFmtId="0" fontId="0" fillId="0" borderId="125" xfId="0" applyBorder="1" applyAlignment="1">
      <alignment horizontal="center"/>
    </xf>
    <xf numFmtId="0" fontId="24" fillId="0" borderId="106" xfId="0" applyFont="1" applyBorder="1" applyAlignment="1">
      <alignment horizontal="center" vertical="center" wrapText="1"/>
    </xf>
    <xf numFmtId="0" fontId="3" fillId="0" borderId="109" xfId="0" applyFont="1" applyBorder="1" applyAlignment="1">
      <alignment horizontal="center" vertical="center"/>
    </xf>
    <xf numFmtId="0" fontId="3" fillId="0" borderId="39" xfId="0" applyFont="1" applyBorder="1" applyAlignment="1">
      <alignment horizontal="center" vertical="center"/>
    </xf>
    <xf numFmtId="0" fontId="24" fillId="0" borderId="131" xfId="0" applyFont="1" applyBorder="1" applyAlignment="1">
      <alignment horizontal="center" vertical="center" wrapText="1"/>
    </xf>
    <xf numFmtId="0" fontId="24" fillId="0" borderId="125" xfId="0" applyFont="1" applyBorder="1" applyAlignment="1">
      <alignment horizontal="center"/>
    </xf>
    <xf numFmtId="0" fontId="122" fillId="0" borderId="0" xfId="0" applyFont="1" applyAlignment="1">
      <alignment horizontal="right"/>
    </xf>
    <xf numFmtId="0" fontId="119" fillId="0" borderId="0" xfId="0" applyFont="1" applyAlignment="1">
      <alignment horizontal="center"/>
    </xf>
    <xf numFmtId="0" fontId="6" fillId="0" borderId="101" xfId="0" applyFont="1" applyBorder="1" applyAlignment="1">
      <alignment horizontal="center"/>
    </xf>
    <xf numFmtId="0" fontId="6" fillId="0" borderId="113" xfId="0" applyFont="1" applyBorder="1" applyAlignment="1">
      <alignment horizontal="center"/>
    </xf>
    <xf numFmtId="0" fontId="87" fillId="0" borderId="0" xfId="0" applyFont="1" applyAlignment="1">
      <alignment horizontal="center"/>
    </xf>
    <xf numFmtId="0" fontId="0" fillId="0" borderId="84" xfId="0" applyBorder="1" applyAlignment="1">
      <alignment horizontal="center" vertical="center" wrapText="1"/>
    </xf>
    <xf numFmtId="0" fontId="0" fillId="0" borderId="94" xfId="0" applyBorder="1" applyAlignment="1">
      <alignment horizontal="center" vertical="center" wrapText="1"/>
    </xf>
    <xf numFmtId="0" fontId="3" fillId="0" borderId="109" xfId="0" applyFont="1" applyBorder="1" applyAlignment="1">
      <alignment horizontal="left" vertical="center"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24" fillId="0" borderId="88" xfId="0" applyFont="1" applyBorder="1" applyAlignment="1">
      <alignment horizontal="center" vertical="center" wrapText="1"/>
    </xf>
    <xf numFmtId="0" fontId="24" fillId="0" borderId="164" xfId="0" applyFont="1" applyBorder="1" applyAlignment="1">
      <alignment horizontal="center" vertical="center" wrapText="1"/>
    </xf>
    <xf numFmtId="0" fontId="0" fillId="0" borderId="18" xfId="0" quotePrefix="1" applyBorder="1" applyAlignment="1">
      <alignment horizontal="center" vertical="center" wrapText="1"/>
    </xf>
    <xf numFmtId="0" fontId="0" fillId="0" borderId="21" xfId="0" quotePrefix="1" applyBorder="1" applyAlignment="1">
      <alignment horizontal="center" vertical="center" wrapText="1"/>
    </xf>
    <xf numFmtId="0" fontId="0" fillId="0" borderId="37" xfId="0" quotePrefix="1" applyBorder="1" applyAlignment="1">
      <alignment horizontal="center" vertical="center" wrapText="1"/>
    </xf>
    <xf numFmtId="0" fontId="0" fillId="0" borderId="41" xfId="0" quotePrefix="1" applyBorder="1" applyAlignment="1">
      <alignment horizontal="center" vertical="center" wrapText="1"/>
    </xf>
    <xf numFmtId="0" fontId="106" fillId="0" borderId="0" xfId="0" applyFont="1" applyAlignment="1">
      <alignment horizontal="center"/>
    </xf>
    <xf numFmtId="0" fontId="6" fillId="0" borderId="0" xfId="0" applyFont="1" applyAlignment="1">
      <alignment horizontal="center"/>
    </xf>
    <xf numFmtId="0" fontId="6" fillId="0" borderId="0" xfId="0" applyFont="1" applyAlignment="1">
      <alignment horizontal="right" vertical="center"/>
    </xf>
    <xf numFmtId="0" fontId="123" fillId="0" borderId="0" xfId="0" applyFont="1" applyAlignment="1">
      <alignment horizontal="right"/>
    </xf>
    <xf numFmtId="0" fontId="12" fillId="0" borderId="42" xfId="0" applyFont="1" applyBorder="1" applyAlignment="1">
      <alignment horizontal="center"/>
    </xf>
    <xf numFmtId="0" fontId="12" fillId="0" borderId="20" xfId="0" applyFont="1" applyBorder="1" applyAlignment="1">
      <alignment horizontal="center"/>
    </xf>
    <xf numFmtId="0" fontId="9" fillId="0" borderId="145" xfId="0" applyFont="1" applyBorder="1" applyAlignment="1">
      <alignment horizontal="center" vertical="center"/>
    </xf>
    <xf numFmtId="0" fontId="9" fillId="0" borderId="92" xfId="0" applyFont="1" applyBorder="1" applyAlignment="1">
      <alignment horizontal="center" vertical="center"/>
    </xf>
    <xf numFmtId="0" fontId="9" fillId="0" borderId="151" xfId="0" applyFont="1" applyBorder="1" applyAlignment="1">
      <alignment horizontal="center" vertical="center"/>
    </xf>
    <xf numFmtId="0" fontId="9" fillId="0" borderId="165" xfId="0" applyFont="1" applyBorder="1" applyAlignment="1">
      <alignment horizontal="center" vertical="center"/>
    </xf>
    <xf numFmtId="0" fontId="12" fillId="0" borderId="195" xfId="0" applyFont="1" applyBorder="1" applyAlignment="1">
      <alignment horizontal="center"/>
    </xf>
    <xf numFmtId="0" fontId="12" fillId="0" borderId="87" xfId="0" applyFont="1" applyBorder="1" applyAlignment="1">
      <alignment horizontal="center"/>
    </xf>
    <xf numFmtId="0" fontId="12" fillId="0" borderId="102" xfId="0" applyFont="1" applyBorder="1" applyAlignment="1">
      <alignment horizontal="center"/>
    </xf>
    <xf numFmtId="0" fontId="12" fillId="0" borderId="21" xfId="0" applyFont="1" applyBorder="1" applyAlignment="1">
      <alignment horizont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60" xfId="0" applyFont="1" applyBorder="1" applyAlignment="1">
      <alignment horizontal="center" vertical="center"/>
    </xf>
    <xf numFmtId="0" fontId="100" fillId="0" borderId="0" xfId="0" applyFont="1" applyAlignment="1">
      <alignment horizontal="center"/>
    </xf>
    <xf numFmtId="0" fontId="101" fillId="0" borderId="0" xfId="0" applyFont="1" applyAlignment="1">
      <alignment horizontal="right"/>
    </xf>
    <xf numFmtId="0" fontId="115" fillId="0" borderId="0" xfId="0" applyFont="1" applyAlignment="1">
      <alignment horizontal="right"/>
    </xf>
    <xf numFmtId="0" fontId="0" fillId="0" borderId="201" xfId="0" applyBorder="1" applyAlignment="1">
      <alignment horizontal="center" vertical="center" wrapText="1"/>
    </xf>
    <xf numFmtId="0" fontId="0" fillId="0" borderId="16" xfId="0" quotePrefix="1" applyBorder="1" applyAlignment="1">
      <alignment horizontal="center" vertical="center" wrapText="1"/>
    </xf>
    <xf numFmtId="0" fontId="0" fillId="0" borderId="20" xfId="0" quotePrefix="1" applyBorder="1" applyAlignment="1">
      <alignment horizontal="center" vertical="center" wrapText="1"/>
    </xf>
    <xf numFmtId="0" fontId="51" fillId="0" borderId="199" xfId="0" applyFont="1" applyBorder="1" applyAlignment="1">
      <alignment horizontal="center"/>
    </xf>
    <xf numFmtId="0" fontId="51" fillId="0" borderId="65" xfId="0" applyFont="1" applyBorder="1" applyAlignment="1">
      <alignment horizontal="center"/>
    </xf>
    <xf numFmtId="0" fontId="51" fillId="0" borderId="167" xfId="0" applyFont="1" applyBorder="1" applyAlignment="1">
      <alignment horizontal="center"/>
    </xf>
    <xf numFmtId="0" fontId="0" fillId="0" borderId="202" xfId="0" applyBorder="1" applyAlignment="1">
      <alignment horizontal="center" vertical="center" wrapText="1"/>
    </xf>
    <xf numFmtId="0" fontId="0" fillId="0" borderId="34" xfId="0" quotePrefix="1" applyBorder="1" applyAlignment="1">
      <alignment horizontal="center" vertical="center" wrapText="1"/>
    </xf>
    <xf numFmtId="0" fontId="0" fillId="0" borderId="203" xfId="0" applyBorder="1" applyAlignment="1">
      <alignment horizontal="center" vertical="center" wrapText="1"/>
    </xf>
    <xf numFmtId="0" fontId="102" fillId="0" borderId="131" xfId="0" quotePrefix="1" applyFont="1" applyBorder="1" applyAlignment="1">
      <alignment horizontal="center" vertical="center" wrapText="1"/>
    </xf>
    <xf numFmtId="0" fontId="102" fillId="0" borderId="131"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137" xfId="0" applyFont="1" applyBorder="1" applyAlignment="1">
      <alignment horizontal="center" vertical="center" wrapText="1"/>
    </xf>
    <xf numFmtId="0" fontId="74" fillId="0" borderId="130" xfId="0" quotePrefix="1" applyFont="1" applyBorder="1" applyAlignment="1">
      <alignment horizontal="center" vertical="center" wrapText="1"/>
    </xf>
    <xf numFmtId="0" fontId="74" fillId="0" borderId="130" xfId="0" applyFont="1" applyBorder="1" applyAlignment="1">
      <alignment horizontal="center" vertical="center" wrapText="1"/>
    </xf>
    <xf numFmtId="0" fontId="51" fillId="0" borderId="102" xfId="0" applyFont="1" applyBorder="1" applyAlignment="1">
      <alignment horizontal="center" vertical="center" wrapText="1"/>
    </xf>
    <xf numFmtId="0" fontId="51" fillId="0" borderId="125" xfId="0" applyFont="1" applyBorder="1" applyAlignment="1">
      <alignment horizontal="center" vertical="center" wrapText="1"/>
    </xf>
    <xf numFmtId="0" fontId="3" fillId="0" borderId="127" xfId="0" applyFont="1" applyBorder="1" applyAlignment="1">
      <alignment horizontal="left" vertical="center"/>
    </xf>
    <xf numFmtId="0" fontId="3" fillId="0" borderId="128" xfId="0" applyFont="1" applyBorder="1" applyAlignment="1">
      <alignment horizontal="left" vertical="center"/>
    </xf>
    <xf numFmtId="0" fontId="3" fillId="0" borderId="129" xfId="0" applyFont="1" applyBorder="1" applyAlignment="1">
      <alignment horizontal="left" vertical="center"/>
    </xf>
    <xf numFmtId="0" fontId="122" fillId="0" borderId="0" xfId="0" applyFont="1" applyAlignment="1">
      <alignment horizontal="right" vertical="center"/>
    </xf>
    <xf numFmtId="0" fontId="6" fillId="0" borderId="199" xfId="0" applyFont="1" applyBorder="1" applyAlignment="1">
      <alignment horizontal="center" vertical="center"/>
    </xf>
    <xf numFmtId="0" fontId="6" fillId="0" borderId="65" xfId="0" applyFont="1" applyBorder="1" applyAlignment="1">
      <alignment horizontal="center" vertical="center"/>
    </xf>
    <xf numFmtId="0" fontId="6" fillId="0" borderId="167" xfId="0" applyFont="1" applyBorder="1" applyAlignment="1">
      <alignment horizontal="center" vertical="center"/>
    </xf>
    <xf numFmtId="0" fontId="102" fillId="0" borderId="136" xfId="0" quotePrefix="1" applyFont="1" applyBorder="1" applyAlignment="1">
      <alignment horizontal="center"/>
    </xf>
    <xf numFmtId="0" fontId="102" fillId="0" borderId="101" xfId="0" applyFont="1" applyBorder="1" applyAlignment="1">
      <alignment horizontal="center"/>
    </xf>
    <xf numFmtId="0" fontId="102" fillId="0" borderId="137" xfId="0" applyFont="1" applyBorder="1" applyAlignment="1">
      <alignment horizontal="center"/>
    </xf>
    <xf numFmtId="0" fontId="0" fillId="0" borderId="130" xfId="0" quotePrefix="1" applyBorder="1" applyAlignment="1">
      <alignment horizontal="center" vertical="center" wrapText="1"/>
    </xf>
    <xf numFmtId="0" fontId="102" fillId="0" borderId="100" xfId="0" quotePrefix="1" applyFont="1" applyBorder="1" applyAlignment="1">
      <alignment horizontal="center"/>
    </xf>
    <xf numFmtId="0" fontId="102" fillId="0" borderId="113" xfId="0" applyFont="1" applyBorder="1" applyAlignment="1">
      <alignment horizontal="center"/>
    </xf>
    <xf numFmtId="0" fontId="56" fillId="0" borderId="195" xfId="0" applyFont="1" applyBorder="1" applyAlignment="1">
      <alignment horizontal="center"/>
    </xf>
    <xf numFmtId="0" fontId="56" fillId="0" borderId="196" xfId="0" applyFont="1" applyBorder="1" applyAlignment="1">
      <alignment horizontal="center"/>
    </xf>
    <xf numFmtId="0" fontId="56" fillId="0" borderId="103" xfId="0" quotePrefix="1" applyFont="1" applyBorder="1" applyAlignment="1">
      <alignment horizontal="center" vertical="center" wrapText="1"/>
    </xf>
    <xf numFmtId="0" fontId="56" fillId="0" borderId="26" xfId="0" applyFont="1" applyBorder="1" applyAlignment="1">
      <alignment horizontal="center" vertical="center" wrapText="1"/>
    </xf>
    <xf numFmtId="0" fontId="56" fillId="0" borderId="99" xfId="0" applyFont="1" applyBorder="1" applyAlignment="1">
      <alignment horizontal="center" vertical="center" wrapText="1"/>
    </xf>
    <xf numFmtId="0" fontId="103" fillId="0" borderId="131" xfId="0" quotePrefix="1" applyFont="1" applyBorder="1" applyAlignment="1">
      <alignment horizontal="center" vertical="center" wrapText="1"/>
    </xf>
    <xf numFmtId="0" fontId="103" fillId="0" borderId="130" xfId="0" quotePrefix="1" applyFont="1" applyBorder="1" applyAlignment="1">
      <alignment horizontal="center" vertical="center" wrapText="1"/>
    </xf>
    <xf numFmtId="0" fontId="103" fillId="0" borderId="130" xfId="0" applyFont="1"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102" fillId="0" borderId="145" xfId="0" quotePrefix="1" applyFont="1" applyBorder="1" applyAlignment="1">
      <alignment horizontal="center" vertical="center" wrapText="1"/>
    </xf>
    <xf numFmtId="0" fontId="102" fillId="0" borderId="92" xfId="0" applyFont="1" applyBorder="1" applyAlignment="1">
      <alignment horizontal="center" vertical="center" wrapText="1"/>
    </xf>
    <xf numFmtId="0" fontId="102" fillId="0" borderId="151" xfId="0" applyFont="1" applyBorder="1" applyAlignment="1">
      <alignment horizontal="center" vertical="center" wrapText="1"/>
    </xf>
    <xf numFmtId="0" fontId="102" fillId="0" borderId="165" xfId="0" applyFont="1" applyBorder="1" applyAlignment="1">
      <alignment horizontal="center" vertical="center" wrapText="1"/>
    </xf>
    <xf numFmtId="0" fontId="98" fillId="0" borderId="0" xfId="0" applyFont="1" applyAlignment="1">
      <alignment horizontal="center" vertical="center"/>
    </xf>
    <xf numFmtId="0" fontId="29" fillId="0" borderId="0" xfId="0" applyFont="1" applyAlignment="1">
      <alignment horizontal="center"/>
    </xf>
    <xf numFmtId="0" fontId="3" fillId="0" borderId="106" xfId="0" quotePrefix="1" applyFont="1" applyBorder="1" applyAlignment="1">
      <alignment horizontal="center" vertical="center" wrapText="1"/>
    </xf>
    <xf numFmtId="0" fontId="3" fillId="0" borderId="145" xfId="0" applyFont="1" applyBorder="1" applyAlignment="1">
      <alignment horizontal="center" vertical="center" wrapText="1"/>
    </xf>
    <xf numFmtId="0" fontId="3" fillId="0" borderId="13" xfId="0" applyFont="1" applyBorder="1" applyAlignment="1">
      <alignment horizontal="center" vertical="center"/>
    </xf>
    <xf numFmtId="0" fontId="51" fillId="0" borderId="101" xfId="0" applyFont="1" applyBorder="1" applyAlignment="1">
      <alignment horizontal="center"/>
    </xf>
    <xf numFmtId="0" fontId="51" fillId="0" borderId="113" xfId="0" applyFont="1" applyBorder="1" applyAlignment="1">
      <alignment horizontal="center"/>
    </xf>
    <xf numFmtId="0" fontId="3" fillId="0" borderId="93"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93" xfId="0" quotePrefix="1" applyFont="1" applyBorder="1" applyAlignment="1">
      <alignment horizontal="center" vertical="center" wrapText="1"/>
    </xf>
    <xf numFmtId="0" fontId="9" fillId="0" borderId="0" xfId="0" applyFont="1" applyAlignment="1">
      <alignment horizontal="center"/>
    </xf>
    <xf numFmtId="0" fontId="93" fillId="0" borderId="0" xfId="0" applyFont="1" applyAlignment="1">
      <alignment horizontal="center"/>
    </xf>
    <xf numFmtId="0" fontId="99" fillId="0" borderId="0" xfId="0" applyFont="1" applyAlignment="1">
      <alignment horizontal="center"/>
    </xf>
    <xf numFmtId="0" fontId="5" fillId="0" borderId="20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99" xfId="0" applyFont="1" applyBorder="1" applyAlignment="1">
      <alignment horizontal="center" vertical="center" wrapText="1"/>
    </xf>
    <xf numFmtId="0" fontId="51" fillId="0" borderId="135" xfId="0" applyFont="1" applyBorder="1" applyAlignment="1">
      <alignment horizontal="center" vertical="center" wrapText="1"/>
    </xf>
    <xf numFmtId="0" fontId="51" fillId="0" borderId="87" xfId="0" applyFont="1" applyBorder="1" applyAlignment="1">
      <alignment horizontal="center" vertical="center" wrapText="1"/>
    </xf>
    <xf numFmtId="0" fontId="114" fillId="0" borderId="0" xfId="0" applyFont="1" applyAlignment="1">
      <alignment horizontal="center"/>
    </xf>
    <xf numFmtId="0" fontId="114" fillId="0" borderId="0" xfId="0" applyFont="1" applyAlignment="1">
      <alignment horizontal="center" vertical="center"/>
    </xf>
    <xf numFmtId="0" fontId="45" fillId="0" borderId="18"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21" xfId="0" applyFont="1" applyBorder="1" applyAlignment="1">
      <alignment horizontal="center" vertical="center" wrapText="1"/>
    </xf>
    <xf numFmtId="0" fontId="74" fillId="0" borderId="145" xfId="0" quotePrefix="1" applyFont="1" applyBorder="1" applyAlignment="1">
      <alignment horizontal="center" vertical="center" wrapText="1"/>
    </xf>
    <xf numFmtId="0" fontId="74" fillId="0" borderId="77" xfId="0" applyFont="1" applyBorder="1" applyAlignment="1">
      <alignment horizontal="center" vertical="center" wrapText="1"/>
    </xf>
    <xf numFmtId="0" fontId="74" fillId="0" borderId="92" xfId="0" applyFont="1" applyBorder="1" applyAlignment="1">
      <alignment horizontal="center" vertical="center" wrapText="1"/>
    </xf>
    <xf numFmtId="0" fontId="102" fillId="0" borderId="195" xfId="0" quotePrefix="1" applyFont="1" applyBorder="1" applyAlignment="1">
      <alignment horizontal="center" vertical="center" wrapText="1"/>
    </xf>
    <xf numFmtId="0" fontId="102" fillId="0" borderId="87" xfId="0" applyFont="1" applyBorder="1" applyAlignment="1">
      <alignment horizontal="center" vertical="center" wrapText="1"/>
    </xf>
    <xf numFmtId="0" fontId="102" fillId="0" borderId="196"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102" xfId="0" applyFont="1" applyBorder="1" applyAlignment="1">
      <alignment horizontal="center" vertical="center" wrapText="1"/>
    </xf>
    <xf numFmtId="0" fontId="45" fillId="0" borderId="17"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19" xfId="0" applyFont="1" applyBorder="1" applyAlignment="1">
      <alignment horizontal="center" vertical="center" wrapText="1"/>
    </xf>
    <xf numFmtId="0" fontId="45" fillId="0" borderId="204" xfId="0" applyFont="1" applyBorder="1" applyAlignment="1">
      <alignment horizontal="center" vertical="center" wrapText="1"/>
    </xf>
    <xf numFmtId="0" fontId="45" fillId="0" borderId="128" xfId="0" applyFont="1" applyBorder="1" applyAlignment="1">
      <alignment horizontal="center" vertical="center" wrapText="1"/>
    </xf>
    <xf numFmtId="0" fontId="45" fillId="0" borderId="129"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41" xfId="0" applyFont="1" applyBorder="1" applyAlignment="1">
      <alignment horizontal="center" vertical="center" wrapText="1"/>
    </xf>
    <xf numFmtId="0" fontId="75" fillId="0" borderId="17" xfId="0" quotePrefix="1" applyFont="1" applyBorder="1" applyAlignment="1">
      <alignment horizontal="center" vertical="center" wrapText="1"/>
    </xf>
    <xf numFmtId="0" fontId="104" fillId="0" borderId="30" xfId="0" applyFont="1" applyBorder="1" applyAlignment="1">
      <alignment horizontal="center" vertical="center" wrapText="1"/>
    </xf>
    <xf numFmtId="0" fontId="104" fillId="0" borderId="19" xfId="0" applyFont="1" applyBorder="1" applyAlignment="1">
      <alignment horizontal="center" vertical="center" wrapText="1"/>
    </xf>
    <xf numFmtId="0" fontId="76" fillId="0" borderId="37" xfId="0" quotePrefix="1" applyFont="1" applyBorder="1" applyAlignment="1">
      <alignment horizontal="center" vertical="center" wrapText="1"/>
    </xf>
    <xf numFmtId="0" fontId="76" fillId="0" borderId="39" xfId="0" applyFont="1" applyBorder="1" applyAlignment="1">
      <alignment horizontal="center" vertical="center" wrapText="1"/>
    </xf>
    <xf numFmtId="0" fontId="76" fillId="0" borderId="41" xfId="0" applyFont="1" applyBorder="1" applyAlignment="1">
      <alignment horizontal="center" vertical="center" wrapText="1"/>
    </xf>
    <xf numFmtId="0" fontId="51" fillId="0" borderId="195" xfId="0" applyFont="1" applyBorder="1" applyAlignment="1">
      <alignment horizontal="center" vertical="center"/>
    </xf>
    <xf numFmtId="0" fontId="51" fillId="0" borderId="196" xfId="0" applyFont="1" applyBorder="1" applyAlignment="1">
      <alignment horizontal="center" vertical="center"/>
    </xf>
    <xf numFmtId="0" fontId="47" fillId="0" borderId="103"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99"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19" xfId="0" applyFont="1" applyBorder="1" applyAlignment="1">
      <alignment horizontal="center" vertical="center"/>
    </xf>
    <xf numFmtId="0" fontId="6" fillId="0" borderId="162" xfId="0" applyFont="1" applyBorder="1" applyAlignment="1">
      <alignment horizontal="center" vertical="center"/>
    </xf>
    <xf numFmtId="0" fontId="6" fillId="0" borderId="84" xfId="0" applyFont="1" applyBorder="1" applyAlignment="1">
      <alignment horizontal="center" vertical="center"/>
    </xf>
    <xf numFmtId="0" fontId="6" fillId="0" borderId="94" xfId="0" applyFont="1" applyBorder="1" applyAlignment="1">
      <alignment horizontal="center" vertical="center"/>
    </xf>
    <xf numFmtId="0" fontId="6" fillId="0" borderId="125" xfId="0" applyFont="1" applyBorder="1" applyAlignment="1">
      <alignment horizontal="center" vertical="center"/>
    </xf>
    <xf numFmtId="0" fontId="2" fillId="0" borderId="77" xfId="0" applyFont="1" applyBorder="1" applyAlignment="1">
      <alignment horizontal="center" vertical="center"/>
    </xf>
    <xf numFmtId="0" fontId="2" fillId="0" borderId="103" xfId="0" applyFont="1" applyBorder="1" applyAlignment="1">
      <alignment horizontal="center" vertical="center"/>
    </xf>
    <xf numFmtId="0" fontId="57" fillId="0" borderId="0" xfId="0" applyFont="1" applyAlignment="1">
      <alignment horizontal="center"/>
    </xf>
    <xf numFmtId="0" fontId="51" fillId="0" borderId="195" xfId="0" applyFont="1" applyBorder="1" applyAlignment="1">
      <alignment horizontal="center" vertical="center" wrapText="1"/>
    </xf>
    <xf numFmtId="0" fontId="45" fillId="0" borderId="162" xfId="0" applyFont="1" applyBorder="1" applyAlignment="1">
      <alignment horizontal="center" vertical="center" wrapText="1"/>
    </xf>
    <xf numFmtId="0" fontId="45" fillId="0" borderId="84" xfId="0" applyFont="1" applyBorder="1" applyAlignment="1">
      <alignment horizontal="center" vertical="center" wrapText="1"/>
    </xf>
    <xf numFmtId="0" fontId="45" fillId="0" borderId="94" xfId="0" applyFont="1" applyBorder="1" applyAlignment="1">
      <alignment horizontal="center" vertical="center" wrapText="1"/>
    </xf>
    <xf numFmtId="0" fontId="45" fillId="0" borderId="125" xfId="0" applyFont="1" applyBorder="1" applyAlignment="1">
      <alignment horizontal="center" vertical="center" wrapText="1"/>
    </xf>
    <xf numFmtId="0" fontId="12" fillId="0" borderId="195" xfId="0" applyFont="1" applyBorder="1" applyAlignment="1">
      <alignment horizontal="center" vertical="center"/>
    </xf>
    <xf numFmtId="0" fontId="12" fillId="0" borderId="87" xfId="0" applyFont="1" applyBorder="1" applyAlignment="1">
      <alignment horizontal="center" vertical="center"/>
    </xf>
    <xf numFmtId="0" fontId="12" fillId="0" borderId="19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6" xfId="0" applyFont="1" applyBorder="1" applyAlignment="1">
      <alignment horizontal="left" vertical="center"/>
    </xf>
    <xf numFmtId="0" fontId="3" fillId="0" borderId="20" xfId="0" applyFont="1" applyBorder="1" applyAlignment="1">
      <alignment horizontal="left" vertical="center"/>
    </xf>
    <xf numFmtId="0" fontId="3" fillId="0" borderId="135" xfId="0" applyFont="1" applyBorder="1" applyAlignment="1">
      <alignment horizontal="center"/>
    </xf>
    <xf numFmtId="0" fontId="3" fillId="0" borderId="100" xfId="0" applyFont="1" applyBorder="1" applyAlignment="1">
      <alignment horizontal="center"/>
    </xf>
  </cellXfs>
  <cellStyles count="1">
    <cellStyle name="Normalny" xfId="0" builtinId="0"/>
  </cellStyles>
  <dxfs count="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0"/>
      </font>
    </dxf>
    <dxf>
      <font>
        <condense val="0"/>
        <extend val="0"/>
        <color indexed="22"/>
      </font>
    </dxf>
    <dxf>
      <font>
        <b/>
        <i val="0"/>
        <condense val="0"/>
        <extend val="0"/>
        <color indexed="12"/>
      </font>
    </dxf>
    <dxf>
      <font>
        <b/>
        <i val="0"/>
        <condense val="0"/>
        <extend val="0"/>
        <color indexed="10"/>
      </font>
    </dxf>
    <dxf>
      <font>
        <b/>
        <i val="0"/>
        <condense val="0"/>
        <extend val="0"/>
        <color indexed="10"/>
      </font>
    </dxf>
    <dxf>
      <font>
        <b/>
        <i val="0"/>
        <condense val="0"/>
        <extend val="0"/>
        <color indexed="17"/>
      </font>
    </dxf>
    <dxf>
      <font>
        <b/>
        <i val="0"/>
        <condense val="0"/>
        <extend val="0"/>
        <color indexed="10"/>
      </font>
    </dxf>
    <dxf>
      <font>
        <b/>
        <i val="0"/>
        <condense val="0"/>
        <extend val="0"/>
        <color indexed="10"/>
      </font>
    </dxf>
    <dxf>
      <font>
        <b/>
        <i val="0"/>
        <condense val="0"/>
        <extend val="0"/>
        <color indexed="17"/>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922"/>
  <sheetViews>
    <sheetView tabSelected="1" zoomScale="75" zoomScaleNormal="100" workbookViewId="0"/>
  </sheetViews>
  <sheetFormatPr defaultRowHeight="12.75" x14ac:dyDescent="0.2"/>
  <cols>
    <col min="2" max="2" width="68.85546875" customWidth="1"/>
    <col min="3" max="3" width="39.85546875" customWidth="1"/>
    <col min="4" max="5" width="35.85546875" customWidth="1"/>
  </cols>
  <sheetData>
    <row r="1" spans="1:5" ht="26.25" x14ac:dyDescent="0.4">
      <c r="A1" s="1598" t="s">
        <v>196</v>
      </c>
      <c r="B1" s="266" t="s">
        <v>195</v>
      </c>
    </row>
    <row r="2" spans="1:5" ht="18" x14ac:dyDescent="0.25">
      <c r="A2" s="1597">
        <v>2011</v>
      </c>
      <c r="B2" s="11" t="s">
        <v>19</v>
      </c>
      <c r="C2" s="12"/>
      <c r="D2" s="13"/>
      <c r="E2" s="14" t="s">
        <v>104</v>
      </c>
    </row>
    <row r="3" spans="1:5" ht="18" x14ac:dyDescent="0.25">
      <c r="A3" s="1597" t="s">
        <v>166</v>
      </c>
      <c r="B3" s="11" t="s">
        <v>134</v>
      </c>
      <c r="E3" s="666"/>
    </row>
    <row r="4" spans="1:5" ht="18" x14ac:dyDescent="0.25">
      <c r="A4" s="1597">
        <v>29</v>
      </c>
      <c r="B4" s="11" t="s">
        <v>122</v>
      </c>
      <c r="E4" s="1139" t="s">
        <v>423</v>
      </c>
    </row>
    <row r="5" spans="1:5" ht="18" x14ac:dyDescent="0.25">
      <c r="B5" s="11"/>
      <c r="E5" s="665"/>
    </row>
    <row r="6" spans="1:5" ht="18" x14ac:dyDescent="0.25">
      <c r="B6" s="11"/>
      <c r="E6" s="12"/>
    </row>
    <row r="7" spans="1:5" ht="30.95" customHeight="1" x14ac:dyDescent="0.25">
      <c r="B7" s="1138" t="s">
        <v>195</v>
      </c>
      <c r="C7" s="12"/>
      <c r="D7" s="14"/>
      <c r="E7" s="16"/>
    </row>
    <row r="8" spans="1:5" ht="18" hidden="1" customHeight="1" x14ac:dyDescent="0.25">
      <c r="B8" s="11"/>
      <c r="C8" s="12"/>
      <c r="D8" s="13"/>
      <c r="E8" s="12"/>
    </row>
    <row r="9" spans="1:5" ht="15" hidden="1" customHeight="1" x14ac:dyDescent="0.2">
      <c r="B9" s="12"/>
      <c r="C9" s="12"/>
      <c r="D9" s="12"/>
      <c r="E9" s="12"/>
    </row>
    <row r="10" spans="1:5" ht="24.6" customHeight="1" x14ac:dyDescent="0.3">
      <c r="B10" s="183"/>
      <c r="C10" s="12"/>
      <c r="D10" s="12"/>
      <c r="E10" s="12"/>
    </row>
    <row r="11" spans="1:5" ht="18" x14ac:dyDescent="0.25">
      <c r="B11" s="11"/>
      <c r="C11" s="12"/>
      <c r="D11" s="12"/>
      <c r="E11" s="13"/>
    </row>
    <row r="12" spans="1:5" ht="30" customHeight="1" x14ac:dyDescent="0.4">
      <c r="B12" s="1601" t="str">
        <f>"BILANS  LICZBY  MIEJSC  W  PONADGMINNYCH  DOMACH  POMOCY  SPOŁECZNEJ  ZA  "&amp;A2&amp;" r."</f>
        <v>BILANS  LICZBY  MIEJSC  W  PONADGMINNYCH  DOMACH  POMOCY  SPOŁECZNEJ  ZA  2011 r.</v>
      </c>
      <c r="C12" s="1601"/>
      <c r="D12" s="1601"/>
      <c r="E12" s="1601"/>
    </row>
    <row r="13" spans="1:5" ht="26.25" x14ac:dyDescent="0.4">
      <c r="B13" s="1601" t="str">
        <f>"I  PLANOWANE  ZWIĘKSZENIE  LICZBY  MIEJSC  W  "&amp;A2+1&amp;" r."</f>
        <v>I  PLANOWANE  ZWIĘKSZENIE  LICZBY  MIEJSC  W  2012 r.</v>
      </c>
      <c r="C13" s="1601"/>
      <c r="D13" s="1601"/>
      <c r="E13" s="1601"/>
    </row>
    <row r="14" spans="1:5" ht="15" x14ac:dyDescent="0.2">
      <c r="B14" s="12"/>
      <c r="C14" s="12"/>
      <c r="D14" s="12"/>
      <c r="E14" s="12"/>
    </row>
    <row r="15" spans="1:5" ht="16.5" customHeight="1" thickBot="1" x14ac:dyDescent="0.25">
      <c r="B15" s="12"/>
      <c r="C15" s="12"/>
      <c r="D15" s="12"/>
      <c r="E15" s="12"/>
    </row>
    <row r="16" spans="1:5" ht="34.5" customHeight="1" thickTop="1" thickBot="1" x14ac:dyDescent="0.25">
      <c r="B16" s="134"/>
      <c r="C16" s="135" t="s">
        <v>7</v>
      </c>
      <c r="D16" s="1599" t="s">
        <v>105</v>
      </c>
      <c r="E16" s="1600"/>
    </row>
    <row r="17" spans="2:8" ht="34.5" customHeight="1" x14ac:dyDescent="0.2">
      <c r="B17" s="136" t="s">
        <v>21</v>
      </c>
      <c r="C17" s="137" t="s">
        <v>106</v>
      </c>
      <c r="D17" s="138" t="s">
        <v>22</v>
      </c>
      <c r="E17" s="139" t="s">
        <v>23</v>
      </c>
    </row>
    <row r="18" spans="2:8" ht="24" thickBot="1" x14ac:dyDescent="0.25">
      <c r="B18" s="140"/>
      <c r="C18" s="141" t="s">
        <v>24</v>
      </c>
      <c r="D18" s="142" t="s">
        <v>25</v>
      </c>
      <c r="E18" s="143" t="s">
        <v>26</v>
      </c>
    </row>
    <row r="19" spans="2:8" ht="15.75" thickBot="1" x14ac:dyDescent="0.25">
      <c r="B19" s="786">
        <v>0</v>
      </c>
      <c r="C19" s="787">
        <v>1</v>
      </c>
      <c r="D19" s="788">
        <v>2</v>
      </c>
      <c r="E19" s="789">
        <v>3</v>
      </c>
    </row>
    <row r="20" spans="2:8" ht="60" customHeight="1" thickTop="1" thickBot="1" x14ac:dyDescent="0.25">
      <c r="B20" s="1142" t="str">
        <f>"1. STAN NA DZIEŃ 31 GRUDNIA "&amp;A2-1&amp;" r."</f>
        <v>1. STAN NA DZIEŃ 31 GRUDNIA 2010 r.</v>
      </c>
      <c r="C20" s="1028">
        <f t="shared" ref="C20:E21" si="0">C75+C129+C183+C237+C291+C345+C399+C453+C507+C561+C615+C669+C723+C777+C831+C885</f>
        <v>77093</v>
      </c>
      <c r="D20" s="1029">
        <f t="shared" si="0"/>
        <v>63842</v>
      </c>
      <c r="E20" s="1030">
        <f t="shared" si="0"/>
        <v>13251</v>
      </c>
      <c r="F20" s="269"/>
    </row>
    <row r="21" spans="2:8" ht="60" customHeight="1" thickTop="1" x14ac:dyDescent="0.2">
      <c r="B21" s="1143" t="str">
        <f>"2. OGÓŁEM ZWIĘKSZENIA W "&amp;A2&amp;" r. (a+b+c)"</f>
        <v>2. OGÓŁEM ZWIĘKSZENIA W 2011 r. (a+b+c)</v>
      </c>
      <c r="C21" s="1031">
        <f t="shared" si="0"/>
        <v>676</v>
      </c>
      <c r="D21" s="1032">
        <f t="shared" si="0"/>
        <v>389</v>
      </c>
      <c r="E21" s="1033">
        <f t="shared" si="0"/>
        <v>287</v>
      </c>
    </row>
    <row r="22" spans="2:8" ht="18.75" customHeight="1" thickBot="1" x14ac:dyDescent="0.35">
      <c r="B22" s="144" t="s">
        <v>27</v>
      </c>
      <c r="C22" s="866" t="str">
        <f>IF(C25+C24+C23=C21, "", "Uwaga!")</f>
        <v/>
      </c>
      <c r="D22" s="867" t="str">
        <f>IF(D25+D24+D23=D21, "", "Uwaga!")</f>
        <v/>
      </c>
      <c r="E22" s="868" t="str">
        <f>IF(E25+E24+E23=E21, "", "Uwaga!")</f>
        <v/>
      </c>
    </row>
    <row r="23" spans="2:8" ht="45" customHeight="1" thickBot="1" x14ac:dyDescent="0.25">
      <c r="B23" s="145" t="s">
        <v>28</v>
      </c>
      <c r="C23" s="1034">
        <f t="shared" ref="C23:E26" si="1">C78+C132+C186+C240+C294+C348+C402+C456+C510+C564+C618+C672+C726+C780+C834+C888</f>
        <v>275</v>
      </c>
      <c r="D23" s="1035">
        <f t="shared" si="1"/>
        <v>229</v>
      </c>
      <c r="E23" s="1036">
        <f t="shared" si="1"/>
        <v>46</v>
      </c>
    </row>
    <row r="24" spans="2:8" ht="45" customHeight="1" thickBot="1" x14ac:dyDescent="0.25">
      <c r="B24" s="145" t="s">
        <v>29</v>
      </c>
      <c r="C24" s="1034">
        <f t="shared" si="1"/>
        <v>128</v>
      </c>
      <c r="D24" s="1035">
        <f t="shared" si="1"/>
        <v>103</v>
      </c>
      <c r="E24" s="1036">
        <f t="shared" si="1"/>
        <v>25</v>
      </c>
    </row>
    <row r="25" spans="2:8" ht="45" customHeight="1" thickBot="1" x14ac:dyDescent="0.25">
      <c r="B25" s="146" t="s">
        <v>30</v>
      </c>
      <c r="C25" s="1037">
        <f t="shared" si="1"/>
        <v>273</v>
      </c>
      <c r="D25" s="1038">
        <f t="shared" si="1"/>
        <v>57</v>
      </c>
      <c r="E25" s="1039">
        <f t="shared" si="1"/>
        <v>216</v>
      </c>
    </row>
    <row r="26" spans="2:8" ht="60" customHeight="1" thickTop="1" x14ac:dyDescent="0.2">
      <c r="B26" s="1144" t="str">
        <f>"3. OGÓŁEM ZMNIEJSZENIA W "&amp;A2&amp;" r. (a+b+c)"</f>
        <v>3. OGÓŁEM ZMNIEJSZENIA W 2011 r. (a+b+c)</v>
      </c>
      <c r="C26" s="1040">
        <f t="shared" si="1"/>
        <v>401</v>
      </c>
      <c r="D26" s="1041">
        <f t="shared" si="1"/>
        <v>271</v>
      </c>
      <c r="E26" s="1042">
        <f t="shared" si="1"/>
        <v>130</v>
      </c>
    </row>
    <row r="27" spans="2:8" ht="18.75" customHeight="1" thickBot="1" x14ac:dyDescent="0.35">
      <c r="B27" s="22" t="s">
        <v>27</v>
      </c>
      <c r="C27" s="869" t="str">
        <f>IF(C28+C29+C30=C26, "", "Uwaga!")</f>
        <v/>
      </c>
      <c r="D27" s="485" t="str">
        <f>IF(D28+D29+D30=D26, "", "Uwaga!")</f>
        <v/>
      </c>
      <c r="E27" s="870" t="str">
        <f>IF(E28+E29+E30=E26, "", "Uwaga!")</f>
        <v/>
      </c>
    </row>
    <row r="28" spans="2:8" ht="45" customHeight="1" thickBot="1" x14ac:dyDescent="0.25">
      <c r="B28" s="145" t="s">
        <v>31</v>
      </c>
      <c r="C28" s="1034">
        <f t="shared" ref="C28:E31" si="2">C83+C137+C191+C245+C299+C353+C407+C461+C515+C569+C623+C677+C731+C785+C839+C893</f>
        <v>83</v>
      </c>
      <c r="D28" s="1035">
        <f t="shared" si="2"/>
        <v>83</v>
      </c>
      <c r="E28" s="1036">
        <f t="shared" si="2"/>
        <v>0</v>
      </c>
    </row>
    <row r="29" spans="2:8" ht="45" customHeight="1" thickBot="1" x14ac:dyDescent="0.25">
      <c r="B29" s="145" t="s">
        <v>32</v>
      </c>
      <c r="C29" s="1034">
        <f t="shared" si="2"/>
        <v>66</v>
      </c>
      <c r="D29" s="1035">
        <f t="shared" si="2"/>
        <v>16</v>
      </c>
      <c r="E29" s="1036">
        <f t="shared" si="2"/>
        <v>50</v>
      </c>
    </row>
    <row r="30" spans="2:8" ht="45" customHeight="1" thickBot="1" x14ac:dyDescent="0.25">
      <c r="B30" s="20" t="s">
        <v>30</v>
      </c>
      <c r="C30" s="1040">
        <f t="shared" si="2"/>
        <v>252</v>
      </c>
      <c r="D30" s="1041">
        <f t="shared" si="2"/>
        <v>172</v>
      </c>
      <c r="E30" s="1042">
        <f t="shared" si="2"/>
        <v>80</v>
      </c>
    </row>
    <row r="31" spans="2:8" ht="60" customHeight="1" thickTop="1" thickBot="1" x14ac:dyDescent="0.25">
      <c r="B31" s="147" t="s">
        <v>33</v>
      </c>
      <c r="C31" s="1043">
        <f t="shared" si="2"/>
        <v>275</v>
      </c>
      <c r="D31" s="1044">
        <f t="shared" si="2"/>
        <v>118</v>
      </c>
      <c r="E31" s="1045">
        <f t="shared" si="2"/>
        <v>157</v>
      </c>
      <c r="F31" s="486" t="str">
        <f>IF(C21-C26=C31, "", "Uwaga!")</f>
        <v/>
      </c>
      <c r="G31" s="486" t="str">
        <f>IF(D21-D26=D31, "", "Uwaga!")</f>
        <v/>
      </c>
      <c r="H31" s="486" t="str">
        <f>IF(E21-E26=E31, "", "Uwaga!")</f>
        <v/>
      </c>
    </row>
    <row r="32" spans="2:8" ht="18.75" customHeight="1" thickTop="1" x14ac:dyDescent="0.2">
      <c r="B32" s="20"/>
      <c r="C32" s="808" t="str">
        <f>IF(C33&gt;C20,"przybyło",IF(C33=C20,"bez zmian","ubyło"))</f>
        <v>przybyło</v>
      </c>
      <c r="D32" s="809" t="str">
        <f>IF(D33&gt;D20,"przybyło",IF(D33=D20,"bez zmian","ubyło"))</f>
        <v>przybyło</v>
      </c>
      <c r="E32" s="810" t="str">
        <f>IF(E33&gt;E20,"przybyło",IF(E33=E20,"bez zmian","ubyło"))</f>
        <v>przybyło</v>
      </c>
      <c r="F32" s="486"/>
      <c r="G32" s="486"/>
      <c r="H32" s="486"/>
    </row>
    <row r="33" spans="2:5" ht="60" customHeight="1" x14ac:dyDescent="0.2">
      <c r="B33" s="1144" t="str">
        <f>"5. STAN NA DZIEŃ 31 GRUDNIA "&amp;A2&amp;" r."</f>
        <v>5. STAN NA DZIEŃ 31 GRUDNIA 2011 r.</v>
      </c>
      <c r="C33" s="1040">
        <f>C88+C142+C196+C250+C304+C358+C412+C466+C520+C574+C628+C682+C736+C790+C844+C898</f>
        <v>77368</v>
      </c>
      <c r="D33" s="1041">
        <f>D88+D142+D196+D250+D304+D358+D412+D466+D520+D574+D628+D682+D736+D790+D844+D898</f>
        <v>63960</v>
      </c>
      <c r="E33" s="1042">
        <f>E88+E142+E196+E250+E304+E358+E412+E466+E520+E574+E628+E682+E736+E790+E844+E898</f>
        <v>13408</v>
      </c>
    </row>
    <row r="34" spans="2:5" ht="27" thickBot="1" x14ac:dyDescent="0.4">
      <c r="B34" s="23" t="s">
        <v>35</v>
      </c>
      <c r="C34" s="385" t="str">
        <f>IF((C20+C21)-C26=C33, "", "Uwaga!")</f>
        <v/>
      </c>
      <c r="D34" s="386" t="str">
        <f>IF((D20+D21)-D26=D33, "", "Uwaga!")</f>
        <v/>
      </c>
      <c r="E34" s="387" t="str">
        <f>IF((E20+E21)-E26=E33, "", "Uwaga!")</f>
        <v/>
      </c>
    </row>
    <row r="35" spans="2:5" ht="13.5" customHeight="1" thickTop="1" thickBot="1" x14ac:dyDescent="0.35">
      <c r="B35" s="148"/>
      <c r="C35" s="160"/>
      <c r="D35" s="160"/>
      <c r="E35" s="160"/>
    </row>
    <row r="36" spans="2:5" ht="30" customHeight="1" thickTop="1" x14ac:dyDescent="0.2">
      <c r="B36" s="18" t="s">
        <v>107</v>
      </c>
      <c r="C36" s="780"/>
      <c r="D36" s="781"/>
      <c r="E36" s="782"/>
    </row>
    <row r="37" spans="2:5" ht="30" customHeight="1" x14ac:dyDescent="0.2">
      <c r="B37" s="1144" t="str">
        <f>"    MIEJSC W "&amp;A2+1&amp;" r. (a + b)"</f>
        <v xml:space="preserve">    MIEJSC W 2012 r. (a + b)</v>
      </c>
      <c r="C37" s="1040">
        <f>C91+C145+C199+C253+C307+C361+C415+C469+C523+C577+C631+C685+C739+C793+C847+C901</f>
        <v>199</v>
      </c>
      <c r="D37" s="1041">
        <f>D91+D145+D199+D253+D307+D361+D415+D469+D523+D577+D631+D685+D739+D793+D847+D901</f>
        <v>161</v>
      </c>
      <c r="E37" s="1042">
        <f>E91+E145+E199+E253+E307+E361+E415+E469+E523+E577+E631+E685+E739+E793+E847+E901</f>
        <v>38</v>
      </c>
    </row>
    <row r="38" spans="2:5" ht="18.75" customHeight="1" thickBot="1" x14ac:dyDescent="0.35">
      <c r="B38" s="149" t="s">
        <v>34</v>
      </c>
      <c r="C38" s="871" t="str">
        <f>IF(C39+C44=C37, "", "Uwaga!")</f>
        <v/>
      </c>
      <c r="D38" s="872" t="str">
        <f>IF(D39+D44=D37, "", "Uwaga!")</f>
        <v/>
      </c>
      <c r="E38" s="873" t="str">
        <f>IF(E39+E44=E37, "", "Uwaga!")</f>
        <v/>
      </c>
    </row>
    <row r="39" spans="2:5" ht="45" customHeight="1" thickTop="1" x14ac:dyDescent="0.2">
      <c r="B39" s="150" t="s">
        <v>108</v>
      </c>
      <c r="C39" s="1040">
        <f>C93+C147+C201+C255+C309+C363+C417+C471+C525+C579+C633+C687+C741+C795+C849+C903</f>
        <v>103</v>
      </c>
      <c r="D39" s="1041">
        <f>D93+D147+D201+D255+D309+D363+D417+D471+D525+D579+D633+D687+D741+D795+D849+D903</f>
        <v>72</v>
      </c>
      <c r="E39" s="1042">
        <f>E93+E147+E201+E255+E309+E363+E417+E471+E525+E579+E633+E687+E741+E795+E849+E903</f>
        <v>31</v>
      </c>
    </row>
    <row r="40" spans="2:5" ht="18.75" customHeight="1" thickBot="1" x14ac:dyDescent="0.35">
      <c r="B40" s="22" t="s">
        <v>109</v>
      </c>
      <c r="C40" s="377" t="str">
        <f>IF(C41+C42+C43=C39, "", "Uwaga!")</f>
        <v/>
      </c>
      <c r="D40" s="378" t="str">
        <f>IF(D41+D42+D43=D39, "", "Uwaga!")</f>
        <v/>
      </c>
      <c r="E40" s="379" t="str">
        <f>IF(E41+E42+E43=E39, "", "Uwaga!")</f>
        <v/>
      </c>
    </row>
    <row r="41" spans="2:5" ht="45" customHeight="1" thickBot="1" x14ac:dyDescent="0.25">
      <c r="B41" s="145" t="s">
        <v>110</v>
      </c>
      <c r="C41" s="1034">
        <f t="shared" ref="C41:E44" si="3">C95+C149+C203+C257+C311+C365+C419+C473+C527+C581+C635+C689+C743+C797+C851+C905</f>
        <v>56</v>
      </c>
      <c r="D41" s="1046">
        <f t="shared" si="3"/>
        <v>56</v>
      </c>
      <c r="E41" s="1036">
        <f t="shared" si="3"/>
        <v>0</v>
      </c>
    </row>
    <row r="42" spans="2:5" ht="45" customHeight="1" thickBot="1" x14ac:dyDescent="0.25">
      <c r="B42" s="145" t="s">
        <v>111</v>
      </c>
      <c r="C42" s="1034">
        <f t="shared" si="3"/>
        <v>17</v>
      </c>
      <c r="D42" s="1046">
        <f t="shared" si="3"/>
        <v>10</v>
      </c>
      <c r="E42" s="1036">
        <f t="shared" si="3"/>
        <v>7</v>
      </c>
    </row>
    <row r="43" spans="2:5" ht="45" customHeight="1" thickBot="1" x14ac:dyDescent="0.25">
      <c r="B43" s="146" t="s">
        <v>112</v>
      </c>
      <c r="C43" s="1037">
        <f t="shared" si="3"/>
        <v>30</v>
      </c>
      <c r="D43" s="1038">
        <f t="shared" si="3"/>
        <v>6</v>
      </c>
      <c r="E43" s="1039">
        <f t="shared" si="3"/>
        <v>24</v>
      </c>
    </row>
    <row r="44" spans="2:5" ht="45" customHeight="1" thickTop="1" x14ac:dyDescent="0.2">
      <c r="B44" s="150" t="s">
        <v>113</v>
      </c>
      <c r="C44" s="1040">
        <f t="shared" si="3"/>
        <v>96</v>
      </c>
      <c r="D44" s="1041">
        <f t="shared" si="3"/>
        <v>89</v>
      </c>
      <c r="E44" s="1042">
        <f t="shared" si="3"/>
        <v>7</v>
      </c>
    </row>
    <row r="45" spans="2:5" ht="18.75" customHeight="1" thickBot="1" x14ac:dyDescent="0.35">
      <c r="B45" s="22" t="s">
        <v>109</v>
      </c>
      <c r="C45" s="869" t="str">
        <f>IF(C46+C47+C48=C44, "", "Uwaga!")</f>
        <v/>
      </c>
      <c r="D45" s="485" t="str">
        <f>IF(D46+D47+D48=D44, "", "Uwaga!")</f>
        <v/>
      </c>
      <c r="E45" s="870" t="str">
        <f>IF(E46+E47+E48=E44, "", "Uwaga!")</f>
        <v/>
      </c>
    </row>
    <row r="46" spans="2:5" ht="45" customHeight="1" thickBot="1" x14ac:dyDescent="0.25">
      <c r="B46" s="145" t="s">
        <v>110</v>
      </c>
      <c r="C46" s="1034">
        <f t="shared" ref="C46:E48" si="4">C100+C154+C208+C262+C316+C370+C424+C478+C532+C586+C640+C694+C748+C802+C856+C910</f>
        <v>25</v>
      </c>
      <c r="D46" s="1035">
        <f t="shared" si="4"/>
        <v>25</v>
      </c>
      <c r="E46" s="1036">
        <f t="shared" si="4"/>
        <v>0</v>
      </c>
    </row>
    <row r="47" spans="2:5" ht="45" customHeight="1" thickBot="1" x14ac:dyDescent="0.25">
      <c r="B47" s="145" t="s">
        <v>111</v>
      </c>
      <c r="C47" s="1034">
        <f t="shared" si="4"/>
        <v>68</v>
      </c>
      <c r="D47" s="1035">
        <f t="shared" si="4"/>
        <v>63</v>
      </c>
      <c r="E47" s="1036">
        <f t="shared" si="4"/>
        <v>5</v>
      </c>
    </row>
    <row r="48" spans="2:5" ht="45" customHeight="1" thickBot="1" x14ac:dyDescent="0.25">
      <c r="B48" s="151" t="s">
        <v>112</v>
      </c>
      <c r="C48" s="1047">
        <f t="shared" si="4"/>
        <v>3</v>
      </c>
      <c r="D48" s="1048">
        <f t="shared" si="4"/>
        <v>1</v>
      </c>
      <c r="E48" s="1049">
        <f t="shared" si="4"/>
        <v>2</v>
      </c>
    </row>
    <row r="49" spans="1:5" ht="13.5" thickTop="1" x14ac:dyDescent="0.2"/>
    <row r="51" spans="1:5" ht="18" x14ac:dyDescent="0.25">
      <c r="B51" s="1138" t="s">
        <v>123</v>
      </c>
      <c r="C51" s="805"/>
      <c r="D51" s="805"/>
      <c r="E51" s="805"/>
    </row>
    <row r="52" spans="1:5" ht="18" x14ac:dyDescent="0.25">
      <c r="B52" s="1138"/>
      <c r="C52" s="805"/>
      <c r="D52" s="805"/>
      <c r="E52" s="805"/>
    </row>
    <row r="53" spans="1:5" ht="18" x14ac:dyDescent="0.25">
      <c r="B53" s="1138" t="s">
        <v>124</v>
      </c>
      <c r="C53" s="805"/>
      <c r="D53" s="805"/>
      <c r="E53" s="805"/>
    </row>
    <row r="54" spans="1:5" ht="18" x14ac:dyDescent="0.25">
      <c r="B54" s="1138"/>
      <c r="C54" s="805"/>
      <c r="D54" s="805"/>
      <c r="E54" s="1140" t="s">
        <v>127</v>
      </c>
    </row>
    <row r="55" spans="1:5" ht="20.25" x14ac:dyDescent="0.3">
      <c r="B55" s="1138" t="s">
        <v>125</v>
      </c>
      <c r="C55" s="805"/>
      <c r="D55" s="805"/>
      <c r="E55" s="1141" t="s">
        <v>126</v>
      </c>
    </row>
    <row r="56" spans="1:5" ht="26.25" x14ac:dyDescent="0.4">
      <c r="B56" s="268"/>
    </row>
    <row r="57" spans="1:5" ht="26.25" x14ac:dyDescent="0.4">
      <c r="A57" s="267">
        <v>2</v>
      </c>
      <c r="B57" s="11" t="s">
        <v>19</v>
      </c>
      <c r="C57" s="12"/>
      <c r="D57" s="13"/>
      <c r="E57" s="14" t="s">
        <v>104</v>
      </c>
    </row>
    <row r="58" spans="1:5" ht="18" x14ac:dyDescent="0.25">
      <c r="B58" s="11" t="s">
        <v>134</v>
      </c>
      <c r="C58" s="12"/>
      <c r="D58" s="12"/>
      <c r="E58" s="15"/>
    </row>
    <row r="59" spans="1:5" ht="18" x14ac:dyDescent="0.25">
      <c r="B59" s="11" t="s">
        <v>122</v>
      </c>
      <c r="C59" s="12"/>
      <c r="E59" s="1192" t="str">
        <f>"Termin: "&amp;A4&amp;" luty "&amp;$A$2+1&amp;" r."</f>
        <v>Termin: 29 luty 2012 r.</v>
      </c>
    </row>
    <row r="60" spans="1:5" ht="18" x14ac:dyDescent="0.25">
      <c r="B60" s="11"/>
      <c r="C60" s="12"/>
      <c r="D60" s="12"/>
      <c r="E60" s="12"/>
    </row>
    <row r="61" spans="1:5" ht="18" x14ac:dyDescent="0.25">
      <c r="B61" s="11"/>
      <c r="C61" s="12"/>
      <c r="D61" s="12"/>
      <c r="E61" s="12"/>
    </row>
    <row r="62" spans="1:5" ht="18" x14ac:dyDescent="0.25">
      <c r="B62" s="11" t="s">
        <v>135</v>
      </c>
      <c r="C62" s="12"/>
      <c r="D62" s="14"/>
      <c r="E62" s="16"/>
    </row>
    <row r="63" spans="1:5" ht="18" x14ac:dyDescent="0.25">
      <c r="B63" s="11"/>
      <c r="C63" s="12"/>
      <c r="D63" s="13"/>
      <c r="E63" s="12"/>
    </row>
    <row r="64" spans="1:5" ht="15" x14ac:dyDescent="0.2">
      <c r="B64" s="12"/>
      <c r="C64" s="12"/>
      <c r="D64" s="12"/>
      <c r="E64" s="12"/>
    </row>
    <row r="65" spans="2:6" ht="20.25" x14ac:dyDescent="0.3">
      <c r="B65" s="183" t="s">
        <v>131</v>
      </c>
      <c r="C65" s="12"/>
      <c r="D65" s="12"/>
      <c r="E65" s="12"/>
    </row>
    <row r="66" spans="2:6" ht="18" x14ac:dyDescent="0.25">
      <c r="B66" s="11"/>
      <c r="C66" s="12"/>
      <c r="D66" s="12"/>
      <c r="E66" s="13"/>
    </row>
    <row r="67" spans="2:6" ht="26.25" x14ac:dyDescent="0.4">
      <c r="B67" s="1602" t="str">
        <f>$B$12</f>
        <v>BILANS  LICZBY  MIEJSC  W  PONADGMINNYCH  DOMACH  POMOCY  SPOŁECZNEJ  ZA  2011 r.</v>
      </c>
      <c r="C67" s="1602"/>
      <c r="D67" s="1602"/>
      <c r="E67" s="1602"/>
    </row>
    <row r="68" spans="2:6" ht="26.25" x14ac:dyDescent="0.4">
      <c r="B68" s="1602" t="str">
        <f>$B$13</f>
        <v>I  PLANOWANE  ZWIĘKSZENIE  LICZBY  MIEJSC  W  2012 r.</v>
      </c>
      <c r="C68" s="1602"/>
      <c r="D68" s="1602"/>
      <c r="E68" s="1602"/>
    </row>
    <row r="69" spans="2:6" ht="15" x14ac:dyDescent="0.2">
      <c r="B69" s="12"/>
      <c r="C69" s="12"/>
      <c r="D69" s="12"/>
      <c r="E69" s="12"/>
    </row>
    <row r="70" spans="2:6" ht="15.75" thickBot="1" x14ac:dyDescent="0.25">
      <c r="B70" s="12"/>
      <c r="C70" s="12"/>
      <c r="D70" s="12"/>
      <c r="E70" s="12"/>
    </row>
    <row r="71" spans="2:6" ht="24.75" thickTop="1" thickBot="1" x14ac:dyDescent="0.25">
      <c r="B71" s="134"/>
      <c r="C71" s="135" t="s">
        <v>7</v>
      </c>
      <c r="D71" s="1599" t="s">
        <v>105</v>
      </c>
      <c r="E71" s="1600"/>
    </row>
    <row r="72" spans="2:6" ht="26.25" x14ac:dyDescent="0.2">
      <c r="B72" s="136" t="s">
        <v>21</v>
      </c>
      <c r="C72" s="137" t="s">
        <v>106</v>
      </c>
      <c r="D72" s="138" t="s">
        <v>22</v>
      </c>
      <c r="E72" s="139" t="s">
        <v>23</v>
      </c>
    </row>
    <row r="73" spans="2:6" ht="24" thickBot="1" x14ac:dyDescent="0.25">
      <c r="B73" s="140"/>
      <c r="C73" s="141" t="s">
        <v>24</v>
      </c>
      <c r="D73" s="142" t="s">
        <v>25</v>
      </c>
      <c r="E73" s="143" t="s">
        <v>26</v>
      </c>
    </row>
    <row r="74" spans="2:6" ht="15.75" thickBot="1" x14ac:dyDescent="0.25">
      <c r="B74" s="786">
        <v>0</v>
      </c>
      <c r="C74" s="787">
        <v>1</v>
      </c>
      <c r="D74" s="788">
        <v>2</v>
      </c>
      <c r="E74" s="789">
        <v>3</v>
      </c>
    </row>
    <row r="75" spans="2:6" ht="21.75" thickTop="1" thickBot="1" x14ac:dyDescent="0.25">
      <c r="B75" s="1159" t="str">
        <f>$B$20</f>
        <v>1. STAN NA DZIEŃ 31 GRUDNIA 2010 r.</v>
      </c>
      <c r="C75" s="927">
        <f>D75+E75</f>
        <v>5546</v>
      </c>
      <c r="D75" s="1473">
        <v>4732</v>
      </c>
      <c r="E75" s="1474">
        <v>814</v>
      </c>
      <c r="F75" s="270"/>
    </row>
    <row r="76" spans="2:6" ht="21" thickTop="1" x14ac:dyDescent="0.2">
      <c r="B76" s="1160" t="str">
        <f>$B$21</f>
        <v>2. OGÓŁEM ZWIĘKSZENIA W 2011 r. (a+b+c)</v>
      </c>
      <c r="C76" s="373">
        <f>SUM(C78:C80)</f>
        <v>35</v>
      </c>
      <c r="D76" s="1095">
        <f>SUM(D78:D80)</f>
        <v>26</v>
      </c>
      <c r="E76" s="376">
        <f>SUM(E78:E80)</f>
        <v>9</v>
      </c>
    </row>
    <row r="77" spans="2:6" ht="21" thickBot="1" x14ac:dyDescent="0.35">
      <c r="B77" s="144" t="s">
        <v>27</v>
      </c>
      <c r="C77" s="374"/>
      <c r="D77" s="1096"/>
      <c r="E77" s="153"/>
    </row>
    <row r="78" spans="2:6" ht="21" thickBot="1" x14ac:dyDescent="0.25">
      <c r="B78" s="145" t="s">
        <v>28</v>
      </c>
      <c r="C78" s="383">
        <f>D78+E78</f>
        <v>31</v>
      </c>
      <c r="D78" s="1475">
        <v>26</v>
      </c>
      <c r="E78" s="1476">
        <v>5</v>
      </c>
    </row>
    <row r="79" spans="2:6" ht="21" thickBot="1" x14ac:dyDescent="0.25">
      <c r="B79" s="145" t="s">
        <v>29</v>
      </c>
      <c r="C79" s="383">
        <f>D79+E79</f>
        <v>0</v>
      </c>
      <c r="D79" s="1475">
        <v>0</v>
      </c>
      <c r="E79" s="1476">
        <v>0</v>
      </c>
    </row>
    <row r="80" spans="2:6" ht="21" thickBot="1" x14ac:dyDescent="0.25">
      <c r="B80" s="146" t="s">
        <v>30</v>
      </c>
      <c r="C80" s="384">
        <f>D80+E80</f>
        <v>4</v>
      </c>
      <c r="D80" s="1477">
        <v>0</v>
      </c>
      <c r="E80" s="1478">
        <v>4</v>
      </c>
    </row>
    <row r="81" spans="2:5" ht="21" thickTop="1" x14ac:dyDescent="0.2">
      <c r="B81" s="1161" t="str">
        <f>$B$26</f>
        <v>3. OGÓŁEM ZMNIEJSZENIA W 2011 r. (a+b+c)</v>
      </c>
      <c r="C81" s="377">
        <f>SUM(C83:C85)</f>
        <v>90</v>
      </c>
      <c r="D81" s="1097">
        <f>SUM(D83:D85)</f>
        <v>90</v>
      </c>
      <c r="E81" s="379">
        <f>SUM(E83:E85)</f>
        <v>0</v>
      </c>
    </row>
    <row r="82" spans="2:5" ht="21" thickBot="1" x14ac:dyDescent="0.35">
      <c r="B82" s="22" t="s">
        <v>27</v>
      </c>
      <c r="C82" s="154"/>
      <c r="D82" s="1098"/>
      <c r="E82" s="156"/>
    </row>
    <row r="83" spans="2:5" ht="21" thickBot="1" x14ac:dyDescent="0.25">
      <c r="B83" s="145" t="s">
        <v>31</v>
      </c>
      <c r="C83" s="383">
        <f>D83+E83</f>
        <v>20</v>
      </c>
      <c r="D83" s="1475">
        <v>20</v>
      </c>
      <c r="E83" s="1476">
        <v>0</v>
      </c>
    </row>
    <row r="84" spans="2:5" ht="21" thickBot="1" x14ac:dyDescent="0.25">
      <c r="B84" s="145" t="s">
        <v>32</v>
      </c>
      <c r="C84" s="383">
        <f>D84+E84</f>
        <v>0</v>
      </c>
      <c r="D84" s="1475">
        <v>0</v>
      </c>
      <c r="E84" s="1476">
        <v>0</v>
      </c>
    </row>
    <row r="85" spans="2:5" ht="21" thickBot="1" x14ac:dyDescent="0.25">
      <c r="B85" s="20" t="s">
        <v>30</v>
      </c>
      <c r="C85" s="377">
        <f>D85+E85</f>
        <v>70</v>
      </c>
      <c r="D85" s="1479">
        <v>70</v>
      </c>
      <c r="E85" s="1480">
        <v>0</v>
      </c>
    </row>
    <row r="86" spans="2:5" ht="21.75" thickTop="1" thickBot="1" x14ac:dyDescent="0.25">
      <c r="B86" s="147" t="s">
        <v>33</v>
      </c>
      <c r="C86" s="380">
        <f>C76-C81</f>
        <v>-55</v>
      </c>
      <c r="D86" s="1099">
        <f>D76-D81</f>
        <v>-64</v>
      </c>
      <c r="E86" s="382">
        <f>E76-E81</f>
        <v>9</v>
      </c>
    </row>
    <row r="87" spans="2:5" ht="21" thickTop="1" x14ac:dyDescent="0.2">
      <c r="B87" s="1161" t="str">
        <f>$B$33</f>
        <v>5. STAN NA DZIEŃ 31 GRUDNIA 2011 r.</v>
      </c>
      <c r="C87" s="790" t="str">
        <f>IF(C88&gt;C75,"przybyło",IF(C88=C75,"bez zmian","ubyło"))</f>
        <v>ubyło</v>
      </c>
      <c r="D87" s="1100" t="str">
        <f>IF(D88&gt;D75,"przybyło",IF(D88=D75,"bez zmian","ubyło"))</f>
        <v>ubyło</v>
      </c>
      <c r="E87" s="792" t="str">
        <f>IF(E88&gt;E75,"przybyło",IF(E88=E75,"bez zmian","ubyło"))</f>
        <v>przybyło</v>
      </c>
    </row>
    <row r="88" spans="2:5" ht="27" thickBot="1" x14ac:dyDescent="0.4">
      <c r="B88" s="23" t="s">
        <v>35</v>
      </c>
      <c r="C88" s="385">
        <f>IF(C75+C76-C81=C75+C86, C75+C76-C81, "UWAGA!")</f>
        <v>5491</v>
      </c>
      <c r="D88" s="1101">
        <f>IF(D75+D76-D81=D75+D86, D75+D76-D81, "UWAGA!")</f>
        <v>4668</v>
      </c>
      <c r="E88" s="387">
        <f>IF(E75+E76-E81=E75+E86, E75+E76-E81, "UWAGA!")</f>
        <v>823</v>
      </c>
    </row>
    <row r="89" spans="2:5" ht="21.75" thickTop="1" thickBot="1" x14ac:dyDescent="0.35">
      <c r="B89" s="148"/>
      <c r="C89" s="160"/>
      <c r="D89" s="160"/>
      <c r="E89" s="160"/>
    </row>
    <row r="90" spans="2:5" ht="21" thickTop="1" x14ac:dyDescent="0.2">
      <c r="B90" s="18" t="s">
        <v>107</v>
      </c>
      <c r="C90" s="161"/>
      <c r="D90" s="162"/>
      <c r="E90" s="163"/>
    </row>
    <row r="91" spans="2:5" ht="20.25" x14ac:dyDescent="0.2">
      <c r="B91" s="1161" t="str">
        <f>$B$37</f>
        <v xml:space="preserve">    MIEJSC W 2012 r. (a + b)</v>
      </c>
      <c r="C91" s="377">
        <f>C93+C98</f>
        <v>43</v>
      </c>
      <c r="D91" s="378">
        <f>D93+D98</f>
        <v>43</v>
      </c>
      <c r="E91" s="379">
        <f>E93+E98</f>
        <v>0</v>
      </c>
    </row>
    <row r="92" spans="2:5" ht="21" thickBot="1" x14ac:dyDescent="0.35">
      <c r="B92" s="149" t="s">
        <v>34</v>
      </c>
      <c r="C92" s="157"/>
      <c r="D92" s="158"/>
      <c r="E92" s="159"/>
    </row>
    <row r="93" spans="2:5" ht="24" thickTop="1" x14ac:dyDescent="0.2">
      <c r="B93" s="150" t="s">
        <v>108</v>
      </c>
      <c r="C93" s="377">
        <f>SUM(C95:C97)</f>
        <v>30</v>
      </c>
      <c r="D93" s="378">
        <f>SUM(D95:D97)</f>
        <v>30</v>
      </c>
      <c r="E93" s="379">
        <f>SUM(E95:E97)</f>
        <v>0</v>
      </c>
    </row>
    <row r="94" spans="2:5" ht="21" thickBot="1" x14ac:dyDescent="0.35">
      <c r="B94" s="22" t="s">
        <v>109</v>
      </c>
      <c r="C94" s="154"/>
      <c r="D94" s="155"/>
      <c r="E94" s="156"/>
    </row>
    <row r="95" spans="2:5" ht="21" thickBot="1" x14ac:dyDescent="0.25">
      <c r="B95" s="145" t="s">
        <v>110</v>
      </c>
      <c r="C95" s="383">
        <f>D95+E95</f>
        <v>30</v>
      </c>
      <c r="D95" s="1481">
        <v>30</v>
      </c>
      <c r="E95" s="1476">
        <v>0</v>
      </c>
    </row>
    <row r="96" spans="2:5" ht="21" thickBot="1" x14ac:dyDescent="0.25">
      <c r="B96" s="145" t="s">
        <v>111</v>
      </c>
      <c r="C96" s="383">
        <f>D96+E96</f>
        <v>0</v>
      </c>
      <c r="D96" s="1481">
        <v>0</v>
      </c>
      <c r="E96" s="1476">
        <v>0</v>
      </c>
    </row>
    <row r="97" spans="1:5" ht="21" thickBot="1" x14ac:dyDescent="0.25">
      <c r="B97" s="146" t="s">
        <v>112</v>
      </c>
      <c r="C97" s="384">
        <f>D97+E97</f>
        <v>0</v>
      </c>
      <c r="D97" s="1482">
        <v>0</v>
      </c>
      <c r="E97" s="1478">
        <v>0</v>
      </c>
    </row>
    <row r="98" spans="1:5" ht="24" thickTop="1" x14ac:dyDescent="0.2">
      <c r="B98" s="150" t="s">
        <v>113</v>
      </c>
      <c r="C98" s="377">
        <f>SUM(C100:C102)</f>
        <v>13</v>
      </c>
      <c r="D98" s="378">
        <f>SUM(D100:D102)</f>
        <v>13</v>
      </c>
      <c r="E98" s="379">
        <f>SUM(E100:E102)</f>
        <v>0</v>
      </c>
    </row>
    <row r="99" spans="1:5" ht="21" thickBot="1" x14ac:dyDescent="0.35">
      <c r="B99" s="22" t="s">
        <v>109</v>
      </c>
      <c r="C99" s="154"/>
      <c r="D99" s="155"/>
      <c r="E99" s="156"/>
    </row>
    <row r="100" spans="1:5" ht="21" thickBot="1" x14ac:dyDescent="0.25">
      <c r="B100" s="145" t="s">
        <v>110</v>
      </c>
      <c r="C100" s="383">
        <f>D100+E100</f>
        <v>13</v>
      </c>
      <c r="D100" s="1483">
        <v>13</v>
      </c>
      <c r="E100" s="1476">
        <v>0</v>
      </c>
    </row>
    <row r="101" spans="1:5" ht="21" thickBot="1" x14ac:dyDescent="0.25">
      <c r="B101" s="145" t="s">
        <v>111</v>
      </c>
      <c r="C101" s="383">
        <f>D101+E101</f>
        <v>0</v>
      </c>
      <c r="D101" s="1483">
        <v>0</v>
      </c>
      <c r="E101" s="1476">
        <v>0</v>
      </c>
    </row>
    <row r="102" spans="1:5" ht="21" thickBot="1" x14ac:dyDescent="0.25">
      <c r="B102" s="151" t="s">
        <v>112</v>
      </c>
      <c r="C102" s="385">
        <f>D102+E102</f>
        <v>0</v>
      </c>
      <c r="D102" s="1484">
        <v>0</v>
      </c>
      <c r="E102" s="1485">
        <v>0</v>
      </c>
    </row>
    <row r="103" spans="1:5" ht="13.5" thickTop="1" x14ac:dyDescent="0.2"/>
    <row r="105" spans="1:5" ht="18" x14ac:dyDescent="0.25">
      <c r="B105" s="11" t="s">
        <v>123</v>
      </c>
    </row>
    <row r="106" spans="1:5" ht="18" x14ac:dyDescent="0.25">
      <c r="B106" s="11"/>
    </row>
    <row r="107" spans="1:5" ht="18" x14ac:dyDescent="0.25">
      <c r="B107" s="11" t="s">
        <v>124</v>
      </c>
    </row>
    <row r="108" spans="1:5" ht="18" x14ac:dyDescent="0.25">
      <c r="B108" s="11"/>
      <c r="E108" s="25" t="s">
        <v>127</v>
      </c>
    </row>
    <row r="109" spans="1:5" ht="20.25" x14ac:dyDescent="0.3">
      <c r="B109" s="11" t="s">
        <v>125</v>
      </c>
      <c r="E109" s="26" t="s">
        <v>126</v>
      </c>
    </row>
    <row r="110" spans="1:5" ht="26.25" x14ac:dyDescent="0.4">
      <c r="B110" s="268"/>
    </row>
    <row r="111" spans="1:5" ht="26.25" x14ac:dyDescent="0.4">
      <c r="A111" s="267">
        <v>4</v>
      </c>
      <c r="B111" s="11" t="s">
        <v>19</v>
      </c>
      <c r="C111" s="12"/>
      <c r="D111" s="13"/>
      <c r="E111" s="14" t="s">
        <v>104</v>
      </c>
    </row>
    <row r="112" spans="1:5" ht="18" x14ac:dyDescent="0.25">
      <c r="B112" s="11" t="s">
        <v>134</v>
      </c>
      <c r="C112" s="12"/>
      <c r="D112" s="12"/>
      <c r="E112" s="15"/>
    </row>
    <row r="113" spans="2:5" ht="18" x14ac:dyDescent="0.25">
      <c r="B113" s="11" t="s">
        <v>122</v>
      </c>
      <c r="C113" s="12"/>
      <c r="E113" s="1193" t="str">
        <f>$E$59</f>
        <v>Termin: 29 luty 2012 r.</v>
      </c>
    </row>
    <row r="114" spans="2:5" ht="18" x14ac:dyDescent="0.25">
      <c r="B114" s="11"/>
      <c r="C114" s="12"/>
      <c r="D114" s="12"/>
      <c r="E114" s="12"/>
    </row>
    <row r="115" spans="2:5" ht="18" x14ac:dyDescent="0.25">
      <c r="B115" s="11"/>
      <c r="C115" s="12"/>
      <c r="D115" s="12"/>
      <c r="E115" s="12"/>
    </row>
    <row r="116" spans="2:5" ht="18" x14ac:dyDescent="0.25">
      <c r="B116" s="11" t="s">
        <v>135</v>
      </c>
      <c r="C116" s="12"/>
      <c r="D116" s="14"/>
      <c r="E116" s="16"/>
    </row>
    <row r="117" spans="2:5" ht="18" x14ac:dyDescent="0.25">
      <c r="B117" s="11"/>
      <c r="C117" s="12"/>
      <c r="D117" s="13"/>
      <c r="E117" s="12"/>
    </row>
    <row r="118" spans="2:5" ht="15" x14ac:dyDescent="0.2">
      <c r="B118" s="12"/>
      <c r="C118" s="12"/>
      <c r="D118" s="12"/>
      <c r="E118" s="12"/>
    </row>
    <row r="119" spans="2:5" ht="20.25" x14ac:dyDescent="0.3">
      <c r="B119" s="183" t="s">
        <v>131</v>
      </c>
      <c r="C119" s="12"/>
      <c r="D119" s="12"/>
      <c r="E119" s="12"/>
    </row>
    <row r="120" spans="2:5" ht="18" x14ac:dyDescent="0.25">
      <c r="B120" s="11"/>
      <c r="C120" s="12"/>
      <c r="D120" s="12"/>
      <c r="E120" s="13"/>
    </row>
    <row r="121" spans="2:5" ht="26.25" x14ac:dyDescent="0.4">
      <c r="B121" s="1602" t="str">
        <f>$B$12</f>
        <v>BILANS  LICZBY  MIEJSC  W  PONADGMINNYCH  DOMACH  POMOCY  SPOŁECZNEJ  ZA  2011 r.</v>
      </c>
      <c r="C121" s="1602"/>
      <c r="D121" s="1602"/>
      <c r="E121" s="1602"/>
    </row>
    <row r="122" spans="2:5" ht="26.25" x14ac:dyDescent="0.4">
      <c r="B122" s="1602" t="str">
        <f>$B$13</f>
        <v>I  PLANOWANE  ZWIĘKSZENIE  LICZBY  MIEJSC  W  2012 r.</v>
      </c>
      <c r="C122" s="1602"/>
      <c r="D122" s="1602"/>
      <c r="E122" s="1602"/>
    </row>
    <row r="123" spans="2:5" ht="15" x14ac:dyDescent="0.2">
      <c r="B123" s="12"/>
      <c r="C123" s="12"/>
      <c r="D123" s="12"/>
      <c r="E123" s="12"/>
    </row>
    <row r="124" spans="2:5" ht="15.75" thickBot="1" x14ac:dyDescent="0.25">
      <c r="B124" s="12"/>
      <c r="C124" s="12"/>
      <c r="D124" s="12"/>
      <c r="E124" s="12"/>
    </row>
    <row r="125" spans="2:5" ht="24.75" thickTop="1" thickBot="1" x14ac:dyDescent="0.25">
      <c r="B125" s="134"/>
      <c r="C125" s="135" t="s">
        <v>7</v>
      </c>
      <c r="D125" s="1599" t="s">
        <v>105</v>
      </c>
      <c r="E125" s="1600"/>
    </row>
    <row r="126" spans="2:5" ht="26.25" x14ac:dyDescent="0.2">
      <c r="B126" s="136" t="s">
        <v>21</v>
      </c>
      <c r="C126" s="137" t="s">
        <v>106</v>
      </c>
      <c r="D126" s="138" t="s">
        <v>22</v>
      </c>
      <c r="E126" s="139" t="s">
        <v>23</v>
      </c>
    </row>
    <row r="127" spans="2:5" ht="24" thickBot="1" x14ac:dyDescent="0.25">
      <c r="B127" s="140"/>
      <c r="C127" s="141" t="s">
        <v>24</v>
      </c>
      <c r="D127" s="142" t="s">
        <v>25</v>
      </c>
      <c r="E127" s="143" t="s">
        <v>26</v>
      </c>
    </row>
    <row r="128" spans="2:5" ht="15.75" thickBot="1" x14ac:dyDescent="0.25">
      <c r="B128" s="786">
        <v>0</v>
      </c>
      <c r="C128" s="787">
        <v>1</v>
      </c>
      <c r="D128" s="788">
        <v>2</v>
      </c>
      <c r="E128" s="789">
        <v>3</v>
      </c>
    </row>
    <row r="129" spans="2:5" ht="21.75" thickTop="1" thickBot="1" x14ac:dyDescent="0.25">
      <c r="B129" s="1159" t="str">
        <f>$B$20</f>
        <v>1. STAN NA DZIEŃ 31 GRUDNIA 2010 r.</v>
      </c>
      <c r="C129" s="927">
        <f>D129+E129</f>
        <v>4026</v>
      </c>
      <c r="D129" s="1473">
        <v>3579</v>
      </c>
      <c r="E129" s="1486">
        <v>447</v>
      </c>
    </row>
    <row r="130" spans="2:5" ht="21" thickTop="1" x14ac:dyDescent="0.2">
      <c r="B130" s="1160" t="str">
        <f>$B$21</f>
        <v>2. OGÓŁEM ZWIĘKSZENIA W 2011 r. (a+b+c)</v>
      </c>
      <c r="C130" s="373">
        <f>SUM(C132:C134)</f>
        <v>0</v>
      </c>
      <c r="D130" s="375">
        <f>SUM(D132:D134)</f>
        <v>0</v>
      </c>
      <c r="E130" s="376">
        <f>SUM(E132:E134)</f>
        <v>0</v>
      </c>
    </row>
    <row r="131" spans="2:5" ht="21" thickBot="1" x14ac:dyDescent="0.35">
      <c r="B131" s="144" t="s">
        <v>27</v>
      </c>
      <c r="C131" s="374"/>
      <c r="D131" s="152"/>
      <c r="E131" s="153"/>
    </row>
    <row r="132" spans="2:5" ht="21" thickBot="1" x14ac:dyDescent="0.25">
      <c r="B132" s="145" t="s">
        <v>28</v>
      </c>
      <c r="C132" s="383">
        <f>D132+E132</f>
        <v>0</v>
      </c>
      <c r="D132" s="1483">
        <v>0</v>
      </c>
      <c r="E132" s="1476">
        <v>0</v>
      </c>
    </row>
    <row r="133" spans="2:5" ht="21" thickBot="1" x14ac:dyDescent="0.25">
      <c r="B133" s="145" t="s">
        <v>29</v>
      </c>
      <c r="C133" s="383">
        <f>D133+E133</f>
        <v>0</v>
      </c>
      <c r="D133" s="1483">
        <v>0</v>
      </c>
      <c r="E133" s="1476">
        <v>0</v>
      </c>
    </row>
    <row r="134" spans="2:5" ht="21" thickBot="1" x14ac:dyDescent="0.25">
      <c r="B134" s="146" t="s">
        <v>30</v>
      </c>
      <c r="C134" s="384">
        <f>D134+E134</f>
        <v>0</v>
      </c>
      <c r="D134" s="1482">
        <v>0</v>
      </c>
      <c r="E134" s="1478">
        <v>0</v>
      </c>
    </row>
    <row r="135" spans="2:5" ht="21" thickTop="1" x14ac:dyDescent="0.2">
      <c r="B135" s="1161" t="str">
        <f>$B$26</f>
        <v>3. OGÓŁEM ZMNIEJSZENIA W 2011 r. (a+b+c)</v>
      </c>
      <c r="C135" s="377">
        <f>SUM(C137:C139)</f>
        <v>39</v>
      </c>
      <c r="D135" s="378">
        <f>SUM(D137:D139)</f>
        <v>39</v>
      </c>
      <c r="E135" s="379">
        <f>SUM(E137:E139)</f>
        <v>0</v>
      </c>
    </row>
    <row r="136" spans="2:5" ht="21" thickBot="1" x14ac:dyDescent="0.35">
      <c r="B136" s="22" t="s">
        <v>27</v>
      </c>
      <c r="C136" s="154"/>
      <c r="D136" s="155"/>
      <c r="E136" s="156"/>
    </row>
    <row r="137" spans="2:5" ht="21" thickBot="1" x14ac:dyDescent="0.25">
      <c r="B137" s="145" t="s">
        <v>31</v>
      </c>
      <c r="C137" s="383">
        <f>D137+E137</f>
        <v>0</v>
      </c>
      <c r="D137" s="1483">
        <v>0</v>
      </c>
      <c r="E137" s="1476">
        <v>0</v>
      </c>
    </row>
    <row r="138" spans="2:5" ht="21" thickBot="1" x14ac:dyDescent="0.25">
      <c r="B138" s="145" t="s">
        <v>32</v>
      </c>
      <c r="C138" s="383">
        <f>D138+E138</f>
        <v>0</v>
      </c>
      <c r="D138" s="1483">
        <v>0</v>
      </c>
      <c r="E138" s="1476">
        <v>0</v>
      </c>
    </row>
    <row r="139" spans="2:5" ht="21" thickBot="1" x14ac:dyDescent="0.25">
      <c r="B139" s="20" t="s">
        <v>30</v>
      </c>
      <c r="C139" s="377">
        <f>D139+E139</f>
        <v>39</v>
      </c>
      <c r="D139" s="1487">
        <v>39</v>
      </c>
      <c r="E139" s="1480">
        <v>0</v>
      </c>
    </row>
    <row r="140" spans="2:5" ht="21.75" thickTop="1" thickBot="1" x14ac:dyDescent="0.25">
      <c r="B140" s="147" t="s">
        <v>33</v>
      </c>
      <c r="C140" s="380">
        <f>C130-C135</f>
        <v>-39</v>
      </c>
      <c r="D140" s="381">
        <f>D130-D135</f>
        <v>-39</v>
      </c>
      <c r="E140" s="382">
        <f>E130-E135</f>
        <v>0</v>
      </c>
    </row>
    <row r="141" spans="2:5" ht="21" thickTop="1" x14ac:dyDescent="0.2">
      <c r="B141" s="1161" t="str">
        <f>$B$33</f>
        <v>5. STAN NA DZIEŃ 31 GRUDNIA 2011 r.</v>
      </c>
      <c r="C141" s="790" t="str">
        <f>IF(C142&gt;C129,"przybyło",IF(C142=C129,"bez zmian","ubyło"))</f>
        <v>ubyło</v>
      </c>
      <c r="D141" s="791" t="str">
        <f>IF(D142&gt;D129,"przybyło",IF(D142=D129,"bez zmian","ubyło"))</f>
        <v>ubyło</v>
      </c>
      <c r="E141" s="792" t="str">
        <f>IF(E142&gt;E129,"przybyło",IF(E142=E129,"bez zmian","ubyło"))</f>
        <v>bez zmian</v>
      </c>
    </row>
    <row r="142" spans="2:5" ht="27" thickBot="1" x14ac:dyDescent="0.4">
      <c r="B142" s="23" t="s">
        <v>35</v>
      </c>
      <c r="C142" s="385">
        <f>IF(C129+C130-C135=C129+C140, C129+C130-C135, "UWAGA!")</f>
        <v>3987</v>
      </c>
      <c r="D142" s="386">
        <f>IF(D129+D130-D135=D129+D140, D129+D130-D135, "UWAGA!")</f>
        <v>3540</v>
      </c>
      <c r="E142" s="387">
        <f>IF(E129+E130-E135=E129+E140, E129+E130-E135, "UWAGA!")</f>
        <v>447</v>
      </c>
    </row>
    <row r="143" spans="2:5" ht="21.75" thickTop="1" thickBot="1" x14ac:dyDescent="0.35">
      <c r="B143" s="148"/>
      <c r="C143" s="160"/>
      <c r="D143" s="160"/>
      <c r="E143" s="160"/>
    </row>
    <row r="144" spans="2:5" ht="21" thickTop="1" x14ac:dyDescent="0.2">
      <c r="B144" s="18" t="s">
        <v>107</v>
      </c>
      <c r="C144" s="161"/>
      <c r="D144" s="162"/>
      <c r="E144" s="163"/>
    </row>
    <row r="145" spans="2:5" ht="20.25" x14ac:dyDescent="0.2">
      <c r="B145" s="1161" t="str">
        <f>$B$37</f>
        <v xml:space="preserve">    MIEJSC W 2012 r. (a + b)</v>
      </c>
      <c r="C145" s="377">
        <f>C147+C152</f>
        <v>8</v>
      </c>
      <c r="D145" s="378">
        <f>D147+D152</f>
        <v>8</v>
      </c>
      <c r="E145" s="379">
        <f>E147+E152</f>
        <v>0</v>
      </c>
    </row>
    <row r="146" spans="2:5" ht="21" thickBot="1" x14ac:dyDescent="0.35">
      <c r="B146" s="149" t="s">
        <v>34</v>
      </c>
      <c r="C146" s="157"/>
      <c r="D146" s="158"/>
      <c r="E146" s="159"/>
    </row>
    <row r="147" spans="2:5" ht="24" thickTop="1" x14ac:dyDescent="0.2">
      <c r="B147" s="150" t="s">
        <v>108</v>
      </c>
      <c r="C147" s="377">
        <f>SUM(C149:C151)</f>
        <v>8</v>
      </c>
      <c r="D147" s="378">
        <f>SUM(D149:D151)</f>
        <v>8</v>
      </c>
      <c r="E147" s="379">
        <f>SUM(E149:E151)</f>
        <v>0</v>
      </c>
    </row>
    <row r="148" spans="2:5" ht="21" thickBot="1" x14ac:dyDescent="0.35">
      <c r="B148" s="22" t="s">
        <v>109</v>
      </c>
      <c r="C148" s="154"/>
      <c r="D148" s="155"/>
      <c r="E148" s="156"/>
    </row>
    <row r="149" spans="2:5" ht="21" thickBot="1" x14ac:dyDescent="0.25">
      <c r="B149" s="145" t="s">
        <v>110</v>
      </c>
      <c r="C149" s="383">
        <f>D149+E149</f>
        <v>5</v>
      </c>
      <c r="D149" s="1481">
        <v>5</v>
      </c>
      <c r="E149" s="1476">
        <v>0</v>
      </c>
    </row>
    <row r="150" spans="2:5" ht="21" thickBot="1" x14ac:dyDescent="0.25">
      <c r="B150" s="145" t="s">
        <v>111</v>
      </c>
      <c r="C150" s="383">
        <f>D150+E150</f>
        <v>0</v>
      </c>
      <c r="D150" s="1481">
        <v>0</v>
      </c>
      <c r="E150" s="1476">
        <v>0</v>
      </c>
    </row>
    <row r="151" spans="2:5" ht="21" thickBot="1" x14ac:dyDescent="0.25">
      <c r="B151" s="146" t="s">
        <v>112</v>
      </c>
      <c r="C151" s="384">
        <f>D151+E151</f>
        <v>3</v>
      </c>
      <c r="D151" s="1482">
        <v>3</v>
      </c>
      <c r="E151" s="1478">
        <v>0</v>
      </c>
    </row>
    <row r="152" spans="2:5" ht="24" thickTop="1" x14ac:dyDescent="0.2">
      <c r="B152" s="150" t="s">
        <v>113</v>
      </c>
      <c r="C152" s="377">
        <f>SUM(C154:C156)</f>
        <v>0</v>
      </c>
      <c r="D152" s="378">
        <f>SUM(D154:D156)</f>
        <v>0</v>
      </c>
      <c r="E152" s="379">
        <f>SUM(E154:E156)</f>
        <v>0</v>
      </c>
    </row>
    <row r="153" spans="2:5" ht="21" thickBot="1" x14ac:dyDescent="0.35">
      <c r="B153" s="22" t="s">
        <v>109</v>
      </c>
      <c r="C153" s="154"/>
      <c r="D153" s="155"/>
      <c r="E153" s="156"/>
    </row>
    <row r="154" spans="2:5" ht="21" thickBot="1" x14ac:dyDescent="0.25">
      <c r="B154" s="145" t="s">
        <v>110</v>
      </c>
      <c r="C154" s="383">
        <f>D154+E154</f>
        <v>0</v>
      </c>
      <c r="D154" s="1483">
        <v>0</v>
      </c>
      <c r="E154" s="1476">
        <v>0</v>
      </c>
    </row>
    <row r="155" spans="2:5" ht="21" thickBot="1" x14ac:dyDescent="0.25">
      <c r="B155" s="145" t="s">
        <v>111</v>
      </c>
      <c r="C155" s="383">
        <f>D155+E155</f>
        <v>0</v>
      </c>
      <c r="D155" s="1483">
        <v>0</v>
      </c>
      <c r="E155" s="1476">
        <v>0</v>
      </c>
    </row>
    <row r="156" spans="2:5" ht="21" thickBot="1" x14ac:dyDescent="0.25">
      <c r="B156" s="151" t="s">
        <v>112</v>
      </c>
      <c r="C156" s="385">
        <f>D156+E156</f>
        <v>0</v>
      </c>
      <c r="D156" s="1484">
        <v>0</v>
      </c>
      <c r="E156" s="1485">
        <v>0</v>
      </c>
    </row>
    <row r="157" spans="2:5" ht="13.5" thickTop="1" x14ac:dyDescent="0.2"/>
    <row r="159" spans="2:5" ht="18" x14ac:dyDescent="0.25">
      <c r="B159" s="11" t="s">
        <v>123</v>
      </c>
    </row>
    <row r="160" spans="2:5" ht="18" x14ac:dyDescent="0.25">
      <c r="B160" s="11"/>
    </row>
    <row r="161" spans="1:5" ht="18" x14ac:dyDescent="0.25">
      <c r="B161" s="11" t="s">
        <v>124</v>
      </c>
    </row>
    <row r="162" spans="1:5" ht="18" x14ac:dyDescent="0.25">
      <c r="B162" s="11"/>
      <c r="E162" s="25" t="s">
        <v>127</v>
      </c>
    </row>
    <row r="163" spans="1:5" ht="20.25" x14ac:dyDescent="0.3">
      <c r="B163" s="11" t="s">
        <v>125</v>
      </c>
      <c r="E163" s="26" t="s">
        <v>126</v>
      </c>
    </row>
    <row r="164" spans="1:5" ht="26.25" x14ac:dyDescent="0.4">
      <c r="A164" s="267">
        <v>6</v>
      </c>
      <c r="B164" s="268"/>
    </row>
    <row r="165" spans="1:5" ht="18" x14ac:dyDescent="0.25">
      <c r="B165" s="11" t="s">
        <v>19</v>
      </c>
      <c r="C165" s="12"/>
      <c r="D165" s="13"/>
      <c r="E165" s="14" t="s">
        <v>104</v>
      </c>
    </row>
    <row r="166" spans="1:5" ht="18" x14ac:dyDescent="0.25">
      <c r="B166" s="11" t="s">
        <v>134</v>
      </c>
      <c r="C166" s="12"/>
      <c r="D166" s="12"/>
      <c r="E166" s="15"/>
    </row>
    <row r="167" spans="1:5" ht="18" x14ac:dyDescent="0.25">
      <c r="B167" s="11" t="s">
        <v>122</v>
      </c>
      <c r="C167" s="12"/>
      <c r="E167" s="1193" t="str">
        <f>$E$59</f>
        <v>Termin: 29 luty 2012 r.</v>
      </c>
    </row>
    <row r="168" spans="1:5" ht="18" x14ac:dyDescent="0.25">
      <c r="B168" s="11"/>
      <c r="C168" s="12"/>
      <c r="D168" s="12"/>
      <c r="E168" s="12"/>
    </row>
    <row r="169" spans="1:5" ht="18" x14ac:dyDescent="0.25">
      <c r="B169" s="11"/>
      <c r="C169" s="12"/>
      <c r="D169" s="12"/>
      <c r="E169" s="12"/>
    </row>
    <row r="170" spans="1:5" ht="18" x14ac:dyDescent="0.25">
      <c r="B170" s="11" t="s">
        <v>135</v>
      </c>
      <c r="C170" s="12"/>
      <c r="D170" s="14"/>
      <c r="E170" s="16"/>
    </row>
    <row r="171" spans="1:5" ht="18" x14ac:dyDescent="0.25">
      <c r="B171" s="11"/>
      <c r="C171" s="12"/>
      <c r="D171" s="13"/>
      <c r="E171" s="12"/>
    </row>
    <row r="172" spans="1:5" ht="15" x14ac:dyDescent="0.2">
      <c r="B172" s="12"/>
      <c r="C172" s="12"/>
      <c r="D172" s="12"/>
      <c r="E172" s="12"/>
    </row>
    <row r="173" spans="1:5" ht="20.25" x14ac:dyDescent="0.3">
      <c r="B173" s="183" t="s">
        <v>131</v>
      </c>
      <c r="C173" s="12"/>
      <c r="D173" s="12"/>
      <c r="E173" s="12"/>
    </row>
    <row r="174" spans="1:5" ht="18" x14ac:dyDescent="0.25">
      <c r="B174" s="11"/>
      <c r="C174" s="12"/>
      <c r="D174" s="12"/>
      <c r="E174" s="13"/>
    </row>
    <row r="175" spans="1:5" ht="26.25" x14ac:dyDescent="0.4">
      <c r="B175" s="1602" t="str">
        <f>$B$12</f>
        <v>BILANS  LICZBY  MIEJSC  W  PONADGMINNYCH  DOMACH  POMOCY  SPOŁECZNEJ  ZA  2011 r.</v>
      </c>
      <c r="C175" s="1602"/>
      <c r="D175" s="1602"/>
      <c r="E175" s="1602"/>
    </row>
    <row r="176" spans="1:5" ht="26.25" x14ac:dyDescent="0.4">
      <c r="B176" s="1602" t="str">
        <f>$B$13</f>
        <v>I  PLANOWANE  ZWIĘKSZENIE  LICZBY  MIEJSC  W  2012 r.</v>
      </c>
      <c r="C176" s="1602"/>
      <c r="D176" s="1602"/>
      <c r="E176" s="1602"/>
    </row>
    <row r="177" spans="2:5" ht="15" x14ac:dyDescent="0.2">
      <c r="B177" s="12"/>
      <c r="C177" s="12"/>
      <c r="D177" s="12"/>
      <c r="E177" s="12"/>
    </row>
    <row r="178" spans="2:5" ht="15.75" thickBot="1" x14ac:dyDescent="0.25">
      <c r="B178" s="12"/>
      <c r="C178" s="12"/>
      <c r="D178" s="12"/>
      <c r="E178" s="12"/>
    </row>
    <row r="179" spans="2:5" ht="24.75" thickTop="1" thickBot="1" x14ac:dyDescent="0.25">
      <c r="B179" s="134"/>
      <c r="C179" s="135" t="s">
        <v>7</v>
      </c>
      <c r="D179" s="1599" t="s">
        <v>105</v>
      </c>
      <c r="E179" s="1600"/>
    </row>
    <row r="180" spans="2:5" ht="26.25" x14ac:dyDescent="0.2">
      <c r="B180" s="136" t="s">
        <v>21</v>
      </c>
      <c r="C180" s="137" t="s">
        <v>106</v>
      </c>
      <c r="D180" s="138" t="s">
        <v>22</v>
      </c>
      <c r="E180" s="139" t="s">
        <v>23</v>
      </c>
    </row>
    <row r="181" spans="2:5" ht="24" thickBot="1" x14ac:dyDescent="0.25">
      <c r="B181" s="140"/>
      <c r="C181" s="141" t="s">
        <v>24</v>
      </c>
      <c r="D181" s="142" t="s">
        <v>25</v>
      </c>
      <c r="E181" s="143" t="s">
        <v>26</v>
      </c>
    </row>
    <row r="182" spans="2:5" ht="15.75" thickBot="1" x14ac:dyDescent="0.25">
      <c r="B182" s="786">
        <v>0</v>
      </c>
      <c r="C182" s="787">
        <v>1</v>
      </c>
      <c r="D182" s="788">
        <v>2</v>
      </c>
      <c r="E182" s="789">
        <v>3</v>
      </c>
    </row>
    <row r="183" spans="2:5" ht="21.75" thickTop="1" thickBot="1" x14ac:dyDescent="0.25">
      <c r="B183" s="1159" t="str">
        <f>$B$20</f>
        <v>1. STAN NA DZIEŃ 31 GRUDNIA 2010 r.</v>
      </c>
      <c r="C183" s="372">
        <f>D183+E183</f>
        <v>4436</v>
      </c>
      <c r="D183" s="1488">
        <v>4072</v>
      </c>
      <c r="E183" s="1474">
        <v>364</v>
      </c>
    </row>
    <row r="184" spans="2:5" ht="21" thickTop="1" x14ac:dyDescent="0.2">
      <c r="B184" s="1160" t="str">
        <f>$B$21</f>
        <v>2. OGÓŁEM ZWIĘKSZENIA W 2011 r. (a+b+c)</v>
      </c>
      <c r="C184" s="373">
        <f>SUM(C186:C188)</f>
        <v>3</v>
      </c>
      <c r="D184" s="375">
        <f>SUM(D186:D188)</f>
        <v>3</v>
      </c>
      <c r="E184" s="376">
        <f>SUM(E186:E188)</f>
        <v>0</v>
      </c>
    </row>
    <row r="185" spans="2:5" ht="21" thickBot="1" x14ac:dyDescent="0.35">
      <c r="B185" s="144" t="s">
        <v>27</v>
      </c>
      <c r="C185" s="374"/>
      <c r="D185" s="152"/>
      <c r="E185" s="153"/>
    </row>
    <row r="186" spans="2:5" ht="21" thickBot="1" x14ac:dyDescent="0.25">
      <c r="B186" s="145" t="s">
        <v>28</v>
      </c>
      <c r="C186" s="383">
        <f>D186+E186</f>
        <v>3</v>
      </c>
      <c r="D186" s="1483">
        <v>3</v>
      </c>
      <c r="E186" s="1476">
        <v>0</v>
      </c>
    </row>
    <row r="187" spans="2:5" ht="21" thickBot="1" x14ac:dyDescent="0.25">
      <c r="B187" s="145" t="s">
        <v>29</v>
      </c>
      <c r="C187" s="383">
        <f>D187+E187</f>
        <v>0</v>
      </c>
      <c r="D187" s="1483">
        <v>0</v>
      </c>
      <c r="E187" s="1476">
        <v>0</v>
      </c>
    </row>
    <row r="188" spans="2:5" ht="21" thickBot="1" x14ac:dyDescent="0.25">
      <c r="B188" s="146" t="s">
        <v>30</v>
      </c>
      <c r="C188" s="384">
        <f>D188+E188</f>
        <v>0</v>
      </c>
      <c r="D188" s="1482">
        <v>0</v>
      </c>
      <c r="E188" s="1478">
        <v>0</v>
      </c>
    </row>
    <row r="189" spans="2:5" ht="21" thickTop="1" x14ac:dyDescent="0.2">
      <c r="B189" s="1161" t="str">
        <f>$B$26</f>
        <v>3. OGÓŁEM ZMNIEJSZENIA W 2011 r. (a+b+c)</v>
      </c>
      <c r="C189" s="377">
        <f>SUM(C191:C193)</f>
        <v>2</v>
      </c>
      <c r="D189" s="378">
        <f>SUM(D191:D193)</f>
        <v>2</v>
      </c>
      <c r="E189" s="379">
        <f>SUM(E191:E193)</f>
        <v>0</v>
      </c>
    </row>
    <row r="190" spans="2:5" ht="21" thickBot="1" x14ac:dyDescent="0.35">
      <c r="B190" s="22" t="s">
        <v>27</v>
      </c>
      <c r="C190" s="154"/>
      <c r="D190" s="155"/>
      <c r="E190" s="156"/>
    </row>
    <row r="191" spans="2:5" ht="21" thickBot="1" x14ac:dyDescent="0.25">
      <c r="B191" s="145" t="s">
        <v>31</v>
      </c>
      <c r="C191" s="383">
        <f>D191+E191</f>
        <v>0</v>
      </c>
      <c r="D191" s="1483">
        <v>0</v>
      </c>
      <c r="E191" s="1476">
        <v>0</v>
      </c>
    </row>
    <row r="192" spans="2:5" ht="21" thickBot="1" x14ac:dyDescent="0.25">
      <c r="B192" s="145" t="s">
        <v>32</v>
      </c>
      <c r="C192" s="383">
        <f>D192+E192</f>
        <v>0</v>
      </c>
      <c r="D192" s="1483">
        <v>0</v>
      </c>
      <c r="E192" s="1476">
        <v>0</v>
      </c>
    </row>
    <row r="193" spans="2:5" ht="21" thickBot="1" x14ac:dyDescent="0.25">
      <c r="B193" s="20" t="s">
        <v>30</v>
      </c>
      <c r="C193" s="377">
        <f>D193+E193</f>
        <v>2</v>
      </c>
      <c r="D193" s="1487">
        <v>2</v>
      </c>
      <c r="E193" s="1480">
        <v>0</v>
      </c>
    </row>
    <row r="194" spans="2:5" ht="21.75" thickTop="1" thickBot="1" x14ac:dyDescent="0.25">
      <c r="B194" s="147" t="s">
        <v>33</v>
      </c>
      <c r="C194" s="380">
        <f>C184-C189</f>
        <v>1</v>
      </c>
      <c r="D194" s="381">
        <f>D184-D189</f>
        <v>1</v>
      </c>
      <c r="E194" s="382">
        <f>E184-E189</f>
        <v>0</v>
      </c>
    </row>
    <row r="195" spans="2:5" ht="21" thickTop="1" x14ac:dyDescent="0.2">
      <c r="B195" s="1161" t="str">
        <f>$B$33</f>
        <v>5. STAN NA DZIEŃ 31 GRUDNIA 2011 r.</v>
      </c>
      <c r="C195" s="790" t="str">
        <f>IF(C196&gt;C183,"przybyło",IF(C196=C183,"bez zmian","ubyło"))</f>
        <v>przybyło</v>
      </c>
      <c r="D195" s="791" t="str">
        <f>IF(D196&gt;D183,"przybyło",IF(D196=D183,"bez zmian","ubyło"))</f>
        <v>przybyło</v>
      </c>
      <c r="E195" s="792" t="str">
        <f>IF(E196&gt;E183,"przybyło",IF(E196=E183,"bez zmian","ubyło"))</f>
        <v>bez zmian</v>
      </c>
    </row>
    <row r="196" spans="2:5" ht="27" thickBot="1" x14ac:dyDescent="0.4">
      <c r="B196" s="23" t="s">
        <v>35</v>
      </c>
      <c r="C196" s="385">
        <f>IF(C183+C184-C189=C183+C194, C183+C184-C189, "UWAGA!")</f>
        <v>4437</v>
      </c>
      <c r="D196" s="386">
        <f>IF(D183+D184-D189=D183+D194, D183+D184-D189, "UWAGA!")</f>
        <v>4073</v>
      </c>
      <c r="E196" s="387">
        <f>IF(E183+E184-E189=E183+E194, E183+E184-E189, "UWAGA!")</f>
        <v>364</v>
      </c>
    </row>
    <row r="197" spans="2:5" ht="21.75" thickTop="1" thickBot="1" x14ac:dyDescent="0.35">
      <c r="B197" s="148"/>
      <c r="C197" s="160"/>
      <c r="D197" s="160"/>
      <c r="E197" s="160"/>
    </row>
    <row r="198" spans="2:5" ht="21" thickTop="1" x14ac:dyDescent="0.2">
      <c r="B198" s="18" t="s">
        <v>107</v>
      </c>
      <c r="C198" s="161"/>
      <c r="D198" s="162"/>
      <c r="E198" s="163"/>
    </row>
    <row r="199" spans="2:5" ht="20.25" x14ac:dyDescent="0.2">
      <c r="B199" s="1161" t="str">
        <f>$B$37</f>
        <v xml:space="preserve">    MIEJSC W 2012 r. (a + b)</v>
      </c>
      <c r="C199" s="377">
        <f>C201+C206</f>
        <v>0</v>
      </c>
      <c r="D199" s="378">
        <f>D201+D206</f>
        <v>0</v>
      </c>
      <c r="E199" s="379">
        <f>E201+E206</f>
        <v>0</v>
      </c>
    </row>
    <row r="200" spans="2:5" ht="21" thickBot="1" x14ac:dyDescent="0.35">
      <c r="B200" s="149" t="s">
        <v>34</v>
      </c>
      <c r="C200" s="157"/>
      <c r="D200" s="158"/>
      <c r="E200" s="159"/>
    </row>
    <row r="201" spans="2:5" ht="24" thickTop="1" x14ac:dyDescent="0.2">
      <c r="B201" s="150" t="s">
        <v>108</v>
      </c>
      <c r="C201" s="377">
        <f>SUM(C203:C205)</f>
        <v>0</v>
      </c>
      <c r="D201" s="378">
        <f>SUM(D203:D205)</f>
        <v>0</v>
      </c>
      <c r="E201" s="379">
        <f>SUM(E203:E205)</f>
        <v>0</v>
      </c>
    </row>
    <row r="202" spans="2:5" ht="21" thickBot="1" x14ac:dyDescent="0.35">
      <c r="B202" s="22" t="s">
        <v>109</v>
      </c>
      <c r="C202" s="154"/>
      <c r="D202" s="155"/>
      <c r="E202" s="156"/>
    </row>
    <row r="203" spans="2:5" ht="21" thickBot="1" x14ac:dyDescent="0.25">
      <c r="B203" s="145" t="s">
        <v>110</v>
      </c>
      <c r="C203" s="383">
        <f>D203+E203</f>
        <v>0</v>
      </c>
      <c r="D203" s="1481">
        <v>0</v>
      </c>
      <c r="E203" s="1476">
        <v>0</v>
      </c>
    </row>
    <row r="204" spans="2:5" ht="21" thickBot="1" x14ac:dyDescent="0.25">
      <c r="B204" s="145" t="s">
        <v>111</v>
      </c>
      <c r="C204" s="383">
        <f>D204+E204</f>
        <v>0</v>
      </c>
      <c r="D204" s="1481">
        <v>0</v>
      </c>
      <c r="E204" s="1476">
        <v>0</v>
      </c>
    </row>
    <row r="205" spans="2:5" ht="21" thickBot="1" x14ac:dyDescent="0.25">
      <c r="B205" s="146" t="s">
        <v>112</v>
      </c>
      <c r="C205" s="384">
        <f>D205+E205</f>
        <v>0</v>
      </c>
      <c r="D205" s="1482">
        <v>0</v>
      </c>
      <c r="E205" s="1478">
        <v>0</v>
      </c>
    </row>
    <row r="206" spans="2:5" ht="24" thickTop="1" x14ac:dyDescent="0.2">
      <c r="B206" s="150" t="s">
        <v>113</v>
      </c>
      <c r="C206" s="377">
        <f>SUM(C208:C210)</f>
        <v>0</v>
      </c>
      <c r="D206" s="378">
        <f>SUM(D208:D210)</f>
        <v>0</v>
      </c>
      <c r="E206" s="379">
        <f>SUM(E208:E210)</f>
        <v>0</v>
      </c>
    </row>
    <row r="207" spans="2:5" ht="21" thickBot="1" x14ac:dyDescent="0.35">
      <c r="B207" s="22" t="s">
        <v>109</v>
      </c>
      <c r="C207" s="154"/>
      <c r="D207" s="155"/>
      <c r="E207" s="156"/>
    </row>
    <row r="208" spans="2:5" ht="21" thickBot="1" x14ac:dyDescent="0.25">
      <c r="B208" s="145" t="s">
        <v>110</v>
      </c>
      <c r="C208" s="383">
        <f>D208+E208</f>
        <v>0</v>
      </c>
      <c r="D208" s="1483">
        <v>0</v>
      </c>
      <c r="E208" s="1476">
        <v>0</v>
      </c>
    </row>
    <row r="209" spans="1:5" ht="21" thickBot="1" x14ac:dyDescent="0.25">
      <c r="B209" s="145" t="s">
        <v>111</v>
      </c>
      <c r="C209" s="383">
        <f>D209+E209</f>
        <v>0</v>
      </c>
      <c r="D209" s="1483">
        <v>0</v>
      </c>
      <c r="E209" s="1476">
        <v>0</v>
      </c>
    </row>
    <row r="210" spans="1:5" ht="21" thickBot="1" x14ac:dyDescent="0.25">
      <c r="B210" s="151" t="s">
        <v>112</v>
      </c>
      <c r="C210" s="385">
        <f>D210+E210</f>
        <v>0</v>
      </c>
      <c r="D210" s="1484">
        <v>0</v>
      </c>
      <c r="E210" s="1485">
        <v>0</v>
      </c>
    </row>
    <row r="211" spans="1:5" ht="13.5" thickTop="1" x14ac:dyDescent="0.2"/>
    <row r="213" spans="1:5" ht="18" x14ac:dyDescent="0.25">
      <c r="B213" s="11" t="s">
        <v>123</v>
      </c>
    </row>
    <row r="214" spans="1:5" ht="18" x14ac:dyDescent="0.25">
      <c r="B214" s="11"/>
    </row>
    <row r="215" spans="1:5" ht="18" x14ac:dyDescent="0.25">
      <c r="B215" s="11" t="s">
        <v>124</v>
      </c>
    </row>
    <row r="216" spans="1:5" ht="18" x14ac:dyDescent="0.25">
      <c r="B216" s="11"/>
      <c r="E216" s="25" t="s">
        <v>127</v>
      </c>
    </row>
    <row r="217" spans="1:5" ht="20.25" x14ac:dyDescent="0.3">
      <c r="B217" s="11" t="s">
        <v>125</v>
      </c>
      <c r="E217" s="26" t="s">
        <v>126</v>
      </c>
    </row>
    <row r="218" spans="1:5" ht="26.25" x14ac:dyDescent="0.4">
      <c r="B218" s="268"/>
    </row>
    <row r="219" spans="1:5" ht="26.25" x14ac:dyDescent="0.4">
      <c r="A219" s="267">
        <v>8</v>
      </c>
      <c r="B219" s="11" t="s">
        <v>19</v>
      </c>
      <c r="C219" s="12"/>
      <c r="D219" s="13"/>
      <c r="E219" s="14" t="s">
        <v>104</v>
      </c>
    </row>
    <row r="220" spans="1:5" ht="18" x14ac:dyDescent="0.25">
      <c r="B220" s="11" t="s">
        <v>134</v>
      </c>
      <c r="C220" s="12"/>
      <c r="D220" s="12"/>
      <c r="E220" s="15"/>
    </row>
    <row r="221" spans="1:5" ht="18" x14ac:dyDescent="0.25">
      <c r="B221" s="11" t="s">
        <v>122</v>
      </c>
      <c r="C221" s="12"/>
      <c r="E221" s="1193" t="str">
        <f>$E$59</f>
        <v>Termin: 29 luty 2012 r.</v>
      </c>
    </row>
    <row r="222" spans="1:5" ht="18" x14ac:dyDescent="0.25">
      <c r="B222" s="11"/>
      <c r="C222" s="12"/>
      <c r="D222" s="12"/>
      <c r="E222" s="12"/>
    </row>
    <row r="223" spans="1:5" ht="18" x14ac:dyDescent="0.25">
      <c r="B223" s="11"/>
      <c r="C223" s="12"/>
      <c r="D223" s="12"/>
      <c r="E223" s="12"/>
    </row>
    <row r="224" spans="1:5" ht="18" x14ac:dyDescent="0.25">
      <c r="B224" s="11" t="s">
        <v>135</v>
      </c>
      <c r="C224" s="12"/>
      <c r="D224" s="14"/>
      <c r="E224" s="16"/>
    </row>
    <row r="225" spans="2:5" ht="18" x14ac:dyDescent="0.25">
      <c r="B225" s="11"/>
      <c r="C225" s="12"/>
      <c r="D225" s="13"/>
      <c r="E225" s="12"/>
    </row>
    <row r="226" spans="2:5" ht="15" x14ac:dyDescent="0.2">
      <c r="B226" s="12"/>
      <c r="C226" s="12"/>
      <c r="D226" s="12"/>
      <c r="E226" s="12"/>
    </row>
    <row r="227" spans="2:5" ht="20.25" x14ac:dyDescent="0.3">
      <c r="B227" s="183" t="s">
        <v>131</v>
      </c>
      <c r="C227" s="12"/>
      <c r="D227" s="12"/>
      <c r="E227" s="12"/>
    </row>
    <row r="228" spans="2:5" ht="18" x14ac:dyDescent="0.25">
      <c r="B228" s="11"/>
      <c r="C228" s="12"/>
      <c r="D228" s="12"/>
      <c r="E228" s="13"/>
    </row>
    <row r="229" spans="2:5" ht="26.25" x14ac:dyDescent="0.4">
      <c r="B229" s="1602" t="str">
        <f>$B$12</f>
        <v>BILANS  LICZBY  MIEJSC  W  PONADGMINNYCH  DOMACH  POMOCY  SPOŁECZNEJ  ZA  2011 r.</v>
      </c>
      <c r="C229" s="1602"/>
      <c r="D229" s="1602"/>
      <c r="E229" s="1602"/>
    </row>
    <row r="230" spans="2:5" ht="26.25" x14ac:dyDescent="0.4">
      <c r="B230" s="1602" t="str">
        <f>$B$13</f>
        <v>I  PLANOWANE  ZWIĘKSZENIE  LICZBY  MIEJSC  W  2012 r.</v>
      </c>
      <c r="C230" s="1602"/>
      <c r="D230" s="1602"/>
      <c r="E230" s="1602"/>
    </row>
    <row r="231" spans="2:5" ht="15" x14ac:dyDescent="0.2">
      <c r="B231" s="12"/>
      <c r="C231" s="12"/>
      <c r="D231" s="12"/>
      <c r="E231" s="12"/>
    </row>
    <row r="232" spans="2:5" ht="15.75" thickBot="1" x14ac:dyDescent="0.25">
      <c r="B232" s="12"/>
      <c r="C232" s="12"/>
      <c r="D232" s="12"/>
      <c r="E232" s="12"/>
    </row>
    <row r="233" spans="2:5" ht="24.75" thickTop="1" thickBot="1" x14ac:dyDescent="0.25">
      <c r="B233" s="134"/>
      <c r="C233" s="135" t="s">
        <v>7</v>
      </c>
      <c r="D233" s="1599" t="s">
        <v>105</v>
      </c>
      <c r="E233" s="1600"/>
    </row>
    <row r="234" spans="2:5" ht="26.25" x14ac:dyDescent="0.2">
      <c r="B234" s="136" t="s">
        <v>21</v>
      </c>
      <c r="C234" s="137" t="s">
        <v>106</v>
      </c>
      <c r="D234" s="138" t="s">
        <v>22</v>
      </c>
      <c r="E234" s="139" t="s">
        <v>23</v>
      </c>
    </row>
    <row r="235" spans="2:5" ht="24" thickBot="1" x14ac:dyDescent="0.25">
      <c r="B235" s="140"/>
      <c r="C235" s="141" t="s">
        <v>24</v>
      </c>
      <c r="D235" s="142" t="s">
        <v>25</v>
      </c>
      <c r="E235" s="143" t="s">
        <v>26</v>
      </c>
    </row>
    <row r="236" spans="2:5" ht="15.75" thickBot="1" x14ac:dyDescent="0.25">
      <c r="B236" s="786">
        <v>0</v>
      </c>
      <c r="C236" s="787">
        <v>1</v>
      </c>
      <c r="D236" s="788">
        <v>2</v>
      </c>
      <c r="E236" s="789">
        <v>3</v>
      </c>
    </row>
    <row r="237" spans="2:5" ht="21.75" thickTop="1" thickBot="1" x14ac:dyDescent="0.25">
      <c r="B237" s="1159" t="str">
        <f>$B$20</f>
        <v>1. STAN NA DZIEŃ 31 GRUDNIA 2010 r.</v>
      </c>
      <c r="C237" s="927">
        <f>D237+E237</f>
        <v>2356</v>
      </c>
      <c r="D237" s="1473">
        <v>2244</v>
      </c>
      <c r="E237" s="1486">
        <v>112</v>
      </c>
    </row>
    <row r="238" spans="2:5" ht="21" thickTop="1" x14ac:dyDescent="0.2">
      <c r="B238" s="1160" t="str">
        <f>$B$21</f>
        <v>2. OGÓŁEM ZWIĘKSZENIA W 2011 r. (a+b+c)</v>
      </c>
      <c r="C238" s="373">
        <f>SUM(C240:C242)</f>
        <v>0</v>
      </c>
      <c r="D238" s="375">
        <f>SUM(D240:D242)</f>
        <v>0</v>
      </c>
      <c r="E238" s="376">
        <f>SUM(E240:E242)</f>
        <v>0</v>
      </c>
    </row>
    <row r="239" spans="2:5" ht="21" thickBot="1" x14ac:dyDescent="0.35">
      <c r="B239" s="144" t="s">
        <v>27</v>
      </c>
      <c r="C239" s="374"/>
      <c r="D239" s="152"/>
      <c r="E239" s="153"/>
    </row>
    <row r="240" spans="2:5" ht="21" thickBot="1" x14ac:dyDescent="0.25">
      <c r="B240" s="145" t="s">
        <v>28</v>
      </c>
      <c r="C240" s="383">
        <f>D240+E240</f>
        <v>0</v>
      </c>
      <c r="D240" s="1483">
        <v>0</v>
      </c>
      <c r="E240" s="1476">
        <v>0</v>
      </c>
    </row>
    <row r="241" spans="2:5" ht="21" thickBot="1" x14ac:dyDescent="0.25">
      <c r="B241" s="145" t="s">
        <v>29</v>
      </c>
      <c r="C241" s="383">
        <f>D241+E241</f>
        <v>0</v>
      </c>
      <c r="D241" s="1483">
        <v>0</v>
      </c>
      <c r="E241" s="1476">
        <v>0</v>
      </c>
    </row>
    <row r="242" spans="2:5" ht="21" thickBot="1" x14ac:dyDescent="0.25">
      <c r="B242" s="146" t="s">
        <v>30</v>
      </c>
      <c r="C242" s="384">
        <f>D242+E242</f>
        <v>0</v>
      </c>
      <c r="D242" s="1482">
        <v>0</v>
      </c>
      <c r="E242" s="1478">
        <v>0</v>
      </c>
    </row>
    <row r="243" spans="2:5" ht="21" thickTop="1" x14ac:dyDescent="0.2">
      <c r="B243" s="1161" t="str">
        <f>$B$26</f>
        <v>3. OGÓŁEM ZMNIEJSZENIA W 2011 r. (a+b+c)</v>
      </c>
      <c r="C243" s="377">
        <f>SUM(C245:C247)</f>
        <v>12</v>
      </c>
      <c r="D243" s="378">
        <f>SUM(D245:D247)</f>
        <v>12</v>
      </c>
      <c r="E243" s="379">
        <f>SUM(E245:E247)</f>
        <v>0</v>
      </c>
    </row>
    <row r="244" spans="2:5" ht="21" thickBot="1" x14ac:dyDescent="0.35">
      <c r="B244" s="22" t="s">
        <v>27</v>
      </c>
      <c r="C244" s="154"/>
      <c r="D244" s="155"/>
      <c r="E244" s="156"/>
    </row>
    <row r="245" spans="2:5" ht="21" thickBot="1" x14ac:dyDescent="0.25">
      <c r="B245" s="145" t="s">
        <v>31</v>
      </c>
      <c r="C245" s="383">
        <f>D245+E245</f>
        <v>0</v>
      </c>
      <c r="D245" s="1483">
        <v>0</v>
      </c>
      <c r="E245" s="1476">
        <v>0</v>
      </c>
    </row>
    <row r="246" spans="2:5" ht="21" thickBot="1" x14ac:dyDescent="0.25">
      <c r="B246" s="145" t="s">
        <v>32</v>
      </c>
      <c r="C246" s="383">
        <f>D246+E246</f>
        <v>0</v>
      </c>
      <c r="D246" s="1483">
        <v>0</v>
      </c>
      <c r="E246" s="1476">
        <v>0</v>
      </c>
    </row>
    <row r="247" spans="2:5" ht="21" thickBot="1" x14ac:dyDescent="0.25">
      <c r="B247" s="20" t="s">
        <v>30</v>
      </c>
      <c r="C247" s="377">
        <f>D247+E247</f>
        <v>12</v>
      </c>
      <c r="D247" s="1487">
        <v>12</v>
      </c>
      <c r="E247" s="1480">
        <v>0</v>
      </c>
    </row>
    <row r="248" spans="2:5" ht="21.75" thickTop="1" thickBot="1" x14ac:dyDescent="0.25">
      <c r="B248" s="147" t="s">
        <v>33</v>
      </c>
      <c r="C248" s="380">
        <f>C238-C243</f>
        <v>-12</v>
      </c>
      <c r="D248" s="381">
        <f>D238-D243</f>
        <v>-12</v>
      </c>
      <c r="E248" s="382">
        <f>E238-E243</f>
        <v>0</v>
      </c>
    </row>
    <row r="249" spans="2:5" ht="21" thickTop="1" x14ac:dyDescent="0.2">
      <c r="B249" s="1161" t="str">
        <f>$B$33</f>
        <v>5. STAN NA DZIEŃ 31 GRUDNIA 2011 r.</v>
      </c>
      <c r="C249" s="790" t="str">
        <f>IF(C250&gt;C237,"przybyło",IF(C250=C237,"bez zmian","ubyło"))</f>
        <v>ubyło</v>
      </c>
      <c r="D249" s="791" t="str">
        <f>IF(D250&gt;D237,"przybyło",IF(D250=D237,"bez zmian","ubyło"))</f>
        <v>ubyło</v>
      </c>
      <c r="E249" s="792" t="str">
        <f>IF(E250&gt;E237,"przybyło",IF(E250=E237,"bez zmian","ubyło"))</f>
        <v>bez zmian</v>
      </c>
    </row>
    <row r="250" spans="2:5" ht="27" thickBot="1" x14ac:dyDescent="0.4">
      <c r="B250" s="23" t="s">
        <v>35</v>
      </c>
      <c r="C250" s="385">
        <f>IF(C237+C238-C243=C237+C248, C237+C238-C243, "UWAGA!")</f>
        <v>2344</v>
      </c>
      <c r="D250" s="386">
        <f>IF(D237+D238-D243=D237+D248, D237+D238-D243, "UWAGA!")</f>
        <v>2232</v>
      </c>
      <c r="E250" s="387">
        <f>IF(E237+E238-E243=E237+E248, E237+E238-E243, "UWAGA!")</f>
        <v>112</v>
      </c>
    </row>
    <row r="251" spans="2:5" ht="21.75" thickTop="1" thickBot="1" x14ac:dyDescent="0.35">
      <c r="B251" s="148"/>
      <c r="C251" s="160"/>
      <c r="D251" s="160"/>
      <c r="E251" s="160"/>
    </row>
    <row r="252" spans="2:5" ht="21" thickTop="1" x14ac:dyDescent="0.2">
      <c r="B252" s="18" t="s">
        <v>107</v>
      </c>
      <c r="C252" s="161"/>
      <c r="D252" s="162"/>
      <c r="E252" s="163"/>
    </row>
    <row r="253" spans="2:5" ht="20.25" x14ac:dyDescent="0.2">
      <c r="B253" s="1161" t="str">
        <f>$B$37</f>
        <v xml:space="preserve">    MIEJSC W 2012 r. (a + b)</v>
      </c>
      <c r="C253" s="377">
        <f>C255+C260</f>
        <v>0</v>
      </c>
      <c r="D253" s="378">
        <f>D255+D260</f>
        <v>0</v>
      </c>
      <c r="E253" s="379">
        <f>E255+E260</f>
        <v>0</v>
      </c>
    </row>
    <row r="254" spans="2:5" ht="21" thickBot="1" x14ac:dyDescent="0.35">
      <c r="B254" s="149" t="s">
        <v>34</v>
      </c>
      <c r="C254" s="157"/>
      <c r="D254" s="158"/>
      <c r="E254" s="159"/>
    </row>
    <row r="255" spans="2:5" ht="24" thickTop="1" x14ac:dyDescent="0.2">
      <c r="B255" s="150" t="s">
        <v>108</v>
      </c>
      <c r="C255" s="377">
        <f>SUM(C257:C259)</f>
        <v>0</v>
      </c>
      <c r="D255" s="378">
        <f>SUM(D257:D259)</f>
        <v>0</v>
      </c>
      <c r="E255" s="379">
        <f>SUM(E257:E259)</f>
        <v>0</v>
      </c>
    </row>
    <row r="256" spans="2:5" ht="21" thickBot="1" x14ac:dyDescent="0.35">
      <c r="B256" s="22" t="s">
        <v>109</v>
      </c>
      <c r="C256" s="154"/>
      <c r="D256" s="155"/>
      <c r="E256" s="156"/>
    </row>
    <row r="257" spans="2:5" ht="21" thickBot="1" x14ac:dyDescent="0.25">
      <c r="B257" s="145" t="s">
        <v>110</v>
      </c>
      <c r="C257" s="383">
        <f>D257+E257</f>
        <v>0</v>
      </c>
      <c r="D257" s="1481">
        <v>0</v>
      </c>
      <c r="E257" s="1476">
        <v>0</v>
      </c>
    </row>
    <row r="258" spans="2:5" ht="21" thickBot="1" x14ac:dyDescent="0.25">
      <c r="B258" s="145" t="s">
        <v>111</v>
      </c>
      <c r="C258" s="383">
        <f>D258+E258</f>
        <v>0</v>
      </c>
      <c r="D258" s="1481">
        <v>0</v>
      </c>
      <c r="E258" s="1476">
        <v>0</v>
      </c>
    </row>
    <row r="259" spans="2:5" ht="21" thickBot="1" x14ac:dyDescent="0.25">
      <c r="B259" s="146" t="s">
        <v>112</v>
      </c>
      <c r="C259" s="384">
        <f>D259+E259</f>
        <v>0</v>
      </c>
      <c r="D259" s="1482">
        <v>0</v>
      </c>
      <c r="E259" s="1478">
        <v>0</v>
      </c>
    </row>
    <row r="260" spans="2:5" ht="24" thickTop="1" x14ac:dyDescent="0.2">
      <c r="B260" s="150" t="s">
        <v>113</v>
      </c>
      <c r="C260" s="377">
        <f>SUM(C262:C264)</f>
        <v>0</v>
      </c>
      <c r="D260" s="378">
        <f>SUM(D262:D264)</f>
        <v>0</v>
      </c>
      <c r="E260" s="379">
        <f>SUM(E262:E264)</f>
        <v>0</v>
      </c>
    </row>
    <row r="261" spans="2:5" ht="21" thickBot="1" x14ac:dyDescent="0.35">
      <c r="B261" s="22" t="s">
        <v>109</v>
      </c>
      <c r="C261" s="154"/>
      <c r="D261" s="155"/>
      <c r="E261" s="156"/>
    </row>
    <row r="262" spans="2:5" ht="21" thickBot="1" x14ac:dyDescent="0.25">
      <c r="B262" s="145" t="s">
        <v>110</v>
      </c>
      <c r="C262" s="383">
        <f>D262+E262</f>
        <v>0</v>
      </c>
      <c r="D262" s="1483">
        <v>0</v>
      </c>
      <c r="E262" s="1476">
        <v>0</v>
      </c>
    </row>
    <row r="263" spans="2:5" ht="21" thickBot="1" x14ac:dyDescent="0.25">
      <c r="B263" s="145" t="s">
        <v>111</v>
      </c>
      <c r="C263" s="383">
        <f>D263+E263</f>
        <v>0</v>
      </c>
      <c r="D263" s="1483">
        <v>0</v>
      </c>
      <c r="E263" s="1476">
        <v>0</v>
      </c>
    </row>
    <row r="264" spans="2:5" ht="21" thickBot="1" x14ac:dyDescent="0.25">
      <c r="B264" s="151" t="s">
        <v>112</v>
      </c>
      <c r="C264" s="385">
        <f>D264+E264</f>
        <v>0</v>
      </c>
      <c r="D264" s="1484">
        <v>0</v>
      </c>
      <c r="E264" s="1485">
        <v>0</v>
      </c>
    </row>
    <row r="265" spans="2:5" ht="13.5" thickTop="1" x14ac:dyDescent="0.2"/>
    <row r="267" spans="2:5" ht="18" x14ac:dyDescent="0.25">
      <c r="B267" s="11" t="s">
        <v>123</v>
      </c>
    </row>
    <row r="268" spans="2:5" ht="18" x14ac:dyDescent="0.25">
      <c r="B268" s="11"/>
    </row>
    <row r="269" spans="2:5" ht="18" x14ac:dyDescent="0.25">
      <c r="B269" s="11" t="s">
        <v>124</v>
      </c>
    </row>
    <row r="270" spans="2:5" ht="18" x14ac:dyDescent="0.25">
      <c r="B270" s="11"/>
      <c r="E270" s="25" t="s">
        <v>127</v>
      </c>
    </row>
    <row r="271" spans="2:5" ht="20.25" x14ac:dyDescent="0.3">
      <c r="B271" s="11" t="s">
        <v>125</v>
      </c>
      <c r="E271" s="26" t="s">
        <v>126</v>
      </c>
    </row>
    <row r="272" spans="2:5" ht="26.25" x14ac:dyDescent="0.4">
      <c r="B272" s="268"/>
    </row>
    <row r="273" spans="1:5" ht="26.25" x14ac:dyDescent="0.4">
      <c r="A273" s="267">
        <v>10</v>
      </c>
      <c r="B273" s="11" t="s">
        <v>19</v>
      </c>
      <c r="C273" s="12"/>
      <c r="D273" s="13"/>
      <c r="E273" s="14" t="s">
        <v>104</v>
      </c>
    </row>
    <row r="274" spans="1:5" ht="18" x14ac:dyDescent="0.25">
      <c r="B274" s="11" t="s">
        <v>134</v>
      </c>
      <c r="C274" s="12"/>
      <c r="D274" s="12"/>
      <c r="E274" s="15"/>
    </row>
    <row r="275" spans="1:5" ht="18" x14ac:dyDescent="0.25">
      <c r="B275" s="11" t="s">
        <v>122</v>
      </c>
      <c r="C275" s="12"/>
      <c r="E275" s="1193" t="str">
        <f>$E$59</f>
        <v>Termin: 29 luty 2012 r.</v>
      </c>
    </row>
    <row r="276" spans="1:5" ht="18" x14ac:dyDescent="0.25">
      <c r="B276" s="11"/>
      <c r="C276" s="12"/>
      <c r="D276" s="12"/>
      <c r="E276" s="12"/>
    </row>
    <row r="277" spans="1:5" ht="18" x14ac:dyDescent="0.25">
      <c r="B277" s="11"/>
      <c r="C277" s="12"/>
      <c r="D277" s="12"/>
      <c r="E277" s="12"/>
    </row>
    <row r="278" spans="1:5" ht="18" x14ac:dyDescent="0.25">
      <c r="B278" s="11" t="s">
        <v>135</v>
      </c>
      <c r="C278" s="12"/>
      <c r="D278" s="14"/>
      <c r="E278" s="16"/>
    </row>
    <row r="279" spans="1:5" ht="18" x14ac:dyDescent="0.25">
      <c r="B279" s="11"/>
      <c r="C279" s="12"/>
      <c r="D279" s="13"/>
      <c r="E279" s="12"/>
    </row>
    <row r="280" spans="1:5" ht="15" x14ac:dyDescent="0.2">
      <c r="B280" s="12"/>
      <c r="C280" s="12"/>
      <c r="D280" s="12"/>
      <c r="E280" s="12"/>
    </row>
    <row r="281" spans="1:5" ht="20.25" x14ac:dyDescent="0.3">
      <c r="B281" s="183" t="s">
        <v>131</v>
      </c>
      <c r="C281" s="12"/>
      <c r="D281" s="12"/>
      <c r="E281" s="12"/>
    </row>
    <row r="282" spans="1:5" ht="18" x14ac:dyDescent="0.25">
      <c r="B282" s="11"/>
      <c r="C282" s="12"/>
      <c r="D282" s="12"/>
      <c r="E282" s="13"/>
    </row>
    <row r="283" spans="1:5" ht="26.25" x14ac:dyDescent="0.4">
      <c r="B283" s="1602" t="str">
        <f>$B$12</f>
        <v>BILANS  LICZBY  MIEJSC  W  PONADGMINNYCH  DOMACH  POMOCY  SPOŁECZNEJ  ZA  2011 r.</v>
      </c>
      <c r="C283" s="1602"/>
      <c r="D283" s="1602"/>
      <c r="E283" s="1602"/>
    </row>
    <row r="284" spans="1:5" ht="26.25" x14ac:dyDescent="0.4">
      <c r="B284" s="1602" t="str">
        <f>$B$13</f>
        <v>I  PLANOWANE  ZWIĘKSZENIE  LICZBY  MIEJSC  W  2012 r.</v>
      </c>
      <c r="C284" s="1602"/>
      <c r="D284" s="1602"/>
      <c r="E284" s="1602"/>
    </row>
    <row r="285" spans="1:5" ht="15" x14ac:dyDescent="0.2">
      <c r="B285" s="12"/>
      <c r="C285" s="12"/>
      <c r="D285" s="12"/>
      <c r="E285" s="12"/>
    </row>
    <row r="286" spans="1:5" ht="15.75" thickBot="1" x14ac:dyDescent="0.25">
      <c r="B286" s="12"/>
      <c r="C286" s="12"/>
      <c r="D286" s="12"/>
      <c r="E286" s="12"/>
    </row>
    <row r="287" spans="1:5" ht="24.75" thickTop="1" thickBot="1" x14ac:dyDescent="0.25">
      <c r="B287" s="134"/>
      <c r="C287" s="135" t="s">
        <v>7</v>
      </c>
      <c r="D287" s="1599" t="s">
        <v>105</v>
      </c>
      <c r="E287" s="1600"/>
    </row>
    <row r="288" spans="1:5" ht="26.25" x14ac:dyDescent="0.2">
      <c r="B288" s="136" t="s">
        <v>21</v>
      </c>
      <c r="C288" s="137" t="s">
        <v>106</v>
      </c>
      <c r="D288" s="138" t="s">
        <v>22</v>
      </c>
      <c r="E288" s="139" t="s">
        <v>23</v>
      </c>
    </row>
    <row r="289" spans="2:5" ht="24" thickBot="1" x14ac:dyDescent="0.25">
      <c r="B289" s="140"/>
      <c r="C289" s="141" t="s">
        <v>24</v>
      </c>
      <c r="D289" s="142" t="s">
        <v>25</v>
      </c>
      <c r="E289" s="143" t="s">
        <v>26</v>
      </c>
    </row>
    <row r="290" spans="2:5" ht="15.75" thickBot="1" x14ac:dyDescent="0.25">
      <c r="B290" s="786">
        <v>0</v>
      </c>
      <c r="C290" s="787">
        <v>1</v>
      </c>
      <c r="D290" s="788">
        <v>2</v>
      </c>
      <c r="E290" s="789">
        <v>3</v>
      </c>
    </row>
    <row r="291" spans="2:5" ht="21.75" thickTop="1" thickBot="1" x14ac:dyDescent="0.25">
      <c r="B291" s="1159" t="str">
        <f>$B$20</f>
        <v>1. STAN NA DZIEŃ 31 GRUDNIA 2010 r.</v>
      </c>
      <c r="C291" s="927">
        <f>D291+E291</f>
        <v>6187</v>
      </c>
      <c r="D291" s="1473">
        <v>5914</v>
      </c>
      <c r="E291" s="1474">
        <v>273</v>
      </c>
    </row>
    <row r="292" spans="2:5" ht="21" thickTop="1" x14ac:dyDescent="0.2">
      <c r="B292" s="1160" t="str">
        <f>$B$21</f>
        <v>2. OGÓŁEM ZWIĘKSZENIA W 2011 r. (a+b+c)</v>
      </c>
      <c r="C292" s="373">
        <f>SUM(C294:C296)</f>
        <v>48</v>
      </c>
      <c r="D292" s="375">
        <f>SUM(D294:D296)</f>
        <v>40</v>
      </c>
      <c r="E292" s="376">
        <f>SUM(E294:E296)</f>
        <v>8</v>
      </c>
    </row>
    <row r="293" spans="2:5" ht="21" thickBot="1" x14ac:dyDescent="0.35">
      <c r="B293" s="144" t="s">
        <v>27</v>
      </c>
      <c r="C293" s="374"/>
      <c r="D293" s="152"/>
      <c r="E293" s="153"/>
    </row>
    <row r="294" spans="2:5" ht="21" thickBot="1" x14ac:dyDescent="0.25">
      <c r="B294" s="145" t="s">
        <v>28</v>
      </c>
      <c r="C294" s="383">
        <f>D294+E294</f>
        <v>26</v>
      </c>
      <c r="D294" s="1483">
        <v>18</v>
      </c>
      <c r="E294" s="1476">
        <v>8</v>
      </c>
    </row>
    <row r="295" spans="2:5" ht="21" thickBot="1" x14ac:dyDescent="0.25">
      <c r="B295" s="145" t="s">
        <v>29</v>
      </c>
      <c r="C295" s="383">
        <f>D295+E295</f>
        <v>0</v>
      </c>
      <c r="D295" s="1483">
        <v>0</v>
      </c>
      <c r="E295" s="1476">
        <v>0</v>
      </c>
    </row>
    <row r="296" spans="2:5" ht="21" thickBot="1" x14ac:dyDescent="0.25">
      <c r="B296" s="146" t="s">
        <v>30</v>
      </c>
      <c r="C296" s="384">
        <f>D296+E296</f>
        <v>22</v>
      </c>
      <c r="D296" s="1482">
        <v>22</v>
      </c>
      <c r="E296" s="1478">
        <v>0</v>
      </c>
    </row>
    <row r="297" spans="2:5" ht="21" thickTop="1" x14ac:dyDescent="0.2">
      <c r="B297" s="1161" t="str">
        <f>$B$26</f>
        <v>3. OGÓŁEM ZMNIEJSZENIA W 2011 r. (a+b+c)</v>
      </c>
      <c r="C297" s="377">
        <f>SUM(C299:C301)</f>
        <v>35</v>
      </c>
      <c r="D297" s="378">
        <f>SUM(D299:D301)</f>
        <v>26</v>
      </c>
      <c r="E297" s="379">
        <f>SUM(E299:E301)</f>
        <v>9</v>
      </c>
    </row>
    <row r="298" spans="2:5" ht="21" thickBot="1" x14ac:dyDescent="0.35">
      <c r="B298" s="22" t="s">
        <v>27</v>
      </c>
      <c r="C298" s="154"/>
      <c r="D298" s="155"/>
      <c r="E298" s="156"/>
    </row>
    <row r="299" spans="2:5" ht="21" thickBot="1" x14ac:dyDescent="0.25">
      <c r="B299" s="145" t="s">
        <v>31</v>
      </c>
      <c r="C299" s="383">
        <f>D299+E299</f>
        <v>26</v>
      </c>
      <c r="D299" s="1483">
        <v>26</v>
      </c>
      <c r="E299" s="1476">
        <v>0</v>
      </c>
    </row>
    <row r="300" spans="2:5" ht="21" thickBot="1" x14ac:dyDescent="0.25">
      <c r="B300" s="145" t="s">
        <v>32</v>
      </c>
      <c r="C300" s="383">
        <f>D300+E300</f>
        <v>0</v>
      </c>
      <c r="D300" s="1483">
        <v>0</v>
      </c>
      <c r="E300" s="1476">
        <v>0</v>
      </c>
    </row>
    <row r="301" spans="2:5" ht="21" thickBot="1" x14ac:dyDescent="0.25">
      <c r="B301" s="20" t="s">
        <v>30</v>
      </c>
      <c r="C301" s="377">
        <f>D301+E301</f>
        <v>9</v>
      </c>
      <c r="D301" s="1487">
        <v>0</v>
      </c>
      <c r="E301" s="1480">
        <v>9</v>
      </c>
    </row>
    <row r="302" spans="2:5" ht="21.75" thickTop="1" thickBot="1" x14ac:dyDescent="0.25">
      <c r="B302" s="147" t="s">
        <v>33</v>
      </c>
      <c r="C302" s="380">
        <f>C292-C297</f>
        <v>13</v>
      </c>
      <c r="D302" s="381">
        <f>D292-D297</f>
        <v>14</v>
      </c>
      <c r="E302" s="382">
        <f>E292-E297</f>
        <v>-1</v>
      </c>
    </row>
    <row r="303" spans="2:5" ht="21" thickTop="1" x14ac:dyDescent="0.2">
      <c r="B303" s="1161" t="str">
        <f>$B$33</f>
        <v>5. STAN NA DZIEŃ 31 GRUDNIA 2011 r.</v>
      </c>
      <c r="C303" s="790" t="str">
        <f>IF(C304&gt;C291,"przybyło",IF(C304=C291,"bez zmian","ubyło"))</f>
        <v>przybyło</v>
      </c>
      <c r="D303" s="791" t="str">
        <f>IF(D304&gt;D291,"przybyło",IF(D304=D291,"bez zmian","ubyło"))</f>
        <v>przybyło</v>
      </c>
      <c r="E303" s="792" t="str">
        <f>IF(E304&gt;E291,"przybyło",IF(E304=E291,"bez zmian","ubyło"))</f>
        <v>ubyło</v>
      </c>
    </row>
    <row r="304" spans="2:5" ht="27" thickBot="1" x14ac:dyDescent="0.4">
      <c r="B304" s="23" t="s">
        <v>35</v>
      </c>
      <c r="C304" s="385">
        <f>IF(C291+C292-C297=C291+C302, C291+C292-C297, "UWAGA!")</f>
        <v>6200</v>
      </c>
      <c r="D304" s="386">
        <f>IF(D291+D292-D297=D291+D302, D291+D292-D297, "UWAGA!")</f>
        <v>5928</v>
      </c>
      <c r="E304" s="387">
        <f>IF(E291+E292-E297=E291+E302, E291+E292-E297, "UWAGA!")</f>
        <v>272</v>
      </c>
    </row>
    <row r="305" spans="2:5" ht="21.75" thickTop="1" thickBot="1" x14ac:dyDescent="0.35">
      <c r="B305" s="148"/>
      <c r="C305" s="160"/>
      <c r="D305" s="160"/>
      <c r="E305" s="160"/>
    </row>
    <row r="306" spans="2:5" ht="21" thickTop="1" x14ac:dyDescent="0.2">
      <c r="B306" s="18" t="s">
        <v>107</v>
      </c>
      <c r="C306" s="161"/>
      <c r="D306" s="162"/>
      <c r="E306" s="163"/>
    </row>
    <row r="307" spans="2:5" ht="20.25" x14ac:dyDescent="0.2">
      <c r="B307" s="1161" t="str">
        <f>$B$37</f>
        <v xml:space="preserve">    MIEJSC W 2012 r. (a + b)</v>
      </c>
      <c r="C307" s="377">
        <f>C309+C314</f>
        <v>53</v>
      </c>
      <c r="D307" s="378">
        <f>D309+D314</f>
        <v>53</v>
      </c>
      <c r="E307" s="379">
        <f>E309+E314</f>
        <v>0</v>
      </c>
    </row>
    <row r="308" spans="2:5" ht="21" thickBot="1" x14ac:dyDescent="0.35">
      <c r="B308" s="149" t="s">
        <v>34</v>
      </c>
      <c r="C308" s="157"/>
      <c r="D308" s="158"/>
      <c r="E308" s="159"/>
    </row>
    <row r="309" spans="2:5" ht="24" thickTop="1" x14ac:dyDescent="0.2">
      <c r="B309" s="150" t="s">
        <v>108</v>
      </c>
      <c r="C309" s="377">
        <f>SUM(C311:C313)</f>
        <v>0</v>
      </c>
      <c r="D309" s="378">
        <f>SUM(D311:D313)</f>
        <v>0</v>
      </c>
      <c r="E309" s="379">
        <f>SUM(E311:E313)</f>
        <v>0</v>
      </c>
    </row>
    <row r="310" spans="2:5" ht="21" thickBot="1" x14ac:dyDescent="0.35">
      <c r="B310" s="22" t="s">
        <v>109</v>
      </c>
      <c r="C310" s="154"/>
      <c r="D310" s="155"/>
      <c r="E310" s="156"/>
    </row>
    <row r="311" spans="2:5" ht="21" thickBot="1" x14ac:dyDescent="0.25">
      <c r="B311" s="145" t="s">
        <v>110</v>
      </c>
      <c r="C311" s="383">
        <f>D311+E311</f>
        <v>0</v>
      </c>
      <c r="D311" s="1481">
        <v>0</v>
      </c>
      <c r="E311" s="1476">
        <v>0</v>
      </c>
    </row>
    <row r="312" spans="2:5" ht="21" thickBot="1" x14ac:dyDescent="0.25">
      <c r="B312" s="145" t="s">
        <v>111</v>
      </c>
      <c r="C312" s="383">
        <f>D312+E312</f>
        <v>0</v>
      </c>
      <c r="D312" s="1481">
        <v>0</v>
      </c>
      <c r="E312" s="1476">
        <v>0</v>
      </c>
    </row>
    <row r="313" spans="2:5" ht="21" thickBot="1" x14ac:dyDescent="0.25">
      <c r="B313" s="146" t="s">
        <v>112</v>
      </c>
      <c r="C313" s="384">
        <f>D313+E313</f>
        <v>0</v>
      </c>
      <c r="D313" s="1482">
        <v>0</v>
      </c>
      <c r="E313" s="1478">
        <v>0</v>
      </c>
    </row>
    <row r="314" spans="2:5" ht="24" thickTop="1" x14ac:dyDescent="0.2">
      <c r="B314" s="150" t="s">
        <v>113</v>
      </c>
      <c r="C314" s="377">
        <f>SUM(C316:C318)</f>
        <v>53</v>
      </c>
      <c r="D314" s="378">
        <f>SUM(D316:D318)</f>
        <v>53</v>
      </c>
      <c r="E314" s="379">
        <f>SUM(E316:E318)</f>
        <v>0</v>
      </c>
    </row>
    <row r="315" spans="2:5" ht="21" thickBot="1" x14ac:dyDescent="0.35">
      <c r="B315" s="22" t="s">
        <v>109</v>
      </c>
      <c r="C315" s="154"/>
      <c r="D315" s="155"/>
      <c r="E315" s="156"/>
    </row>
    <row r="316" spans="2:5" ht="21" thickBot="1" x14ac:dyDescent="0.25">
      <c r="B316" s="145" t="s">
        <v>110</v>
      </c>
      <c r="C316" s="383">
        <f>D316+E316</f>
        <v>0</v>
      </c>
      <c r="D316" s="1483">
        <v>0</v>
      </c>
      <c r="E316" s="1476">
        <v>0</v>
      </c>
    </row>
    <row r="317" spans="2:5" ht="21" thickBot="1" x14ac:dyDescent="0.25">
      <c r="B317" s="145" t="s">
        <v>111</v>
      </c>
      <c r="C317" s="383">
        <f>D317+E317</f>
        <v>53</v>
      </c>
      <c r="D317" s="1483">
        <v>53</v>
      </c>
      <c r="E317" s="1476">
        <v>0</v>
      </c>
    </row>
    <row r="318" spans="2:5" ht="21" thickBot="1" x14ac:dyDescent="0.25">
      <c r="B318" s="151" t="s">
        <v>112</v>
      </c>
      <c r="C318" s="385">
        <f>D318+E318</f>
        <v>0</v>
      </c>
      <c r="D318" s="1484">
        <v>0</v>
      </c>
      <c r="E318" s="1485">
        <v>0</v>
      </c>
    </row>
    <row r="319" spans="2:5" ht="13.5" thickTop="1" x14ac:dyDescent="0.2"/>
    <row r="321" spans="1:5" ht="18" x14ac:dyDescent="0.25">
      <c r="B321" s="11" t="s">
        <v>123</v>
      </c>
    </row>
    <row r="322" spans="1:5" ht="18" x14ac:dyDescent="0.25">
      <c r="B322" s="11"/>
    </row>
    <row r="323" spans="1:5" ht="18" x14ac:dyDescent="0.25">
      <c r="B323" s="11" t="s">
        <v>124</v>
      </c>
    </row>
    <row r="324" spans="1:5" ht="18" x14ac:dyDescent="0.25">
      <c r="B324" s="11"/>
      <c r="E324" s="25" t="s">
        <v>127</v>
      </c>
    </row>
    <row r="325" spans="1:5" ht="20.25" x14ac:dyDescent="0.3">
      <c r="B325" s="11" t="s">
        <v>125</v>
      </c>
      <c r="E325" s="26" t="s">
        <v>126</v>
      </c>
    </row>
    <row r="326" spans="1:5" ht="26.25" x14ac:dyDescent="0.4">
      <c r="B326" s="268"/>
    </row>
    <row r="327" spans="1:5" ht="26.25" x14ac:dyDescent="0.4">
      <c r="A327" s="267">
        <v>12</v>
      </c>
      <c r="B327" s="11" t="s">
        <v>19</v>
      </c>
      <c r="C327" s="12"/>
      <c r="D327" s="13"/>
      <c r="E327" s="14" t="s">
        <v>104</v>
      </c>
    </row>
    <row r="328" spans="1:5" ht="18" x14ac:dyDescent="0.25">
      <c r="B328" s="11" t="s">
        <v>134</v>
      </c>
      <c r="C328" s="12"/>
      <c r="D328" s="12"/>
      <c r="E328" s="15"/>
    </row>
    <row r="329" spans="1:5" ht="18" x14ac:dyDescent="0.25">
      <c r="B329" s="11" t="s">
        <v>122</v>
      </c>
      <c r="C329" s="12"/>
      <c r="E329" s="1193" t="str">
        <f>$E$59</f>
        <v>Termin: 29 luty 2012 r.</v>
      </c>
    </row>
    <row r="330" spans="1:5" ht="18" x14ac:dyDescent="0.25">
      <c r="B330" s="11"/>
      <c r="C330" s="12"/>
      <c r="D330" s="12"/>
      <c r="E330" s="12"/>
    </row>
    <row r="331" spans="1:5" ht="18" x14ac:dyDescent="0.25">
      <c r="B331" s="11"/>
      <c r="C331" s="12"/>
      <c r="D331" s="12"/>
      <c r="E331" s="12"/>
    </row>
    <row r="332" spans="1:5" ht="18" x14ac:dyDescent="0.25">
      <c r="B332" s="11" t="s">
        <v>135</v>
      </c>
      <c r="C332" s="12"/>
      <c r="D332" s="14"/>
      <c r="E332" s="16"/>
    </row>
    <row r="333" spans="1:5" ht="18" x14ac:dyDescent="0.25">
      <c r="B333" s="11"/>
      <c r="C333" s="12"/>
      <c r="D333" s="13"/>
      <c r="E333" s="12"/>
    </row>
    <row r="334" spans="1:5" ht="15" x14ac:dyDescent="0.2">
      <c r="B334" s="12"/>
      <c r="C334" s="12"/>
      <c r="D334" s="12"/>
      <c r="E334" s="12"/>
    </row>
    <row r="335" spans="1:5" ht="20.25" x14ac:dyDescent="0.3">
      <c r="B335" s="183" t="s">
        <v>131</v>
      </c>
      <c r="C335" s="12"/>
      <c r="D335" s="12"/>
      <c r="E335" s="12"/>
    </row>
    <row r="336" spans="1:5" ht="18" x14ac:dyDescent="0.25">
      <c r="B336" s="11"/>
      <c r="C336" s="12"/>
      <c r="D336" s="12"/>
      <c r="E336" s="13"/>
    </row>
    <row r="337" spans="2:5" ht="26.25" x14ac:dyDescent="0.4">
      <c r="B337" s="1602" t="str">
        <f>$B$12</f>
        <v>BILANS  LICZBY  MIEJSC  W  PONADGMINNYCH  DOMACH  POMOCY  SPOŁECZNEJ  ZA  2011 r.</v>
      </c>
      <c r="C337" s="1602"/>
      <c r="D337" s="1602"/>
      <c r="E337" s="1602"/>
    </row>
    <row r="338" spans="2:5" ht="26.25" x14ac:dyDescent="0.4">
      <c r="B338" s="1602" t="str">
        <f>$B$13</f>
        <v>I  PLANOWANE  ZWIĘKSZENIE  LICZBY  MIEJSC  W  2012 r.</v>
      </c>
      <c r="C338" s="1602"/>
      <c r="D338" s="1602"/>
      <c r="E338" s="1602"/>
    </row>
    <row r="339" spans="2:5" ht="15" x14ac:dyDescent="0.2">
      <c r="B339" s="12"/>
      <c r="C339" s="12"/>
      <c r="D339" s="12"/>
      <c r="E339" s="12"/>
    </row>
    <row r="340" spans="2:5" ht="15.75" thickBot="1" x14ac:dyDescent="0.25">
      <c r="B340" s="12"/>
      <c r="C340" s="12"/>
      <c r="D340" s="12"/>
      <c r="E340" s="12"/>
    </row>
    <row r="341" spans="2:5" ht="24.75" thickTop="1" thickBot="1" x14ac:dyDescent="0.25">
      <c r="B341" s="134"/>
      <c r="C341" s="135" t="s">
        <v>7</v>
      </c>
      <c r="D341" s="1599" t="s">
        <v>105</v>
      </c>
      <c r="E341" s="1600"/>
    </row>
    <row r="342" spans="2:5" ht="26.25" x14ac:dyDescent="0.2">
      <c r="B342" s="136" t="s">
        <v>21</v>
      </c>
      <c r="C342" s="137" t="s">
        <v>106</v>
      </c>
      <c r="D342" s="138" t="s">
        <v>22</v>
      </c>
      <c r="E342" s="139" t="s">
        <v>23</v>
      </c>
    </row>
    <row r="343" spans="2:5" ht="24" thickBot="1" x14ac:dyDescent="0.25">
      <c r="B343" s="140"/>
      <c r="C343" s="141" t="s">
        <v>24</v>
      </c>
      <c r="D343" s="142" t="s">
        <v>25</v>
      </c>
      <c r="E343" s="143" t="s">
        <v>26</v>
      </c>
    </row>
    <row r="344" spans="2:5" ht="15.75" thickBot="1" x14ac:dyDescent="0.25">
      <c r="B344" s="786">
        <v>0</v>
      </c>
      <c r="C344" s="787">
        <v>1</v>
      </c>
      <c r="D344" s="788">
        <v>2</v>
      </c>
      <c r="E344" s="789">
        <v>3</v>
      </c>
    </row>
    <row r="345" spans="2:5" ht="21.75" thickTop="1" thickBot="1" x14ac:dyDescent="0.25">
      <c r="B345" s="1159" t="str">
        <f>$B$20</f>
        <v>1. STAN NA DZIEŃ 31 GRUDNIA 2010 r.</v>
      </c>
      <c r="C345" s="372">
        <f>D345+E345</f>
        <v>7374</v>
      </c>
      <c r="D345" s="1488">
        <v>5846</v>
      </c>
      <c r="E345" s="1474">
        <v>1528</v>
      </c>
    </row>
    <row r="346" spans="2:5" ht="21" thickTop="1" x14ac:dyDescent="0.2">
      <c r="B346" s="1160" t="str">
        <f>$B$21</f>
        <v>2. OGÓŁEM ZWIĘKSZENIA W 2011 r. (a+b+c)</v>
      </c>
      <c r="C346" s="373">
        <f>SUM(C348:C350)</f>
        <v>151</v>
      </c>
      <c r="D346" s="375">
        <f>SUM(D348:D350)</f>
        <v>10</v>
      </c>
      <c r="E346" s="376">
        <f>SUM(E348:E350)</f>
        <v>141</v>
      </c>
    </row>
    <row r="347" spans="2:5" ht="21" thickBot="1" x14ac:dyDescent="0.35">
      <c r="B347" s="144" t="s">
        <v>27</v>
      </c>
      <c r="C347" s="374"/>
      <c r="D347" s="152"/>
      <c r="E347" s="153"/>
    </row>
    <row r="348" spans="2:5" ht="21" thickBot="1" x14ac:dyDescent="0.25">
      <c r="B348" s="145" t="s">
        <v>28</v>
      </c>
      <c r="C348" s="383">
        <f>D348+E348</f>
        <v>8</v>
      </c>
      <c r="D348" s="1483">
        <v>8</v>
      </c>
      <c r="E348" s="1476">
        <v>0</v>
      </c>
    </row>
    <row r="349" spans="2:5" ht="21" thickBot="1" x14ac:dyDescent="0.25">
      <c r="B349" s="145" t="s">
        <v>29</v>
      </c>
      <c r="C349" s="383">
        <f>D349+E349</f>
        <v>0</v>
      </c>
      <c r="D349" s="1483">
        <v>0</v>
      </c>
      <c r="E349" s="1476">
        <v>0</v>
      </c>
    </row>
    <row r="350" spans="2:5" ht="21" thickBot="1" x14ac:dyDescent="0.25">
      <c r="B350" s="146" t="s">
        <v>30</v>
      </c>
      <c r="C350" s="384">
        <f>D350+E350</f>
        <v>143</v>
      </c>
      <c r="D350" s="1482">
        <v>2</v>
      </c>
      <c r="E350" s="1478">
        <v>141</v>
      </c>
    </row>
    <row r="351" spans="2:5" ht="21" thickTop="1" x14ac:dyDescent="0.2">
      <c r="B351" s="1161" t="str">
        <f>$B$26</f>
        <v>3. OGÓŁEM ZMNIEJSZENIA W 2011 r. (a+b+c)</v>
      </c>
      <c r="C351" s="377">
        <f>SUM(C353:C355)</f>
        <v>113</v>
      </c>
      <c r="D351" s="378">
        <f>SUM(D353:D355)</f>
        <v>63</v>
      </c>
      <c r="E351" s="379">
        <f>SUM(E353:E355)</f>
        <v>50</v>
      </c>
    </row>
    <row r="352" spans="2:5" ht="21" thickBot="1" x14ac:dyDescent="0.35">
      <c r="B352" s="22" t="s">
        <v>27</v>
      </c>
      <c r="C352" s="154"/>
      <c r="D352" s="155"/>
      <c r="E352" s="156"/>
    </row>
    <row r="353" spans="2:5" ht="21" thickBot="1" x14ac:dyDescent="0.25">
      <c r="B353" s="145" t="s">
        <v>31</v>
      </c>
      <c r="C353" s="383">
        <f>D353+E353</f>
        <v>32</v>
      </c>
      <c r="D353" s="1483">
        <v>32</v>
      </c>
      <c r="E353" s="1476">
        <v>0</v>
      </c>
    </row>
    <row r="354" spans="2:5" ht="21" thickBot="1" x14ac:dyDescent="0.25">
      <c r="B354" s="145" t="s">
        <v>32</v>
      </c>
      <c r="C354" s="383">
        <f>D354+E354</f>
        <v>50</v>
      </c>
      <c r="D354" s="1483">
        <v>0</v>
      </c>
      <c r="E354" s="1476">
        <v>50</v>
      </c>
    </row>
    <row r="355" spans="2:5" ht="21" thickBot="1" x14ac:dyDescent="0.25">
      <c r="B355" s="20" t="s">
        <v>30</v>
      </c>
      <c r="C355" s="377">
        <f>D355+E355</f>
        <v>31</v>
      </c>
      <c r="D355" s="1487">
        <v>31</v>
      </c>
      <c r="E355" s="1480">
        <v>0</v>
      </c>
    </row>
    <row r="356" spans="2:5" ht="21.75" thickTop="1" thickBot="1" x14ac:dyDescent="0.25">
      <c r="B356" s="147" t="s">
        <v>33</v>
      </c>
      <c r="C356" s="380">
        <f>C346-C351</f>
        <v>38</v>
      </c>
      <c r="D356" s="381">
        <f>D346-D351</f>
        <v>-53</v>
      </c>
      <c r="E356" s="382">
        <f>E346-E351</f>
        <v>91</v>
      </c>
    </row>
    <row r="357" spans="2:5" ht="21" thickTop="1" x14ac:dyDescent="0.2">
      <c r="B357" s="1161" t="str">
        <f>$B$33</f>
        <v>5. STAN NA DZIEŃ 31 GRUDNIA 2011 r.</v>
      </c>
      <c r="C357" s="790" t="str">
        <f>IF(C358&gt;C345,"przybyło",IF(C358=C345,"bez zmian","ubyło"))</f>
        <v>przybyło</v>
      </c>
      <c r="D357" s="791" t="str">
        <f>IF(D358&gt;D345,"przybyło",IF(D358=D345,"bez zmian","ubyło"))</f>
        <v>ubyło</v>
      </c>
      <c r="E357" s="792" t="str">
        <f>IF(E358&gt;E345,"przybyło",IF(E358=E345,"bez zmian","ubyło"))</f>
        <v>przybyło</v>
      </c>
    </row>
    <row r="358" spans="2:5" ht="27" thickBot="1" x14ac:dyDescent="0.4">
      <c r="B358" s="23" t="s">
        <v>35</v>
      </c>
      <c r="C358" s="385">
        <f>IF(C345+C346-C351=C345+C356, C345+C346-C351, "UWAGA!")</f>
        <v>7412</v>
      </c>
      <c r="D358" s="386">
        <f>IF(D345+D346-D351=D345+D356, D345+D346-D351, "UWAGA!")</f>
        <v>5793</v>
      </c>
      <c r="E358" s="387">
        <f>IF(E345+E346-E351=E345+E356, E345+E346-E351, "UWAGA!")</f>
        <v>1619</v>
      </c>
    </row>
    <row r="359" spans="2:5" ht="21.75" thickTop="1" thickBot="1" x14ac:dyDescent="0.35">
      <c r="B359" s="148"/>
      <c r="C359" s="160"/>
      <c r="D359" s="160"/>
      <c r="E359" s="160"/>
    </row>
    <row r="360" spans="2:5" ht="21" thickTop="1" x14ac:dyDescent="0.2">
      <c r="B360" s="18" t="s">
        <v>107</v>
      </c>
      <c r="C360" s="161"/>
      <c r="D360" s="162"/>
      <c r="E360" s="163"/>
    </row>
    <row r="361" spans="2:5" ht="20.25" x14ac:dyDescent="0.2">
      <c r="B361" s="1161" t="str">
        <f>$B$37</f>
        <v xml:space="preserve">    MIEJSC W 2012 r. (a + b)</v>
      </c>
      <c r="C361" s="377">
        <f>C363+C368</f>
        <v>3</v>
      </c>
      <c r="D361" s="378">
        <f>D363+D368</f>
        <v>3</v>
      </c>
      <c r="E361" s="379">
        <f>E363+E368</f>
        <v>0</v>
      </c>
    </row>
    <row r="362" spans="2:5" ht="21" thickBot="1" x14ac:dyDescent="0.35">
      <c r="B362" s="149" t="s">
        <v>34</v>
      </c>
      <c r="C362" s="157"/>
      <c r="D362" s="158"/>
      <c r="E362" s="159"/>
    </row>
    <row r="363" spans="2:5" ht="24" thickTop="1" x14ac:dyDescent="0.2">
      <c r="B363" s="150" t="s">
        <v>108</v>
      </c>
      <c r="C363" s="377">
        <f>SUM(C365:C367)</f>
        <v>3</v>
      </c>
      <c r="D363" s="378">
        <f>SUM(D365:D367)</f>
        <v>3</v>
      </c>
      <c r="E363" s="379">
        <f>SUM(E365:E367)</f>
        <v>0</v>
      </c>
    </row>
    <row r="364" spans="2:5" ht="21" thickBot="1" x14ac:dyDescent="0.35">
      <c r="B364" s="22" t="s">
        <v>109</v>
      </c>
      <c r="C364" s="154"/>
      <c r="D364" s="155"/>
      <c r="E364" s="156"/>
    </row>
    <row r="365" spans="2:5" ht="21" thickBot="1" x14ac:dyDescent="0.25">
      <c r="B365" s="145" t="s">
        <v>110</v>
      </c>
      <c r="C365" s="383">
        <f>D365+E365</f>
        <v>0</v>
      </c>
      <c r="D365" s="1481">
        <v>0</v>
      </c>
      <c r="E365" s="1476">
        <v>0</v>
      </c>
    </row>
    <row r="366" spans="2:5" ht="21" thickBot="1" x14ac:dyDescent="0.25">
      <c r="B366" s="145" t="s">
        <v>111</v>
      </c>
      <c r="C366" s="383">
        <f>D366+E366</f>
        <v>0</v>
      </c>
      <c r="D366" s="1481">
        <v>0</v>
      </c>
      <c r="E366" s="1476">
        <v>0</v>
      </c>
    </row>
    <row r="367" spans="2:5" ht="21" thickBot="1" x14ac:dyDescent="0.25">
      <c r="B367" s="146" t="s">
        <v>112</v>
      </c>
      <c r="C367" s="384">
        <f>D367+E367</f>
        <v>3</v>
      </c>
      <c r="D367" s="1482">
        <v>3</v>
      </c>
      <c r="E367" s="1478">
        <v>0</v>
      </c>
    </row>
    <row r="368" spans="2:5" ht="24" thickTop="1" x14ac:dyDescent="0.2">
      <c r="B368" s="150" t="s">
        <v>113</v>
      </c>
      <c r="C368" s="377">
        <f>SUM(C370:C372)</f>
        <v>0</v>
      </c>
      <c r="D368" s="378">
        <f>SUM(D370:D372)</f>
        <v>0</v>
      </c>
      <c r="E368" s="379">
        <f>SUM(E370:E372)</f>
        <v>0</v>
      </c>
    </row>
    <row r="369" spans="1:5" ht="21" thickBot="1" x14ac:dyDescent="0.35">
      <c r="B369" s="22" t="s">
        <v>109</v>
      </c>
      <c r="C369" s="154"/>
      <c r="D369" s="155"/>
      <c r="E369" s="156"/>
    </row>
    <row r="370" spans="1:5" ht="21" thickBot="1" x14ac:dyDescent="0.25">
      <c r="B370" s="145" t="s">
        <v>110</v>
      </c>
      <c r="C370" s="383">
        <f>D370+E370</f>
        <v>0</v>
      </c>
      <c r="D370" s="1483">
        <v>0</v>
      </c>
      <c r="E370" s="1476">
        <v>0</v>
      </c>
    </row>
    <row r="371" spans="1:5" ht="21" thickBot="1" x14ac:dyDescent="0.25">
      <c r="B371" s="145" t="s">
        <v>111</v>
      </c>
      <c r="C371" s="383">
        <f>D371+E371</f>
        <v>0</v>
      </c>
      <c r="D371" s="1483">
        <v>0</v>
      </c>
      <c r="E371" s="1476">
        <v>0</v>
      </c>
    </row>
    <row r="372" spans="1:5" ht="21" thickBot="1" x14ac:dyDescent="0.25">
      <c r="B372" s="151" t="s">
        <v>112</v>
      </c>
      <c r="C372" s="385">
        <f>D372+E372</f>
        <v>0</v>
      </c>
      <c r="D372" s="1484">
        <v>0</v>
      </c>
      <c r="E372" s="1485">
        <v>0</v>
      </c>
    </row>
    <row r="373" spans="1:5" ht="13.5" thickTop="1" x14ac:dyDescent="0.2"/>
    <row r="375" spans="1:5" ht="18" x14ac:dyDescent="0.25">
      <c r="B375" s="11" t="s">
        <v>123</v>
      </c>
    </row>
    <row r="376" spans="1:5" ht="18" x14ac:dyDescent="0.25">
      <c r="B376" s="11"/>
    </row>
    <row r="377" spans="1:5" ht="18" x14ac:dyDescent="0.25">
      <c r="B377" s="11" t="s">
        <v>124</v>
      </c>
    </row>
    <row r="378" spans="1:5" ht="18" x14ac:dyDescent="0.25">
      <c r="B378" s="11"/>
      <c r="E378" s="25" t="s">
        <v>127</v>
      </c>
    </row>
    <row r="379" spans="1:5" ht="20.25" x14ac:dyDescent="0.3">
      <c r="B379" s="11" t="s">
        <v>125</v>
      </c>
      <c r="E379" s="26" t="s">
        <v>126</v>
      </c>
    </row>
    <row r="380" spans="1:5" ht="26.25" x14ac:dyDescent="0.4">
      <c r="B380" s="268"/>
    </row>
    <row r="381" spans="1:5" ht="26.25" x14ac:dyDescent="0.4">
      <c r="A381" s="267">
        <v>14</v>
      </c>
      <c r="B381" s="11" t="s">
        <v>19</v>
      </c>
      <c r="C381" s="12"/>
      <c r="D381" s="13"/>
      <c r="E381" s="14" t="s">
        <v>104</v>
      </c>
    </row>
    <row r="382" spans="1:5" ht="18" x14ac:dyDescent="0.25">
      <c r="B382" s="11" t="s">
        <v>134</v>
      </c>
      <c r="C382" s="12"/>
      <c r="D382" s="12"/>
      <c r="E382" s="15"/>
    </row>
    <row r="383" spans="1:5" ht="18" x14ac:dyDescent="0.25">
      <c r="B383" s="11" t="s">
        <v>122</v>
      </c>
      <c r="C383" s="12"/>
      <c r="E383" s="1193" t="str">
        <f>$E$59</f>
        <v>Termin: 29 luty 2012 r.</v>
      </c>
    </row>
    <row r="384" spans="1:5" ht="18" x14ac:dyDescent="0.25">
      <c r="B384" s="11"/>
      <c r="C384" s="12"/>
      <c r="D384" s="12"/>
      <c r="E384" s="12"/>
    </row>
    <row r="385" spans="2:5" ht="18" x14ac:dyDescent="0.25">
      <c r="B385" s="11"/>
      <c r="C385" s="12"/>
      <c r="D385" s="12"/>
      <c r="E385" s="12"/>
    </row>
    <row r="386" spans="2:5" ht="18" x14ac:dyDescent="0.25">
      <c r="B386" s="11" t="s">
        <v>135</v>
      </c>
      <c r="C386" s="12"/>
      <c r="D386" s="14"/>
      <c r="E386" s="16"/>
    </row>
    <row r="387" spans="2:5" ht="18" x14ac:dyDescent="0.25">
      <c r="B387" s="11"/>
      <c r="C387" s="12"/>
      <c r="D387" s="13"/>
      <c r="E387" s="12"/>
    </row>
    <row r="388" spans="2:5" ht="15" x14ac:dyDescent="0.2">
      <c r="B388" s="12"/>
      <c r="C388" s="12"/>
      <c r="D388" s="12"/>
      <c r="E388" s="12"/>
    </row>
    <row r="389" spans="2:5" ht="20.25" x14ac:dyDescent="0.3">
      <c r="B389" s="183" t="s">
        <v>131</v>
      </c>
      <c r="C389" s="12"/>
      <c r="D389" s="12"/>
      <c r="E389" s="12"/>
    </row>
    <row r="390" spans="2:5" ht="18" x14ac:dyDescent="0.25">
      <c r="B390" s="11"/>
      <c r="C390" s="12"/>
      <c r="D390" s="12"/>
      <c r="E390" s="13"/>
    </row>
    <row r="391" spans="2:5" ht="26.25" x14ac:dyDescent="0.4">
      <c r="B391" s="1602" t="str">
        <f>$B$12</f>
        <v>BILANS  LICZBY  MIEJSC  W  PONADGMINNYCH  DOMACH  POMOCY  SPOŁECZNEJ  ZA  2011 r.</v>
      </c>
      <c r="C391" s="1602"/>
      <c r="D391" s="1602"/>
      <c r="E391" s="1602"/>
    </row>
    <row r="392" spans="2:5" ht="26.25" x14ac:dyDescent="0.4">
      <c r="B392" s="1602" t="str">
        <f>$B$13</f>
        <v>I  PLANOWANE  ZWIĘKSZENIE  LICZBY  MIEJSC  W  2012 r.</v>
      </c>
      <c r="C392" s="1602"/>
      <c r="D392" s="1602"/>
      <c r="E392" s="1602"/>
    </row>
    <row r="393" spans="2:5" ht="15" x14ac:dyDescent="0.2">
      <c r="B393" s="12"/>
      <c r="C393" s="12"/>
      <c r="D393" s="12"/>
      <c r="E393" s="12"/>
    </row>
    <row r="394" spans="2:5" ht="15.75" thickBot="1" x14ac:dyDescent="0.25">
      <c r="B394" s="12"/>
      <c r="C394" s="12"/>
      <c r="D394" s="12"/>
      <c r="E394" s="12"/>
    </row>
    <row r="395" spans="2:5" ht="24.75" thickTop="1" thickBot="1" x14ac:dyDescent="0.25">
      <c r="B395" s="134"/>
      <c r="C395" s="135" t="s">
        <v>7</v>
      </c>
      <c r="D395" s="1599" t="s">
        <v>105</v>
      </c>
      <c r="E395" s="1600"/>
    </row>
    <row r="396" spans="2:5" ht="26.25" x14ac:dyDescent="0.2">
      <c r="B396" s="136" t="s">
        <v>21</v>
      </c>
      <c r="C396" s="137" t="s">
        <v>106</v>
      </c>
      <c r="D396" s="138" t="s">
        <v>22</v>
      </c>
      <c r="E396" s="139" t="s">
        <v>23</v>
      </c>
    </row>
    <row r="397" spans="2:5" ht="24" thickBot="1" x14ac:dyDescent="0.25">
      <c r="B397" s="140"/>
      <c r="C397" s="141" t="s">
        <v>24</v>
      </c>
      <c r="D397" s="142" t="s">
        <v>25</v>
      </c>
      <c r="E397" s="143" t="s">
        <v>26</v>
      </c>
    </row>
    <row r="398" spans="2:5" ht="15.75" thickBot="1" x14ac:dyDescent="0.25">
      <c r="B398" s="786">
        <v>0</v>
      </c>
      <c r="C398" s="787">
        <v>1</v>
      </c>
      <c r="D398" s="788">
        <v>2</v>
      </c>
      <c r="E398" s="789">
        <v>3</v>
      </c>
    </row>
    <row r="399" spans="2:5" ht="21.75" thickTop="1" thickBot="1" x14ac:dyDescent="0.25">
      <c r="B399" s="1159" t="str">
        <f>$B$20</f>
        <v>1. STAN NA DZIEŃ 31 GRUDNIA 2010 r.</v>
      </c>
      <c r="C399" s="372">
        <f>D399+E399</f>
        <v>9092</v>
      </c>
      <c r="D399" s="1488">
        <v>7928</v>
      </c>
      <c r="E399" s="1474">
        <v>1164</v>
      </c>
    </row>
    <row r="400" spans="2:5" ht="21" thickTop="1" x14ac:dyDescent="0.2">
      <c r="B400" s="1160" t="str">
        <f>$B$21</f>
        <v>2. OGÓŁEM ZWIĘKSZENIA W 2011 r. (a+b+c)</v>
      </c>
      <c r="C400" s="674">
        <f>SUM(C402:C404)</f>
        <v>110</v>
      </c>
      <c r="D400" s="375">
        <f>SUM(D402:D404)</f>
        <v>92</v>
      </c>
      <c r="E400" s="676">
        <f>SUM(E402:E404)</f>
        <v>18</v>
      </c>
    </row>
    <row r="401" spans="2:5" ht="21" thickBot="1" x14ac:dyDescent="0.35">
      <c r="B401" s="144" t="s">
        <v>27</v>
      </c>
      <c r="C401" s="374"/>
      <c r="D401" s="152"/>
      <c r="E401" s="153"/>
    </row>
    <row r="402" spans="2:5" ht="21" thickBot="1" x14ac:dyDescent="0.25">
      <c r="B402" s="145" t="s">
        <v>28</v>
      </c>
      <c r="C402" s="680">
        <f>D402+E402</f>
        <v>50</v>
      </c>
      <c r="D402" s="1483">
        <v>32</v>
      </c>
      <c r="E402" s="1476">
        <v>18</v>
      </c>
    </row>
    <row r="403" spans="2:5" ht="21" thickBot="1" x14ac:dyDescent="0.25">
      <c r="B403" s="145" t="s">
        <v>29</v>
      </c>
      <c r="C403" s="383">
        <f>D403+E403</f>
        <v>58</v>
      </c>
      <c r="D403" s="1483">
        <v>58</v>
      </c>
      <c r="E403" s="1476">
        <v>0</v>
      </c>
    </row>
    <row r="404" spans="2:5" ht="21" thickBot="1" x14ac:dyDescent="0.25">
      <c r="B404" s="146" t="s">
        <v>30</v>
      </c>
      <c r="C404" s="384">
        <f>D404+E404</f>
        <v>2</v>
      </c>
      <c r="D404" s="1482">
        <v>2</v>
      </c>
      <c r="E404" s="1478">
        <v>0</v>
      </c>
    </row>
    <row r="405" spans="2:5" ht="21" thickTop="1" x14ac:dyDescent="0.2">
      <c r="B405" s="1161" t="str">
        <f>$B$26</f>
        <v>3. OGÓŁEM ZMNIEJSZENIA W 2011 r. (a+b+c)</v>
      </c>
      <c r="C405" s="377">
        <f>SUM(C407:C409)</f>
        <v>4</v>
      </c>
      <c r="D405" s="378">
        <f>SUM(D407:D409)</f>
        <v>4</v>
      </c>
      <c r="E405" s="379">
        <f>SUM(E407:E409)</f>
        <v>0</v>
      </c>
    </row>
    <row r="406" spans="2:5" ht="21" thickBot="1" x14ac:dyDescent="0.35">
      <c r="B406" s="22" t="s">
        <v>27</v>
      </c>
      <c r="C406" s="154"/>
      <c r="D406" s="155"/>
      <c r="E406" s="156"/>
    </row>
    <row r="407" spans="2:5" ht="21" thickBot="1" x14ac:dyDescent="0.25">
      <c r="B407" s="145" t="s">
        <v>31</v>
      </c>
      <c r="C407" s="383">
        <f>D407+E407</f>
        <v>2</v>
      </c>
      <c r="D407" s="1483">
        <v>2</v>
      </c>
      <c r="E407" s="1476">
        <v>0</v>
      </c>
    </row>
    <row r="408" spans="2:5" ht="21" thickBot="1" x14ac:dyDescent="0.25">
      <c r="B408" s="145" t="s">
        <v>32</v>
      </c>
      <c r="C408" s="383">
        <f>D408+E408</f>
        <v>0</v>
      </c>
      <c r="D408" s="1483">
        <v>0</v>
      </c>
      <c r="E408" s="1476">
        <v>0</v>
      </c>
    </row>
    <row r="409" spans="2:5" ht="21" thickBot="1" x14ac:dyDescent="0.25">
      <c r="B409" s="20" t="s">
        <v>30</v>
      </c>
      <c r="C409" s="377">
        <f>D409+E409</f>
        <v>2</v>
      </c>
      <c r="D409" s="1487">
        <v>2</v>
      </c>
      <c r="E409" s="1480">
        <v>0</v>
      </c>
    </row>
    <row r="410" spans="2:5" ht="21.75" thickTop="1" thickBot="1" x14ac:dyDescent="0.25">
      <c r="B410" s="147" t="s">
        <v>33</v>
      </c>
      <c r="C410" s="686">
        <f>C400-C405</f>
        <v>106</v>
      </c>
      <c r="D410" s="381">
        <f>D400-D405</f>
        <v>88</v>
      </c>
      <c r="E410" s="688">
        <f>E400-E405</f>
        <v>18</v>
      </c>
    </row>
    <row r="411" spans="2:5" ht="21" thickTop="1" x14ac:dyDescent="0.2">
      <c r="B411" s="1161" t="str">
        <f>$B$33</f>
        <v>5. STAN NA DZIEŃ 31 GRUDNIA 2011 r.</v>
      </c>
      <c r="C411" s="790" t="str">
        <f>IF(C412&gt;C399,"przybyło",IF(C412=C399,"bez zmian","ubyło"))</f>
        <v>przybyło</v>
      </c>
      <c r="D411" s="791" t="str">
        <f>IF(D412&gt;D399,"przybyło",IF(D412=D399,"bez zmian","ubyło"))</f>
        <v>przybyło</v>
      </c>
      <c r="E411" s="792" t="str">
        <f>IF(E412&gt;E399,"przybyło",IF(E412=E399,"bez zmian","ubyło"))</f>
        <v>przybyło</v>
      </c>
    </row>
    <row r="412" spans="2:5" ht="27" thickBot="1" x14ac:dyDescent="0.4">
      <c r="B412" s="23" t="s">
        <v>35</v>
      </c>
      <c r="C412" s="924">
        <f>IF(C399+C400-C405=C399+C410, C399+C400-C405, "UWAGA!")</f>
        <v>9198</v>
      </c>
      <c r="D412" s="386">
        <f>IF(D399+D400-D405=D399+D410, D399+D400-D405, "UWAGA!")</f>
        <v>8016</v>
      </c>
      <c r="E412" s="926">
        <f>IF(E399+E400-E405=E399+E410, E399+E400-E405, "UWAGA!")</f>
        <v>1182</v>
      </c>
    </row>
    <row r="413" spans="2:5" ht="21.75" thickTop="1" thickBot="1" x14ac:dyDescent="0.35">
      <c r="B413" s="148"/>
      <c r="C413" s="160"/>
      <c r="D413" s="160"/>
      <c r="E413" s="160"/>
    </row>
    <row r="414" spans="2:5" ht="21" thickTop="1" x14ac:dyDescent="0.2">
      <c r="B414" s="18" t="s">
        <v>107</v>
      </c>
      <c r="C414" s="161"/>
      <c r="D414" s="162"/>
      <c r="E414" s="163"/>
    </row>
    <row r="415" spans="2:5" ht="20.25" x14ac:dyDescent="0.2">
      <c r="B415" s="1161" t="str">
        <f>$B$37</f>
        <v xml:space="preserve">    MIEJSC W 2012 r. (a + b)</v>
      </c>
      <c r="C415" s="377">
        <f>C417+C422</f>
        <v>0</v>
      </c>
      <c r="D415" s="378">
        <f>D417+D422</f>
        <v>0</v>
      </c>
      <c r="E415" s="379">
        <f>E417+E422</f>
        <v>0</v>
      </c>
    </row>
    <row r="416" spans="2:5" ht="21" thickBot="1" x14ac:dyDescent="0.35">
      <c r="B416" s="149" t="s">
        <v>34</v>
      </c>
      <c r="C416" s="157"/>
      <c r="D416" s="158"/>
      <c r="E416" s="159"/>
    </row>
    <row r="417" spans="2:5" ht="24" thickTop="1" x14ac:dyDescent="0.2">
      <c r="B417" s="150" t="s">
        <v>108</v>
      </c>
      <c r="C417" s="377">
        <f>SUM(C419:C421)</f>
        <v>0</v>
      </c>
      <c r="D417" s="378">
        <f>SUM(D419:D421)</f>
        <v>0</v>
      </c>
      <c r="E417" s="379">
        <f>SUM(E419:E421)</f>
        <v>0</v>
      </c>
    </row>
    <row r="418" spans="2:5" ht="21" thickBot="1" x14ac:dyDescent="0.35">
      <c r="B418" s="22" t="s">
        <v>109</v>
      </c>
      <c r="C418" s="154"/>
      <c r="D418" s="155"/>
      <c r="E418" s="156"/>
    </row>
    <row r="419" spans="2:5" ht="21" thickBot="1" x14ac:dyDescent="0.25">
      <c r="B419" s="145" t="s">
        <v>110</v>
      </c>
      <c r="C419" s="383">
        <f>D419+E419</f>
        <v>0</v>
      </c>
      <c r="D419" s="1481">
        <v>0</v>
      </c>
      <c r="E419" s="1476">
        <v>0</v>
      </c>
    </row>
    <row r="420" spans="2:5" ht="21" thickBot="1" x14ac:dyDescent="0.25">
      <c r="B420" s="145" t="s">
        <v>111</v>
      </c>
      <c r="C420" s="383">
        <f>D420+E420</f>
        <v>0</v>
      </c>
      <c r="D420" s="1481">
        <v>0</v>
      </c>
      <c r="E420" s="1476">
        <v>0</v>
      </c>
    </row>
    <row r="421" spans="2:5" ht="21" thickBot="1" x14ac:dyDescent="0.25">
      <c r="B421" s="146" t="s">
        <v>112</v>
      </c>
      <c r="C421" s="384">
        <f>D421+E421</f>
        <v>0</v>
      </c>
      <c r="D421" s="1482">
        <v>0</v>
      </c>
      <c r="E421" s="1478">
        <v>0</v>
      </c>
    </row>
    <row r="422" spans="2:5" ht="24" thickTop="1" x14ac:dyDescent="0.2">
      <c r="B422" s="150" t="s">
        <v>113</v>
      </c>
      <c r="C422" s="377">
        <f>SUM(C424:C426)</f>
        <v>0</v>
      </c>
      <c r="D422" s="378">
        <f>SUM(D424:D426)</f>
        <v>0</v>
      </c>
      <c r="E422" s="379">
        <f>SUM(E424:E426)</f>
        <v>0</v>
      </c>
    </row>
    <row r="423" spans="2:5" ht="21" thickBot="1" x14ac:dyDescent="0.35">
      <c r="B423" s="22" t="s">
        <v>109</v>
      </c>
      <c r="C423" s="154"/>
      <c r="D423" s="155"/>
      <c r="E423" s="156"/>
    </row>
    <row r="424" spans="2:5" ht="21" thickBot="1" x14ac:dyDescent="0.25">
      <c r="B424" s="145" t="s">
        <v>110</v>
      </c>
      <c r="C424" s="383">
        <f>D424+E424</f>
        <v>0</v>
      </c>
      <c r="D424" s="1483">
        <v>0</v>
      </c>
      <c r="E424" s="1476">
        <v>0</v>
      </c>
    </row>
    <row r="425" spans="2:5" ht="21" thickBot="1" x14ac:dyDescent="0.25">
      <c r="B425" s="145" t="s">
        <v>111</v>
      </c>
      <c r="C425" s="383">
        <f>D425+E425</f>
        <v>0</v>
      </c>
      <c r="D425" s="1483">
        <v>0</v>
      </c>
      <c r="E425" s="1476">
        <v>0</v>
      </c>
    </row>
    <row r="426" spans="2:5" ht="21" thickBot="1" x14ac:dyDescent="0.25">
      <c r="B426" s="151" t="s">
        <v>112</v>
      </c>
      <c r="C426" s="385">
        <f>D426+E426</f>
        <v>0</v>
      </c>
      <c r="D426" s="1484">
        <v>0</v>
      </c>
      <c r="E426" s="1485">
        <v>0</v>
      </c>
    </row>
    <row r="427" spans="2:5" ht="13.5" thickTop="1" x14ac:dyDescent="0.2"/>
    <row r="429" spans="2:5" ht="18" x14ac:dyDescent="0.25">
      <c r="B429" s="11" t="s">
        <v>123</v>
      </c>
    </row>
    <row r="430" spans="2:5" ht="18" x14ac:dyDescent="0.25">
      <c r="B430" s="11"/>
    </row>
    <row r="431" spans="2:5" ht="18" x14ac:dyDescent="0.25">
      <c r="B431" s="11" t="s">
        <v>124</v>
      </c>
    </row>
    <row r="432" spans="2:5" ht="18" x14ac:dyDescent="0.25">
      <c r="B432" s="11"/>
      <c r="E432" s="25" t="s">
        <v>127</v>
      </c>
    </row>
    <row r="433" spans="1:5" ht="20.25" x14ac:dyDescent="0.3">
      <c r="B433" s="11" t="s">
        <v>125</v>
      </c>
      <c r="E433" s="26" t="s">
        <v>126</v>
      </c>
    </row>
    <row r="434" spans="1:5" ht="26.25" x14ac:dyDescent="0.4">
      <c r="B434" s="268"/>
    </row>
    <row r="435" spans="1:5" ht="26.25" x14ac:dyDescent="0.4">
      <c r="A435" s="267">
        <v>16</v>
      </c>
      <c r="B435" s="11" t="s">
        <v>19</v>
      </c>
      <c r="C435" s="12"/>
      <c r="D435" s="13"/>
      <c r="E435" s="14" t="s">
        <v>104</v>
      </c>
    </row>
    <row r="436" spans="1:5" ht="18" x14ac:dyDescent="0.25">
      <c r="B436" s="11" t="s">
        <v>134</v>
      </c>
      <c r="C436" s="12"/>
      <c r="D436" s="12"/>
      <c r="E436" s="15"/>
    </row>
    <row r="437" spans="1:5" ht="18" x14ac:dyDescent="0.25">
      <c r="B437" s="11" t="s">
        <v>122</v>
      </c>
      <c r="C437" s="12"/>
      <c r="E437" s="1193" t="str">
        <f>$E$59</f>
        <v>Termin: 29 luty 2012 r.</v>
      </c>
    </row>
    <row r="438" spans="1:5" ht="18" x14ac:dyDescent="0.25">
      <c r="B438" s="11"/>
      <c r="C438" s="12"/>
      <c r="D438" s="12"/>
      <c r="E438" s="12"/>
    </row>
    <row r="439" spans="1:5" ht="18" x14ac:dyDescent="0.25">
      <c r="B439" s="11"/>
      <c r="C439" s="12"/>
      <c r="D439" s="12"/>
      <c r="E439" s="12"/>
    </row>
    <row r="440" spans="1:5" ht="18" x14ac:dyDescent="0.25">
      <c r="B440" s="11" t="s">
        <v>135</v>
      </c>
      <c r="C440" s="12"/>
      <c r="D440" s="14"/>
      <c r="E440" s="16"/>
    </row>
    <row r="441" spans="1:5" ht="18" x14ac:dyDescent="0.25">
      <c r="B441" s="11"/>
      <c r="C441" s="12"/>
      <c r="D441" s="13"/>
      <c r="E441" s="12"/>
    </row>
    <row r="442" spans="1:5" ht="15" x14ac:dyDescent="0.2">
      <c r="B442" s="12"/>
      <c r="C442" s="12"/>
      <c r="D442" s="12"/>
      <c r="E442" s="12"/>
    </row>
    <row r="443" spans="1:5" ht="20.25" x14ac:dyDescent="0.3">
      <c r="B443" s="183" t="s">
        <v>131</v>
      </c>
      <c r="C443" s="12"/>
      <c r="D443" s="12"/>
      <c r="E443" s="12"/>
    </row>
    <row r="444" spans="1:5" ht="18" x14ac:dyDescent="0.25">
      <c r="B444" s="11"/>
      <c r="C444" s="12"/>
      <c r="D444" s="12"/>
      <c r="E444" s="13"/>
    </row>
    <row r="445" spans="1:5" ht="26.25" x14ac:dyDescent="0.4">
      <c r="B445" s="1602" t="str">
        <f>$B$12</f>
        <v>BILANS  LICZBY  MIEJSC  W  PONADGMINNYCH  DOMACH  POMOCY  SPOŁECZNEJ  ZA  2011 r.</v>
      </c>
      <c r="C445" s="1602"/>
      <c r="D445" s="1602"/>
      <c r="E445" s="1602"/>
    </row>
    <row r="446" spans="1:5" ht="26.25" x14ac:dyDescent="0.4">
      <c r="B446" s="1602" t="str">
        <f>$B$13</f>
        <v>I  PLANOWANE  ZWIĘKSZENIE  LICZBY  MIEJSC  W  2012 r.</v>
      </c>
      <c r="C446" s="1602"/>
      <c r="D446" s="1602"/>
      <c r="E446" s="1602"/>
    </row>
    <row r="447" spans="1:5" ht="15" x14ac:dyDescent="0.2">
      <c r="B447" s="12"/>
      <c r="C447" s="12"/>
      <c r="D447" s="12"/>
      <c r="E447" s="12"/>
    </row>
    <row r="448" spans="1:5" ht="15.75" thickBot="1" x14ac:dyDescent="0.25">
      <c r="B448" s="12"/>
      <c r="C448" s="12"/>
      <c r="D448" s="12"/>
      <c r="E448" s="12"/>
    </row>
    <row r="449" spans="2:5" ht="24.75" thickTop="1" thickBot="1" x14ac:dyDescent="0.25">
      <c r="B449" s="134"/>
      <c r="C449" s="135" t="s">
        <v>7</v>
      </c>
      <c r="D449" s="1599" t="s">
        <v>105</v>
      </c>
      <c r="E449" s="1600"/>
    </row>
    <row r="450" spans="2:5" ht="26.25" x14ac:dyDescent="0.2">
      <c r="B450" s="136" t="s">
        <v>21</v>
      </c>
      <c r="C450" s="137" t="s">
        <v>106</v>
      </c>
      <c r="D450" s="138" t="s">
        <v>22</v>
      </c>
      <c r="E450" s="139" t="s">
        <v>23</v>
      </c>
    </row>
    <row r="451" spans="2:5" ht="24" thickBot="1" x14ac:dyDescent="0.25">
      <c r="B451" s="140"/>
      <c r="C451" s="141" t="s">
        <v>24</v>
      </c>
      <c r="D451" s="142" t="s">
        <v>25</v>
      </c>
      <c r="E451" s="143" t="s">
        <v>26</v>
      </c>
    </row>
    <row r="452" spans="2:5" ht="15.75" thickBot="1" x14ac:dyDescent="0.25">
      <c r="B452" s="786">
        <v>0</v>
      </c>
      <c r="C452" s="787">
        <v>1</v>
      </c>
      <c r="D452" s="788">
        <v>2</v>
      </c>
      <c r="E452" s="789">
        <v>3</v>
      </c>
    </row>
    <row r="453" spans="2:5" ht="21.75" thickTop="1" thickBot="1" x14ac:dyDescent="0.25">
      <c r="B453" s="1159" t="str">
        <f>$B$20</f>
        <v>1. STAN NA DZIEŃ 31 GRUDNIA 2010 r.</v>
      </c>
      <c r="C453" s="927">
        <f>D453+E453</f>
        <v>2794</v>
      </c>
      <c r="D453" s="1473">
        <v>1922</v>
      </c>
      <c r="E453" s="1486">
        <v>872</v>
      </c>
    </row>
    <row r="454" spans="2:5" ht="21" thickTop="1" x14ac:dyDescent="0.2">
      <c r="B454" s="1160" t="str">
        <f>$B$21</f>
        <v>2. OGÓŁEM ZWIĘKSZENIA W 2011 r. (a+b+c)</v>
      </c>
      <c r="C454" s="373">
        <f>SUM(C456:C458)</f>
        <v>116</v>
      </c>
      <c r="D454" s="375">
        <f>SUM(D456:D458)</f>
        <v>106</v>
      </c>
      <c r="E454" s="376">
        <f>SUM(E456:E458)</f>
        <v>10</v>
      </c>
    </row>
    <row r="455" spans="2:5" ht="21" thickBot="1" x14ac:dyDescent="0.35">
      <c r="B455" s="144" t="s">
        <v>27</v>
      </c>
      <c r="C455" s="374"/>
      <c r="D455" s="152"/>
      <c r="E455" s="153"/>
    </row>
    <row r="456" spans="2:5" ht="21" thickBot="1" x14ac:dyDescent="0.25">
      <c r="B456" s="145" t="s">
        <v>28</v>
      </c>
      <c r="C456" s="383">
        <f>D456+E456</f>
        <v>106</v>
      </c>
      <c r="D456" s="1483">
        <v>106</v>
      </c>
      <c r="E456" s="1476">
        <v>0</v>
      </c>
    </row>
    <row r="457" spans="2:5" ht="21" thickBot="1" x14ac:dyDescent="0.25">
      <c r="B457" s="145" t="s">
        <v>29</v>
      </c>
      <c r="C457" s="383">
        <f>D457+E457</f>
        <v>10</v>
      </c>
      <c r="D457" s="1483">
        <v>0</v>
      </c>
      <c r="E457" s="1476">
        <v>10</v>
      </c>
    </row>
    <row r="458" spans="2:5" ht="21" thickBot="1" x14ac:dyDescent="0.25">
      <c r="B458" s="146" t="s">
        <v>30</v>
      </c>
      <c r="C458" s="384">
        <f>D458+E458</f>
        <v>0</v>
      </c>
      <c r="D458" s="1482">
        <v>0</v>
      </c>
      <c r="E458" s="1478">
        <v>0</v>
      </c>
    </row>
    <row r="459" spans="2:5" ht="21" thickTop="1" x14ac:dyDescent="0.2">
      <c r="B459" s="1161" t="str">
        <f>$B$26</f>
        <v>3. OGÓŁEM ZMNIEJSZENIA W 2011 r. (a+b+c)</v>
      </c>
      <c r="C459" s="377">
        <f>SUM(C461:C463)</f>
        <v>2</v>
      </c>
      <c r="D459" s="378">
        <f>SUM(D461:D463)</f>
        <v>2</v>
      </c>
      <c r="E459" s="379">
        <f>SUM(E461:E463)</f>
        <v>0</v>
      </c>
    </row>
    <row r="460" spans="2:5" ht="21" thickBot="1" x14ac:dyDescent="0.35">
      <c r="B460" s="22" t="s">
        <v>27</v>
      </c>
      <c r="C460" s="154"/>
      <c r="D460" s="155"/>
      <c r="E460" s="156"/>
    </row>
    <row r="461" spans="2:5" ht="21" thickBot="1" x14ac:dyDescent="0.25">
      <c r="B461" s="145" t="s">
        <v>31</v>
      </c>
      <c r="C461" s="383">
        <f>D461+E461</f>
        <v>0</v>
      </c>
      <c r="D461" s="1483">
        <v>0</v>
      </c>
      <c r="E461" s="1476">
        <v>0</v>
      </c>
    </row>
    <row r="462" spans="2:5" ht="21" thickBot="1" x14ac:dyDescent="0.25">
      <c r="B462" s="145" t="s">
        <v>32</v>
      </c>
      <c r="C462" s="383">
        <f>D462+E462</f>
        <v>0</v>
      </c>
      <c r="D462" s="1483">
        <v>0</v>
      </c>
      <c r="E462" s="1476">
        <v>0</v>
      </c>
    </row>
    <row r="463" spans="2:5" ht="21" thickBot="1" x14ac:dyDescent="0.25">
      <c r="B463" s="20" t="s">
        <v>30</v>
      </c>
      <c r="C463" s="377">
        <f>D463+E463</f>
        <v>2</v>
      </c>
      <c r="D463" s="1487">
        <v>2</v>
      </c>
      <c r="E463" s="1480">
        <v>0</v>
      </c>
    </row>
    <row r="464" spans="2:5" ht="21.75" thickTop="1" thickBot="1" x14ac:dyDescent="0.25">
      <c r="B464" s="147" t="s">
        <v>33</v>
      </c>
      <c r="C464" s="380">
        <f>C454-C459</f>
        <v>114</v>
      </c>
      <c r="D464" s="381">
        <f>D454-D459</f>
        <v>104</v>
      </c>
      <c r="E464" s="382">
        <f>E454-E459</f>
        <v>10</v>
      </c>
    </row>
    <row r="465" spans="2:5" ht="21" thickTop="1" x14ac:dyDescent="0.2">
      <c r="B465" s="1161" t="str">
        <f>$B$33</f>
        <v>5. STAN NA DZIEŃ 31 GRUDNIA 2011 r.</v>
      </c>
      <c r="C465" s="790" t="str">
        <f>IF(C466&gt;C453,"przybyło",IF(C466=C453,"bez zmian","ubyło"))</f>
        <v>przybyło</v>
      </c>
      <c r="D465" s="791" t="str">
        <f>IF(D466&gt;D453,"przybyło",IF(D466=D453,"bez zmian","ubyło"))</f>
        <v>przybyło</v>
      </c>
      <c r="E465" s="792" t="str">
        <f>IF(E466&gt;E453,"przybyło",IF(E466=E453,"bez zmian","ubyło"))</f>
        <v>przybyło</v>
      </c>
    </row>
    <row r="466" spans="2:5" ht="27" thickBot="1" x14ac:dyDescent="0.4">
      <c r="B466" s="23" t="s">
        <v>35</v>
      </c>
      <c r="C466" s="385">
        <f>IF(C453+C454-C459=C453+C464, C453+C454-C459, "UWAGA!")</f>
        <v>2908</v>
      </c>
      <c r="D466" s="386">
        <f>IF(D453+D454-D459=D453+D464, D453+D454-D459, "UWAGA!")</f>
        <v>2026</v>
      </c>
      <c r="E466" s="387">
        <f>IF(E453+E454-E459=E453+E464, E453+E454-E459, "UWAGA!")</f>
        <v>882</v>
      </c>
    </row>
    <row r="467" spans="2:5" ht="21.75" thickTop="1" thickBot="1" x14ac:dyDescent="0.35">
      <c r="B467" s="148"/>
      <c r="C467" s="160"/>
      <c r="D467" s="160"/>
      <c r="E467" s="160"/>
    </row>
    <row r="468" spans="2:5" ht="21" thickTop="1" x14ac:dyDescent="0.2">
      <c r="B468" s="18" t="s">
        <v>107</v>
      </c>
      <c r="C468" s="161"/>
      <c r="D468" s="162"/>
      <c r="E468" s="163"/>
    </row>
    <row r="469" spans="2:5" ht="20.25" x14ac:dyDescent="0.2">
      <c r="B469" s="1161" t="str">
        <f>$B$37</f>
        <v xml:space="preserve">    MIEJSC W 2012 r. (a + b)</v>
      </c>
      <c r="C469" s="377">
        <f>C471+C476</f>
        <v>5</v>
      </c>
      <c r="D469" s="378">
        <f>D471+D476</f>
        <v>0</v>
      </c>
      <c r="E469" s="379">
        <f>E471+E476</f>
        <v>5</v>
      </c>
    </row>
    <row r="470" spans="2:5" ht="21" thickBot="1" x14ac:dyDescent="0.35">
      <c r="B470" s="149" t="s">
        <v>34</v>
      </c>
      <c r="C470" s="157"/>
      <c r="D470" s="158"/>
      <c r="E470" s="159"/>
    </row>
    <row r="471" spans="2:5" ht="24" thickTop="1" x14ac:dyDescent="0.2">
      <c r="B471" s="150" t="s">
        <v>108</v>
      </c>
      <c r="C471" s="377">
        <f>SUM(C473:C475)</f>
        <v>0</v>
      </c>
      <c r="D471" s="378">
        <f>SUM(D473:D475)</f>
        <v>0</v>
      </c>
      <c r="E471" s="379">
        <f>SUM(E473:E475)</f>
        <v>0</v>
      </c>
    </row>
    <row r="472" spans="2:5" ht="21" thickBot="1" x14ac:dyDescent="0.35">
      <c r="B472" s="22" t="s">
        <v>109</v>
      </c>
      <c r="C472" s="154"/>
      <c r="D472" s="155"/>
      <c r="E472" s="156"/>
    </row>
    <row r="473" spans="2:5" ht="21" thickBot="1" x14ac:dyDescent="0.25">
      <c r="B473" s="145" t="s">
        <v>110</v>
      </c>
      <c r="C473" s="383">
        <f>D473+E473</f>
        <v>0</v>
      </c>
      <c r="D473" s="1481">
        <v>0</v>
      </c>
      <c r="E473" s="1476">
        <v>0</v>
      </c>
    </row>
    <row r="474" spans="2:5" ht="21" thickBot="1" x14ac:dyDescent="0.25">
      <c r="B474" s="145" t="s">
        <v>111</v>
      </c>
      <c r="C474" s="383">
        <f>D474+E474</f>
        <v>0</v>
      </c>
      <c r="D474" s="1481">
        <v>0</v>
      </c>
      <c r="E474" s="1476">
        <v>0</v>
      </c>
    </row>
    <row r="475" spans="2:5" ht="21" thickBot="1" x14ac:dyDescent="0.25">
      <c r="B475" s="146" t="s">
        <v>112</v>
      </c>
      <c r="C475" s="384">
        <f>D475+E475</f>
        <v>0</v>
      </c>
      <c r="D475" s="1482">
        <v>0</v>
      </c>
      <c r="E475" s="1478">
        <v>0</v>
      </c>
    </row>
    <row r="476" spans="2:5" ht="24" thickTop="1" x14ac:dyDescent="0.2">
      <c r="B476" s="150" t="s">
        <v>113</v>
      </c>
      <c r="C476" s="377">
        <f>SUM(C478:C480)</f>
        <v>5</v>
      </c>
      <c r="D476" s="378">
        <f>SUM(D478:D480)</f>
        <v>0</v>
      </c>
      <c r="E476" s="379">
        <f>SUM(E478:E480)</f>
        <v>5</v>
      </c>
    </row>
    <row r="477" spans="2:5" ht="21" thickBot="1" x14ac:dyDescent="0.35">
      <c r="B477" s="22" t="s">
        <v>109</v>
      </c>
      <c r="C477" s="154"/>
      <c r="D477" s="155"/>
      <c r="E477" s="156"/>
    </row>
    <row r="478" spans="2:5" ht="21" thickBot="1" x14ac:dyDescent="0.25">
      <c r="B478" s="145" t="s">
        <v>110</v>
      </c>
      <c r="C478" s="383">
        <f>D478+E478</f>
        <v>0</v>
      </c>
      <c r="D478" s="1483">
        <v>0</v>
      </c>
      <c r="E478" s="1476">
        <v>0</v>
      </c>
    </row>
    <row r="479" spans="2:5" ht="21" thickBot="1" x14ac:dyDescent="0.25">
      <c r="B479" s="145" t="s">
        <v>111</v>
      </c>
      <c r="C479" s="383">
        <f>D479+E479</f>
        <v>5</v>
      </c>
      <c r="D479" s="1483">
        <v>0</v>
      </c>
      <c r="E479" s="1476">
        <v>5</v>
      </c>
    </row>
    <row r="480" spans="2:5" ht="21" thickBot="1" x14ac:dyDescent="0.25">
      <c r="B480" s="151" t="s">
        <v>112</v>
      </c>
      <c r="C480" s="385">
        <f>D480+E480</f>
        <v>0</v>
      </c>
      <c r="D480" s="1484">
        <v>0</v>
      </c>
      <c r="E480" s="1485">
        <v>0</v>
      </c>
    </row>
    <row r="481" spans="1:5" ht="13.5" thickTop="1" x14ac:dyDescent="0.2"/>
    <row r="483" spans="1:5" ht="18" x14ac:dyDescent="0.25">
      <c r="B483" s="11" t="s">
        <v>123</v>
      </c>
    </row>
    <row r="484" spans="1:5" ht="18" x14ac:dyDescent="0.25">
      <c r="B484" s="11"/>
    </row>
    <row r="485" spans="1:5" ht="18" x14ac:dyDescent="0.25">
      <c r="B485" s="11" t="s">
        <v>124</v>
      </c>
    </row>
    <row r="486" spans="1:5" ht="18" x14ac:dyDescent="0.25">
      <c r="B486" s="11"/>
      <c r="E486" s="25" t="s">
        <v>127</v>
      </c>
    </row>
    <row r="487" spans="1:5" ht="20.25" x14ac:dyDescent="0.3">
      <c r="B487" s="11" t="s">
        <v>125</v>
      </c>
      <c r="E487" s="26" t="s">
        <v>126</v>
      </c>
    </row>
    <row r="488" spans="1:5" ht="26.25" x14ac:dyDescent="0.4">
      <c r="B488" s="268"/>
    </row>
    <row r="489" spans="1:5" ht="26.25" x14ac:dyDescent="0.4">
      <c r="A489" s="267">
        <v>18</v>
      </c>
      <c r="B489" s="11" t="s">
        <v>19</v>
      </c>
      <c r="C489" s="12"/>
      <c r="D489" s="13"/>
      <c r="E489" s="14" t="s">
        <v>104</v>
      </c>
    </row>
    <row r="490" spans="1:5" ht="18" x14ac:dyDescent="0.25">
      <c r="B490" s="11" t="s">
        <v>134</v>
      </c>
      <c r="C490" s="12"/>
      <c r="D490" s="12"/>
      <c r="E490" s="15"/>
    </row>
    <row r="491" spans="1:5" ht="18" x14ac:dyDescent="0.25">
      <c r="B491" s="11" t="s">
        <v>122</v>
      </c>
      <c r="C491" s="12"/>
      <c r="E491" s="1193" t="str">
        <f>$E$59</f>
        <v>Termin: 29 luty 2012 r.</v>
      </c>
    </row>
    <row r="492" spans="1:5" ht="18" x14ac:dyDescent="0.25">
      <c r="B492" s="11"/>
      <c r="C492" s="12"/>
      <c r="D492" s="12"/>
      <c r="E492" s="12"/>
    </row>
    <row r="493" spans="1:5" ht="18" x14ac:dyDescent="0.25">
      <c r="B493" s="11"/>
      <c r="C493" s="12"/>
      <c r="D493" s="12"/>
      <c r="E493" s="12"/>
    </row>
    <row r="494" spans="1:5" ht="18" x14ac:dyDescent="0.25">
      <c r="B494" s="11" t="s">
        <v>135</v>
      </c>
      <c r="C494" s="12"/>
      <c r="D494" s="14"/>
      <c r="E494" s="16"/>
    </row>
    <row r="495" spans="1:5" ht="18" x14ac:dyDescent="0.25">
      <c r="B495" s="11"/>
      <c r="C495" s="12"/>
      <c r="D495" s="13"/>
      <c r="E495" s="12"/>
    </row>
    <row r="496" spans="1:5" ht="15" x14ac:dyDescent="0.2">
      <c r="B496" s="12"/>
      <c r="C496" s="12"/>
      <c r="D496" s="12"/>
      <c r="E496" s="12"/>
    </row>
    <row r="497" spans="2:5" ht="20.25" x14ac:dyDescent="0.3">
      <c r="B497" s="183" t="s">
        <v>131</v>
      </c>
      <c r="C497" s="12"/>
      <c r="D497" s="12"/>
      <c r="E497" s="12"/>
    </row>
    <row r="498" spans="2:5" ht="18" x14ac:dyDescent="0.25">
      <c r="B498" s="11"/>
      <c r="C498" s="12"/>
      <c r="D498" s="12"/>
      <c r="E498" s="13"/>
    </row>
    <row r="499" spans="2:5" ht="26.25" x14ac:dyDescent="0.4">
      <c r="B499" s="1602" t="str">
        <f>$B$12</f>
        <v>BILANS  LICZBY  MIEJSC  W  PONADGMINNYCH  DOMACH  POMOCY  SPOŁECZNEJ  ZA  2011 r.</v>
      </c>
      <c r="C499" s="1602"/>
      <c r="D499" s="1602"/>
      <c r="E499" s="1602"/>
    </row>
    <row r="500" spans="2:5" ht="26.25" x14ac:dyDescent="0.4">
      <c r="B500" s="1602" t="str">
        <f>$B$13</f>
        <v>I  PLANOWANE  ZWIĘKSZENIE  LICZBY  MIEJSC  W  2012 r.</v>
      </c>
      <c r="C500" s="1602"/>
      <c r="D500" s="1602"/>
      <c r="E500" s="1602"/>
    </row>
    <row r="501" spans="2:5" ht="15" x14ac:dyDescent="0.2">
      <c r="B501" s="12"/>
      <c r="C501" s="12"/>
      <c r="D501" s="12"/>
      <c r="E501" s="12"/>
    </row>
    <row r="502" spans="2:5" ht="15.75" thickBot="1" x14ac:dyDescent="0.25">
      <c r="B502" s="12"/>
      <c r="C502" s="12"/>
      <c r="D502" s="12"/>
      <c r="E502" s="12"/>
    </row>
    <row r="503" spans="2:5" ht="24.75" thickTop="1" thickBot="1" x14ac:dyDescent="0.25">
      <c r="B503" s="134"/>
      <c r="C503" s="135" t="s">
        <v>7</v>
      </c>
      <c r="D503" s="1599" t="s">
        <v>105</v>
      </c>
      <c r="E503" s="1600"/>
    </row>
    <row r="504" spans="2:5" ht="26.25" x14ac:dyDescent="0.2">
      <c r="B504" s="136" t="s">
        <v>21</v>
      </c>
      <c r="C504" s="137" t="s">
        <v>106</v>
      </c>
      <c r="D504" s="138" t="s">
        <v>22</v>
      </c>
      <c r="E504" s="139" t="s">
        <v>23</v>
      </c>
    </row>
    <row r="505" spans="2:5" ht="24" thickBot="1" x14ac:dyDescent="0.25">
      <c r="B505" s="140"/>
      <c r="C505" s="141" t="s">
        <v>24</v>
      </c>
      <c r="D505" s="142" t="s">
        <v>25</v>
      </c>
      <c r="E505" s="143" t="s">
        <v>26</v>
      </c>
    </row>
    <row r="506" spans="2:5" ht="15.75" thickBot="1" x14ac:dyDescent="0.25">
      <c r="B506" s="786">
        <v>0</v>
      </c>
      <c r="C506" s="787">
        <v>1</v>
      </c>
      <c r="D506" s="788">
        <v>2</v>
      </c>
      <c r="E506" s="789">
        <v>3</v>
      </c>
    </row>
    <row r="507" spans="2:5" ht="21.75" thickTop="1" thickBot="1" x14ac:dyDescent="0.25">
      <c r="B507" s="1159" t="str">
        <f>$B$20</f>
        <v>1. STAN NA DZIEŃ 31 GRUDNIA 2010 r.</v>
      </c>
      <c r="C507" s="927">
        <f>D507+E507</f>
        <v>4524</v>
      </c>
      <c r="D507" s="1473">
        <v>3443</v>
      </c>
      <c r="E507" s="1486">
        <v>1081</v>
      </c>
    </row>
    <row r="508" spans="2:5" ht="21" thickTop="1" x14ac:dyDescent="0.2">
      <c r="B508" s="1160" t="str">
        <f>$B$21</f>
        <v>2. OGÓŁEM ZWIĘKSZENIA W 2011 r. (a+b+c)</v>
      </c>
      <c r="C508" s="373">
        <f>SUM(C510:C512)</f>
        <v>79</v>
      </c>
      <c r="D508" s="375">
        <f>SUM(D510:D512)</f>
        <v>58</v>
      </c>
      <c r="E508" s="376">
        <f>SUM(E510:E512)</f>
        <v>21</v>
      </c>
    </row>
    <row r="509" spans="2:5" ht="21" thickBot="1" x14ac:dyDescent="0.35">
      <c r="B509" s="144" t="s">
        <v>27</v>
      </c>
      <c r="C509" s="374"/>
      <c r="D509" s="152"/>
      <c r="E509" s="153"/>
    </row>
    <row r="510" spans="2:5" ht="21" thickBot="1" x14ac:dyDescent="0.25">
      <c r="B510" s="145" t="s">
        <v>28</v>
      </c>
      <c r="C510" s="383">
        <f>D510+E510</f>
        <v>6</v>
      </c>
      <c r="D510" s="1483">
        <v>6</v>
      </c>
      <c r="E510" s="1476">
        <v>0</v>
      </c>
    </row>
    <row r="511" spans="2:5" ht="21" thickBot="1" x14ac:dyDescent="0.25">
      <c r="B511" s="145" t="s">
        <v>29</v>
      </c>
      <c r="C511" s="383">
        <f>D511+E511</f>
        <v>60</v>
      </c>
      <c r="D511" s="1483">
        <v>45</v>
      </c>
      <c r="E511" s="1476">
        <v>15</v>
      </c>
    </row>
    <row r="512" spans="2:5" ht="21" thickBot="1" x14ac:dyDescent="0.25">
      <c r="B512" s="146" t="s">
        <v>30</v>
      </c>
      <c r="C512" s="384">
        <f>D512+E512</f>
        <v>13</v>
      </c>
      <c r="D512" s="1482">
        <v>7</v>
      </c>
      <c r="E512" s="1478">
        <v>6</v>
      </c>
    </row>
    <row r="513" spans="2:5" ht="21" thickTop="1" x14ac:dyDescent="0.2">
      <c r="B513" s="1161" t="str">
        <f>$B$26</f>
        <v>3. OGÓŁEM ZMNIEJSZENIA W 2011 r. (a+b+c)</v>
      </c>
      <c r="C513" s="377">
        <f>SUM(C515:C517)</f>
        <v>4</v>
      </c>
      <c r="D513" s="378">
        <f>SUM(D515:D517)</f>
        <v>3</v>
      </c>
      <c r="E513" s="379">
        <f>SUM(E515:E517)</f>
        <v>1</v>
      </c>
    </row>
    <row r="514" spans="2:5" ht="21" thickBot="1" x14ac:dyDescent="0.35">
      <c r="B514" s="22" t="s">
        <v>27</v>
      </c>
      <c r="C514" s="154"/>
      <c r="D514" s="155"/>
      <c r="E514" s="156"/>
    </row>
    <row r="515" spans="2:5" ht="21" thickBot="1" x14ac:dyDescent="0.25">
      <c r="B515" s="145" t="s">
        <v>31</v>
      </c>
      <c r="C515" s="383">
        <f>D515+E515</f>
        <v>3</v>
      </c>
      <c r="D515" s="1483">
        <v>3</v>
      </c>
      <c r="E515" s="1476">
        <v>0</v>
      </c>
    </row>
    <row r="516" spans="2:5" ht="21" thickBot="1" x14ac:dyDescent="0.25">
      <c r="B516" s="145" t="s">
        <v>32</v>
      </c>
      <c r="C516" s="383">
        <f>D516+E516</f>
        <v>0</v>
      </c>
      <c r="D516" s="1483">
        <v>0</v>
      </c>
      <c r="E516" s="1476">
        <v>0</v>
      </c>
    </row>
    <row r="517" spans="2:5" ht="21" thickBot="1" x14ac:dyDescent="0.25">
      <c r="B517" s="20" t="s">
        <v>30</v>
      </c>
      <c r="C517" s="377">
        <f>D517+E517</f>
        <v>1</v>
      </c>
      <c r="D517" s="1487">
        <v>0</v>
      </c>
      <c r="E517" s="1480">
        <v>1</v>
      </c>
    </row>
    <row r="518" spans="2:5" ht="21.75" thickTop="1" thickBot="1" x14ac:dyDescent="0.25">
      <c r="B518" s="147" t="s">
        <v>33</v>
      </c>
      <c r="C518" s="380">
        <f>C508-C513</f>
        <v>75</v>
      </c>
      <c r="D518" s="381">
        <f>D508-D513</f>
        <v>55</v>
      </c>
      <c r="E518" s="382">
        <f>E508-E513</f>
        <v>20</v>
      </c>
    </row>
    <row r="519" spans="2:5" ht="21" thickTop="1" x14ac:dyDescent="0.2">
      <c r="B519" s="1161" t="str">
        <f>$B$33</f>
        <v>5. STAN NA DZIEŃ 31 GRUDNIA 2011 r.</v>
      </c>
      <c r="C519" s="790" t="str">
        <f>IF(C520&gt;C507,"przybyło",IF(C520=C507,"bez zmian","ubyło"))</f>
        <v>przybyło</v>
      </c>
      <c r="D519" s="791" t="str">
        <f>IF(D520&gt;D507,"przybyło",IF(D520=D507,"bez zmian","ubyło"))</f>
        <v>przybyło</v>
      </c>
      <c r="E519" s="792" t="str">
        <f>IF(E520&gt;E507,"przybyło",IF(E520=E507,"bez zmian","ubyło"))</f>
        <v>przybyło</v>
      </c>
    </row>
    <row r="520" spans="2:5" ht="27" thickBot="1" x14ac:dyDescent="0.4">
      <c r="B520" s="23" t="s">
        <v>35</v>
      </c>
      <c r="C520" s="924">
        <f>IF(C507+C508-C513=C507+C518, C507+C508-C513, "UWAGA!")</f>
        <v>4599</v>
      </c>
      <c r="D520" s="925">
        <f>IF(D507+D508-D513=D507+D518, D507+D508-D513, "UWAGA!")</f>
        <v>3498</v>
      </c>
      <c r="E520" s="926">
        <f>IF(E507+E508-E513=E507+E518, E507+E508-E513, "UWAGA!")</f>
        <v>1101</v>
      </c>
    </row>
    <row r="521" spans="2:5" ht="21.75" thickTop="1" thickBot="1" x14ac:dyDescent="0.35">
      <c r="B521" s="148"/>
      <c r="C521" s="160"/>
      <c r="D521" s="160"/>
      <c r="E521" s="160"/>
    </row>
    <row r="522" spans="2:5" ht="21" thickTop="1" x14ac:dyDescent="0.2">
      <c r="B522" s="18" t="s">
        <v>107</v>
      </c>
      <c r="C522" s="161"/>
      <c r="D522" s="162"/>
      <c r="E522" s="163"/>
    </row>
    <row r="523" spans="2:5" ht="20.25" x14ac:dyDescent="0.2">
      <c r="B523" s="1161" t="str">
        <f>$B$37</f>
        <v xml:space="preserve">    MIEJSC W 2012 r. (a + b)</v>
      </c>
      <c r="C523" s="377">
        <f>C525+C530</f>
        <v>44</v>
      </c>
      <c r="D523" s="378">
        <f>D525+D530</f>
        <v>33</v>
      </c>
      <c r="E523" s="379">
        <f>E525+E530</f>
        <v>11</v>
      </c>
    </row>
    <row r="524" spans="2:5" ht="21" thickBot="1" x14ac:dyDescent="0.35">
      <c r="B524" s="149" t="s">
        <v>34</v>
      </c>
      <c r="C524" s="157"/>
      <c r="D524" s="158"/>
      <c r="E524" s="159"/>
    </row>
    <row r="525" spans="2:5" ht="24" thickTop="1" x14ac:dyDescent="0.2">
      <c r="B525" s="150" t="s">
        <v>108</v>
      </c>
      <c r="C525" s="377">
        <f>SUM(C527:C529)</f>
        <v>27</v>
      </c>
      <c r="D525" s="378">
        <f>SUM(D527:D529)</f>
        <v>16</v>
      </c>
      <c r="E525" s="379">
        <f>SUM(E527:E529)</f>
        <v>11</v>
      </c>
    </row>
    <row r="526" spans="2:5" ht="21" thickBot="1" x14ac:dyDescent="0.35">
      <c r="B526" s="22" t="s">
        <v>109</v>
      </c>
      <c r="C526" s="154"/>
      <c r="D526" s="155"/>
      <c r="E526" s="156"/>
    </row>
    <row r="527" spans="2:5" ht="21" thickBot="1" x14ac:dyDescent="0.25">
      <c r="B527" s="145" t="s">
        <v>110</v>
      </c>
      <c r="C527" s="383">
        <f>D527+E527</f>
        <v>6</v>
      </c>
      <c r="D527" s="1481">
        <v>6</v>
      </c>
      <c r="E527" s="1476">
        <v>0</v>
      </c>
    </row>
    <row r="528" spans="2:5" ht="21" thickBot="1" x14ac:dyDescent="0.25">
      <c r="B528" s="145" t="s">
        <v>111</v>
      </c>
      <c r="C528" s="383">
        <f>D528+E528</f>
        <v>17</v>
      </c>
      <c r="D528" s="1481">
        <v>10</v>
      </c>
      <c r="E528" s="1476">
        <v>7</v>
      </c>
    </row>
    <row r="529" spans="1:5" ht="21" thickBot="1" x14ac:dyDescent="0.25">
      <c r="B529" s="146" t="s">
        <v>112</v>
      </c>
      <c r="C529" s="384">
        <f>D529+E529</f>
        <v>4</v>
      </c>
      <c r="D529" s="1482">
        <v>0</v>
      </c>
      <c r="E529" s="1478">
        <v>4</v>
      </c>
    </row>
    <row r="530" spans="1:5" ht="24" thickTop="1" x14ac:dyDescent="0.2">
      <c r="B530" s="150" t="s">
        <v>113</v>
      </c>
      <c r="C530" s="377">
        <f>SUM(C532:C534)</f>
        <v>17</v>
      </c>
      <c r="D530" s="378">
        <f>SUM(D532:D534)</f>
        <v>17</v>
      </c>
      <c r="E530" s="379">
        <f>SUM(E532:E534)</f>
        <v>0</v>
      </c>
    </row>
    <row r="531" spans="1:5" ht="21" thickBot="1" x14ac:dyDescent="0.35">
      <c r="B531" s="22" t="s">
        <v>109</v>
      </c>
      <c r="C531" s="154"/>
      <c r="D531" s="155"/>
      <c r="E531" s="156"/>
    </row>
    <row r="532" spans="1:5" ht="21" thickBot="1" x14ac:dyDescent="0.25">
      <c r="B532" s="145" t="s">
        <v>110</v>
      </c>
      <c r="C532" s="383">
        <f>D532+E532</f>
        <v>7</v>
      </c>
      <c r="D532" s="1483">
        <v>7</v>
      </c>
      <c r="E532" s="1476">
        <v>0</v>
      </c>
    </row>
    <row r="533" spans="1:5" ht="21" thickBot="1" x14ac:dyDescent="0.25">
      <c r="B533" s="145" t="s">
        <v>111</v>
      </c>
      <c r="C533" s="383">
        <f>D533+E533</f>
        <v>10</v>
      </c>
      <c r="D533" s="1483">
        <v>10</v>
      </c>
      <c r="E533" s="1476">
        <v>0</v>
      </c>
    </row>
    <row r="534" spans="1:5" ht="21" thickBot="1" x14ac:dyDescent="0.25">
      <c r="B534" s="151" t="s">
        <v>112</v>
      </c>
      <c r="C534" s="385">
        <f>D534+E534</f>
        <v>0</v>
      </c>
      <c r="D534" s="1484">
        <v>0</v>
      </c>
      <c r="E534" s="1485">
        <v>0</v>
      </c>
    </row>
    <row r="535" spans="1:5" ht="13.5" thickTop="1" x14ac:dyDescent="0.2"/>
    <row r="537" spans="1:5" ht="18" x14ac:dyDescent="0.25">
      <c r="B537" s="11" t="s">
        <v>123</v>
      </c>
    </row>
    <row r="538" spans="1:5" ht="18" x14ac:dyDescent="0.25">
      <c r="B538" s="11"/>
    </row>
    <row r="539" spans="1:5" ht="18" x14ac:dyDescent="0.25">
      <c r="B539" s="11" t="s">
        <v>124</v>
      </c>
    </row>
    <row r="540" spans="1:5" ht="18" x14ac:dyDescent="0.25">
      <c r="B540" s="11"/>
      <c r="E540" s="25" t="s">
        <v>127</v>
      </c>
    </row>
    <row r="541" spans="1:5" ht="20.25" x14ac:dyDescent="0.3">
      <c r="B541" s="11" t="s">
        <v>125</v>
      </c>
      <c r="E541" s="26" t="s">
        <v>126</v>
      </c>
    </row>
    <row r="542" spans="1:5" ht="26.25" x14ac:dyDescent="0.4">
      <c r="B542" s="268"/>
    </row>
    <row r="543" spans="1:5" ht="26.25" x14ac:dyDescent="0.4">
      <c r="A543" s="267">
        <v>20</v>
      </c>
      <c r="B543" s="11" t="s">
        <v>19</v>
      </c>
      <c r="C543" s="12"/>
      <c r="D543" s="13"/>
      <c r="E543" s="14" t="s">
        <v>104</v>
      </c>
    </row>
    <row r="544" spans="1:5" ht="18" x14ac:dyDescent="0.25">
      <c r="B544" s="11" t="s">
        <v>134</v>
      </c>
      <c r="C544" s="12"/>
      <c r="D544" s="12"/>
      <c r="E544" s="15"/>
    </row>
    <row r="545" spans="2:5" ht="18" x14ac:dyDescent="0.25">
      <c r="B545" s="11" t="s">
        <v>122</v>
      </c>
      <c r="C545" s="12"/>
      <c r="E545" s="1193" t="str">
        <f>$E$59</f>
        <v>Termin: 29 luty 2012 r.</v>
      </c>
    </row>
    <row r="546" spans="2:5" ht="18" x14ac:dyDescent="0.25">
      <c r="B546" s="11"/>
      <c r="C546" s="12"/>
      <c r="D546" s="12"/>
      <c r="E546" s="12"/>
    </row>
    <row r="547" spans="2:5" ht="18" x14ac:dyDescent="0.25">
      <c r="B547" s="11"/>
      <c r="C547" s="12"/>
      <c r="D547" s="12"/>
      <c r="E547" s="12"/>
    </row>
    <row r="548" spans="2:5" ht="18" x14ac:dyDescent="0.25">
      <c r="B548" s="11" t="s">
        <v>135</v>
      </c>
      <c r="C548" s="12"/>
      <c r="D548" s="14"/>
      <c r="E548" s="16"/>
    </row>
    <row r="549" spans="2:5" ht="18" x14ac:dyDescent="0.25">
      <c r="B549" s="11"/>
      <c r="C549" s="12"/>
      <c r="D549" s="13"/>
      <c r="E549" s="12"/>
    </row>
    <row r="550" spans="2:5" ht="15" x14ac:dyDescent="0.2">
      <c r="B550" s="12"/>
      <c r="C550" s="12"/>
      <c r="D550" s="12"/>
      <c r="E550" s="12"/>
    </row>
    <row r="551" spans="2:5" ht="20.25" x14ac:dyDescent="0.3">
      <c r="B551" s="183" t="s">
        <v>131</v>
      </c>
      <c r="C551" s="12"/>
      <c r="D551" s="12"/>
      <c r="E551" s="12"/>
    </row>
    <row r="552" spans="2:5" ht="18" x14ac:dyDescent="0.25">
      <c r="B552" s="11"/>
      <c r="C552" s="12"/>
      <c r="D552" s="12"/>
      <c r="E552" s="13"/>
    </row>
    <row r="553" spans="2:5" ht="26.25" x14ac:dyDescent="0.4">
      <c r="B553" s="1602" t="str">
        <f>$B$12</f>
        <v>BILANS  LICZBY  MIEJSC  W  PONADGMINNYCH  DOMACH  POMOCY  SPOŁECZNEJ  ZA  2011 r.</v>
      </c>
      <c r="C553" s="1602"/>
      <c r="D553" s="1602"/>
      <c r="E553" s="1602"/>
    </row>
    <row r="554" spans="2:5" ht="26.25" x14ac:dyDescent="0.4">
      <c r="B554" s="1602" t="str">
        <f>$B$13</f>
        <v>I  PLANOWANE  ZWIĘKSZENIE  LICZBY  MIEJSC  W  2012 r.</v>
      </c>
      <c r="C554" s="1602"/>
      <c r="D554" s="1602"/>
      <c r="E554" s="1602"/>
    </row>
    <row r="555" spans="2:5" ht="15" x14ac:dyDescent="0.2">
      <c r="B555" s="12"/>
      <c r="C555" s="12"/>
      <c r="D555" s="12"/>
      <c r="E555" s="12"/>
    </row>
    <row r="556" spans="2:5" ht="15.75" thickBot="1" x14ac:dyDescent="0.25">
      <c r="B556" s="12"/>
      <c r="C556" s="12"/>
      <c r="D556" s="12"/>
      <c r="E556" s="12"/>
    </row>
    <row r="557" spans="2:5" ht="24.75" thickTop="1" thickBot="1" x14ac:dyDescent="0.25">
      <c r="B557" s="134"/>
      <c r="C557" s="135" t="s">
        <v>7</v>
      </c>
      <c r="D557" s="1599" t="s">
        <v>105</v>
      </c>
      <c r="E557" s="1600"/>
    </row>
    <row r="558" spans="2:5" ht="26.25" x14ac:dyDescent="0.2">
      <c r="B558" s="136" t="s">
        <v>21</v>
      </c>
      <c r="C558" s="137" t="s">
        <v>106</v>
      </c>
      <c r="D558" s="138" t="s">
        <v>22</v>
      </c>
      <c r="E558" s="139" t="s">
        <v>23</v>
      </c>
    </row>
    <row r="559" spans="2:5" ht="24" thickBot="1" x14ac:dyDescent="0.25">
      <c r="B559" s="140"/>
      <c r="C559" s="141" t="s">
        <v>24</v>
      </c>
      <c r="D559" s="142" t="s">
        <v>25</v>
      </c>
      <c r="E559" s="143" t="s">
        <v>26</v>
      </c>
    </row>
    <row r="560" spans="2:5" ht="15.75" thickBot="1" x14ac:dyDescent="0.25">
      <c r="B560" s="786">
        <v>0</v>
      </c>
      <c r="C560" s="787">
        <v>1</v>
      </c>
      <c r="D560" s="788">
        <v>2</v>
      </c>
      <c r="E560" s="789">
        <v>3</v>
      </c>
    </row>
    <row r="561" spans="2:5" ht="21.75" thickTop="1" thickBot="1" x14ac:dyDescent="0.25">
      <c r="B561" s="1159" t="str">
        <f>$B$20</f>
        <v>1. STAN NA DZIEŃ 31 GRUDNIA 2010 r.</v>
      </c>
      <c r="C561" s="372">
        <f>D561+E561</f>
        <v>2287</v>
      </c>
      <c r="D561" s="1473">
        <v>1856</v>
      </c>
      <c r="E561" s="1486">
        <v>431</v>
      </c>
    </row>
    <row r="562" spans="2:5" ht="21" thickTop="1" x14ac:dyDescent="0.2">
      <c r="B562" s="1160" t="str">
        <f>$B$21</f>
        <v>2. OGÓŁEM ZWIĘKSZENIA W 2011 r. (a+b+c)</v>
      </c>
      <c r="C562" s="373">
        <f>SUM(C564:C566)</f>
        <v>8</v>
      </c>
      <c r="D562" s="375">
        <f>SUM(D564:D566)</f>
        <v>6</v>
      </c>
      <c r="E562" s="376">
        <f>SUM(E564:E566)</f>
        <v>2</v>
      </c>
    </row>
    <row r="563" spans="2:5" ht="21" thickBot="1" x14ac:dyDescent="0.35">
      <c r="B563" s="144" t="s">
        <v>27</v>
      </c>
      <c r="C563" s="374"/>
      <c r="D563" s="152"/>
      <c r="E563" s="153"/>
    </row>
    <row r="564" spans="2:5" ht="21" thickBot="1" x14ac:dyDescent="0.25">
      <c r="B564" s="145" t="s">
        <v>28</v>
      </c>
      <c r="C564" s="383">
        <f>D564+E564</f>
        <v>8</v>
      </c>
      <c r="D564" s="1483">
        <v>6</v>
      </c>
      <c r="E564" s="1476">
        <v>2</v>
      </c>
    </row>
    <row r="565" spans="2:5" ht="21" thickBot="1" x14ac:dyDescent="0.25">
      <c r="B565" s="145" t="s">
        <v>29</v>
      </c>
      <c r="C565" s="383">
        <f>D565+E565</f>
        <v>0</v>
      </c>
      <c r="D565" s="1483">
        <v>0</v>
      </c>
      <c r="E565" s="1476">
        <v>0</v>
      </c>
    </row>
    <row r="566" spans="2:5" ht="21" thickBot="1" x14ac:dyDescent="0.25">
      <c r="B566" s="146" t="s">
        <v>30</v>
      </c>
      <c r="C566" s="384">
        <f>D566+E566</f>
        <v>0</v>
      </c>
      <c r="D566" s="1482">
        <v>0</v>
      </c>
      <c r="E566" s="1478">
        <v>0</v>
      </c>
    </row>
    <row r="567" spans="2:5" ht="21" thickTop="1" x14ac:dyDescent="0.2">
      <c r="B567" s="1161" t="str">
        <f>$B$26</f>
        <v>3. OGÓŁEM ZMNIEJSZENIA W 2011 r. (a+b+c)</v>
      </c>
      <c r="C567" s="377">
        <f>SUM(C569:C571)</f>
        <v>0</v>
      </c>
      <c r="D567" s="378">
        <f>SUM(D569:D571)</f>
        <v>0</v>
      </c>
      <c r="E567" s="379">
        <f>SUM(E569:E571)</f>
        <v>0</v>
      </c>
    </row>
    <row r="568" spans="2:5" ht="21" thickBot="1" x14ac:dyDescent="0.35">
      <c r="B568" s="22" t="s">
        <v>27</v>
      </c>
      <c r="C568" s="154"/>
      <c r="D568" s="155"/>
      <c r="E568" s="156"/>
    </row>
    <row r="569" spans="2:5" ht="21" thickBot="1" x14ac:dyDescent="0.25">
      <c r="B569" s="145" t="s">
        <v>31</v>
      </c>
      <c r="C569" s="383">
        <f>D569+E569</f>
        <v>0</v>
      </c>
      <c r="D569" s="1483">
        <v>0</v>
      </c>
      <c r="E569" s="1476">
        <v>0</v>
      </c>
    </row>
    <row r="570" spans="2:5" ht="21" thickBot="1" x14ac:dyDescent="0.25">
      <c r="B570" s="145" t="s">
        <v>32</v>
      </c>
      <c r="C570" s="383">
        <f>D570+E570</f>
        <v>0</v>
      </c>
      <c r="D570" s="1483">
        <v>0</v>
      </c>
      <c r="E570" s="1476">
        <v>0</v>
      </c>
    </row>
    <row r="571" spans="2:5" ht="21" thickBot="1" x14ac:dyDescent="0.25">
      <c r="B571" s="20" t="s">
        <v>30</v>
      </c>
      <c r="C571" s="377">
        <f>D571+E571</f>
        <v>0</v>
      </c>
      <c r="D571" s="1487">
        <v>0</v>
      </c>
      <c r="E571" s="1480">
        <v>0</v>
      </c>
    </row>
    <row r="572" spans="2:5" ht="21.75" thickTop="1" thickBot="1" x14ac:dyDescent="0.25">
      <c r="B572" s="147" t="s">
        <v>33</v>
      </c>
      <c r="C572" s="380">
        <f>C562-C567</f>
        <v>8</v>
      </c>
      <c r="D572" s="381">
        <f>D562-D567</f>
        <v>6</v>
      </c>
      <c r="E572" s="382">
        <f>E562-E567</f>
        <v>2</v>
      </c>
    </row>
    <row r="573" spans="2:5" ht="21" thickTop="1" x14ac:dyDescent="0.2">
      <c r="B573" s="1161" t="str">
        <f>$B$33</f>
        <v>5. STAN NA DZIEŃ 31 GRUDNIA 2011 r.</v>
      </c>
      <c r="C573" s="790" t="str">
        <f>IF(C574&gt;C561,"przybyło",IF(C574=C561,"bez zmian","ubyło"))</f>
        <v>przybyło</v>
      </c>
      <c r="D573" s="791" t="str">
        <f>IF(D574&gt;D561,"przybyło",IF(D574=D561,"bez zmian","ubyło"))</f>
        <v>przybyło</v>
      </c>
      <c r="E573" s="792" t="str">
        <f>IF(E574&gt;E561,"przybyło",IF(E574=E561,"bez zmian","ubyło"))</f>
        <v>przybyło</v>
      </c>
    </row>
    <row r="574" spans="2:5" ht="27" thickBot="1" x14ac:dyDescent="0.4">
      <c r="B574" s="23" t="s">
        <v>35</v>
      </c>
      <c r="C574" s="385">
        <f>IF(C561+C562-C567=C561+C572, C561+C562-C567, "UWAGA!")</f>
        <v>2295</v>
      </c>
      <c r="D574" s="925">
        <f>IF(D561+D562-D567=D561+D572, D561+D562-D567, "UWAGA!")</f>
        <v>1862</v>
      </c>
      <c r="E574" s="926">
        <f>IF(E561+E562-E567=E561+E572, E561+E562-E567, "UWAGA!")</f>
        <v>433</v>
      </c>
    </row>
    <row r="575" spans="2:5" ht="21.75" thickTop="1" thickBot="1" x14ac:dyDescent="0.35">
      <c r="B575" s="148"/>
      <c r="C575" s="160"/>
      <c r="D575" s="160"/>
      <c r="E575" s="160"/>
    </row>
    <row r="576" spans="2:5" ht="21" thickTop="1" x14ac:dyDescent="0.2">
      <c r="B576" s="18" t="s">
        <v>107</v>
      </c>
      <c r="C576" s="161"/>
      <c r="D576" s="162"/>
      <c r="E576" s="163"/>
    </row>
    <row r="577" spans="2:5" ht="20.25" x14ac:dyDescent="0.2">
      <c r="B577" s="1161" t="str">
        <f>$B$37</f>
        <v xml:space="preserve">    MIEJSC W 2012 r. (a + b)</v>
      </c>
      <c r="C577" s="377">
        <f>C579+C584</f>
        <v>0</v>
      </c>
      <c r="D577" s="378">
        <f>D579+D584</f>
        <v>0</v>
      </c>
      <c r="E577" s="379">
        <f>E579+E584</f>
        <v>0</v>
      </c>
    </row>
    <row r="578" spans="2:5" ht="21" thickBot="1" x14ac:dyDescent="0.35">
      <c r="B578" s="149" t="s">
        <v>34</v>
      </c>
      <c r="C578" s="157"/>
      <c r="D578" s="158"/>
      <c r="E578" s="159"/>
    </row>
    <row r="579" spans="2:5" ht="24" thickTop="1" x14ac:dyDescent="0.2">
      <c r="B579" s="150" t="s">
        <v>108</v>
      </c>
      <c r="C579" s="377">
        <f>SUM(C581:C583)</f>
        <v>0</v>
      </c>
      <c r="D579" s="378">
        <f>SUM(D581:D583)</f>
        <v>0</v>
      </c>
      <c r="E579" s="379">
        <f>SUM(E581:E583)</f>
        <v>0</v>
      </c>
    </row>
    <row r="580" spans="2:5" ht="21" thickBot="1" x14ac:dyDescent="0.35">
      <c r="B580" s="22" t="s">
        <v>109</v>
      </c>
      <c r="C580" s="154"/>
      <c r="D580" s="155"/>
      <c r="E580" s="156"/>
    </row>
    <row r="581" spans="2:5" ht="21" thickBot="1" x14ac:dyDescent="0.25">
      <c r="B581" s="145" t="s">
        <v>110</v>
      </c>
      <c r="C581" s="383">
        <f>D581+E581</f>
        <v>0</v>
      </c>
      <c r="D581" s="1481">
        <v>0</v>
      </c>
      <c r="E581" s="1476">
        <v>0</v>
      </c>
    </row>
    <row r="582" spans="2:5" ht="21" thickBot="1" x14ac:dyDescent="0.25">
      <c r="B582" s="145" t="s">
        <v>111</v>
      </c>
      <c r="C582" s="383">
        <f>D582+E582</f>
        <v>0</v>
      </c>
      <c r="D582" s="1481">
        <v>0</v>
      </c>
      <c r="E582" s="1476">
        <v>0</v>
      </c>
    </row>
    <row r="583" spans="2:5" ht="21" thickBot="1" x14ac:dyDescent="0.25">
      <c r="B583" s="146" t="s">
        <v>112</v>
      </c>
      <c r="C583" s="384">
        <f>D583+E583</f>
        <v>0</v>
      </c>
      <c r="D583" s="1482">
        <v>0</v>
      </c>
      <c r="E583" s="1478">
        <v>0</v>
      </c>
    </row>
    <row r="584" spans="2:5" ht="24" thickTop="1" x14ac:dyDescent="0.2">
      <c r="B584" s="150" t="s">
        <v>113</v>
      </c>
      <c r="C584" s="377">
        <f>SUM(C586:C588)</f>
        <v>0</v>
      </c>
      <c r="D584" s="378">
        <f>SUM(D586:D588)</f>
        <v>0</v>
      </c>
      <c r="E584" s="379">
        <f>SUM(E586:E588)</f>
        <v>0</v>
      </c>
    </row>
    <row r="585" spans="2:5" ht="21" thickBot="1" x14ac:dyDescent="0.35">
      <c r="B585" s="22" t="s">
        <v>109</v>
      </c>
      <c r="C585" s="154"/>
      <c r="D585" s="155"/>
      <c r="E585" s="156"/>
    </row>
    <row r="586" spans="2:5" ht="21" thickBot="1" x14ac:dyDescent="0.25">
      <c r="B586" s="145" t="s">
        <v>110</v>
      </c>
      <c r="C586" s="383">
        <f>D586+E586</f>
        <v>0</v>
      </c>
      <c r="D586" s="1483">
        <v>0</v>
      </c>
      <c r="E586" s="1476">
        <v>0</v>
      </c>
    </row>
    <row r="587" spans="2:5" ht="21" thickBot="1" x14ac:dyDescent="0.25">
      <c r="B587" s="145" t="s">
        <v>111</v>
      </c>
      <c r="C587" s="383">
        <f>D587+E587</f>
        <v>0</v>
      </c>
      <c r="D587" s="1483">
        <v>0</v>
      </c>
      <c r="E587" s="1476">
        <v>0</v>
      </c>
    </row>
    <row r="588" spans="2:5" ht="21" thickBot="1" x14ac:dyDescent="0.25">
      <c r="B588" s="151" t="s">
        <v>112</v>
      </c>
      <c r="C588" s="385">
        <f>D588+E588</f>
        <v>0</v>
      </c>
      <c r="D588" s="1484">
        <v>0</v>
      </c>
      <c r="E588" s="1485">
        <v>0</v>
      </c>
    </row>
    <row r="589" spans="2:5" ht="13.5" thickTop="1" x14ac:dyDescent="0.2"/>
    <row r="591" spans="2:5" ht="18" x14ac:dyDescent="0.25">
      <c r="B591" s="11" t="s">
        <v>123</v>
      </c>
    </row>
    <row r="592" spans="2:5" ht="18" x14ac:dyDescent="0.25">
      <c r="B592" s="11"/>
    </row>
    <row r="593" spans="1:5" ht="18" x14ac:dyDescent="0.25">
      <c r="B593" s="11" t="s">
        <v>124</v>
      </c>
    </row>
    <row r="594" spans="1:5" ht="18" x14ac:dyDescent="0.25">
      <c r="B594" s="11"/>
      <c r="E594" s="25" t="s">
        <v>127</v>
      </c>
    </row>
    <row r="595" spans="1:5" ht="20.25" x14ac:dyDescent="0.3">
      <c r="B595" s="11" t="s">
        <v>125</v>
      </c>
      <c r="E595" s="26" t="s">
        <v>126</v>
      </c>
    </row>
    <row r="596" spans="1:5" ht="26.25" x14ac:dyDescent="0.4">
      <c r="A596" s="267">
        <v>22</v>
      </c>
      <c r="B596" s="268"/>
    </row>
    <row r="597" spans="1:5" ht="18" x14ac:dyDescent="0.25">
      <c r="B597" s="11" t="s">
        <v>19</v>
      </c>
      <c r="C597" s="12"/>
      <c r="D597" s="13"/>
      <c r="E597" s="14" t="s">
        <v>104</v>
      </c>
    </row>
    <row r="598" spans="1:5" ht="18" x14ac:dyDescent="0.25">
      <c r="B598" s="11" t="s">
        <v>134</v>
      </c>
      <c r="C598" s="12"/>
      <c r="D598" s="12"/>
      <c r="E598" s="15"/>
    </row>
    <row r="599" spans="1:5" ht="18" x14ac:dyDescent="0.25">
      <c r="B599" s="11" t="s">
        <v>122</v>
      </c>
      <c r="C599" s="12"/>
      <c r="E599" s="1193" t="str">
        <f>$E$59</f>
        <v>Termin: 29 luty 2012 r.</v>
      </c>
    </row>
    <row r="600" spans="1:5" ht="18" x14ac:dyDescent="0.25">
      <c r="B600" s="11"/>
      <c r="C600" s="12"/>
      <c r="D600" s="12"/>
      <c r="E600" s="12"/>
    </row>
    <row r="601" spans="1:5" ht="18" x14ac:dyDescent="0.25">
      <c r="B601" s="11"/>
      <c r="C601" s="12"/>
      <c r="D601" s="12"/>
      <c r="E601" s="12"/>
    </row>
    <row r="602" spans="1:5" ht="18" x14ac:dyDescent="0.25">
      <c r="B602" s="11" t="s">
        <v>135</v>
      </c>
      <c r="C602" s="12"/>
      <c r="D602" s="14"/>
      <c r="E602" s="16"/>
    </row>
    <row r="603" spans="1:5" ht="18" x14ac:dyDescent="0.25">
      <c r="B603" s="11"/>
      <c r="C603" s="12"/>
      <c r="D603" s="13"/>
      <c r="E603" s="12"/>
    </row>
    <row r="604" spans="1:5" ht="15" x14ac:dyDescent="0.2">
      <c r="B604" s="12"/>
      <c r="C604" s="12"/>
      <c r="D604" s="12"/>
      <c r="E604" s="12"/>
    </row>
    <row r="605" spans="1:5" ht="20.25" x14ac:dyDescent="0.3">
      <c r="B605" s="183" t="s">
        <v>131</v>
      </c>
      <c r="C605" s="12"/>
      <c r="D605" s="12"/>
      <c r="E605" s="12"/>
    </row>
    <row r="606" spans="1:5" ht="18" x14ac:dyDescent="0.25">
      <c r="B606" s="11"/>
      <c r="C606" s="12"/>
      <c r="D606" s="12"/>
      <c r="E606" s="13"/>
    </row>
    <row r="607" spans="1:5" ht="26.25" x14ac:dyDescent="0.4">
      <c r="B607" s="1602" t="str">
        <f>$B$12</f>
        <v>BILANS  LICZBY  MIEJSC  W  PONADGMINNYCH  DOMACH  POMOCY  SPOŁECZNEJ  ZA  2011 r.</v>
      </c>
      <c r="C607" s="1602"/>
      <c r="D607" s="1602"/>
      <c r="E607" s="1602"/>
    </row>
    <row r="608" spans="1:5" ht="26.25" x14ac:dyDescent="0.4">
      <c r="B608" s="1602" t="str">
        <f>$B$13</f>
        <v>I  PLANOWANE  ZWIĘKSZENIE  LICZBY  MIEJSC  W  2012 r.</v>
      </c>
      <c r="C608" s="1602"/>
      <c r="D608" s="1602"/>
      <c r="E608" s="1602"/>
    </row>
    <row r="609" spans="2:5" ht="15" x14ac:dyDescent="0.2">
      <c r="B609" s="12"/>
      <c r="C609" s="12"/>
      <c r="D609" s="12"/>
      <c r="E609" s="12"/>
    </row>
    <row r="610" spans="2:5" ht="15.75" thickBot="1" x14ac:dyDescent="0.25">
      <c r="B610" s="12"/>
      <c r="C610" s="12"/>
      <c r="D610" s="12"/>
      <c r="E610" s="12"/>
    </row>
    <row r="611" spans="2:5" ht="24.75" thickTop="1" thickBot="1" x14ac:dyDescent="0.25">
      <c r="B611" s="134"/>
      <c r="C611" s="135" t="s">
        <v>7</v>
      </c>
      <c r="D611" s="1599" t="s">
        <v>105</v>
      </c>
      <c r="E611" s="1600"/>
    </row>
    <row r="612" spans="2:5" ht="26.25" x14ac:dyDescent="0.2">
      <c r="B612" s="136" t="s">
        <v>21</v>
      </c>
      <c r="C612" s="137" t="s">
        <v>106</v>
      </c>
      <c r="D612" s="138" t="s">
        <v>22</v>
      </c>
      <c r="E612" s="139" t="s">
        <v>23</v>
      </c>
    </row>
    <row r="613" spans="2:5" ht="24" thickBot="1" x14ac:dyDescent="0.25">
      <c r="B613" s="140"/>
      <c r="C613" s="141" t="s">
        <v>24</v>
      </c>
      <c r="D613" s="142" t="s">
        <v>25</v>
      </c>
      <c r="E613" s="143" t="s">
        <v>26</v>
      </c>
    </row>
    <row r="614" spans="2:5" ht="15.75" thickBot="1" x14ac:dyDescent="0.25">
      <c r="B614" s="786">
        <v>0</v>
      </c>
      <c r="C614" s="787">
        <v>1</v>
      </c>
      <c r="D614" s="788">
        <v>2</v>
      </c>
      <c r="E614" s="789">
        <v>3</v>
      </c>
    </row>
    <row r="615" spans="2:5" ht="21.75" thickTop="1" thickBot="1" x14ac:dyDescent="0.25">
      <c r="B615" s="1159" t="str">
        <f>$B$20</f>
        <v>1. STAN NA DZIEŃ 31 GRUDNIA 2010 r.</v>
      </c>
      <c r="C615" s="927">
        <f>D615+E615</f>
        <v>3822</v>
      </c>
      <c r="D615" s="1473">
        <v>3274</v>
      </c>
      <c r="E615" s="1486">
        <v>548</v>
      </c>
    </row>
    <row r="616" spans="2:5" ht="21" thickTop="1" x14ac:dyDescent="0.2">
      <c r="B616" s="1160" t="str">
        <f>$B$21</f>
        <v>2. OGÓŁEM ZWIĘKSZENIA W 2011 r. (a+b+c)</v>
      </c>
      <c r="C616" s="373">
        <f>SUM(C618:C620)</f>
        <v>29</v>
      </c>
      <c r="D616" s="375">
        <f>SUM(D618:D620)</f>
        <v>29</v>
      </c>
      <c r="E616" s="376">
        <f>SUM(E618:E620)</f>
        <v>0</v>
      </c>
    </row>
    <row r="617" spans="2:5" ht="21" thickBot="1" x14ac:dyDescent="0.35">
      <c r="B617" s="144" t="s">
        <v>27</v>
      </c>
      <c r="C617" s="374"/>
      <c r="D617" s="152"/>
      <c r="E617" s="153"/>
    </row>
    <row r="618" spans="2:5" ht="21" thickBot="1" x14ac:dyDescent="0.25">
      <c r="B618" s="145" t="s">
        <v>28</v>
      </c>
      <c r="C618" s="383">
        <f>D618+E618</f>
        <v>5</v>
      </c>
      <c r="D618" s="1483">
        <v>5</v>
      </c>
      <c r="E618" s="1476">
        <v>0</v>
      </c>
    </row>
    <row r="619" spans="2:5" ht="21" thickBot="1" x14ac:dyDescent="0.25">
      <c r="B619" s="145" t="s">
        <v>29</v>
      </c>
      <c r="C619" s="383">
        <f>D619+E619</f>
        <v>0</v>
      </c>
      <c r="D619" s="1483">
        <v>0</v>
      </c>
      <c r="E619" s="1476">
        <v>0</v>
      </c>
    </row>
    <row r="620" spans="2:5" ht="21" thickBot="1" x14ac:dyDescent="0.25">
      <c r="B620" s="146" t="s">
        <v>30</v>
      </c>
      <c r="C620" s="384">
        <f>D620+E620</f>
        <v>24</v>
      </c>
      <c r="D620" s="1482">
        <v>24</v>
      </c>
      <c r="E620" s="1478">
        <v>0</v>
      </c>
    </row>
    <row r="621" spans="2:5" ht="21" thickTop="1" x14ac:dyDescent="0.2">
      <c r="B621" s="1161" t="str">
        <f>$B$26</f>
        <v>3. OGÓŁEM ZMNIEJSZENIA W 2011 r. (a+b+c)</v>
      </c>
      <c r="C621" s="377">
        <f>SUM(C623:C625)</f>
        <v>1</v>
      </c>
      <c r="D621" s="378">
        <f>SUM(D623:D625)</f>
        <v>0</v>
      </c>
      <c r="E621" s="379">
        <f>SUM(E623:E625)</f>
        <v>1</v>
      </c>
    </row>
    <row r="622" spans="2:5" ht="21" thickBot="1" x14ac:dyDescent="0.35">
      <c r="B622" s="22" t="s">
        <v>27</v>
      </c>
      <c r="C622" s="154"/>
      <c r="D622" s="155"/>
      <c r="E622" s="156"/>
    </row>
    <row r="623" spans="2:5" ht="21" thickBot="1" x14ac:dyDescent="0.25">
      <c r="B623" s="145" t="s">
        <v>31</v>
      </c>
      <c r="C623" s="383">
        <f>D623+E623</f>
        <v>0</v>
      </c>
      <c r="D623" s="1483">
        <v>0</v>
      </c>
      <c r="E623" s="1476">
        <v>0</v>
      </c>
    </row>
    <row r="624" spans="2:5" ht="21" thickBot="1" x14ac:dyDescent="0.25">
      <c r="B624" s="145" t="s">
        <v>32</v>
      </c>
      <c r="C624" s="383">
        <f>D624+E624</f>
        <v>0</v>
      </c>
      <c r="D624" s="1483">
        <v>0</v>
      </c>
      <c r="E624" s="1476">
        <v>0</v>
      </c>
    </row>
    <row r="625" spans="2:5" ht="21" thickBot="1" x14ac:dyDescent="0.25">
      <c r="B625" s="20" t="s">
        <v>30</v>
      </c>
      <c r="C625" s="377">
        <f>D625+E625</f>
        <v>1</v>
      </c>
      <c r="D625" s="1487">
        <v>0</v>
      </c>
      <c r="E625" s="1480">
        <v>1</v>
      </c>
    </row>
    <row r="626" spans="2:5" ht="21.75" thickTop="1" thickBot="1" x14ac:dyDescent="0.25">
      <c r="B626" s="147" t="s">
        <v>33</v>
      </c>
      <c r="C626" s="380">
        <f>C616-C621</f>
        <v>28</v>
      </c>
      <c r="D626" s="381">
        <f>D616-D621</f>
        <v>29</v>
      </c>
      <c r="E626" s="382">
        <f>E616-E621</f>
        <v>-1</v>
      </c>
    </row>
    <row r="627" spans="2:5" ht="21" thickTop="1" x14ac:dyDescent="0.2">
      <c r="B627" s="1161" t="str">
        <f>$B$33</f>
        <v>5. STAN NA DZIEŃ 31 GRUDNIA 2011 r.</v>
      </c>
      <c r="C627" s="790" t="str">
        <f>IF(C628&gt;C615,"przybyło",IF(C628=C615,"bez zmian","ubyło"))</f>
        <v>przybyło</v>
      </c>
      <c r="D627" s="791" t="str">
        <f>IF(D628&gt;D615,"przybyło",IF(D628=D615,"bez zmian","ubyło"))</f>
        <v>przybyło</v>
      </c>
      <c r="E627" s="792" t="str">
        <f>IF(E628&gt;E615,"przybyło",IF(E628=E615,"bez zmian","ubyło"))</f>
        <v>ubyło</v>
      </c>
    </row>
    <row r="628" spans="2:5" ht="27" thickBot="1" x14ac:dyDescent="0.4">
      <c r="B628" s="23" t="s">
        <v>35</v>
      </c>
      <c r="C628" s="924">
        <f>IF(C615+C616-C621=C615+C626, C615+C616-C621, "UWAGA!")</f>
        <v>3850</v>
      </c>
      <c r="D628" s="925">
        <f>IF(D615+D616-D621=D615+D626, D615+D616-D621, "UWAGA!")</f>
        <v>3303</v>
      </c>
      <c r="E628" s="926">
        <f>IF(E615+E616-E621=E615+E626, E615+E616-E621, "UWAGA!")</f>
        <v>547</v>
      </c>
    </row>
    <row r="629" spans="2:5" ht="21.75" thickTop="1" thickBot="1" x14ac:dyDescent="0.35">
      <c r="B629" s="148"/>
      <c r="C629" s="160"/>
      <c r="D629" s="160"/>
      <c r="E629" s="160"/>
    </row>
    <row r="630" spans="2:5" ht="21" thickTop="1" x14ac:dyDescent="0.2">
      <c r="B630" s="18" t="s">
        <v>107</v>
      </c>
      <c r="C630" s="161"/>
      <c r="D630" s="162"/>
      <c r="E630" s="163"/>
    </row>
    <row r="631" spans="2:5" ht="20.25" x14ac:dyDescent="0.2">
      <c r="B631" s="1161" t="str">
        <f>$B$37</f>
        <v xml:space="preserve">    MIEJSC W 2012 r. (a + b)</v>
      </c>
      <c r="C631" s="377">
        <f>C633+C638</f>
        <v>9</v>
      </c>
      <c r="D631" s="378">
        <f>D633+D638</f>
        <v>9</v>
      </c>
      <c r="E631" s="379">
        <f>E633+E638</f>
        <v>0</v>
      </c>
    </row>
    <row r="632" spans="2:5" ht="21" thickBot="1" x14ac:dyDescent="0.35">
      <c r="B632" s="149" t="s">
        <v>34</v>
      </c>
      <c r="C632" s="157"/>
      <c r="D632" s="158"/>
      <c r="E632" s="159"/>
    </row>
    <row r="633" spans="2:5" ht="24" thickTop="1" x14ac:dyDescent="0.2">
      <c r="B633" s="150" t="s">
        <v>108</v>
      </c>
      <c r="C633" s="377">
        <f>SUM(C635:C637)</f>
        <v>5</v>
      </c>
      <c r="D633" s="378">
        <f>SUM(D635:D637)</f>
        <v>5</v>
      </c>
      <c r="E633" s="379">
        <f>SUM(E635:E637)</f>
        <v>0</v>
      </c>
    </row>
    <row r="634" spans="2:5" ht="21" thickBot="1" x14ac:dyDescent="0.35">
      <c r="B634" s="22" t="s">
        <v>109</v>
      </c>
      <c r="C634" s="154"/>
      <c r="D634" s="155"/>
      <c r="E634" s="156"/>
    </row>
    <row r="635" spans="2:5" ht="21" thickBot="1" x14ac:dyDescent="0.25">
      <c r="B635" s="145" t="s">
        <v>110</v>
      </c>
      <c r="C635" s="383">
        <f>D635+E635</f>
        <v>5</v>
      </c>
      <c r="D635" s="1481">
        <v>5</v>
      </c>
      <c r="E635" s="1476">
        <v>0</v>
      </c>
    </row>
    <row r="636" spans="2:5" ht="21" thickBot="1" x14ac:dyDescent="0.25">
      <c r="B636" s="145" t="s">
        <v>111</v>
      </c>
      <c r="C636" s="383">
        <f>D636+E636</f>
        <v>0</v>
      </c>
      <c r="D636" s="1481">
        <v>0</v>
      </c>
      <c r="E636" s="1476">
        <v>0</v>
      </c>
    </row>
    <row r="637" spans="2:5" ht="21" thickBot="1" x14ac:dyDescent="0.25">
      <c r="B637" s="146" t="s">
        <v>112</v>
      </c>
      <c r="C637" s="384">
        <f>D637+E637</f>
        <v>0</v>
      </c>
      <c r="D637" s="1482">
        <v>0</v>
      </c>
      <c r="E637" s="1478">
        <v>0</v>
      </c>
    </row>
    <row r="638" spans="2:5" ht="24" thickTop="1" x14ac:dyDescent="0.2">
      <c r="B638" s="150" t="s">
        <v>113</v>
      </c>
      <c r="C638" s="377">
        <f>SUM(C640:C642)</f>
        <v>4</v>
      </c>
      <c r="D638" s="378">
        <f>SUM(D640:D642)</f>
        <v>4</v>
      </c>
      <c r="E638" s="379">
        <f>SUM(E640:E642)</f>
        <v>0</v>
      </c>
    </row>
    <row r="639" spans="2:5" ht="21" thickBot="1" x14ac:dyDescent="0.35">
      <c r="B639" s="22" t="s">
        <v>109</v>
      </c>
      <c r="C639" s="154"/>
      <c r="D639" s="155"/>
      <c r="E639" s="156"/>
    </row>
    <row r="640" spans="2:5" ht="21" thickBot="1" x14ac:dyDescent="0.25">
      <c r="B640" s="145" t="s">
        <v>110</v>
      </c>
      <c r="C640" s="383">
        <f>D640+E640</f>
        <v>3</v>
      </c>
      <c r="D640" s="1483">
        <v>3</v>
      </c>
      <c r="E640" s="1476">
        <v>0</v>
      </c>
    </row>
    <row r="641" spans="1:5" ht="21" thickBot="1" x14ac:dyDescent="0.25">
      <c r="B641" s="145" t="s">
        <v>111</v>
      </c>
      <c r="C641" s="383">
        <f>D641+E641</f>
        <v>0</v>
      </c>
      <c r="D641" s="1483">
        <v>0</v>
      </c>
      <c r="E641" s="1476">
        <v>0</v>
      </c>
    </row>
    <row r="642" spans="1:5" ht="21" thickBot="1" x14ac:dyDescent="0.25">
      <c r="B642" s="151" t="s">
        <v>112</v>
      </c>
      <c r="C642" s="385">
        <f>D642+E642</f>
        <v>1</v>
      </c>
      <c r="D642" s="1484">
        <v>1</v>
      </c>
      <c r="E642" s="1485">
        <v>0</v>
      </c>
    </row>
    <row r="643" spans="1:5" ht="13.5" thickTop="1" x14ac:dyDescent="0.2"/>
    <row r="645" spans="1:5" ht="18" x14ac:dyDescent="0.25">
      <c r="B645" s="11" t="s">
        <v>123</v>
      </c>
    </row>
    <row r="646" spans="1:5" ht="18" x14ac:dyDescent="0.25">
      <c r="B646" s="11"/>
    </row>
    <row r="647" spans="1:5" ht="18" x14ac:dyDescent="0.25">
      <c r="B647" s="11" t="s">
        <v>124</v>
      </c>
    </row>
    <row r="648" spans="1:5" ht="18" x14ac:dyDescent="0.25">
      <c r="B648" s="11"/>
      <c r="E648" s="25" t="s">
        <v>127</v>
      </c>
    </row>
    <row r="649" spans="1:5" ht="20.25" x14ac:dyDescent="0.3">
      <c r="B649" s="11" t="s">
        <v>125</v>
      </c>
      <c r="E649" s="26" t="s">
        <v>126</v>
      </c>
    </row>
    <row r="650" spans="1:5" ht="26.25" x14ac:dyDescent="0.4">
      <c r="B650" s="268"/>
    </row>
    <row r="651" spans="1:5" ht="26.25" x14ac:dyDescent="0.4">
      <c r="A651" s="267">
        <v>24</v>
      </c>
      <c r="B651" s="11" t="s">
        <v>19</v>
      </c>
      <c r="C651" s="12"/>
      <c r="D651" s="13"/>
      <c r="E651" s="14" t="s">
        <v>104</v>
      </c>
    </row>
    <row r="652" spans="1:5" ht="18" x14ac:dyDescent="0.25">
      <c r="B652" s="11" t="s">
        <v>134</v>
      </c>
      <c r="C652" s="12"/>
      <c r="D652" s="12"/>
      <c r="E652" s="15"/>
    </row>
    <row r="653" spans="1:5" ht="18" x14ac:dyDescent="0.25">
      <c r="B653" s="11" t="s">
        <v>122</v>
      </c>
      <c r="C653" s="12"/>
      <c r="E653" s="1193" t="str">
        <f>$E$59</f>
        <v>Termin: 29 luty 2012 r.</v>
      </c>
    </row>
    <row r="654" spans="1:5" ht="18" x14ac:dyDescent="0.25">
      <c r="B654" s="11"/>
      <c r="C654" s="12"/>
      <c r="D654" s="12"/>
      <c r="E654" s="12"/>
    </row>
    <row r="655" spans="1:5" ht="18" x14ac:dyDescent="0.25">
      <c r="B655" s="11"/>
      <c r="C655" s="12"/>
      <c r="D655" s="12"/>
      <c r="E655" s="12"/>
    </row>
    <row r="656" spans="1:5" ht="18" x14ac:dyDescent="0.25">
      <c r="B656" s="11" t="s">
        <v>135</v>
      </c>
      <c r="C656" s="12"/>
      <c r="D656" s="14"/>
      <c r="E656" s="16"/>
    </row>
    <row r="657" spans="2:5" ht="18" x14ac:dyDescent="0.25">
      <c r="B657" s="11"/>
      <c r="C657" s="12"/>
      <c r="D657" s="13"/>
      <c r="E657" s="12"/>
    </row>
    <row r="658" spans="2:5" ht="15" x14ac:dyDescent="0.2">
      <c r="B658" s="12"/>
      <c r="C658" s="12"/>
      <c r="D658" s="12"/>
      <c r="E658" s="12"/>
    </row>
    <row r="659" spans="2:5" ht="20.25" x14ac:dyDescent="0.3">
      <c r="B659" s="183" t="s">
        <v>131</v>
      </c>
      <c r="C659" s="12"/>
      <c r="D659" s="12"/>
      <c r="E659" s="12"/>
    </row>
    <row r="660" spans="2:5" ht="18" x14ac:dyDescent="0.25">
      <c r="B660" s="11"/>
      <c r="C660" s="12"/>
      <c r="D660" s="12"/>
      <c r="E660" s="13"/>
    </row>
    <row r="661" spans="2:5" ht="26.25" x14ac:dyDescent="0.4">
      <c r="B661" s="1602" t="str">
        <f>$B$12</f>
        <v>BILANS  LICZBY  MIEJSC  W  PONADGMINNYCH  DOMACH  POMOCY  SPOŁECZNEJ  ZA  2011 r.</v>
      </c>
      <c r="C661" s="1602"/>
      <c r="D661" s="1602"/>
      <c r="E661" s="1602"/>
    </row>
    <row r="662" spans="2:5" ht="26.25" x14ac:dyDescent="0.4">
      <c r="B662" s="1602" t="str">
        <f>$B$13</f>
        <v>I  PLANOWANE  ZWIĘKSZENIE  LICZBY  MIEJSC  W  2012 r.</v>
      </c>
      <c r="C662" s="1602"/>
      <c r="D662" s="1602"/>
      <c r="E662" s="1602"/>
    </row>
    <row r="663" spans="2:5" ht="15" x14ac:dyDescent="0.2">
      <c r="B663" s="12"/>
      <c r="C663" s="12"/>
      <c r="D663" s="12"/>
      <c r="E663" s="12"/>
    </row>
    <row r="664" spans="2:5" ht="15.75" thickBot="1" x14ac:dyDescent="0.25">
      <c r="B664" s="12"/>
      <c r="C664" s="12"/>
      <c r="D664" s="12"/>
      <c r="E664" s="12"/>
    </row>
    <row r="665" spans="2:5" ht="24.75" thickTop="1" thickBot="1" x14ac:dyDescent="0.25">
      <c r="B665" s="134"/>
      <c r="C665" s="135" t="s">
        <v>7</v>
      </c>
      <c r="D665" s="1599" t="s">
        <v>105</v>
      </c>
      <c r="E665" s="1600"/>
    </row>
    <row r="666" spans="2:5" ht="26.25" x14ac:dyDescent="0.2">
      <c r="B666" s="136" t="s">
        <v>21</v>
      </c>
      <c r="C666" s="137" t="s">
        <v>106</v>
      </c>
      <c r="D666" s="138" t="s">
        <v>22</v>
      </c>
      <c r="E666" s="139" t="s">
        <v>23</v>
      </c>
    </row>
    <row r="667" spans="2:5" ht="24" thickBot="1" x14ac:dyDescent="0.25">
      <c r="B667" s="140"/>
      <c r="C667" s="141" t="s">
        <v>24</v>
      </c>
      <c r="D667" s="142" t="s">
        <v>25</v>
      </c>
      <c r="E667" s="143" t="s">
        <v>26</v>
      </c>
    </row>
    <row r="668" spans="2:5" ht="15.75" thickBot="1" x14ac:dyDescent="0.25">
      <c r="B668" s="786">
        <v>0</v>
      </c>
      <c r="C668" s="787">
        <v>1</v>
      </c>
      <c r="D668" s="788">
        <v>2</v>
      </c>
      <c r="E668" s="789">
        <v>3</v>
      </c>
    </row>
    <row r="669" spans="2:5" ht="21.75" thickTop="1" thickBot="1" x14ac:dyDescent="0.25">
      <c r="B669" s="1159" t="str">
        <f>$B$20</f>
        <v>1. STAN NA DZIEŃ 31 GRUDNIA 2010 r.</v>
      </c>
      <c r="C669" s="372">
        <f>D669+E669</f>
        <v>7811</v>
      </c>
      <c r="D669" s="1488">
        <v>4909</v>
      </c>
      <c r="E669" s="1474">
        <v>2902</v>
      </c>
    </row>
    <row r="670" spans="2:5" ht="21" thickTop="1" x14ac:dyDescent="0.2">
      <c r="B670" s="1160" t="str">
        <f>$B$21</f>
        <v>2. OGÓŁEM ZWIĘKSZENIA W 2011 r. (a+b+c)</v>
      </c>
      <c r="C670" s="373">
        <f>SUM(C672:C674)</f>
        <v>27</v>
      </c>
      <c r="D670" s="375">
        <f>SUM(D672:D674)</f>
        <v>0</v>
      </c>
      <c r="E670" s="376">
        <f>SUM(E672:E674)</f>
        <v>27</v>
      </c>
    </row>
    <row r="671" spans="2:5" ht="21" thickBot="1" x14ac:dyDescent="0.35">
      <c r="B671" s="144" t="s">
        <v>27</v>
      </c>
      <c r="C671" s="374"/>
      <c r="D671" s="152"/>
      <c r="E671" s="153"/>
    </row>
    <row r="672" spans="2:5" ht="21" thickBot="1" x14ac:dyDescent="0.25">
      <c r="B672" s="145" t="s">
        <v>28</v>
      </c>
      <c r="C672" s="383">
        <f>D672+E672</f>
        <v>10</v>
      </c>
      <c r="D672" s="1483">
        <v>0</v>
      </c>
      <c r="E672" s="1476">
        <v>10</v>
      </c>
    </row>
    <row r="673" spans="2:5" ht="21" thickBot="1" x14ac:dyDescent="0.25">
      <c r="B673" s="145" t="s">
        <v>29</v>
      </c>
      <c r="C673" s="383">
        <f>D673+E673</f>
        <v>0</v>
      </c>
      <c r="D673" s="1483">
        <v>0</v>
      </c>
      <c r="E673" s="1476">
        <v>0</v>
      </c>
    </row>
    <row r="674" spans="2:5" ht="21" thickBot="1" x14ac:dyDescent="0.25">
      <c r="B674" s="146" t="s">
        <v>30</v>
      </c>
      <c r="C674" s="384">
        <f>D674+E674</f>
        <v>17</v>
      </c>
      <c r="D674" s="1482">
        <v>0</v>
      </c>
      <c r="E674" s="1478">
        <v>17</v>
      </c>
    </row>
    <row r="675" spans="2:5" ht="21" thickTop="1" x14ac:dyDescent="0.2">
      <c r="B675" s="1161" t="str">
        <f>$B$26</f>
        <v>3. OGÓŁEM ZMNIEJSZENIA W 2011 r. (a+b+c)</v>
      </c>
      <c r="C675" s="377">
        <f>SUM(C677:C679)</f>
        <v>18</v>
      </c>
      <c r="D675" s="378">
        <f>SUM(D677:D679)</f>
        <v>18</v>
      </c>
      <c r="E675" s="379">
        <f>SUM(E677:E679)</f>
        <v>0</v>
      </c>
    </row>
    <row r="676" spans="2:5" ht="21" thickBot="1" x14ac:dyDescent="0.35">
      <c r="B676" s="22" t="s">
        <v>27</v>
      </c>
      <c r="C676" s="154"/>
      <c r="D676" s="155"/>
      <c r="E676" s="156"/>
    </row>
    <row r="677" spans="2:5" ht="21" thickBot="1" x14ac:dyDescent="0.25">
      <c r="B677" s="145" t="s">
        <v>31</v>
      </c>
      <c r="C677" s="383">
        <f>D677+E677</f>
        <v>0</v>
      </c>
      <c r="D677" s="1483">
        <v>0</v>
      </c>
      <c r="E677" s="1476">
        <v>0</v>
      </c>
    </row>
    <row r="678" spans="2:5" ht="21" thickBot="1" x14ac:dyDescent="0.25">
      <c r="B678" s="145" t="s">
        <v>32</v>
      </c>
      <c r="C678" s="383">
        <f>D678+E678</f>
        <v>16</v>
      </c>
      <c r="D678" s="1483">
        <v>16</v>
      </c>
      <c r="E678" s="1476">
        <v>0</v>
      </c>
    </row>
    <row r="679" spans="2:5" ht="21" thickBot="1" x14ac:dyDescent="0.25">
      <c r="B679" s="20" t="s">
        <v>30</v>
      </c>
      <c r="C679" s="377">
        <f>D679+E679</f>
        <v>2</v>
      </c>
      <c r="D679" s="1487">
        <v>2</v>
      </c>
      <c r="E679" s="1480">
        <v>0</v>
      </c>
    </row>
    <row r="680" spans="2:5" ht="21.75" thickTop="1" thickBot="1" x14ac:dyDescent="0.25">
      <c r="B680" s="147" t="s">
        <v>33</v>
      </c>
      <c r="C680" s="380">
        <f>C670-C675</f>
        <v>9</v>
      </c>
      <c r="D680" s="381">
        <f>D670-D675</f>
        <v>-18</v>
      </c>
      <c r="E680" s="382">
        <f>E670-E675</f>
        <v>27</v>
      </c>
    </row>
    <row r="681" spans="2:5" ht="21" thickTop="1" x14ac:dyDescent="0.2">
      <c r="B681" s="1161" t="str">
        <f>$B$33</f>
        <v>5. STAN NA DZIEŃ 31 GRUDNIA 2011 r.</v>
      </c>
      <c r="C681" s="790" t="str">
        <f>IF(C682&gt;C669,"przybyło",IF(C682=C669,"bez zmian","ubyło"))</f>
        <v>przybyło</v>
      </c>
      <c r="D681" s="791" t="str">
        <f>IF(D682&gt;D669,"przybyło",IF(D682=D669,"bez zmian","ubyło"))</f>
        <v>ubyło</v>
      </c>
      <c r="E681" s="792" t="str">
        <f>IF(E682&gt;E669,"przybyło",IF(E682=E669,"bez zmian","ubyło"))</f>
        <v>przybyło</v>
      </c>
    </row>
    <row r="682" spans="2:5" ht="27" thickBot="1" x14ac:dyDescent="0.4">
      <c r="B682" s="23" t="s">
        <v>35</v>
      </c>
      <c r="C682" s="385">
        <f>IF(C669+C670-C675=C669+C680, C669+C670-C675, "UWAGA!")</f>
        <v>7820</v>
      </c>
      <c r="D682" s="386">
        <f>IF(D669+D670-D675=D669+D680, D669+D670-D675, "UWAGA!")</f>
        <v>4891</v>
      </c>
      <c r="E682" s="387">
        <f>IF(E669+E670-E675=E669+E680, E669+E670-E675, "UWAGA!")</f>
        <v>2929</v>
      </c>
    </row>
    <row r="683" spans="2:5" ht="21.75" thickTop="1" thickBot="1" x14ac:dyDescent="0.35">
      <c r="B683" s="148"/>
      <c r="C683" s="160"/>
      <c r="D683" s="160"/>
      <c r="E683" s="160"/>
    </row>
    <row r="684" spans="2:5" ht="21" thickTop="1" x14ac:dyDescent="0.2">
      <c r="B684" s="18" t="s">
        <v>107</v>
      </c>
      <c r="C684" s="161"/>
      <c r="D684" s="162"/>
      <c r="E684" s="163"/>
    </row>
    <row r="685" spans="2:5" ht="20.25" x14ac:dyDescent="0.2">
      <c r="B685" s="1161" t="str">
        <f>$B$37</f>
        <v xml:space="preserve">    MIEJSC W 2012 r. (a + b)</v>
      </c>
      <c r="C685" s="377">
        <f>C687+C692</f>
        <v>19</v>
      </c>
      <c r="D685" s="378">
        <f>D687+D692</f>
        <v>0</v>
      </c>
      <c r="E685" s="379">
        <f>E687+E692</f>
        <v>19</v>
      </c>
    </row>
    <row r="686" spans="2:5" ht="21" thickBot="1" x14ac:dyDescent="0.35">
      <c r="B686" s="149" t="s">
        <v>34</v>
      </c>
      <c r="C686" s="157"/>
      <c r="D686" s="158"/>
      <c r="E686" s="159"/>
    </row>
    <row r="687" spans="2:5" ht="24" thickTop="1" x14ac:dyDescent="0.2">
      <c r="B687" s="150" t="s">
        <v>108</v>
      </c>
      <c r="C687" s="377">
        <f>SUM(C689:C691)</f>
        <v>19</v>
      </c>
      <c r="D687" s="378">
        <f>SUM(D689:D691)</f>
        <v>0</v>
      </c>
      <c r="E687" s="379">
        <f>SUM(E689:E691)</f>
        <v>19</v>
      </c>
    </row>
    <row r="688" spans="2:5" ht="21" thickBot="1" x14ac:dyDescent="0.35">
      <c r="B688" s="22" t="s">
        <v>109</v>
      </c>
      <c r="C688" s="154"/>
      <c r="D688" s="155"/>
      <c r="E688" s="156"/>
    </row>
    <row r="689" spans="2:5" ht="21" thickBot="1" x14ac:dyDescent="0.25">
      <c r="B689" s="145" t="s">
        <v>110</v>
      </c>
      <c r="C689" s="383">
        <f>D689+E689</f>
        <v>0</v>
      </c>
      <c r="D689" s="1481">
        <v>0</v>
      </c>
      <c r="E689" s="1476">
        <v>0</v>
      </c>
    </row>
    <row r="690" spans="2:5" ht="21" thickBot="1" x14ac:dyDescent="0.25">
      <c r="B690" s="145" t="s">
        <v>111</v>
      </c>
      <c r="C690" s="383">
        <f>D690+E690</f>
        <v>0</v>
      </c>
      <c r="D690" s="1481">
        <v>0</v>
      </c>
      <c r="E690" s="1476">
        <v>0</v>
      </c>
    </row>
    <row r="691" spans="2:5" ht="21" thickBot="1" x14ac:dyDescent="0.25">
      <c r="B691" s="146" t="s">
        <v>112</v>
      </c>
      <c r="C691" s="384">
        <f>D691+E691</f>
        <v>19</v>
      </c>
      <c r="D691" s="1482">
        <v>0</v>
      </c>
      <c r="E691" s="1478">
        <v>19</v>
      </c>
    </row>
    <row r="692" spans="2:5" ht="24" thickTop="1" x14ac:dyDescent="0.2">
      <c r="B692" s="150" t="s">
        <v>113</v>
      </c>
      <c r="C692" s="377">
        <f>SUM(C694:C696)</f>
        <v>0</v>
      </c>
      <c r="D692" s="378">
        <f>SUM(D694:D696)</f>
        <v>0</v>
      </c>
      <c r="E692" s="379">
        <f>SUM(E694:E696)</f>
        <v>0</v>
      </c>
    </row>
    <row r="693" spans="2:5" ht="21" thickBot="1" x14ac:dyDescent="0.35">
      <c r="B693" s="22" t="s">
        <v>109</v>
      </c>
      <c r="C693" s="154"/>
      <c r="D693" s="155"/>
      <c r="E693" s="156"/>
    </row>
    <row r="694" spans="2:5" ht="21" thickBot="1" x14ac:dyDescent="0.25">
      <c r="B694" s="145" t="s">
        <v>110</v>
      </c>
      <c r="C694" s="383">
        <f>D694+E694</f>
        <v>0</v>
      </c>
      <c r="D694" s="1483">
        <v>0</v>
      </c>
      <c r="E694" s="1476">
        <v>0</v>
      </c>
    </row>
    <row r="695" spans="2:5" ht="21" thickBot="1" x14ac:dyDescent="0.25">
      <c r="B695" s="145" t="s">
        <v>111</v>
      </c>
      <c r="C695" s="383">
        <f>D695+E695</f>
        <v>0</v>
      </c>
      <c r="D695" s="1483">
        <v>0</v>
      </c>
      <c r="E695" s="1476">
        <v>0</v>
      </c>
    </row>
    <row r="696" spans="2:5" ht="21" thickBot="1" x14ac:dyDescent="0.25">
      <c r="B696" s="151" t="s">
        <v>112</v>
      </c>
      <c r="C696" s="385">
        <f>D696+E696</f>
        <v>0</v>
      </c>
      <c r="D696" s="1484">
        <v>0</v>
      </c>
      <c r="E696" s="1485">
        <v>0</v>
      </c>
    </row>
    <row r="697" spans="2:5" ht="13.5" thickTop="1" x14ac:dyDescent="0.2"/>
    <row r="699" spans="2:5" ht="18" x14ac:dyDescent="0.25">
      <c r="B699" s="11" t="s">
        <v>123</v>
      </c>
    </row>
    <row r="700" spans="2:5" ht="18" x14ac:dyDescent="0.25">
      <c r="B700" s="11"/>
    </row>
    <row r="701" spans="2:5" ht="18" x14ac:dyDescent="0.25">
      <c r="B701" s="11" t="s">
        <v>124</v>
      </c>
    </row>
    <row r="702" spans="2:5" ht="18" x14ac:dyDescent="0.25">
      <c r="B702" s="11"/>
      <c r="E702" s="25" t="s">
        <v>127</v>
      </c>
    </row>
    <row r="703" spans="2:5" ht="20.25" x14ac:dyDescent="0.3">
      <c r="B703" s="11" t="s">
        <v>125</v>
      </c>
      <c r="E703" s="26" t="s">
        <v>126</v>
      </c>
    </row>
    <row r="704" spans="2:5" ht="26.25" x14ac:dyDescent="0.4">
      <c r="B704" s="268"/>
    </row>
    <row r="705" spans="1:5" ht="26.25" x14ac:dyDescent="0.4">
      <c r="A705" s="267">
        <v>26</v>
      </c>
      <c r="B705" s="11" t="s">
        <v>19</v>
      </c>
      <c r="C705" s="12"/>
      <c r="D705" s="13"/>
      <c r="E705" s="14" t="s">
        <v>104</v>
      </c>
    </row>
    <row r="706" spans="1:5" ht="18" x14ac:dyDescent="0.25">
      <c r="B706" s="11" t="s">
        <v>134</v>
      </c>
      <c r="C706" s="12"/>
      <c r="D706" s="12"/>
      <c r="E706" s="15"/>
    </row>
    <row r="707" spans="1:5" ht="18" x14ac:dyDescent="0.25">
      <c r="B707" s="11" t="s">
        <v>122</v>
      </c>
      <c r="C707" s="12"/>
      <c r="E707" s="1193" t="str">
        <f>$E$59</f>
        <v>Termin: 29 luty 2012 r.</v>
      </c>
    </row>
    <row r="708" spans="1:5" ht="18" x14ac:dyDescent="0.25">
      <c r="B708" s="11"/>
      <c r="C708" s="12"/>
      <c r="D708" s="12"/>
      <c r="E708" s="12"/>
    </row>
    <row r="709" spans="1:5" ht="18" x14ac:dyDescent="0.25">
      <c r="B709" s="11"/>
      <c r="C709" s="12"/>
      <c r="D709" s="12"/>
      <c r="E709" s="12"/>
    </row>
    <row r="710" spans="1:5" ht="18" x14ac:dyDescent="0.25">
      <c r="B710" s="11" t="s">
        <v>135</v>
      </c>
      <c r="C710" s="12"/>
      <c r="D710" s="14"/>
      <c r="E710" s="16"/>
    </row>
    <row r="711" spans="1:5" ht="18" x14ac:dyDescent="0.25">
      <c r="B711" s="11"/>
      <c r="C711" s="12"/>
      <c r="D711" s="13"/>
      <c r="E711" s="12"/>
    </row>
    <row r="712" spans="1:5" ht="15" x14ac:dyDescent="0.2">
      <c r="B712" s="12"/>
      <c r="C712" s="12"/>
      <c r="D712" s="12"/>
      <c r="E712" s="12"/>
    </row>
    <row r="713" spans="1:5" ht="20.25" x14ac:dyDescent="0.3">
      <c r="B713" s="183" t="s">
        <v>131</v>
      </c>
      <c r="C713" s="12"/>
      <c r="D713" s="12"/>
      <c r="E713" s="12"/>
    </row>
    <row r="714" spans="1:5" ht="18" x14ac:dyDescent="0.25">
      <c r="B714" s="11"/>
      <c r="C714" s="12"/>
      <c r="D714" s="12"/>
      <c r="E714" s="13"/>
    </row>
    <row r="715" spans="1:5" ht="26.25" x14ac:dyDescent="0.4">
      <c r="B715" s="1602" t="str">
        <f>$B$12</f>
        <v>BILANS  LICZBY  MIEJSC  W  PONADGMINNYCH  DOMACH  POMOCY  SPOŁECZNEJ  ZA  2011 r.</v>
      </c>
      <c r="C715" s="1602"/>
      <c r="D715" s="1602"/>
      <c r="E715" s="1602"/>
    </row>
    <row r="716" spans="1:5" ht="26.25" x14ac:dyDescent="0.4">
      <c r="B716" s="1602" t="str">
        <f>$B$13</f>
        <v>I  PLANOWANE  ZWIĘKSZENIE  LICZBY  MIEJSC  W  2012 r.</v>
      </c>
      <c r="C716" s="1602"/>
      <c r="D716" s="1602"/>
      <c r="E716" s="1602"/>
    </row>
    <row r="717" spans="1:5" ht="15" x14ac:dyDescent="0.2">
      <c r="B717" s="12"/>
      <c r="C717" s="12"/>
      <c r="D717" s="12"/>
      <c r="E717" s="12"/>
    </row>
    <row r="718" spans="1:5" ht="15.75" thickBot="1" x14ac:dyDescent="0.25">
      <c r="B718" s="12"/>
      <c r="C718" s="12"/>
      <c r="D718" s="12"/>
      <c r="E718" s="12"/>
    </row>
    <row r="719" spans="1:5" ht="24.75" thickTop="1" thickBot="1" x14ac:dyDescent="0.25">
      <c r="B719" s="134"/>
      <c r="C719" s="135" t="s">
        <v>7</v>
      </c>
      <c r="D719" s="1599" t="s">
        <v>105</v>
      </c>
      <c r="E719" s="1600"/>
    </row>
    <row r="720" spans="1:5" ht="26.25" x14ac:dyDescent="0.2">
      <c r="B720" s="136" t="s">
        <v>21</v>
      </c>
      <c r="C720" s="137" t="s">
        <v>106</v>
      </c>
      <c r="D720" s="138" t="s">
        <v>22</v>
      </c>
      <c r="E720" s="139" t="s">
        <v>23</v>
      </c>
    </row>
    <row r="721" spans="2:5" ht="24" thickBot="1" x14ac:dyDescent="0.25">
      <c r="B721" s="140"/>
      <c r="C721" s="141" t="s">
        <v>24</v>
      </c>
      <c r="D721" s="142" t="s">
        <v>25</v>
      </c>
      <c r="E721" s="143" t="s">
        <v>26</v>
      </c>
    </row>
    <row r="722" spans="2:5" ht="15.75" thickBot="1" x14ac:dyDescent="0.25">
      <c r="B722" s="786">
        <v>0</v>
      </c>
      <c r="C722" s="787">
        <v>1</v>
      </c>
      <c r="D722" s="788">
        <v>2</v>
      </c>
      <c r="E722" s="789">
        <v>3</v>
      </c>
    </row>
    <row r="723" spans="2:5" ht="21.75" thickTop="1" thickBot="1" x14ac:dyDescent="0.25">
      <c r="B723" s="1159" t="str">
        <f>$B$20</f>
        <v>1. STAN NA DZIEŃ 31 GRUDNIA 2010 r.</v>
      </c>
      <c r="C723" s="927">
        <f>D723+E723</f>
        <v>3233</v>
      </c>
      <c r="D723" s="1488">
        <v>2847</v>
      </c>
      <c r="E723" s="1486">
        <v>386</v>
      </c>
    </row>
    <row r="724" spans="2:5" ht="21" thickTop="1" x14ac:dyDescent="0.2">
      <c r="B724" s="1160" t="str">
        <f>$B$21</f>
        <v>2. OGÓŁEM ZWIĘKSZENIA W 2011 r. (a+b+c)</v>
      </c>
      <c r="C724" s="373">
        <f>SUM(C726:C728)</f>
        <v>46</v>
      </c>
      <c r="D724" s="375">
        <f>SUM(D726:D728)</f>
        <v>0</v>
      </c>
      <c r="E724" s="376">
        <f>SUM(E726:E728)</f>
        <v>46</v>
      </c>
    </row>
    <row r="725" spans="2:5" ht="21" thickBot="1" x14ac:dyDescent="0.35">
      <c r="B725" s="144" t="s">
        <v>27</v>
      </c>
      <c r="C725" s="374"/>
      <c r="D725" s="152"/>
      <c r="E725" s="153"/>
    </row>
    <row r="726" spans="2:5" ht="21" thickBot="1" x14ac:dyDescent="0.25">
      <c r="B726" s="145" t="s">
        <v>28</v>
      </c>
      <c r="C726" s="383">
        <f>D726+E726</f>
        <v>0</v>
      </c>
      <c r="D726" s="1483">
        <v>0</v>
      </c>
      <c r="E726" s="1476">
        <v>0</v>
      </c>
    </row>
    <row r="727" spans="2:5" ht="21" thickBot="1" x14ac:dyDescent="0.25">
      <c r="B727" s="145" t="s">
        <v>29</v>
      </c>
      <c r="C727" s="383">
        <f>D727+E727</f>
        <v>0</v>
      </c>
      <c r="D727" s="1483">
        <v>0</v>
      </c>
      <c r="E727" s="1476">
        <v>0</v>
      </c>
    </row>
    <row r="728" spans="2:5" ht="21" thickBot="1" x14ac:dyDescent="0.25">
      <c r="B728" s="146" t="s">
        <v>30</v>
      </c>
      <c r="C728" s="384">
        <f>D728+E728</f>
        <v>46</v>
      </c>
      <c r="D728" s="1482">
        <v>0</v>
      </c>
      <c r="E728" s="1478">
        <v>46</v>
      </c>
    </row>
    <row r="729" spans="2:5" ht="21" thickTop="1" x14ac:dyDescent="0.2">
      <c r="B729" s="1161" t="str">
        <f>$B$26</f>
        <v>3. OGÓŁEM ZMNIEJSZENIA W 2011 r. (a+b+c)</v>
      </c>
      <c r="C729" s="377">
        <f>SUM(C731:C733)</f>
        <v>20</v>
      </c>
      <c r="D729" s="378">
        <f>SUM(D731:D733)</f>
        <v>0</v>
      </c>
      <c r="E729" s="379">
        <f>SUM(E731:E733)</f>
        <v>20</v>
      </c>
    </row>
    <row r="730" spans="2:5" ht="21" thickBot="1" x14ac:dyDescent="0.35">
      <c r="B730" s="22" t="s">
        <v>27</v>
      </c>
      <c r="C730" s="154"/>
      <c r="D730" s="155"/>
      <c r="E730" s="156"/>
    </row>
    <row r="731" spans="2:5" ht="21" thickBot="1" x14ac:dyDescent="0.25">
      <c r="B731" s="145" t="s">
        <v>31</v>
      </c>
      <c r="C731" s="383">
        <f>D731+E731</f>
        <v>0</v>
      </c>
      <c r="D731" s="1483">
        <v>0</v>
      </c>
      <c r="E731" s="1476">
        <v>0</v>
      </c>
    </row>
    <row r="732" spans="2:5" ht="21" thickBot="1" x14ac:dyDescent="0.25">
      <c r="B732" s="145" t="s">
        <v>32</v>
      </c>
      <c r="C732" s="383">
        <f>D732+E732</f>
        <v>0</v>
      </c>
      <c r="D732" s="1483">
        <v>0</v>
      </c>
      <c r="E732" s="1476">
        <v>0</v>
      </c>
    </row>
    <row r="733" spans="2:5" ht="21" thickBot="1" x14ac:dyDescent="0.25">
      <c r="B733" s="20" t="s">
        <v>30</v>
      </c>
      <c r="C733" s="377">
        <f>D733+E733</f>
        <v>20</v>
      </c>
      <c r="D733" s="1487">
        <v>0</v>
      </c>
      <c r="E733" s="1480">
        <v>20</v>
      </c>
    </row>
    <row r="734" spans="2:5" ht="21.75" thickTop="1" thickBot="1" x14ac:dyDescent="0.25">
      <c r="B734" s="147" t="s">
        <v>33</v>
      </c>
      <c r="C734" s="380">
        <f>C724-C729</f>
        <v>26</v>
      </c>
      <c r="D734" s="381">
        <f>D724-D729</f>
        <v>0</v>
      </c>
      <c r="E734" s="382">
        <f>E724-E729</f>
        <v>26</v>
      </c>
    </row>
    <row r="735" spans="2:5" ht="21" thickTop="1" x14ac:dyDescent="0.2">
      <c r="B735" s="1161" t="str">
        <f>$B$33</f>
        <v>5. STAN NA DZIEŃ 31 GRUDNIA 2011 r.</v>
      </c>
      <c r="C735" s="790" t="str">
        <f>IF(C736&gt;C723,"przybyło",IF(C736=C723,"bez zmian","ubyło"))</f>
        <v>przybyło</v>
      </c>
      <c r="D735" s="791" t="str">
        <f>IF(D736&gt;D723,"przybyło",IF(D736=D723,"bez zmian","ubyło"))</f>
        <v>bez zmian</v>
      </c>
      <c r="E735" s="792" t="str">
        <f>IF(E736&gt;E723,"przybyło",IF(E736=E723,"bez zmian","ubyło"))</f>
        <v>przybyło</v>
      </c>
    </row>
    <row r="736" spans="2:5" ht="27" thickBot="1" x14ac:dyDescent="0.4">
      <c r="B736" s="23" t="s">
        <v>35</v>
      </c>
      <c r="C736" s="385">
        <f>IF(C723+C724-C729=C723+C734, C723+C724-C729, "UWAGA!")</f>
        <v>3259</v>
      </c>
      <c r="D736" s="386">
        <f>IF(D723+D724-D729=D723+D734, D723+D724-D729, "UWAGA!")</f>
        <v>2847</v>
      </c>
      <c r="E736" s="387">
        <f>IF(E723+E724-E729=E723+E734, E723+E724-E729, "UWAGA!")</f>
        <v>412</v>
      </c>
    </row>
    <row r="737" spans="2:5" ht="21.75" thickTop="1" thickBot="1" x14ac:dyDescent="0.35">
      <c r="B737" s="148"/>
      <c r="C737" s="160"/>
      <c r="D737" s="160"/>
      <c r="E737" s="160"/>
    </row>
    <row r="738" spans="2:5" ht="21" thickTop="1" x14ac:dyDescent="0.2">
      <c r="B738" s="18" t="s">
        <v>107</v>
      </c>
      <c r="C738" s="161"/>
      <c r="D738" s="162"/>
      <c r="E738" s="163"/>
    </row>
    <row r="739" spans="2:5" ht="20.25" x14ac:dyDescent="0.2">
      <c r="B739" s="1161" t="str">
        <f>$B$37</f>
        <v xml:space="preserve">    MIEJSC W 2012 r. (a + b)</v>
      </c>
      <c r="C739" s="377">
        <f>C741+C746</f>
        <v>0</v>
      </c>
      <c r="D739" s="378">
        <f>D741+D746</f>
        <v>0</v>
      </c>
      <c r="E739" s="379">
        <f>E741+E746</f>
        <v>0</v>
      </c>
    </row>
    <row r="740" spans="2:5" ht="21" thickBot="1" x14ac:dyDescent="0.35">
      <c r="B740" s="149" t="s">
        <v>34</v>
      </c>
      <c r="C740" s="157"/>
      <c r="D740" s="158"/>
      <c r="E740" s="159"/>
    </row>
    <row r="741" spans="2:5" ht="24" thickTop="1" x14ac:dyDescent="0.2">
      <c r="B741" s="150" t="s">
        <v>108</v>
      </c>
      <c r="C741" s="377">
        <f>SUM(C743:C745)</f>
        <v>0</v>
      </c>
      <c r="D741" s="378">
        <f>SUM(D743:D745)</f>
        <v>0</v>
      </c>
      <c r="E741" s="379">
        <f>SUM(E743:E745)</f>
        <v>0</v>
      </c>
    </row>
    <row r="742" spans="2:5" ht="21" thickBot="1" x14ac:dyDescent="0.35">
      <c r="B742" s="22" t="s">
        <v>109</v>
      </c>
      <c r="C742" s="154"/>
      <c r="D742" s="155"/>
      <c r="E742" s="156"/>
    </row>
    <row r="743" spans="2:5" ht="21" thickBot="1" x14ac:dyDescent="0.25">
      <c r="B743" s="145" t="s">
        <v>110</v>
      </c>
      <c r="C743" s="383">
        <f>D743+E743</f>
        <v>0</v>
      </c>
      <c r="D743" s="1481">
        <v>0</v>
      </c>
      <c r="E743" s="1476">
        <v>0</v>
      </c>
    </row>
    <row r="744" spans="2:5" ht="21" thickBot="1" x14ac:dyDescent="0.25">
      <c r="B744" s="145" t="s">
        <v>111</v>
      </c>
      <c r="C744" s="383">
        <f>D744+E744</f>
        <v>0</v>
      </c>
      <c r="D744" s="1481">
        <v>0</v>
      </c>
      <c r="E744" s="1476">
        <v>0</v>
      </c>
    </row>
    <row r="745" spans="2:5" ht="21" thickBot="1" x14ac:dyDescent="0.25">
      <c r="B745" s="146" t="s">
        <v>112</v>
      </c>
      <c r="C745" s="384">
        <f>D745+E745</f>
        <v>0</v>
      </c>
      <c r="D745" s="1482">
        <v>0</v>
      </c>
      <c r="E745" s="1478">
        <v>0</v>
      </c>
    </row>
    <row r="746" spans="2:5" ht="24" thickTop="1" x14ac:dyDescent="0.2">
      <c r="B746" s="150" t="s">
        <v>113</v>
      </c>
      <c r="C746" s="377">
        <f>SUM(C748:C750)</f>
        <v>0</v>
      </c>
      <c r="D746" s="378">
        <f>SUM(D748:D750)</f>
        <v>0</v>
      </c>
      <c r="E746" s="379">
        <f>SUM(E748:E750)</f>
        <v>0</v>
      </c>
    </row>
    <row r="747" spans="2:5" ht="21" thickBot="1" x14ac:dyDescent="0.35">
      <c r="B747" s="22" t="s">
        <v>109</v>
      </c>
      <c r="C747" s="154"/>
      <c r="D747" s="155"/>
      <c r="E747" s="156"/>
    </row>
    <row r="748" spans="2:5" ht="21" thickBot="1" x14ac:dyDescent="0.25">
      <c r="B748" s="145" t="s">
        <v>110</v>
      </c>
      <c r="C748" s="383">
        <f>D748+E748</f>
        <v>0</v>
      </c>
      <c r="D748" s="1483">
        <v>0</v>
      </c>
      <c r="E748" s="1476">
        <v>0</v>
      </c>
    </row>
    <row r="749" spans="2:5" ht="21" thickBot="1" x14ac:dyDescent="0.25">
      <c r="B749" s="145" t="s">
        <v>111</v>
      </c>
      <c r="C749" s="383">
        <f>D749+E749</f>
        <v>0</v>
      </c>
      <c r="D749" s="1483">
        <v>0</v>
      </c>
      <c r="E749" s="1476">
        <v>0</v>
      </c>
    </row>
    <row r="750" spans="2:5" ht="21" thickBot="1" x14ac:dyDescent="0.25">
      <c r="B750" s="151" t="s">
        <v>112</v>
      </c>
      <c r="C750" s="385">
        <f>D750+E750</f>
        <v>0</v>
      </c>
      <c r="D750" s="1484">
        <v>0</v>
      </c>
      <c r="E750" s="1485">
        <v>0</v>
      </c>
    </row>
    <row r="751" spans="2:5" ht="13.5" thickTop="1" x14ac:dyDescent="0.2"/>
    <row r="753" spans="1:5" ht="18" x14ac:dyDescent="0.25">
      <c r="B753" s="11" t="s">
        <v>123</v>
      </c>
    </row>
    <row r="754" spans="1:5" ht="18" x14ac:dyDescent="0.25">
      <c r="B754" s="11"/>
    </row>
    <row r="755" spans="1:5" ht="18" x14ac:dyDescent="0.25">
      <c r="B755" s="11" t="s">
        <v>124</v>
      </c>
    </row>
    <row r="756" spans="1:5" ht="18" x14ac:dyDescent="0.25">
      <c r="B756" s="11"/>
      <c r="E756" s="25" t="s">
        <v>127</v>
      </c>
    </row>
    <row r="757" spans="1:5" ht="20.25" x14ac:dyDescent="0.3">
      <c r="B757" s="11" t="s">
        <v>125</v>
      </c>
      <c r="E757" s="26" t="s">
        <v>126</v>
      </c>
    </row>
    <row r="758" spans="1:5" ht="26.25" x14ac:dyDescent="0.4">
      <c r="A758" s="267">
        <v>28</v>
      </c>
      <c r="B758" s="268"/>
    </row>
    <row r="759" spans="1:5" ht="18" x14ac:dyDescent="0.25">
      <c r="B759" s="11" t="s">
        <v>19</v>
      </c>
      <c r="C759" s="12"/>
      <c r="D759" s="13"/>
      <c r="E759" s="14" t="s">
        <v>104</v>
      </c>
    </row>
    <row r="760" spans="1:5" ht="18" x14ac:dyDescent="0.25">
      <c r="B760" s="11" t="s">
        <v>134</v>
      </c>
      <c r="C760" s="12"/>
      <c r="D760" s="12"/>
      <c r="E760" s="15"/>
    </row>
    <row r="761" spans="1:5" ht="18" x14ac:dyDescent="0.25">
      <c r="B761" s="11" t="s">
        <v>122</v>
      </c>
      <c r="C761" s="12"/>
      <c r="E761" s="1193" t="str">
        <f>$E$59</f>
        <v>Termin: 29 luty 2012 r.</v>
      </c>
    </row>
    <row r="762" spans="1:5" ht="18" x14ac:dyDescent="0.25">
      <c r="B762" s="11"/>
      <c r="C762" s="12"/>
      <c r="D762" s="12"/>
      <c r="E762" s="12"/>
    </row>
    <row r="763" spans="1:5" ht="18" x14ac:dyDescent="0.25">
      <c r="B763" s="11"/>
      <c r="C763" s="12"/>
      <c r="D763" s="12"/>
      <c r="E763" s="12"/>
    </row>
    <row r="764" spans="1:5" ht="18" x14ac:dyDescent="0.25">
      <c r="B764" s="11" t="s">
        <v>135</v>
      </c>
      <c r="C764" s="12"/>
      <c r="D764" s="14"/>
      <c r="E764" s="16"/>
    </row>
    <row r="765" spans="1:5" ht="18" x14ac:dyDescent="0.25">
      <c r="B765" s="11"/>
      <c r="C765" s="12"/>
      <c r="D765" s="13"/>
      <c r="E765" s="12"/>
    </row>
    <row r="766" spans="1:5" ht="15" x14ac:dyDescent="0.2">
      <c r="B766" s="12"/>
      <c r="C766" s="12"/>
      <c r="D766" s="12"/>
      <c r="E766" s="12"/>
    </row>
    <row r="767" spans="1:5" ht="20.25" x14ac:dyDescent="0.3">
      <c r="B767" s="183" t="s">
        <v>131</v>
      </c>
      <c r="C767" s="12"/>
      <c r="D767" s="12"/>
      <c r="E767" s="12"/>
    </row>
    <row r="768" spans="1:5" ht="18" x14ac:dyDescent="0.25">
      <c r="B768" s="11"/>
      <c r="C768" s="12"/>
      <c r="D768" s="12"/>
      <c r="E768" s="13"/>
    </row>
    <row r="769" spans="2:5" ht="26.25" x14ac:dyDescent="0.4">
      <c r="B769" s="1602" t="str">
        <f>$B$12</f>
        <v>BILANS  LICZBY  MIEJSC  W  PONADGMINNYCH  DOMACH  POMOCY  SPOŁECZNEJ  ZA  2011 r.</v>
      </c>
      <c r="C769" s="1602"/>
      <c r="D769" s="1602"/>
      <c r="E769" s="1602"/>
    </row>
    <row r="770" spans="2:5" ht="26.25" x14ac:dyDescent="0.4">
      <c r="B770" s="1602" t="str">
        <f>$B$13</f>
        <v>I  PLANOWANE  ZWIĘKSZENIE  LICZBY  MIEJSC  W  2012 r.</v>
      </c>
      <c r="C770" s="1602"/>
      <c r="D770" s="1602"/>
      <c r="E770" s="1602"/>
    </row>
    <row r="771" spans="2:5" ht="15" x14ac:dyDescent="0.2">
      <c r="B771" s="12"/>
      <c r="C771" s="12"/>
      <c r="D771" s="12"/>
      <c r="E771" s="12"/>
    </row>
    <row r="772" spans="2:5" ht="15.75" thickBot="1" x14ac:dyDescent="0.25">
      <c r="B772" s="12"/>
      <c r="C772" s="12"/>
      <c r="D772" s="12"/>
      <c r="E772" s="12"/>
    </row>
    <row r="773" spans="2:5" ht="24.75" thickTop="1" thickBot="1" x14ac:dyDescent="0.25">
      <c r="B773" s="134"/>
      <c r="C773" s="135" t="s">
        <v>7</v>
      </c>
      <c r="D773" s="1599" t="s">
        <v>105</v>
      </c>
      <c r="E773" s="1600"/>
    </row>
    <row r="774" spans="2:5" ht="26.25" x14ac:dyDescent="0.2">
      <c r="B774" s="136" t="s">
        <v>21</v>
      </c>
      <c r="C774" s="137" t="s">
        <v>106</v>
      </c>
      <c r="D774" s="138" t="s">
        <v>22</v>
      </c>
      <c r="E774" s="139" t="s">
        <v>23</v>
      </c>
    </row>
    <row r="775" spans="2:5" ht="24" thickBot="1" x14ac:dyDescent="0.25">
      <c r="B775" s="140"/>
      <c r="C775" s="141" t="s">
        <v>24</v>
      </c>
      <c r="D775" s="142" t="s">
        <v>25</v>
      </c>
      <c r="E775" s="143" t="s">
        <v>26</v>
      </c>
    </row>
    <row r="776" spans="2:5" ht="15.75" thickBot="1" x14ac:dyDescent="0.25">
      <c r="B776" s="786">
        <v>0</v>
      </c>
      <c r="C776" s="787">
        <v>1</v>
      </c>
      <c r="D776" s="788">
        <v>2</v>
      </c>
      <c r="E776" s="789">
        <v>3</v>
      </c>
    </row>
    <row r="777" spans="2:5" ht="21.75" thickTop="1" thickBot="1" x14ac:dyDescent="0.25">
      <c r="B777" s="1159" t="str">
        <f>$B$20</f>
        <v>1. STAN NA DZIEŃ 31 GRUDNIA 2010 r.</v>
      </c>
      <c r="C777" s="927">
        <f>D777+E777</f>
        <v>3576</v>
      </c>
      <c r="D777" s="1473">
        <v>2923</v>
      </c>
      <c r="E777" s="1486">
        <v>653</v>
      </c>
    </row>
    <row r="778" spans="2:5" ht="21" thickTop="1" x14ac:dyDescent="0.2">
      <c r="B778" s="1160" t="str">
        <f>$B$21</f>
        <v>2. OGÓŁEM ZWIĘKSZENIA W 2011 r. (a+b+c)</v>
      </c>
      <c r="C778" s="674">
        <f>SUM(C780:C782)</f>
        <v>3</v>
      </c>
      <c r="D778" s="675">
        <f>SUM(D780:D782)</f>
        <v>0</v>
      </c>
      <c r="E778" s="676">
        <f>SUM(E780:E782)</f>
        <v>3</v>
      </c>
    </row>
    <row r="779" spans="2:5" ht="21" thickBot="1" x14ac:dyDescent="0.35">
      <c r="B779" s="144" t="s">
        <v>27</v>
      </c>
      <c r="C779" s="677"/>
      <c r="D779" s="678"/>
      <c r="E779" s="679"/>
    </row>
    <row r="780" spans="2:5" ht="21" thickBot="1" x14ac:dyDescent="0.25">
      <c r="B780" s="145" t="s">
        <v>28</v>
      </c>
      <c r="C780" s="680">
        <f>D780+E780</f>
        <v>3</v>
      </c>
      <c r="D780" s="1489">
        <v>0</v>
      </c>
      <c r="E780" s="1490">
        <v>3</v>
      </c>
    </row>
    <row r="781" spans="2:5" ht="21" thickBot="1" x14ac:dyDescent="0.25">
      <c r="B781" s="145" t="s">
        <v>29</v>
      </c>
      <c r="C781" s="680">
        <f>D781+E781</f>
        <v>0</v>
      </c>
      <c r="D781" s="1489">
        <v>0</v>
      </c>
      <c r="E781" s="1490">
        <v>0</v>
      </c>
    </row>
    <row r="782" spans="2:5" ht="21" thickBot="1" x14ac:dyDescent="0.25">
      <c r="B782" s="146" t="s">
        <v>30</v>
      </c>
      <c r="C782" s="681">
        <f>D782+E782</f>
        <v>0</v>
      </c>
      <c r="D782" s="1491">
        <v>0</v>
      </c>
      <c r="E782" s="1492">
        <v>0</v>
      </c>
    </row>
    <row r="783" spans="2:5" ht="21" thickTop="1" x14ac:dyDescent="0.2">
      <c r="B783" s="1161" t="str">
        <f>$B$26</f>
        <v>3. OGÓŁEM ZMNIEJSZENIA W 2011 r. (a+b+c)</v>
      </c>
      <c r="C783" s="682">
        <f>SUM(C785:C787)</f>
        <v>49</v>
      </c>
      <c r="D783" s="683">
        <f>SUM(D785:D787)</f>
        <v>0</v>
      </c>
      <c r="E783" s="672">
        <f>SUM(E785:E787)</f>
        <v>49</v>
      </c>
    </row>
    <row r="784" spans="2:5" ht="21" thickBot="1" x14ac:dyDescent="0.35">
      <c r="B784" s="22" t="s">
        <v>27</v>
      </c>
      <c r="C784" s="684"/>
      <c r="D784" s="270"/>
      <c r="E784" s="685"/>
    </row>
    <row r="785" spans="2:5" ht="21" thickBot="1" x14ac:dyDescent="0.25">
      <c r="B785" s="145" t="s">
        <v>31</v>
      </c>
      <c r="C785" s="680">
        <f>D785+E785</f>
        <v>0</v>
      </c>
      <c r="D785" s="1489">
        <v>0</v>
      </c>
      <c r="E785" s="1490">
        <v>0</v>
      </c>
    </row>
    <row r="786" spans="2:5" ht="21" thickBot="1" x14ac:dyDescent="0.25">
      <c r="B786" s="145" t="s">
        <v>32</v>
      </c>
      <c r="C786" s="680">
        <f>D786+E786</f>
        <v>0</v>
      </c>
      <c r="D786" s="1489">
        <v>0</v>
      </c>
      <c r="E786" s="1490">
        <v>0</v>
      </c>
    </row>
    <row r="787" spans="2:5" ht="21" thickBot="1" x14ac:dyDescent="0.25">
      <c r="B787" s="20" t="s">
        <v>30</v>
      </c>
      <c r="C787" s="682">
        <f>D787+E787</f>
        <v>49</v>
      </c>
      <c r="D787" s="1493">
        <v>0</v>
      </c>
      <c r="E787" s="1494">
        <v>49</v>
      </c>
    </row>
    <row r="788" spans="2:5" ht="21.75" thickTop="1" thickBot="1" x14ac:dyDescent="0.25">
      <c r="B788" s="147" t="s">
        <v>33</v>
      </c>
      <c r="C788" s="686">
        <f>C778-C783</f>
        <v>-46</v>
      </c>
      <c r="D788" s="687">
        <f>D778-D783</f>
        <v>0</v>
      </c>
      <c r="E788" s="688">
        <f>E778-E783</f>
        <v>-46</v>
      </c>
    </row>
    <row r="789" spans="2:5" ht="21" thickTop="1" x14ac:dyDescent="0.2">
      <c r="B789" s="1161" t="str">
        <f>$B$33</f>
        <v>5. STAN NA DZIEŃ 31 GRUDNIA 2011 r.</v>
      </c>
      <c r="C789" s="790" t="str">
        <f>IF(C790&gt;C777,"przybyło",IF(C790=C777,"bez zmian","ubyło"))</f>
        <v>ubyło</v>
      </c>
      <c r="D789" s="791" t="str">
        <f>IF(D790&gt;D777,"przybyło",IF(D790=D777,"bez zmian","ubyło"))</f>
        <v>bez zmian</v>
      </c>
      <c r="E789" s="792" t="str">
        <f>IF(E790&gt;E777,"przybyło",IF(E790=E777,"bez zmian","ubyło"))</f>
        <v>ubyło</v>
      </c>
    </row>
    <row r="790" spans="2:5" ht="27" thickBot="1" x14ac:dyDescent="0.4">
      <c r="B790" s="23" t="s">
        <v>35</v>
      </c>
      <c r="C790" s="924">
        <f>IF(C777+C778-C783=C777+C788, C777+C778-C783, "UWAGA!")</f>
        <v>3530</v>
      </c>
      <c r="D790" s="925">
        <f>IF(D777+D778-D783=D777+D788, D777+D778-D783, "UWAGA!")</f>
        <v>2923</v>
      </c>
      <c r="E790" s="387">
        <f>IF(E777+E778-E783=E777+E788, E777+E778-E783, "UWAGA!")</f>
        <v>607</v>
      </c>
    </row>
    <row r="791" spans="2:5" ht="21.75" thickTop="1" thickBot="1" x14ac:dyDescent="0.35">
      <c r="B791" s="148"/>
      <c r="C791" s="160"/>
      <c r="D791" s="160"/>
      <c r="E791" s="160"/>
    </row>
    <row r="792" spans="2:5" ht="21" thickTop="1" x14ac:dyDescent="0.2">
      <c r="B792" s="18" t="s">
        <v>107</v>
      </c>
      <c r="C792" s="161"/>
      <c r="D792" s="162"/>
      <c r="E792" s="163"/>
    </row>
    <row r="793" spans="2:5" ht="20.25" x14ac:dyDescent="0.2">
      <c r="B793" s="1161" t="str">
        <f>$B$37</f>
        <v xml:space="preserve">    MIEJSC W 2012 r. (a + b)</v>
      </c>
      <c r="C793" s="377">
        <f>C795+C800</f>
        <v>2</v>
      </c>
      <c r="D793" s="378">
        <f>D795+D800</f>
        <v>2</v>
      </c>
      <c r="E793" s="672">
        <f>E795+E800</f>
        <v>0</v>
      </c>
    </row>
    <row r="794" spans="2:5" ht="21" thickBot="1" x14ac:dyDescent="0.35">
      <c r="B794" s="149" t="s">
        <v>34</v>
      </c>
      <c r="C794" s="157"/>
      <c r="D794" s="158"/>
      <c r="E794" s="673"/>
    </row>
    <row r="795" spans="2:5" ht="24" thickTop="1" x14ac:dyDescent="0.2">
      <c r="B795" s="150" t="s">
        <v>108</v>
      </c>
      <c r="C795" s="377">
        <f>SUM(C797:C799)</f>
        <v>0</v>
      </c>
      <c r="D795" s="378">
        <f>SUM(D797:D799)</f>
        <v>0</v>
      </c>
      <c r="E795" s="672">
        <f>SUM(E797:E799)</f>
        <v>0</v>
      </c>
    </row>
    <row r="796" spans="2:5" ht="21" thickBot="1" x14ac:dyDescent="0.35">
      <c r="B796" s="22" t="s">
        <v>109</v>
      </c>
      <c r="C796" s="154"/>
      <c r="D796" s="155"/>
      <c r="E796" s="156"/>
    </row>
    <row r="797" spans="2:5" ht="21" thickBot="1" x14ac:dyDescent="0.25">
      <c r="B797" s="145" t="s">
        <v>110</v>
      </c>
      <c r="C797" s="383">
        <f>D797+E797</f>
        <v>0</v>
      </c>
      <c r="D797" s="1481">
        <v>0</v>
      </c>
      <c r="E797" s="1476">
        <v>0</v>
      </c>
    </row>
    <row r="798" spans="2:5" ht="21" thickBot="1" x14ac:dyDescent="0.25">
      <c r="B798" s="145" t="s">
        <v>111</v>
      </c>
      <c r="C798" s="383">
        <f>D798+E798</f>
        <v>0</v>
      </c>
      <c r="D798" s="1481">
        <v>0</v>
      </c>
      <c r="E798" s="1476">
        <v>0</v>
      </c>
    </row>
    <row r="799" spans="2:5" ht="21" thickBot="1" x14ac:dyDescent="0.25">
      <c r="B799" s="146" t="s">
        <v>112</v>
      </c>
      <c r="C799" s="384">
        <f>D799+E799</f>
        <v>0</v>
      </c>
      <c r="D799" s="1482">
        <v>0</v>
      </c>
      <c r="E799" s="1478">
        <v>0</v>
      </c>
    </row>
    <row r="800" spans="2:5" ht="24" thickTop="1" x14ac:dyDescent="0.2">
      <c r="B800" s="150" t="s">
        <v>113</v>
      </c>
      <c r="C800" s="377">
        <f>SUM(C802:C804)</f>
        <v>2</v>
      </c>
      <c r="D800" s="378">
        <f>SUM(D802:D804)</f>
        <v>2</v>
      </c>
      <c r="E800" s="379">
        <f>SUM(E802:E804)</f>
        <v>0</v>
      </c>
    </row>
    <row r="801" spans="1:5" ht="21" thickBot="1" x14ac:dyDescent="0.35">
      <c r="B801" s="22" t="s">
        <v>109</v>
      </c>
      <c r="C801" s="154"/>
      <c r="D801" s="155"/>
      <c r="E801" s="156"/>
    </row>
    <row r="802" spans="1:5" ht="21" thickBot="1" x14ac:dyDescent="0.25">
      <c r="B802" s="145" t="s">
        <v>110</v>
      </c>
      <c r="C802" s="383">
        <f>D802+E802</f>
        <v>2</v>
      </c>
      <c r="D802" s="1483">
        <v>2</v>
      </c>
      <c r="E802" s="1476">
        <v>0</v>
      </c>
    </row>
    <row r="803" spans="1:5" ht="21" thickBot="1" x14ac:dyDescent="0.25">
      <c r="B803" s="145" t="s">
        <v>111</v>
      </c>
      <c r="C803" s="383">
        <f>D803+E803</f>
        <v>0</v>
      </c>
      <c r="D803" s="1483">
        <v>0</v>
      </c>
      <c r="E803" s="1476">
        <v>0</v>
      </c>
    </row>
    <row r="804" spans="1:5" ht="21" thickBot="1" x14ac:dyDescent="0.25">
      <c r="B804" s="151" t="s">
        <v>112</v>
      </c>
      <c r="C804" s="385">
        <f>D804+E804</f>
        <v>0</v>
      </c>
      <c r="D804" s="1484">
        <v>0</v>
      </c>
      <c r="E804" s="1485">
        <v>0</v>
      </c>
    </row>
    <row r="805" spans="1:5" ht="13.5" thickTop="1" x14ac:dyDescent="0.2"/>
    <row r="807" spans="1:5" ht="18" x14ac:dyDescent="0.25">
      <c r="B807" s="11" t="s">
        <v>123</v>
      </c>
    </row>
    <row r="808" spans="1:5" ht="18" x14ac:dyDescent="0.25">
      <c r="B808" s="11"/>
    </row>
    <row r="809" spans="1:5" ht="18" x14ac:dyDescent="0.25">
      <c r="B809" s="11" t="s">
        <v>124</v>
      </c>
    </row>
    <row r="810" spans="1:5" ht="18" x14ac:dyDescent="0.25">
      <c r="B810" s="11"/>
      <c r="E810" s="25" t="s">
        <v>127</v>
      </c>
    </row>
    <row r="811" spans="1:5" ht="20.25" x14ac:dyDescent="0.3">
      <c r="B811" s="11" t="s">
        <v>125</v>
      </c>
      <c r="E811" s="26" t="s">
        <v>126</v>
      </c>
    </row>
    <row r="812" spans="1:5" ht="26.25" x14ac:dyDescent="0.4">
      <c r="B812" s="268"/>
    </row>
    <row r="813" spans="1:5" ht="26.25" x14ac:dyDescent="0.4">
      <c r="A813" s="267">
        <v>30</v>
      </c>
      <c r="B813" s="11" t="s">
        <v>19</v>
      </c>
      <c r="C813" s="12"/>
      <c r="D813" s="13"/>
      <c r="E813" s="14" t="s">
        <v>104</v>
      </c>
    </row>
    <row r="814" spans="1:5" ht="18" x14ac:dyDescent="0.25">
      <c r="B814" s="11" t="s">
        <v>134</v>
      </c>
      <c r="C814" s="12"/>
      <c r="D814" s="12"/>
      <c r="E814" s="15"/>
    </row>
    <row r="815" spans="1:5" ht="18" x14ac:dyDescent="0.25">
      <c r="B815" s="11" t="s">
        <v>122</v>
      </c>
      <c r="C815" s="12"/>
      <c r="E815" s="1193" t="str">
        <f>$E$59</f>
        <v>Termin: 29 luty 2012 r.</v>
      </c>
    </row>
    <row r="816" spans="1:5" ht="18" x14ac:dyDescent="0.25">
      <c r="B816" s="11"/>
      <c r="C816" s="12"/>
      <c r="D816" s="12"/>
      <c r="E816" s="12"/>
    </row>
    <row r="817" spans="2:5" ht="18" x14ac:dyDescent="0.25">
      <c r="B817" s="11"/>
      <c r="C817" s="12"/>
      <c r="D817" s="12"/>
      <c r="E817" s="12"/>
    </row>
    <row r="818" spans="2:5" ht="18" x14ac:dyDescent="0.25">
      <c r="B818" s="11" t="s">
        <v>135</v>
      </c>
      <c r="C818" s="12"/>
      <c r="D818" s="14"/>
      <c r="E818" s="16"/>
    </row>
    <row r="819" spans="2:5" ht="18" x14ac:dyDescent="0.25">
      <c r="B819" s="11"/>
      <c r="C819" s="12"/>
      <c r="D819" s="13"/>
      <c r="E819" s="12"/>
    </row>
    <row r="820" spans="2:5" ht="15" x14ac:dyDescent="0.2">
      <c r="B820" s="12"/>
      <c r="C820" s="12"/>
      <c r="D820" s="12"/>
      <c r="E820" s="12"/>
    </row>
    <row r="821" spans="2:5" ht="20.25" x14ac:dyDescent="0.3">
      <c r="B821" s="183" t="s">
        <v>131</v>
      </c>
      <c r="C821" s="12"/>
      <c r="D821" s="12"/>
      <c r="E821" s="12"/>
    </row>
    <row r="822" spans="2:5" ht="18" x14ac:dyDescent="0.25">
      <c r="B822" s="11"/>
      <c r="C822" s="12"/>
      <c r="D822" s="12"/>
      <c r="E822" s="13"/>
    </row>
    <row r="823" spans="2:5" ht="26.25" x14ac:dyDescent="0.4">
      <c r="B823" s="1602" t="str">
        <f>$B$12</f>
        <v>BILANS  LICZBY  MIEJSC  W  PONADGMINNYCH  DOMACH  POMOCY  SPOŁECZNEJ  ZA  2011 r.</v>
      </c>
      <c r="C823" s="1602"/>
      <c r="D823" s="1602"/>
      <c r="E823" s="1602"/>
    </row>
    <row r="824" spans="2:5" ht="26.25" x14ac:dyDescent="0.4">
      <c r="B824" s="1602" t="str">
        <f>$B$13</f>
        <v>I  PLANOWANE  ZWIĘKSZENIE  LICZBY  MIEJSC  W  2012 r.</v>
      </c>
      <c r="C824" s="1602"/>
      <c r="D824" s="1602"/>
      <c r="E824" s="1602"/>
    </row>
    <row r="825" spans="2:5" ht="15" x14ac:dyDescent="0.2">
      <c r="B825" s="12"/>
      <c r="C825" s="12"/>
      <c r="D825" s="12"/>
      <c r="E825" s="12"/>
    </row>
    <row r="826" spans="2:5" ht="15.75" thickBot="1" x14ac:dyDescent="0.25">
      <c r="B826" s="12"/>
      <c r="C826" s="12"/>
      <c r="D826" s="12"/>
      <c r="E826" s="12"/>
    </row>
    <row r="827" spans="2:5" ht="24.75" thickTop="1" thickBot="1" x14ac:dyDescent="0.25">
      <c r="B827" s="134"/>
      <c r="C827" s="135" t="s">
        <v>7</v>
      </c>
      <c r="D827" s="1599" t="s">
        <v>105</v>
      </c>
      <c r="E827" s="1600"/>
    </row>
    <row r="828" spans="2:5" ht="26.25" x14ac:dyDescent="0.2">
      <c r="B828" s="136" t="s">
        <v>21</v>
      </c>
      <c r="C828" s="137" t="s">
        <v>106</v>
      </c>
      <c r="D828" s="138" t="s">
        <v>22</v>
      </c>
      <c r="E828" s="139" t="s">
        <v>23</v>
      </c>
    </row>
    <row r="829" spans="2:5" ht="24" thickBot="1" x14ac:dyDescent="0.25">
      <c r="B829" s="140"/>
      <c r="C829" s="141" t="s">
        <v>24</v>
      </c>
      <c r="D829" s="142" t="s">
        <v>25</v>
      </c>
      <c r="E829" s="143" t="s">
        <v>26</v>
      </c>
    </row>
    <row r="830" spans="2:5" ht="15.75" thickBot="1" x14ac:dyDescent="0.25">
      <c r="B830" s="786">
        <v>0</v>
      </c>
      <c r="C830" s="787">
        <v>1</v>
      </c>
      <c r="D830" s="788">
        <v>2</v>
      </c>
      <c r="E830" s="789">
        <v>3</v>
      </c>
    </row>
    <row r="831" spans="2:5" ht="21.75" thickTop="1" thickBot="1" x14ac:dyDescent="0.25">
      <c r="B831" s="1159" t="str">
        <f>$B$20</f>
        <v>1. STAN NA DZIEŃ 31 GRUDNIA 2010 r.</v>
      </c>
      <c r="C831" s="372">
        <f>D831+E831</f>
        <v>6286</v>
      </c>
      <c r="D831" s="1488">
        <v>5244</v>
      </c>
      <c r="E831" s="1474">
        <v>1042</v>
      </c>
    </row>
    <row r="832" spans="2:5" ht="21" thickTop="1" x14ac:dyDescent="0.2">
      <c r="B832" s="1160" t="str">
        <f>$B$21</f>
        <v>2. OGÓŁEM ZWIĘKSZENIA W 2011 r. (a+b+c)</v>
      </c>
      <c r="C832" s="373">
        <f>SUM(C834:C836)</f>
        <v>19</v>
      </c>
      <c r="D832" s="375">
        <f>SUM(D834:D836)</f>
        <v>19</v>
      </c>
      <c r="E832" s="376">
        <f>SUM(E834:E836)</f>
        <v>0</v>
      </c>
    </row>
    <row r="833" spans="2:5" ht="21" thickBot="1" x14ac:dyDescent="0.35">
      <c r="B833" s="144" t="s">
        <v>27</v>
      </c>
      <c r="C833" s="374"/>
      <c r="D833" s="152"/>
      <c r="E833" s="153"/>
    </row>
    <row r="834" spans="2:5" ht="21" thickBot="1" x14ac:dyDescent="0.25">
      <c r="B834" s="145" t="s">
        <v>28</v>
      </c>
      <c r="C834" s="383">
        <f>D834+E834</f>
        <v>19</v>
      </c>
      <c r="D834" s="1483">
        <v>19</v>
      </c>
      <c r="E834" s="1476">
        <v>0</v>
      </c>
    </row>
    <row r="835" spans="2:5" ht="21" thickBot="1" x14ac:dyDescent="0.25">
      <c r="B835" s="145" t="s">
        <v>29</v>
      </c>
      <c r="C835" s="383">
        <f>D835+E835</f>
        <v>0</v>
      </c>
      <c r="D835" s="1483">
        <v>0</v>
      </c>
      <c r="E835" s="1476">
        <v>0</v>
      </c>
    </row>
    <row r="836" spans="2:5" ht="21" thickBot="1" x14ac:dyDescent="0.25">
      <c r="B836" s="146" t="s">
        <v>30</v>
      </c>
      <c r="C836" s="384">
        <f>D836+E836</f>
        <v>0</v>
      </c>
      <c r="D836" s="1482">
        <v>0</v>
      </c>
      <c r="E836" s="1478">
        <v>0</v>
      </c>
    </row>
    <row r="837" spans="2:5" ht="21" thickTop="1" x14ac:dyDescent="0.2">
      <c r="B837" s="1161" t="str">
        <f>$B$26</f>
        <v>3. OGÓŁEM ZMNIEJSZENIA W 2011 r. (a+b+c)</v>
      </c>
      <c r="C837" s="377">
        <f>SUM(C839:C841)</f>
        <v>12</v>
      </c>
      <c r="D837" s="378">
        <f>SUM(D839:D841)</f>
        <v>12</v>
      </c>
      <c r="E837" s="379">
        <f>SUM(E839:E841)</f>
        <v>0</v>
      </c>
    </row>
    <row r="838" spans="2:5" ht="21" thickBot="1" x14ac:dyDescent="0.35">
      <c r="B838" s="22" t="s">
        <v>27</v>
      </c>
      <c r="C838" s="154"/>
      <c r="D838" s="155"/>
      <c r="E838" s="156"/>
    </row>
    <row r="839" spans="2:5" ht="21" thickBot="1" x14ac:dyDescent="0.25">
      <c r="B839" s="145" t="s">
        <v>31</v>
      </c>
      <c r="C839" s="383">
        <f>D839+E839</f>
        <v>0</v>
      </c>
      <c r="D839" s="1483">
        <v>0</v>
      </c>
      <c r="E839" s="1476">
        <v>0</v>
      </c>
    </row>
    <row r="840" spans="2:5" ht="21" thickBot="1" x14ac:dyDescent="0.25">
      <c r="B840" s="145" t="s">
        <v>32</v>
      </c>
      <c r="C840" s="383">
        <f>D840+E840</f>
        <v>0</v>
      </c>
      <c r="D840" s="1483">
        <v>0</v>
      </c>
      <c r="E840" s="1476">
        <v>0</v>
      </c>
    </row>
    <row r="841" spans="2:5" ht="21" thickBot="1" x14ac:dyDescent="0.25">
      <c r="B841" s="20" t="s">
        <v>30</v>
      </c>
      <c r="C841" s="377">
        <f>D841+E841</f>
        <v>12</v>
      </c>
      <c r="D841" s="1487">
        <v>12</v>
      </c>
      <c r="E841" s="1480">
        <v>0</v>
      </c>
    </row>
    <row r="842" spans="2:5" ht="21.75" thickTop="1" thickBot="1" x14ac:dyDescent="0.25">
      <c r="B842" s="147" t="s">
        <v>33</v>
      </c>
      <c r="C842" s="380">
        <f>C832-C837</f>
        <v>7</v>
      </c>
      <c r="D842" s="381">
        <f>D832-D837</f>
        <v>7</v>
      </c>
      <c r="E842" s="382">
        <f>E832-E837</f>
        <v>0</v>
      </c>
    </row>
    <row r="843" spans="2:5" ht="21" thickTop="1" x14ac:dyDescent="0.2">
      <c r="B843" s="1161" t="str">
        <f>$B$33</f>
        <v>5. STAN NA DZIEŃ 31 GRUDNIA 2011 r.</v>
      </c>
      <c r="C843" s="790" t="str">
        <f>IF(C844&gt;C831,"przybyło",IF(C844=C831,"bez zmian","ubyło"))</f>
        <v>przybyło</v>
      </c>
      <c r="D843" s="791" t="str">
        <f>IF(D844&gt;D831,"przybyło",IF(D844=D831,"bez zmian","ubyło"))</f>
        <v>przybyło</v>
      </c>
      <c r="E843" s="792" t="str">
        <f>IF(E844&gt;E831,"przybyło",IF(E844=E831,"bez zmian","ubyło"))</f>
        <v>bez zmian</v>
      </c>
    </row>
    <row r="844" spans="2:5" ht="27" thickBot="1" x14ac:dyDescent="0.4">
      <c r="B844" s="23" t="s">
        <v>35</v>
      </c>
      <c r="C844" s="385">
        <f>IF(C831+C832-C837=C831+C842, C831+C832-C837, "UWAGA!")</f>
        <v>6293</v>
      </c>
      <c r="D844" s="386">
        <f>IF(D831+D832-D837=D831+D842, D831+D832-D837, "UWAGA!")</f>
        <v>5251</v>
      </c>
      <c r="E844" s="387">
        <f>IF(E831+E832-E837=E831+E842, E831+E832-E837, "UWAGA!")</f>
        <v>1042</v>
      </c>
    </row>
    <row r="845" spans="2:5" ht="21.75" thickTop="1" thickBot="1" x14ac:dyDescent="0.35">
      <c r="B845" s="148"/>
      <c r="C845" s="160"/>
      <c r="D845" s="160"/>
      <c r="E845" s="160"/>
    </row>
    <row r="846" spans="2:5" ht="21" thickTop="1" x14ac:dyDescent="0.2">
      <c r="B846" s="18" t="s">
        <v>107</v>
      </c>
      <c r="C846" s="161"/>
      <c r="D846" s="162"/>
      <c r="E846" s="163"/>
    </row>
    <row r="847" spans="2:5" ht="20.25" x14ac:dyDescent="0.2">
      <c r="B847" s="1161" t="str">
        <f>$B$37</f>
        <v xml:space="preserve">    MIEJSC W 2012 r. (a + b)</v>
      </c>
      <c r="C847" s="377">
        <f>C849+C854</f>
        <v>10</v>
      </c>
      <c r="D847" s="378">
        <f>D849+D854</f>
        <v>10</v>
      </c>
      <c r="E847" s="379">
        <f>E849+E854</f>
        <v>0</v>
      </c>
    </row>
    <row r="848" spans="2:5" ht="21" thickBot="1" x14ac:dyDescent="0.35">
      <c r="B848" s="149" t="s">
        <v>34</v>
      </c>
      <c r="C848" s="157"/>
      <c r="D848" s="158"/>
      <c r="E848" s="159"/>
    </row>
    <row r="849" spans="2:5" ht="24" thickTop="1" x14ac:dyDescent="0.2">
      <c r="B849" s="150" t="s">
        <v>108</v>
      </c>
      <c r="C849" s="377">
        <f>SUM(C851:C853)</f>
        <v>10</v>
      </c>
      <c r="D849" s="378">
        <f>SUM(D851:D853)</f>
        <v>10</v>
      </c>
      <c r="E849" s="379">
        <f>SUM(E851:E853)</f>
        <v>0</v>
      </c>
    </row>
    <row r="850" spans="2:5" ht="21" thickBot="1" x14ac:dyDescent="0.35">
      <c r="B850" s="22" t="s">
        <v>109</v>
      </c>
      <c r="C850" s="154"/>
      <c r="D850" s="155"/>
      <c r="E850" s="156"/>
    </row>
    <row r="851" spans="2:5" ht="21" thickBot="1" x14ac:dyDescent="0.25">
      <c r="B851" s="145" t="s">
        <v>110</v>
      </c>
      <c r="C851" s="383">
        <f>D851+E851</f>
        <v>10</v>
      </c>
      <c r="D851" s="1481">
        <v>10</v>
      </c>
      <c r="E851" s="1476">
        <v>0</v>
      </c>
    </row>
    <row r="852" spans="2:5" ht="21" thickBot="1" x14ac:dyDescent="0.25">
      <c r="B852" s="145" t="s">
        <v>111</v>
      </c>
      <c r="C852" s="383">
        <f>D852+E852</f>
        <v>0</v>
      </c>
      <c r="D852" s="1481">
        <v>0</v>
      </c>
      <c r="E852" s="1476">
        <v>0</v>
      </c>
    </row>
    <row r="853" spans="2:5" ht="21" thickBot="1" x14ac:dyDescent="0.25">
      <c r="B853" s="146" t="s">
        <v>112</v>
      </c>
      <c r="C853" s="384">
        <f>D853+E853</f>
        <v>0</v>
      </c>
      <c r="D853" s="1482">
        <v>0</v>
      </c>
      <c r="E853" s="1478">
        <v>0</v>
      </c>
    </row>
    <row r="854" spans="2:5" ht="24" thickTop="1" x14ac:dyDescent="0.2">
      <c r="B854" s="150" t="s">
        <v>113</v>
      </c>
      <c r="C854" s="377">
        <f>SUM(C856:C858)</f>
        <v>0</v>
      </c>
      <c r="D854" s="378">
        <f>SUM(D856:D858)</f>
        <v>0</v>
      </c>
      <c r="E854" s="379">
        <f>SUM(E856:E858)</f>
        <v>0</v>
      </c>
    </row>
    <row r="855" spans="2:5" ht="21" thickBot="1" x14ac:dyDescent="0.35">
      <c r="B855" s="22" t="s">
        <v>109</v>
      </c>
      <c r="C855" s="154"/>
      <c r="D855" s="155"/>
      <c r="E855" s="156"/>
    </row>
    <row r="856" spans="2:5" ht="21" thickBot="1" x14ac:dyDescent="0.25">
      <c r="B856" s="145" t="s">
        <v>110</v>
      </c>
      <c r="C856" s="383">
        <f>D856+E856</f>
        <v>0</v>
      </c>
      <c r="D856" s="1483">
        <v>0</v>
      </c>
      <c r="E856" s="1476">
        <v>0</v>
      </c>
    </row>
    <row r="857" spans="2:5" ht="21" thickBot="1" x14ac:dyDescent="0.25">
      <c r="B857" s="145" t="s">
        <v>111</v>
      </c>
      <c r="C857" s="383">
        <f>D857+E857</f>
        <v>0</v>
      </c>
      <c r="D857" s="1483">
        <v>0</v>
      </c>
      <c r="E857" s="1476">
        <v>0</v>
      </c>
    </row>
    <row r="858" spans="2:5" ht="21" thickBot="1" x14ac:dyDescent="0.25">
      <c r="B858" s="151" t="s">
        <v>112</v>
      </c>
      <c r="C858" s="385">
        <f>D858+E858</f>
        <v>0</v>
      </c>
      <c r="D858" s="1484">
        <v>0</v>
      </c>
      <c r="E858" s="1485">
        <v>0</v>
      </c>
    </row>
    <row r="859" spans="2:5" ht="13.5" thickTop="1" x14ac:dyDescent="0.2"/>
    <row r="861" spans="2:5" ht="18" x14ac:dyDescent="0.25">
      <c r="B861" s="11" t="s">
        <v>123</v>
      </c>
    </row>
    <row r="862" spans="2:5" ht="18" x14ac:dyDescent="0.25">
      <c r="B862" s="11"/>
    </row>
    <row r="863" spans="2:5" ht="18" x14ac:dyDescent="0.25">
      <c r="B863" s="11" t="s">
        <v>124</v>
      </c>
    </row>
    <row r="864" spans="2:5" ht="18" x14ac:dyDescent="0.25">
      <c r="B864" s="11"/>
      <c r="E864" s="25" t="s">
        <v>127</v>
      </c>
    </row>
    <row r="865" spans="1:5" ht="20.25" x14ac:dyDescent="0.3">
      <c r="B865" s="11" t="s">
        <v>125</v>
      </c>
      <c r="E865" s="26" t="s">
        <v>126</v>
      </c>
    </row>
    <row r="866" spans="1:5" ht="26.25" x14ac:dyDescent="0.4">
      <c r="B866" s="268"/>
    </row>
    <row r="867" spans="1:5" ht="26.25" x14ac:dyDescent="0.4">
      <c r="A867" s="267">
        <v>32</v>
      </c>
      <c r="B867" s="11" t="s">
        <v>19</v>
      </c>
      <c r="C867" s="12"/>
      <c r="D867" s="13"/>
      <c r="E867" s="14" t="s">
        <v>104</v>
      </c>
    </row>
    <row r="868" spans="1:5" ht="18" x14ac:dyDescent="0.25">
      <c r="B868" s="11" t="s">
        <v>134</v>
      </c>
      <c r="C868" s="12"/>
      <c r="D868" s="12"/>
      <c r="E868" s="15"/>
    </row>
    <row r="869" spans="1:5" ht="18" x14ac:dyDescent="0.25">
      <c r="B869" s="11" t="s">
        <v>122</v>
      </c>
      <c r="C869" s="12"/>
      <c r="E869" s="1193" t="str">
        <f>$E$59</f>
        <v>Termin: 29 luty 2012 r.</v>
      </c>
    </row>
    <row r="870" spans="1:5" ht="18" x14ac:dyDescent="0.25">
      <c r="B870" s="11"/>
      <c r="C870" s="12"/>
      <c r="D870" s="12"/>
      <c r="E870" s="12"/>
    </row>
    <row r="871" spans="1:5" ht="18" x14ac:dyDescent="0.25">
      <c r="B871" s="11"/>
      <c r="C871" s="12"/>
      <c r="D871" s="12"/>
      <c r="E871" s="12"/>
    </row>
    <row r="872" spans="1:5" ht="18" x14ac:dyDescent="0.25">
      <c r="B872" s="11" t="s">
        <v>135</v>
      </c>
      <c r="C872" s="12"/>
      <c r="D872" s="14"/>
      <c r="E872" s="16"/>
    </row>
    <row r="873" spans="1:5" ht="18" x14ac:dyDescent="0.25">
      <c r="B873" s="11"/>
      <c r="C873" s="12"/>
      <c r="D873" s="13"/>
      <c r="E873" s="12"/>
    </row>
    <row r="874" spans="1:5" ht="15" x14ac:dyDescent="0.2">
      <c r="B874" s="12"/>
      <c r="C874" s="12"/>
      <c r="D874" s="12"/>
      <c r="E874" s="12"/>
    </row>
    <row r="875" spans="1:5" ht="20.25" x14ac:dyDescent="0.3">
      <c r="B875" s="183" t="s">
        <v>131</v>
      </c>
      <c r="C875" s="12"/>
      <c r="D875" s="12"/>
      <c r="E875" s="12"/>
    </row>
    <row r="876" spans="1:5" ht="18" x14ac:dyDescent="0.25">
      <c r="B876" s="11"/>
      <c r="C876" s="12"/>
      <c r="D876" s="12"/>
      <c r="E876" s="13"/>
    </row>
    <row r="877" spans="1:5" ht="26.25" x14ac:dyDescent="0.4">
      <c r="B877" s="1602" t="str">
        <f>$B$12</f>
        <v>BILANS  LICZBY  MIEJSC  W  PONADGMINNYCH  DOMACH  POMOCY  SPOŁECZNEJ  ZA  2011 r.</v>
      </c>
      <c r="C877" s="1602"/>
      <c r="D877" s="1602"/>
      <c r="E877" s="1602"/>
    </row>
    <row r="878" spans="1:5" ht="26.25" x14ac:dyDescent="0.4">
      <c r="B878" s="1602" t="str">
        <f>$B$13</f>
        <v>I  PLANOWANE  ZWIĘKSZENIE  LICZBY  MIEJSC  W  2012 r.</v>
      </c>
      <c r="C878" s="1602"/>
      <c r="D878" s="1602"/>
      <c r="E878" s="1602"/>
    </row>
    <row r="879" spans="1:5" ht="15" x14ac:dyDescent="0.2">
      <c r="B879" s="12"/>
      <c r="C879" s="12"/>
      <c r="D879" s="12"/>
      <c r="E879" s="12"/>
    </row>
    <row r="880" spans="1:5" ht="15.75" thickBot="1" x14ac:dyDescent="0.25">
      <c r="B880" s="12"/>
      <c r="C880" s="12"/>
      <c r="D880" s="12"/>
      <c r="E880" s="12"/>
    </row>
    <row r="881" spans="2:5" ht="24.75" thickTop="1" thickBot="1" x14ac:dyDescent="0.25">
      <c r="B881" s="134"/>
      <c r="C881" s="135" t="s">
        <v>7</v>
      </c>
      <c r="D881" s="1599" t="s">
        <v>105</v>
      </c>
      <c r="E881" s="1600"/>
    </row>
    <row r="882" spans="2:5" ht="26.25" x14ac:dyDescent="0.2">
      <c r="B882" s="136" t="s">
        <v>21</v>
      </c>
      <c r="C882" s="137" t="s">
        <v>106</v>
      </c>
      <c r="D882" s="138" t="s">
        <v>22</v>
      </c>
      <c r="E882" s="139" t="s">
        <v>23</v>
      </c>
    </row>
    <row r="883" spans="2:5" ht="24" thickBot="1" x14ac:dyDescent="0.25">
      <c r="B883" s="140"/>
      <c r="C883" s="141" t="s">
        <v>24</v>
      </c>
      <c r="D883" s="142" t="s">
        <v>25</v>
      </c>
      <c r="E883" s="143" t="s">
        <v>26</v>
      </c>
    </row>
    <row r="884" spans="2:5" ht="15.75" thickBot="1" x14ac:dyDescent="0.25">
      <c r="B884" s="786">
        <v>0</v>
      </c>
      <c r="C884" s="787">
        <v>1</v>
      </c>
      <c r="D884" s="788">
        <v>2</v>
      </c>
      <c r="E884" s="789">
        <v>3</v>
      </c>
    </row>
    <row r="885" spans="2:5" ht="21.75" thickTop="1" thickBot="1" x14ac:dyDescent="0.25">
      <c r="B885" s="1159" t="str">
        <f>$B$20</f>
        <v>1. STAN NA DZIEŃ 31 GRUDNIA 2010 r.</v>
      </c>
      <c r="C885" s="927">
        <f>D885+E885</f>
        <v>3743</v>
      </c>
      <c r="D885" s="1488">
        <v>3109</v>
      </c>
      <c r="E885" s="1474">
        <v>634</v>
      </c>
    </row>
    <row r="886" spans="2:5" ht="21" thickTop="1" x14ac:dyDescent="0.2">
      <c r="B886" s="1160" t="str">
        <f>$B$21</f>
        <v>2. OGÓŁEM ZWIĘKSZENIA W 2011 r. (a+b+c)</v>
      </c>
      <c r="C886" s="373">
        <f>SUM(C888:C890)</f>
        <v>2</v>
      </c>
      <c r="D886" s="375">
        <f>SUM(D888:D890)</f>
        <v>0</v>
      </c>
      <c r="E886" s="376">
        <f>SUM(E888:E890)</f>
        <v>2</v>
      </c>
    </row>
    <row r="887" spans="2:5" ht="21" thickBot="1" x14ac:dyDescent="0.35">
      <c r="B887" s="144" t="s">
        <v>27</v>
      </c>
      <c r="C887" s="374"/>
      <c r="D887" s="152"/>
      <c r="E887" s="153"/>
    </row>
    <row r="888" spans="2:5" ht="21" thickBot="1" x14ac:dyDescent="0.25">
      <c r="B888" s="145" t="s">
        <v>28</v>
      </c>
      <c r="C888" s="383">
        <f>D888+E888</f>
        <v>0</v>
      </c>
      <c r="D888" s="1483">
        <v>0</v>
      </c>
      <c r="E888" s="1476">
        <v>0</v>
      </c>
    </row>
    <row r="889" spans="2:5" ht="21" thickBot="1" x14ac:dyDescent="0.25">
      <c r="B889" s="145" t="s">
        <v>29</v>
      </c>
      <c r="C889" s="383">
        <f>D889+E889</f>
        <v>0</v>
      </c>
      <c r="D889" s="1483">
        <v>0</v>
      </c>
      <c r="E889" s="1476">
        <v>0</v>
      </c>
    </row>
    <row r="890" spans="2:5" ht="21" thickBot="1" x14ac:dyDescent="0.25">
      <c r="B890" s="146" t="s">
        <v>30</v>
      </c>
      <c r="C890" s="384">
        <f>D890+E890</f>
        <v>2</v>
      </c>
      <c r="D890" s="1482">
        <v>0</v>
      </c>
      <c r="E890" s="1478">
        <v>2</v>
      </c>
    </row>
    <row r="891" spans="2:5" ht="21" thickTop="1" x14ac:dyDescent="0.2">
      <c r="B891" s="1161" t="str">
        <f>$B$26</f>
        <v>3. OGÓŁEM ZMNIEJSZENIA W 2011 r. (a+b+c)</v>
      </c>
      <c r="C891" s="377">
        <f>SUM(C893:C895)</f>
        <v>0</v>
      </c>
      <c r="D891" s="378">
        <f>SUM(D893:D895)</f>
        <v>0</v>
      </c>
      <c r="E891" s="379">
        <f>SUM(E893:E895)</f>
        <v>0</v>
      </c>
    </row>
    <row r="892" spans="2:5" ht="21" thickBot="1" x14ac:dyDescent="0.35">
      <c r="B892" s="22" t="s">
        <v>27</v>
      </c>
      <c r="C892" s="154"/>
      <c r="D892" s="155"/>
      <c r="E892" s="156"/>
    </row>
    <row r="893" spans="2:5" ht="21" thickBot="1" x14ac:dyDescent="0.25">
      <c r="B893" s="145" t="s">
        <v>31</v>
      </c>
      <c r="C893" s="383">
        <f>D893+E893</f>
        <v>0</v>
      </c>
      <c r="D893" s="1483">
        <v>0</v>
      </c>
      <c r="E893" s="1476">
        <v>0</v>
      </c>
    </row>
    <row r="894" spans="2:5" ht="21" thickBot="1" x14ac:dyDescent="0.25">
      <c r="B894" s="145" t="s">
        <v>32</v>
      </c>
      <c r="C894" s="383">
        <f>D894+E894</f>
        <v>0</v>
      </c>
      <c r="D894" s="1483">
        <v>0</v>
      </c>
      <c r="E894" s="1476">
        <v>0</v>
      </c>
    </row>
    <row r="895" spans="2:5" ht="21" thickBot="1" x14ac:dyDescent="0.25">
      <c r="B895" s="20" t="s">
        <v>30</v>
      </c>
      <c r="C895" s="377">
        <f>D895+E895</f>
        <v>0</v>
      </c>
      <c r="D895" s="1487">
        <v>0</v>
      </c>
      <c r="E895" s="1480">
        <v>0</v>
      </c>
    </row>
    <row r="896" spans="2:5" ht="21.75" thickTop="1" thickBot="1" x14ac:dyDescent="0.25">
      <c r="B896" s="147" t="s">
        <v>33</v>
      </c>
      <c r="C896" s="686">
        <f>C886-C891</f>
        <v>2</v>
      </c>
      <c r="D896" s="687">
        <f>D886-D891</f>
        <v>0</v>
      </c>
      <c r="E896" s="688">
        <f>E886-E891</f>
        <v>2</v>
      </c>
    </row>
    <row r="897" spans="2:5" ht="21" thickTop="1" x14ac:dyDescent="0.2">
      <c r="B897" s="1161" t="str">
        <f>$B$33</f>
        <v>5. STAN NA DZIEŃ 31 GRUDNIA 2011 r.</v>
      </c>
      <c r="C897" s="790" t="str">
        <f>IF(C898&gt;C885,"przybyło",IF(C898=C885,"bez zmian","ubyło"))</f>
        <v>przybyło</v>
      </c>
      <c r="D897" s="791" t="str">
        <f>IF(D898&gt;D885,"przybyło",IF(D898=D885,"bez zmian","ubyło"))</f>
        <v>bez zmian</v>
      </c>
      <c r="E897" s="792" t="str">
        <f>IF(E898&gt;E885,"przybyło",IF(E898=E885,"bez zmian","ubyło"))</f>
        <v>przybyło</v>
      </c>
    </row>
    <row r="898" spans="2:5" ht="27" thickBot="1" x14ac:dyDescent="0.4">
      <c r="B898" s="23" t="s">
        <v>35</v>
      </c>
      <c r="C898" s="385">
        <f>IF(C885+C886-C891=C885+C896, C885+C886-C891, "UWAGA!")</f>
        <v>3745</v>
      </c>
      <c r="D898" s="386">
        <f>IF(D885+D886-D891=D885+D896, D885+D886-D891, "UWAGA!")</f>
        <v>3109</v>
      </c>
      <c r="E898" s="387">
        <f>IF(E885+E886-E891=E885+E896, E885+E886-E891, "UWAGA!")</f>
        <v>636</v>
      </c>
    </row>
    <row r="899" spans="2:5" ht="21.75" thickTop="1" thickBot="1" x14ac:dyDescent="0.35">
      <c r="B899" s="148"/>
      <c r="C899" s="160"/>
      <c r="D899" s="160"/>
      <c r="E899" s="160"/>
    </row>
    <row r="900" spans="2:5" ht="21" thickTop="1" x14ac:dyDescent="0.2">
      <c r="B900" s="18" t="s">
        <v>107</v>
      </c>
      <c r="C900" s="161"/>
      <c r="D900" s="162"/>
      <c r="E900" s="163"/>
    </row>
    <row r="901" spans="2:5" ht="20.25" x14ac:dyDescent="0.2">
      <c r="B901" s="1161" t="str">
        <f>$B$37</f>
        <v xml:space="preserve">    MIEJSC W 2012 r. (a + b)</v>
      </c>
      <c r="C901" s="377">
        <f>C903+C908</f>
        <v>3</v>
      </c>
      <c r="D901" s="378">
        <f>D903+D908</f>
        <v>0</v>
      </c>
      <c r="E901" s="379">
        <f>E903+E908</f>
        <v>3</v>
      </c>
    </row>
    <row r="902" spans="2:5" ht="21" thickBot="1" x14ac:dyDescent="0.35">
      <c r="B902" s="149" t="s">
        <v>34</v>
      </c>
      <c r="C902" s="157"/>
      <c r="D902" s="158"/>
      <c r="E902" s="159"/>
    </row>
    <row r="903" spans="2:5" ht="24" thickTop="1" x14ac:dyDescent="0.2">
      <c r="B903" s="150" t="s">
        <v>108</v>
      </c>
      <c r="C903" s="377">
        <f>SUM(C905:C907)</f>
        <v>1</v>
      </c>
      <c r="D903" s="378">
        <f>SUM(D905:D907)</f>
        <v>0</v>
      </c>
      <c r="E903" s="379">
        <f>SUM(E905:E907)</f>
        <v>1</v>
      </c>
    </row>
    <row r="904" spans="2:5" ht="21" thickBot="1" x14ac:dyDescent="0.35">
      <c r="B904" s="22" t="s">
        <v>109</v>
      </c>
      <c r="C904" s="154"/>
      <c r="D904" s="155"/>
      <c r="E904" s="156"/>
    </row>
    <row r="905" spans="2:5" ht="21" thickBot="1" x14ac:dyDescent="0.25">
      <c r="B905" s="145" t="s">
        <v>110</v>
      </c>
      <c r="C905" s="383">
        <f>D905+E905</f>
        <v>0</v>
      </c>
      <c r="D905" s="1481">
        <v>0</v>
      </c>
      <c r="E905" s="1476">
        <v>0</v>
      </c>
    </row>
    <row r="906" spans="2:5" ht="21" thickBot="1" x14ac:dyDescent="0.25">
      <c r="B906" s="145" t="s">
        <v>111</v>
      </c>
      <c r="C906" s="383">
        <f>D906+E906</f>
        <v>0</v>
      </c>
      <c r="D906" s="1481">
        <v>0</v>
      </c>
      <c r="E906" s="1476">
        <v>0</v>
      </c>
    </row>
    <row r="907" spans="2:5" ht="21" thickBot="1" x14ac:dyDescent="0.25">
      <c r="B907" s="146" t="s">
        <v>112</v>
      </c>
      <c r="C907" s="384">
        <f>D907+E907</f>
        <v>1</v>
      </c>
      <c r="D907" s="1482">
        <v>0</v>
      </c>
      <c r="E907" s="1478">
        <v>1</v>
      </c>
    </row>
    <row r="908" spans="2:5" ht="24" thickTop="1" x14ac:dyDescent="0.2">
      <c r="B908" s="150" t="s">
        <v>113</v>
      </c>
      <c r="C908" s="377">
        <f>SUM(C910:C912)</f>
        <v>2</v>
      </c>
      <c r="D908" s="378">
        <f>SUM(D910:D912)</f>
        <v>0</v>
      </c>
      <c r="E908" s="379">
        <f>SUM(E910:E912)</f>
        <v>2</v>
      </c>
    </row>
    <row r="909" spans="2:5" ht="21" thickBot="1" x14ac:dyDescent="0.35">
      <c r="B909" s="22" t="s">
        <v>109</v>
      </c>
      <c r="C909" s="154"/>
      <c r="D909" s="155"/>
      <c r="E909" s="156"/>
    </row>
    <row r="910" spans="2:5" ht="21" thickBot="1" x14ac:dyDescent="0.25">
      <c r="B910" s="145" t="s">
        <v>110</v>
      </c>
      <c r="C910" s="383">
        <f>D910+E910</f>
        <v>0</v>
      </c>
      <c r="D910" s="1483">
        <v>0</v>
      </c>
      <c r="E910" s="1476">
        <v>0</v>
      </c>
    </row>
    <row r="911" spans="2:5" ht="21" thickBot="1" x14ac:dyDescent="0.25">
      <c r="B911" s="145" t="s">
        <v>111</v>
      </c>
      <c r="C911" s="383">
        <f>D911+E911</f>
        <v>0</v>
      </c>
      <c r="D911" s="1483">
        <v>0</v>
      </c>
      <c r="E911" s="1476">
        <v>0</v>
      </c>
    </row>
    <row r="912" spans="2:5" ht="21" thickBot="1" x14ac:dyDescent="0.25">
      <c r="B912" s="151" t="s">
        <v>112</v>
      </c>
      <c r="C912" s="385">
        <f>D912+E912</f>
        <v>2</v>
      </c>
      <c r="D912" s="1484">
        <v>0</v>
      </c>
      <c r="E912" s="1485">
        <v>2</v>
      </c>
    </row>
    <row r="913" spans="1:5" ht="13.5" thickTop="1" x14ac:dyDescent="0.2"/>
    <row r="915" spans="1:5" ht="18" x14ac:dyDescent="0.25">
      <c r="B915" s="11" t="s">
        <v>123</v>
      </c>
    </row>
    <row r="916" spans="1:5" ht="18" x14ac:dyDescent="0.25">
      <c r="B916" s="11"/>
    </row>
    <row r="917" spans="1:5" ht="18" x14ac:dyDescent="0.25">
      <c r="B917" s="11" t="s">
        <v>124</v>
      </c>
    </row>
    <row r="918" spans="1:5" ht="18" x14ac:dyDescent="0.25">
      <c r="B918" s="11"/>
      <c r="E918" s="25" t="s">
        <v>127</v>
      </c>
    </row>
    <row r="919" spans="1:5" ht="20.25" x14ac:dyDescent="0.3">
      <c r="B919" s="11" t="s">
        <v>125</v>
      </c>
      <c r="E919" s="26" t="s">
        <v>126</v>
      </c>
    </row>
    <row r="922" spans="1:5" ht="26.25" x14ac:dyDescent="0.2">
      <c r="A922" s="947" t="s">
        <v>412</v>
      </c>
    </row>
  </sheetData>
  <mergeCells count="51">
    <mergeCell ref="B877:E877"/>
    <mergeCell ref="B878:E878"/>
    <mergeCell ref="D881:E881"/>
    <mergeCell ref="D773:E773"/>
    <mergeCell ref="B823:E823"/>
    <mergeCell ref="B824:E824"/>
    <mergeCell ref="D827:E827"/>
    <mergeCell ref="B716:E716"/>
    <mergeCell ref="D719:E719"/>
    <mergeCell ref="B769:E769"/>
    <mergeCell ref="B770:E770"/>
    <mergeCell ref="B661:E661"/>
    <mergeCell ref="B662:E662"/>
    <mergeCell ref="D665:E665"/>
    <mergeCell ref="B715:E715"/>
    <mergeCell ref="D557:E557"/>
    <mergeCell ref="B607:E607"/>
    <mergeCell ref="B608:E608"/>
    <mergeCell ref="D611:E611"/>
    <mergeCell ref="B500:E500"/>
    <mergeCell ref="D503:E503"/>
    <mergeCell ref="B553:E553"/>
    <mergeCell ref="B554:E554"/>
    <mergeCell ref="B445:E445"/>
    <mergeCell ref="B446:E446"/>
    <mergeCell ref="D449:E449"/>
    <mergeCell ref="B499:E499"/>
    <mergeCell ref="D341:E341"/>
    <mergeCell ref="B391:E391"/>
    <mergeCell ref="B392:E392"/>
    <mergeCell ref="D395:E395"/>
    <mergeCell ref="B284:E284"/>
    <mergeCell ref="D287:E287"/>
    <mergeCell ref="B337:E337"/>
    <mergeCell ref="B338:E338"/>
    <mergeCell ref="B229:E229"/>
    <mergeCell ref="B230:E230"/>
    <mergeCell ref="D233:E233"/>
    <mergeCell ref="B283:E283"/>
    <mergeCell ref="B176:E176"/>
    <mergeCell ref="D179:E179"/>
    <mergeCell ref="B68:E68"/>
    <mergeCell ref="D71:E71"/>
    <mergeCell ref="B121:E121"/>
    <mergeCell ref="B122:E122"/>
    <mergeCell ref="D16:E16"/>
    <mergeCell ref="B13:E13"/>
    <mergeCell ref="B12:E12"/>
    <mergeCell ref="B67:E67"/>
    <mergeCell ref="D125:E125"/>
    <mergeCell ref="B175:E175"/>
  </mergeCells>
  <phoneticPr fontId="82" type="noConversion"/>
  <printOptions horizontalCentered="1"/>
  <pageMargins left="0.78740157480314965" right="0.39370078740157483" top="0.94488188976377963" bottom="0.35433070866141736" header="0.31496062992125984" footer="0"/>
  <pageSetup paperSize="9" scale="50" orientation="portrait" r:id="rId1"/>
  <headerFooter alignWithMargins="0"/>
  <ignoredErrors>
    <ignoredError sqref="A1 A3" numberStoredAsText="1"/>
    <ignoredError sqref="C22:E22 C27:E27 C38:E38 C40:E40 C45:E45 D32:E32" formula="1"/>
    <ignoredError sqref="E28:E30 D28:D30 D23:E25 D20:E20 D41:E43 D46:E48" emptyCellReference="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32"/>
  <sheetViews>
    <sheetView workbookViewId="0"/>
  </sheetViews>
  <sheetFormatPr defaultRowHeight="12.75" x14ac:dyDescent="0.2"/>
  <cols>
    <col min="1" max="1" width="3.7109375" customWidth="1"/>
    <col min="2" max="2" width="24.5703125" bestFit="1" customWidth="1"/>
    <col min="3" max="13" width="9.7109375" customWidth="1"/>
    <col min="14" max="14" width="15.7109375" customWidth="1"/>
  </cols>
  <sheetData>
    <row r="1" spans="1:47" ht="15.75" x14ac:dyDescent="0.25">
      <c r="A1" s="1" t="s">
        <v>195</v>
      </c>
      <c r="B1" s="3"/>
      <c r="C1" s="4"/>
      <c r="D1" s="3"/>
      <c r="E1" s="3"/>
      <c r="F1" s="3"/>
      <c r="G1" s="413"/>
      <c r="H1" s="413"/>
      <c r="I1" s="413"/>
      <c r="J1" s="413"/>
      <c r="L1" s="1603" t="s">
        <v>288</v>
      </c>
      <c r="M1" s="1603"/>
      <c r="N1" s="504"/>
    </row>
    <row r="2" spans="1:47" x14ac:dyDescent="0.2">
      <c r="A2" s="3" t="s">
        <v>214</v>
      </c>
      <c r="B2" s="3"/>
      <c r="C2" s="3"/>
      <c r="D2" s="3"/>
      <c r="E2" s="3"/>
      <c r="AH2" s="812"/>
      <c r="AI2" s="812"/>
      <c r="AJ2" s="812"/>
      <c r="AK2" s="812"/>
      <c r="AL2" s="812"/>
      <c r="AM2" s="812"/>
      <c r="AN2" s="812"/>
      <c r="AO2" s="812"/>
      <c r="AP2" s="812"/>
      <c r="AQ2" s="812"/>
      <c r="AR2" s="812"/>
      <c r="AS2" s="812"/>
      <c r="AT2" s="812"/>
      <c r="AU2" s="812"/>
    </row>
    <row r="3" spans="1:47" x14ac:dyDescent="0.2">
      <c r="A3" s="3" t="s">
        <v>216</v>
      </c>
      <c r="B3" s="3"/>
      <c r="C3" s="3"/>
      <c r="D3" s="3"/>
      <c r="E3" s="3"/>
      <c r="F3" s="3"/>
      <c r="G3" s="3"/>
      <c r="H3" s="3"/>
      <c r="I3" s="3"/>
      <c r="J3" s="3"/>
      <c r="K3" s="3"/>
      <c r="L3" s="3"/>
    </row>
    <row r="4" spans="1:47" x14ac:dyDescent="0.2">
      <c r="A4" s="3" t="s">
        <v>128</v>
      </c>
      <c r="B4" s="3"/>
      <c r="C4" s="3"/>
      <c r="D4" s="3"/>
      <c r="E4" s="3"/>
      <c r="F4" s="3"/>
      <c r="G4" s="3"/>
      <c r="H4" s="3"/>
      <c r="I4" s="3"/>
      <c r="J4" s="3"/>
      <c r="K4" s="3"/>
      <c r="L4" s="3"/>
    </row>
    <row r="5" spans="1:47" x14ac:dyDescent="0.2">
      <c r="A5" s="3"/>
      <c r="B5" s="3"/>
      <c r="C5" s="3"/>
      <c r="D5" s="3"/>
      <c r="E5" s="3"/>
      <c r="F5" s="3"/>
      <c r="G5" s="3"/>
      <c r="H5" s="3"/>
      <c r="I5" s="3"/>
      <c r="J5" s="3"/>
      <c r="K5" s="3"/>
      <c r="L5" s="3"/>
    </row>
    <row r="6" spans="1:47" ht="15.75" x14ac:dyDescent="0.25">
      <c r="A6" s="1718" t="s">
        <v>488</v>
      </c>
      <c r="B6" s="1718"/>
      <c r="C6" s="1718"/>
      <c r="D6" s="1718"/>
      <c r="E6" s="1718"/>
      <c r="F6" s="1718"/>
      <c r="G6" s="1718"/>
      <c r="H6" s="1718"/>
      <c r="I6" s="1718"/>
      <c r="J6" s="1718"/>
      <c r="K6" s="1718"/>
      <c r="L6" s="1718"/>
      <c r="M6" s="1718"/>
      <c r="N6" s="8"/>
    </row>
    <row r="7" spans="1:47" ht="15.75" x14ac:dyDescent="0.2">
      <c r="A7" s="1755" t="str">
        <f>"wg stanu na dzień 31.XII."&amp;'Tab.1. bilans_Polska'!A2&amp;" r."</f>
        <v>wg stanu na dzień 31.XII.2011 r.</v>
      </c>
      <c r="B7" s="1756"/>
      <c r="C7" s="1756"/>
      <c r="D7" s="1756"/>
      <c r="E7" s="1756"/>
      <c r="F7" s="1756"/>
      <c r="G7" s="1756"/>
      <c r="H7" s="1756"/>
      <c r="I7" s="1756"/>
      <c r="J7" s="1756"/>
      <c r="K7" s="1756"/>
      <c r="L7" s="1756"/>
      <c r="M7" s="1756"/>
      <c r="N7" s="813"/>
    </row>
    <row r="9" spans="1:47" ht="13.5" thickBot="1" x14ac:dyDescent="0.25">
      <c r="A9" s="3"/>
      <c r="B9" s="3"/>
      <c r="C9" s="3"/>
      <c r="D9" s="3"/>
      <c r="E9" s="3"/>
      <c r="F9" s="3"/>
      <c r="G9" s="3"/>
      <c r="H9" s="3"/>
      <c r="I9" s="3"/>
      <c r="J9" s="3"/>
      <c r="K9" s="3"/>
      <c r="L9" s="3"/>
    </row>
    <row r="10" spans="1:47" ht="13.5" thickTop="1" x14ac:dyDescent="0.2">
      <c r="A10" s="5"/>
      <c r="B10" s="505"/>
      <c r="C10" s="511"/>
      <c r="D10" s="1750" t="s">
        <v>289</v>
      </c>
      <c r="E10" s="1751"/>
      <c r="F10" s="1751"/>
      <c r="G10" s="1751"/>
      <c r="H10" s="1751"/>
      <c r="I10" s="1751"/>
      <c r="J10" s="1751"/>
      <c r="K10" s="1751"/>
      <c r="L10" s="1751"/>
      <c r="M10" s="1752"/>
    </row>
    <row r="11" spans="1:47" x14ac:dyDescent="0.2">
      <c r="A11" s="415" t="s">
        <v>226</v>
      </c>
      <c r="B11" s="506" t="s">
        <v>227</v>
      </c>
      <c r="C11" s="512" t="s">
        <v>7</v>
      </c>
      <c r="D11" s="1753" t="s">
        <v>290</v>
      </c>
      <c r="E11" s="1754"/>
      <c r="F11" s="1754" t="s">
        <v>291</v>
      </c>
      <c r="G11" s="1754"/>
      <c r="H11" s="1754" t="s">
        <v>292</v>
      </c>
      <c r="I11" s="1754"/>
      <c r="J11" s="1754" t="s">
        <v>293</v>
      </c>
      <c r="K11" s="1754"/>
      <c r="L11" s="1754" t="s">
        <v>466</v>
      </c>
      <c r="M11" s="1759"/>
    </row>
    <row r="12" spans="1:47" x14ac:dyDescent="0.2">
      <c r="A12" s="415"/>
      <c r="B12" s="506"/>
      <c r="C12" s="512"/>
      <c r="D12" s="1760" t="s">
        <v>0</v>
      </c>
      <c r="E12" s="1748" t="s">
        <v>294</v>
      </c>
      <c r="F12" s="1749" t="s">
        <v>0</v>
      </c>
      <c r="G12" s="1748" t="s">
        <v>294</v>
      </c>
      <c r="H12" s="1749" t="s">
        <v>0</v>
      </c>
      <c r="I12" s="1748" t="s">
        <v>294</v>
      </c>
      <c r="J12" s="1749" t="s">
        <v>0</v>
      </c>
      <c r="K12" s="1748" t="s">
        <v>294</v>
      </c>
      <c r="L12" s="1749" t="s">
        <v>0</v>
      </c>
      <c r="M12" s="1757" t="s">
        <v>294</v>
      </c>
    </row>
    <row r="13" spans="1:47" x14ac:dyDescent="0.2">
      <c r="A13" s="417"/>
      <c r="B13" s="507"/>
      <c r="C13" s="513"/>
      <c r="D13" s="1760"/>
      <c r="E13" s="1749"/>
      <c r="F13" s="1749"/>
      <c r="G13" s="1749"/>
      <c r="H13" s="1749"/>
      <c r="I13" s="1749"/>
      <c r="J13" s="1749"/>
      <c r="K13" s="1749"/>
      <c r="L13" s="1749"/>
      <c r="M13" s="1758"/>
    </row>
    <row r="14" spans="1:47"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47" ht="13.5" thickTop="1" x14ac:dyDescent="0.2">
      <c r="A15" s="461">
        <v>1</v>
      </c>
      <c r="B15" s="508" t="s">
        <v>236</v>
      </c>
      <c r="C15" s="488">
        <f>D15+F15+H15+J15+L15</f>
        <v>5474</v>
      </c>
      <c r="D15" s="515">
        <f>'Tab.3. Mieszkańcy_Polska '!G112</f>
        <v>169</v>
      </c>
      <c r="E15" s="521">
        <f>ROUND(D15*100/$C15, 1)</f>
        <v>3.1</v>
      </c>
      <c r="F15" s="518">
        <f>'Tab.3. Mieszkańcy_Polska '!G113</f>
        <v>923</v>
      </c>
      <c r="G15" s="521">
        <f>ROUND(F15*100/$C15, 1)</f>
        <v>16.899999999999999</v>
      </c>
      <c r="H15" s="518">
        <f>'Tab.3. Mieszkańcy_Polska '!G114</f>
        <v>1624</v>
      </c>
      <c r="I15" s="521">
        <f t="shared" ref="I15:I30" si="0">ROUND(H15*100/$C15, 1)</f>
        <v>29.7</v>
      </c>
      <c r="J15" s="518">
        <f>'Tab.3. Mieszkańcy_Polska '!G115</f>
        <v>969</v>
      </c>
      <c r="K15" s="521">
        <f t="shared" ref="K15:K30" si="1">ROUND(J15*100/$C15, 1)</f>
        <v>17.7</v>
      </c>
      <c r="L15" s="518">
        <f>'Tab.3. Mieszkańcy_Polska '!G116</f>
        <v>1789</v>
      </c>
      <c r="M15" s="524">
        <f t="shared" ref="M15:M30" si="2">ROUND(L15*100/$C15, 1)</f>
        <v>32.700000000000003</v>
      </c>
    </row>
    <row r="16" spans="1:47" x14ac:dyDescent="0.2">
      <c r="A16" s="462">
        <v>2</v>
      </c>
      <c r="B16" s="509" t="s">
        <v>237</v>
      </c>
      <c r="C16" s="489">
        <f t="shared" ref="C16:C30" si="3">D16+F16+H16+J16+L16</f>
        <v>3883</v>
      </c>
      <c r="D16" s="516">
        <f>'Tab.3. Mieszkańcy_Polska '!G188</f>
        <v>115</v>
      </c>
      <c r="E16" s="522">
        <f t="shared" ref="E16:G30" si="4">ROUND(D16*100/$C16, 1)</f>
        <v>3</v>
      </c>
      <c r="F16" s="519">
        <f>'Tab.3. Mieszkańcy_Polska '!G189</f>
        <v>545</v>
      </c>
      <c r="G16" s="522">
        <f t="shared" si="4"/>
        <v>14</v>
      </c>
      <c r="H16" s="519">
        <f>'Tab.3. Mieszkańcy_Polska '!G190</f>
        <v>1208</v>
      </c>
      <c r="I16" s="522">
        <f t="shared" si="0"/>
        <v>31.1</v>
      </c>
      <c r="J16" s="519">
        <f>'Tab.3. Mieszkańcy_Polska '!G191</f>
        <v>918</v>
      </c>
      <c r="K16" s="522">
        <f t="shared" si="1"/>
        <v>23.6</v>
      </c>
      <c r="L16" s="519">
        <f>'Tab.3. Mieszkańcy_Polska '!G192</f>
        <v>1097</v>
      </c>
      <c r="M16" s="525">
        <f t="shared" si="2"/>
        <v>28.3</v>
      </c>
    </row>
    <row r="17" spans="1:13" x14ac:dyDescent="0.2">
      <c r="A17" s="462">
        <v>3</v>
      </c>
      <c r="B17" s="509" t="s">
        <v>238</v>
      </c>
      <c r="C17" s="489">
        <f t="shared" si="3"/>
        <v>4322</v>
      </c>
      <c r="D17" s="516">
        <f>'Tab.3. Mieszkańcy_Polska '!G264</f>
        <v>87</v>
      </c>
      <c r="E17" s="522">
        <f t="shared" si="4"/>
        <v>2</v>
      </c>
      <c r="F17" s="519">
        <f>'Tab.3. Mieszkańcy_Polska '!G265</f>
        <v>715</v>
      </c>
      <c r="G17" s="522">
        <f t="shared" si="4"/>
        <v>16.5</v>
      </c>
      <c r="H17" s="519">
        <f>'Tab.3. Mieszkańcy_Polska '!G266</f>
        <v>1278</v>
      </c>
      <c r="I17" s="522">
        <f t="shared" si="0"/>
        <v>29.6</v>
      </c>
      <c r="J17" s="519">
        <f>'Tab.3. Mieszkańcy_Polska '!G267</f>
        <v>1030</v>
      </c>
      <c r="K17" s="522">
        <f t="shared" si="1"/>
        <v>23.8</v>
      </c>
      <c r="L17" s="519">
        <f>'Tab.3. Mieszkańcy_Polska '!G268</f>
        <v>1212</v>
      </c>
      <c r="M17" s="525">
        <f t="shared" si="2"/>
        <v>28</v>
      </c>
    </row>
    <row r="18" spans="1:13" x14ac:dyDescent="0.2">
      <c r="A18" s="462">
        <v>4</v>
      </c>
      <c r="B18" s="509" t="s">
        <v>239</v>
      </c>
      <c r="C18" s="489">
        <f t="shared" si="3"/>
        <v>2333</v>
      </c>
      <c r="D18" s="516">
        <f>'Tab.3. Mieszkańcy_Polska '!G340</f>
        <v>34</v>
      </c>
      <c r="E18" s="522">
        <f t="shared" si="4"/>
        <v>1.5</v>
      </c>
      <c r="F18" s="519">
        <f>'Tab.3. Mieszkańcy_Polska '!G341</f>
        <v>316</v>
      </c>
      <c r="G18" s="522">
        <f t="shared" si="4"/>
        <v>13.5</v>
      </c>
      <c r="H18" s="519">
        <f>'Tab.3. Mieszkańcy_Polska '!G342</f>
        <v>642</v>
      </c>
      <c r="I18" s="522">
        <f t="shared" si="0"/>
        <v>27.5</v>
      </c>
      <c r="J18" s="519">
        <f>'Tab.3. Mieszkańcy_Polska '!G343</f>
        <v>496</v>
      </c>
      <c r="K18" s="522">
        <f t="shared" si="1"/>
        <v>21.3</v>
      </c>
      <c r="L18" s="519">
        <f>'Tab.3. Mieszkańcy_Polska '!G344</f>
        <v>845</v>
      </c>
      <c r="M18" s="525">
        <f t="shared" si="2"/>
        <v>36.200000000000003</v>
      </c>
    </row>
    <row r="19" spans="1:13" x14ac:dyDescent="0.2">
      <c r="A19" s="462">
        <v>5</v>
      </c>
      <c r="B19" s="509" t="s">
        <v>240</v>
      </c>
      <c r="C19" s="489">
        <f t="shared" si="3"/>
        <v>6110</v>
      </c>
      <c r="D19" s="516">
        <f>'Tab.3. Mieszkańcy_Polska '!G416</f>
        <v>50</v>
      </c>
      <c r="E19" s="522">
        <f t="shared" si="4"/>
        <v>0.8</v>
      </c>
      <c r="F19" s="519">
        <f>'Tab.3. Mieszkańcy_Polska '!G417</f>
        <v>679</v>
      </c>
      <c r="G19" s="522">
        <f t="shared" si="4"/>
        <v>11.1</v>
      </c>
      <c r="H19" s="519">
        <f>'Tab.3. Mieszkańcy_Polska '!G418</f>
        <v>1814</v>
      </c>
      <c r="I19" s="522">
        <f t="shared" si="0"/>
        <v>29.7</v>
      </c>
      <c r="J19" s="519">
        <f>'Tab.3. Mieszkańcy_Polska '!G419</f>
        <v>1651</v>
      </c>
      <c r="K19" s="522">
        <f t="shared" si="1"/>
        <v>27</v>
      </c>
      <c r="L19" s="519">
        <f>'Tab.3. Mieszkańcy_Polska '!G420</f>
        <v>1916</v>
      </c>
      <c r="M19" s="525">
        <f t="shared" si="2"/>
        <v>31.4</v>
      </c>
    </row>
    <row r="20" spans="1:13" x14ac:dyDescent="0.2">
      <c r="A20" s="462">
        <v>6</v>
      </c>
      <c r="B20" s="509" t="s">
        <v>241</v>
      </c>
      <c r="C20" s="489">
        <f t="shared" si="3"/>
        <v>7313</v>
      </c>
      <c r="D20" s="516">
        <f>'Tab.3. Mieszkańcy_Polska '!G492</f>
        <v>83</v>
      </c>
      <c r="E20" s="522">
        <f t="shared" si="4"/>
        <v>1.1000000000000001</v>
      </c>
      <c r="F20" s="519">
        <f>'Tab.3. Mieszkańcy_Polska '!G493</f>
        <v>874</v>
      </c>
      <c r="G20" s="522">
        <f t="shared" si="4"/>
        <v>12</v>
      </c>
      <c r="H20" s="519">
        <f>'Tab.3. Mieszkańcy_Polska '!G494</f>
        <v>2212</v>
      </c>
      <c r="I20" s="522">
        <f t="shared" si="0"/>
        <v>30.2</v>
      </c>
      <c r="J20" s="519">
        <f>'Tab.3. Mieszkańcy_Polska '!G495</f>
        <v>1781</v>
      </c>
      <c r="K20" s="522">
        <f t="shared" si="1"/>
        <v>24.4</v>
      </c>
      <c r="L20" s="519">
        <f>'Tab.3. Mieszkańcy_Polska '!G496</f>
        <v>2363</v>
      </c>
      <c r="M20" s="525">
        <f t="shared" si="2"/>
        <v>32.299999999999997</v>
      </c>
    </row>
    <row r="21" spans="1:13" x14ac:dyDescent="0.2">
      <c r="A21" s="462">
        <v>7</v>
      </c>
      <c r="B21" s="509" t="s">
        <v>242</v>
      </c>
      <c r="C21" s="489">
        <f t="shared" si="3"/>
        <v>9020</v>
      </c>
      <c r="D21" s="516">
        <f>'Tab.3. Mieszkańcy_Polska '!G568</f>
        <v>121</v>
      </c>
      <c r="E21" s="522">
        <f t="shared" si="4"/>
        <v>1.3</v>
      </c>
      <c r="F21" s="519">
        <f>'Tab.3. Mieszkańcy_Polska '!G569</f>
        <v>1336</v>
      </c>
      <c r="G21" s="522">
        <f t="shared" si="4"/>
        <v>14.8</v>
      </c>
      <c r="H21" s="519">
        <f>'Tab.3. Mieszkańcy_Polska '!G570</f>
        <v>2846</v>
      </c>
      <c r="I21" s="522">
        <f t="shared" si="0"/>
        <v>31.6</v>
      </c>
      <c r="J21" s="519">
        <f>'Tab.3. Mieszkańcy_Polska '!G571</f>
        <v>2039</v>
      </c>
      <c r="K21" s="522">
        <f t="shared" si="1"/>
        <v>22.6</v>
      </c>
      <c r="L21" s="519">
        <f>'Tab.3. Mieszkańcy_Polska '!G572</f>
        <v>2678</v>
      </c>
      <c r="M21" s="525">
        <f t="shared" si="2"/>
        <v>29.7</v>
      </c>
    </row>
    <row r="22" spans="1:13" x14ac:dyDescent="0.2">
      <c r="A22" s="462">
        <v>8</v>
      </c>
      <c r="B22" s="509" t="s">
        <v>243</v>
      </c>
      <c r="C22" s="489">
        <f t="shared" si="3"/>
        <v>2881</v>
      </c>
      <c r="D22" s="516">
        <f>'Tab.3. Mieszkańcy_Polska '!G644</f>
        <v>82</v>
      </c>
      <c r="E22" s="522">
        <f t="shared" si="4"/>
        <v>2.8</v>
      </c>
      <c r="F22" s="519">
        <f>'Tab.3. Mieszkańcy_Polska '!G645</f>
        <v>555</v>
      </c>
      <c r="G22" s="522">
        <f t="shared" si="4"/>
        <v>19.3</v>
      </c>
      <c r="H22" s="519">
        <f>'Tab.3. Mieszkańcy_Polska '!G646</f>
        <v>855</v>
      </c>
      <c r="I22" s="522">
        <f t="shared" si="0"/>
        <v>29.7</v>
      </c>
      <c r="J22" s="519">
        <f>'Tab.3. Mieszkańcy_Polska '!G647</f>
        <v>568</v>
      </c>
      <c r="K22" s="522">
        <f t="shared" si="1"/>
        <v>19.7</v>
      </c>
      <c r="L22" s="519">
        <f>'Tab.3. Mieszkańcy_Polska '!G648</f>
        <v>821</v>
      </c>
      <c r="M22" s="525">
        <f t="shared" si="2"/>
        <v>28.5</v>
      </c>
    </row>
    <row r="23" spans="1:13" x14ac:dyDescent="0.2">
      <c r="A23" s="462">
        <v>9</v>
      </c>
      <c r="B23" s="509" t="s">
        <v>244</v>
      </c>
      <c r="C23" s="489">
        <f t="shared" si="3"/>
        <v>4430</v>
      </c>
      <c r="D23" s="516">
        <f>'Tab.3. Mieszkańcy_Polska '!G720</f>
        <v>82</v>
      </c>
      <c r="E23" s="522">
        <f t="shared" si="4"/>
        <v>1.9</v>
      </c>
      <c r="F23" s="519">
        <f>'Tab.3. Mieszkańcy_Polska '!G721</f>
        <v>619</v>
      </c>
      <c r="G23" s="522">
        <f t="shared" si="4"/>
        <v>14</v>
      </c>
      <c r="H23" s="519">
        <f>'Tab.3. Mieszkańcy_Polska '!G722</f>
        <v>1371</v>
      </c>
      <c r="I23" s="522">
        <f t="shared" si="0"/>
        <v>30.9</v>
      </c>
      <c r="J23" s="519">
        <f>'Tab.3. Mieszkańcy_Polska '!G723</f>
        <v>1086</v>
      </c>
      <c r="K23" s="522">
        <f t="shared" si="1"/>
        <v>24.5</v>
      </c>
      <c r="L23" s="519">
        <f>'Tab.3. Mieszkańcy_Polska '!G724</f>
        <v>1272</v>
      </c>
      <c r="M23" s="525">
        <f t="shared" si="2"/>
        <v>28.7</v>
      </c>
    </row>
    <row r="24" spans="1:13" x14ac:dyDescent="0.2">
      <c r="A24" s="463">
        <v>10</v>
      </c>
      <c r="B24" s="509" t="s">
        <v>245</v>
      </c>
      <c r="C24" s="489">
        <f t="shared" si="3"/>
        <v>2284</v>
      </c>
      <c r="D24" s="516">
        <f>'Tab.3. Mieszkańcy_Polska '!G796</f>
        <v>50</v>
      </c>
      <c r="E24" s="522">
        <f t="shared" si="4"/>
        <v>2.2000000000000002</v>
      </c>
      <c r="F24" s="519">
        <f>'Tab.3. Mieszkańcy_Polska '!G797</f>
        <v>454</v>
      </c>
      <c r="G24" s="522">
        <f t="shared" si="4"/>
        <v>19.899999999999999</v>
      </c>
      <c r="H24" s="519">
        <f>'Tab.3. Mieszkańcy_Polska '!G798</f>
        <v>722</v>
      </c>
      <c r="I24" s="522">
        <f t="shared" si="0"/>
        <v>31.6</v>
      </c>
      <c r="J24" s="519">
        <f>'Tab.3. Mieszkańcy_Polska '!G799</f>
        <v>495</v>
      </c>
      <c r="K24" s="522">
        <f t="shared" si="1"/>
        <v>21.7</v>
      </c>
      <c r="L24" s="519">
        <f>'Tab.3. Mieszkańcy_Polska '!G800</f>
        <v>563</v>
      </c>
      <c r="M24" s="525">
        <f t="shared" si="2"/>
        <v>24.6</v>
      </c>
    </row>
    <row r="25" spans="1:13" x14ac:dyDescent="0.2">
      <c r="A25" s="463">
        <v>11</v>
      </c>
      <c r="B25" s="509" t="s">
        <v>246</v>
      </c>
      <c r="C25" s="489">
        <f t="shared" si="3"/>
        <v>3851</v>
      </c>
      <c r="D25" s="516">
        <f>'Tab.3. Mieszkańcy_Polska '!G872</f>
        <v>84</v>
      </c>
      <c r="E25" s="522">
        <f t="shared" si="4"/>
        <v>2.2000000000000002</v>
      </c>
      <c r="F25" s="519">
        <f>'Tab.3. Mieszkańcy_Polska '!G873</f>
        <v>662</v>
      </c>
      <c r="G25" s="522">
        <f t="shared" si="4"/>
        <v>17.2</v>
      </c>
      <c r="H25" s="519">
        <f>'Tab.3. Mieszkańcy_Polska '!G874</f>
        <v>1426</v>
      </c>
      <c r="I25" s="522">
        <f t="shared" si="0"/>
        <v>37</v>
      </c>
      <c r="J25" s="519">
        <f>'Tab.3. Mieszkańcy_Polska '!G875</f>
        <v>872</v>
      </c>
      <c r="K25" s="522">
        <f t="shared" si="1"/>
        <v>22.6</v>
      </c>
      <c r="L25" s="519">
        <f>'Tab.3. Mieszkańcy_Polska '!G876</f>
        <v>807</v>
      </c>
      <c r="M25" s="525">
        <f t="shared" si="2"/>
        <v>21</v>
      </c>
    </row>
    <row r="26" spans="1:13" x14ac:dyDescent="0.2">
      <c r="A26" s="463">
        <v>12</v>
      </c>
      <c r="B26" s="509" t="s">
        <v>247</v>
      </c>
      <c r="C26" s="489">
        <f t="shared" si="3"/>
        <v>7783</v>
      </c>
      <c r="D26" s="516">
        <f>'Tab.3. Mieszkańcy_Polska '!G948</f>
        <v>155</v>
      </c>
      <c r="E26" s="522">
        <f t="shared" si="4"/>
        <v>2</v>
      </c>
      <c r="F26" s="519">
        <f>'Tab.3. Mieszkańcy_Polska '!G949</f>
        <v>1064</v>
      </c>
      <c r="G26" s="522">
        <f t="shared" si="4"/>
        <v>13.7</v>
      </c>
      <c r="H26" s="519">
        <f>'Tab.3. Mieszkańcy_Polska '!G950</f>
        <v>2339</v>
      </c>
      <c r="I26" s="522">
        <f t="shared" si="0"/>
        <v>30.1</v>
      </c>
      <c r="J26" s="519">
        <f>'Tab.3. Mieszkańcy_Polska '!G951</f>
        <v>1842</v>
      </c>
      <c r="K26" s="522">
        <f t="shared" si="1"/>
        <v>23.7</v>
      </c>
      <c r="L26" s="519">
        <f>'Tab.3. Mieszkańcy_Polska '!G952</f>
        <v>2383</v>
      </c>
      <c r="M26" s="525">
        <f t="shared" si="2"/>
        <v>30.6</v>
      </c>
    </row>
    <row r="27" spans="1:13" x14ac:dyDescent="0.2">
      <c r="A27" s="463">
        <v>13</v>
      </c>
      <c r="B27" s="509" t="s">
        <v>248</v>
      </c>
      <c r="C27" s="489">
        <f t="shared" si="3"/>
        <v>3211</v>
      </c>
      <c r="D27" s="516">
        <f>'Tab.3. Mieszkańcy_Polska '!G1024</f>
        <v>14</v>
      </c>
      <c r="E27" s="522">
        <f t="shared" si="4"/>
        <v>0.4</v>
      </c>
      <c r="F27" s="519">
        <f>'Tab.3. Mieszkańcy_Polska '!G1025</f>
        <v>452</v>
      </c>
      <c r="G27" s="522">
        <f t="shared" si="4"/>
        <v>14.1</v>
      </c>
      <c r="H27" s="519">
        <f>'Tab.3. Mieszkańcy_Polska '!G1026</f>
        <v>1014</v>
      </c>
      <c r="I27" s="522">
        <f t="shared" si="0"/>
        <v>31.6</v>
      </c>
      <c r="J27" s="519">
        <f>'Tab.3. Mieszkańcy_Polska '!G1027</f>
        <v>777</v>
      </c>
      <c r="K27" s="522">
        <f t="shared" si="1"/>
        <v>24.2</v>
      </c>
      <c r="L27" s="519">
        <f>'Tab.3. Mieszkańcy_Polska '!G1028</f>
        <v>954</v>
      </c>
      <c r="M27" s="525">
        <f t="shared" si="2"/>
        <v>29.7</v>
      </c>
    </row>
    <row r="28" spans="1:13" x14ac:dyDescent="0.2">
      <c r="A28" s="463">
        <v>14</v>
      </c>
      <c r="B28" s="509" t="s">
        <v>249</v>
      </c>
      <c r="C28" s="489">
        <f t="shared" si="3"/>
        <v>3424</v>
      </c>
      <c r="D28" s="516">
        <f>'Tab.3. Mieszkańcy_Polska '!G1100</f>
        <v>115</v>
      </c>
      <c r="E28" s="522">
        <f t="shared" si="4"/>
        <v>3.4</v>
      </c>
      <c r="F28" s="519">
        <f>'Tab.3. Mieszkańcy_Polska '!G1101</f>
        <v>520</v>
      </c>
      <c r="G28" s="522">
        <f t="shared" si="4"/>
        <v>15.2</v>
      </c>
      <c r="H28" s="519">
        <f>'Tab.3. Mieszkańcy_Polska '!G1102</f>
        <v>1078</v>
      </c>
      <c r="I28" s="522">
        <f t="shared" si="0"/>
        <v>31.5</v>
      </c>
      <c r="J28" s="519">
        <f>'Tab.3. Mieszkańcy_Polska '!G1103</f>
        <v>771</v>
      </c>
      <c r="K28" s="522">
        <f t="shared" si="1"/>
        <v>22.5</v>
      </c>
      <c r="L28" s="519">
        <f>'Tab.3. Mieszkańcy_Polska '!G1104</f>
        <v>940</v>
      </c>
      <c r="M28" s="525">
        <f t="shared" si="2"/>
        <v>27.5</v>
      </c>
    </row>
    <row r="29" spans="1:13" x14ac:dyDescent="0.2">
      <c r="A29" s="463">
        <v>15</v>
      </c>
      <c r="B29" s="509" t="s">
        <v>250</v>
      </c>
      <c r="C29" s="489">
        <f t="shared" si="3"/>
        <v>6184</v>
      </c>
      <c r="D29" s="516">
        <f>'Tab.3. Mieszkańcy_Polska '!G1176</f>
        <v>114</v>
      </c>
      <c r="E29" s="522">
        <f t="shared" si="4"/>
        <v>1.8</v>
      </c>
      <c r="F29" s="519">
        <f>'Tab.3. Mieszkańcy_Polska '!G1177</f>
        <v>789</v>
      </c>
      <c r="G29" s="522">
        <f t="shared" si="4"/>
        <v>12.8</v>
      </c>
      <c r="H29" s="519">
        <f>'Tab.3. Mieszkańcy_Polska '!G1178</f>
        <v>1869</v>
      </c>
      <c r="I29" s="522">
        <f t="shared" si="0"/>
        <v>30.2</v>
      </c>
      <c r="J29" s="519">
        <f>'Tab.3. Mieszkańcy_Polska '!G1179</f>
        <v>1393</v>
      </c>
      <c r="K29" s="522">
        <f t="shared" si="1"/>
        <v>22.5</v>
      </c>
      <c r="L29" s="519">
        <f>'Tab.3. Mieszkańcy_Polska '!G1180</f>
        <v>2019</v>
      </c>
      <c r="M29" s="525">
        <f t="shared" si="2"/>
        <v>32.6</v>
      </c>
    </row>
    <row r="30" spans="1:13" ht="13.5" thickBot="1" x14ac:dyDescent="0.25">
      <c r="A30" s="463">
        <v>16</v>
      </c>
      <c r="B30" s="510" t="s">
        <v>251</v>
      </c>
      <c r="C30" s="489">
        <f t="shared" si="3"/>
        <v>3716</v>
      </c>
      <c r="D30" s="517">
        <f>'Tab.3. Mieszkańcy_Polska '!G1252</f>
        <v>36</v>
      </c>
      <c r="E30" s="523">
        <f t="shared" si="4"/>
        <v>1</v>
      </c>
      <c r="F30" s="520">
        <f>'Tab.3. Mieszkańcy_Polska '!G1253</f>
        <v>521</v>
      </c>
      <c r="G30" s="523">
        <f t="shared" si="4"/>
        <v>14</v>
      </c>
      <c r="H30" s="520">
        <f>'Tab.3. Mieszkańcy_Polska '!G1254</f>
        <v>1124</v>
      </c>
      <c r="I30" s="523">
        <f t="shared" si="0"/>
        <v>30.2</v>
      </c>
      <c r="J30" s="520">
        <f>'Tab.3. Mieszkańcy_Polska '!G1255</f>
        <v>866</v>
      </c>
      <c r="K30" s="523">
        <f t="shared" si="1"/>
        <v>23.3</v>
      </c>
      <c r="L30" s="520">
        <f>'Tab.3. Mieszkańcy_Polska '!G1256</f>
        <v>1169</v>
      </c>
      <c r="M30" s="526">
        <f t="shared" si="2"/>
        <v>31.5</v>
      </c>
    </row>
    <row r="31" spans="1:13" ht="16.5" thickBot="1" x14ac:dyDescent="0.3">
      <c r="A31" s="445" t="s">
        <v>252</v>
      </c>
      <c r="B31" s="446"/>
      <c r="C31" s="514">
        <f>SUM(C15:C30)</f>
        <v>76219</v>
      </c>
      <c r="D31" s="527">
        <f t="shared" ref="D31:L31" si="5">SUM(D15:D30)</f>
        <v>1391</v>
      </c>
      <c r="E31" s="528">
        <f>AVERAGE(E15:E30)</f>
        <v>1.9062499999999998</v>
      </c>
      <c r="F31" s="529">
        <f t="shared" si="5"/>
        <v>11024</v>
      </c>
      <c r="G31" s="528">
        <f>AVERAGE(G15:G30)</f>
        <v>14.937499999999998</v>
      </c>
      <c r="H31" s="529">
        <f t="shared" si="5"/>
        <v>23422</v>
      </c>
      <c r="I31" s="528">
        <f>AVERAGE(I15:I30)</f>
        <v>30.762499999999999</v>
      </c>
      <c r="J31" s="529">
        <f t="shared" si="5"/>
        <v>17554</v>
      </c>
      <c r="K31" s="528">
        <f>AVERAGE(K15:K30)</f>
        <v>22.818749999999998</v>
      </c>
      <c r="L31" s="529">
        <f t="shared" si="5"/>
        <v>22828</v>
      </c>
      <c r="M31" s="530">
        <f>AVERAGE(M15:M30)</f>
        <v>29.581250000000001</v>
      </c>
    </row>
    <row r="32" spans="1:13" ht="13.5" thickTop="1" x14ac:dyDescent="0.2"/>
  </sheetData>
  <mergeCells count="19">
    <mergeCell ref="A6:M6"/>
    <mergeCell ref="A7:M7"/>
    <mergeCell ref="M12:M13"/>
    <mergeCell ref="L1:M1"/>
    <mergeCell ref="L11:M11"/>
    <mergeCell ref="D12:D13"/>
    <mergeCell ref="E12:E13"/>
    <mergeCell ref="F12:F13"/>
    <mergeCell ref="G12:G13"/>
    <mergeCell ref="H12:H13"/>
    <mergeCell ref="I12:I13"/>
    <mergeCell ref="J12:J13"/>
    <mergeCell ref="K12:K13"/>
    <mergeCell ref="L12:L13"/>
    <mergeCell ref="D10:M10"/>
    <mergeCell ref="D11:E11"/>
    <mergeCell ref="F11:G11"/>
    <mergeCell ref="H11:I11"/>
    <mergeCell ref="J11:K11"/>
  </mergeCells>
  <phoneticPr fontId="82"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5:F30 H15:H30 J15:J30 L15:L30 E31:K3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A1" s="1" t="s">
        <v>195</v>
      </c>
      <c r="B1" s="3"/>
      <c r="C1" s="4"/>
      <c r="D1" s="3"/>
      <c r="E1" s="3"/>
      <c r="F1" s="3"/>
      <c r="G1" s="413"/>
      <c r="H1" s="413"/>
      <c r="I1" s="413"/>
      <c r="J1" s="413"/>
      <c r="L1" s="1603" t="s">
        <v>295</v>
      </c>
      <c r="M1" s="1603"/>
      <c r="N1" s="504"/>
    </row>
    <row r="2" spans="1:14" x14ac:dyDescent="0.2">
      <c r="A2" s="3" t="s">
        <v>214</v>
      </c>
      <c r="B2" s="3"/>
      <c r="C2" s="3"/>
      <c r="D2" s="3"/>
      <c r="E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
      <c r="A6" s="1718" t="s">
        <v>465</v>
      </c>
      <c r="B6" s="1718"/>
      <c r="C6" s="1718"/>
      <c r="D6" s="1718"/>
      <c r="E6" s="1718"/>
      <c r="F6" s="1718"/>
      <c r="G6" s="1718"/>
      <c r="H6" s="1718"/>
      <c r="I6" s="1718"/>
      <c r="J6" s="1718"/>
      <c r="K6" s="1718"/>
      <c r="L6" s="1718"/>
      <c r="M6" s="1718"/>
      <c r="N6" s="813"/>
    </row>
    <row r="7" spans="1:14" ht="15.75" x14ac:dyDescent="0.2">
      <c r="A7" s="1755" t="str">
        <f>"wg stanu na dzień 31.XII."&amp;'Tab.1. bilans_Polska'!A2&amp;" r."</f>
        <v>wg stanu na dzień 31.XII.2011 r.</v>
      </c>
      <c r="B7" s="1756"/>
      <c r="C7" s="1756"/>
      <c r="D7" s="1756"/>
      <c r="E7" s="1756"/>
      <c r="F7" s="1756"/>
      <c r="G7" s="1756"/>
      <c r="H7" s="1756"/>
      <c r="I7" s="1756"/>
      <c r="J7" s="1756"/>
      <c r="K7" s="1756"/>
      <c r="L7" s="1756"/>
      <c r="M7" s="1756"/>
      <c r="N7" s="813"/>
    </row>
    <row r="9" spans="1:14" ht="13.5" thickBot="1" x14ac:dyDescent="0.25">
      <c r="A9" s="3"/>
      <c r="B9" s="3"/>
      <c r="C9" s="3"/>
      <c r="D9" s="3"/>
      <c r="E9" s="3"/>
      <c r="F9" s="3"/>
      <c r="G9" s="3"/>
      <c r="H9" s="3"/>
      <c r="I9" s="3"/>
      <c r="J9" s="3"/>
      <c r="K9" s="3"/>
      <c r="L9" s="3"/>
    </row>
    <row r="10" spans="1:14" ht="13.5" thickTop="1" x14ac:dyDescent="0.2">
      <c r="A10" s="5"/>
      <c r="B10" s="505"/>
      <c r="C10" s="511"/>
      <c r="D10" s="1750" t="s">
        <v>289</v>
      </c>
      <c r="E10" s="1751"/>
      <c r="F10" s="1751"/>
      <c r="G10" s="1751"/>
      <c r="H10" s="1751"/>
      <c r="I10" s="1751"/>
      <c r="J10" s="1751"/>
      <c r="K10" s="1751"/>
      <c r="L10" s="1751"/>
      <c r="M10" s="1752"/>
    </row>
    <row r="11" spans="1:14" x14ac:dyDescent="0.2">
      <c r="A11" s="415" t="s">
        <v>226</v>
      </c>
      <c r="B11" s="506" t="s">
        <v>227</v>
      </c>
      <c r="C11" s="512" t="s">
        <v>7</v>
      </c>
      <c r="D11" s="1753" t="s">
        <v>290</v>
      </c>
      <c r="E11" s="1754"/>
      <c r="F11" s="1754" t="s">
        <v>291</v>
      </c>
      <c r="G11" s="1754"/>
      <c r="H11" s="1754" t="s">
        <v>292</v>
      </c>
      <c r="I11" s="1754"/>
      <c r="J11" s="1754" t="s">
        <v>293</v>
      </c>
      <c r="K11" s="1754"/>
      <c r="L11" s="1754" t="s">
        <v>466</v>
      </c>
      <c r="M11" s="1759"/>
    </row>
    <row r="12" spans="1:14" x14ac:dyDescent="0.2">
      <c r="A12" s="415"/>
      <c r="B12" s="506"/>
      <c r="C12" s="512"/>
      <c r="D12" s="1760" t="s">
        <v>0</v>
      </c>
      <c r="E12" s="1748" t="s">
        <v>294</v>
      </c>
      <c r="F12" s="1749" t="s">
        <v>0</v>
      </c>
      <c r="G12" s="1748" t="s">
        <v>294</v>
      </c>
      <c r="H12" s="1749" t="s">
        <v>0</v>
      </c>
      <c r="I12" s="1748" t="s">
        <v>294</v>
      </c>
      <c r="J12" s="1749" t="s">
        <v>0</v>
      </c>
      <c r="K12" s="1748" t="s">
        <v>294</v>
      </c>
      <c r="L12" s="1749" t="s">
        <v>0</v>
      </c>
      <c r="M12" s="1757" t="s">
        <v>294</v>
      </c>
    </row>
    <row r="13" spans="1:14" x14ac:dyDescent="0.2">
      <c r="A13" s="417"/>
      <c r="B13" s="507"/>
      <c r="C13" s="513"/>
      <c r="D13" s="1760"/>
      <c r="E13" s="1749"/>
      <c r="F13" s="1749"/>
      <c r="G13" s="1749"/>
      <c r="H13" s="1749"/>
      <c r="I13" s="1749"/>
      <c r="J13" s="1749"/>
      <c r="K13" s="1749"/>
      <c r="L13" s="1749"/>
      <c r="M13" s="1758"/>
    </row>
    <row r="14" spans="1:14"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14" ht="13.5" thickTop="1" x14ac:dyDescent="0.2">
      <c r="A15" s="461">
        <v>1</v>
      </c>
      <c r="B15" s="508" t="s">
        <v>236</v>
      </c>
      <c r="C15" s="488">
        <f t="shared" ref="C15:C30" si="0">D15+F15+H15+J15+L15</f>
        <v>4650</v>
      </c>
      <c r="D15" s="515">
        <f>'Tab.3. Mieszkańcy_Polska '!H112</f>
        <v>50</v>
      </c>
      <c r="E15" s="521">
        <f t="shared" ref="E15:E30" si="1">ROUND(D15*100/$C15, 1)</f>
        <v>1.1000000000000001</v>
      </c>
      <c r="F15" s="518">
        <f>'Tab.3. Mieszkańcy_Polska '!H113</f>
        <v>740</v>
      </c>
      <c r="G15" s="521">
        <f t="shared" ref="G15:G30" si="2">ROUND(F15*100/$C15, 1)</f>
        <v>15.9</v>
      </c>
      <c r="H15" s="518">
        <f>'Tab.3. Mieszkańcy_Polska '!H114</f>
        <v>1501</v>
      </c>
      <c r="I15" s="521">
        <f t="shared" ref="I15:I30" si="3">ROUND(H15*100/$C15, 1)</f>
        <v>32.299999999999997</v>
      </c>
      <c r="J15" s="518">
        <f>'Tab.3. Mieszkańcy_Polska '!H115</f>
        <v>882</v>
      </c>
      <c r="K15" s="521">
        <f t="shared" ref="K15:K30" si="4">ROUND(J15*100/$C15, 1)</f>
        <v>19</v>
      </c>
      <c r="L15" s="518">
        <f>'Tab.3. Mieszkańcy_Polska '!H116</f>
        <v>1477</v>
      </c>
      <c r="M15" s="524">
        <f t="shared" ref="M15:M30" si="5">ROUND(L15*100/$C15, 1)</f>
        <v>31.8</v>
      </c>
    </row>
    <row r="16" spans="1:14" x14ac:dyDescent="0.2">
      <c r="A16" s="462">
        <v>2</v>
      </c>
      <c r="B16" s="509" t="s">
        <v>237</v>
      </c>
      <c r="C16" s="489">
        <f t="shared" si="0"/>
        <v>3445</v>
      </c>
      <c r="D16" s="516">
        <f>'Tab.3. Mieszkańcy_Polska '!H188</f>
        <v>24</v>
      </c>
      <c r="E16" s="522">
        <f t="shared" si="1"/>
        <v>0.7</v>
      </c>
      <c r="F16" s="519">
        <f>'Tab.3. Mieszkańcy_Polska '!H189</f>
        <v>379</v>
      </c>
      <c r="G16" s="522">
        <f t="shared" si="2"/>
        <v>11</v>
      </c>
      <c r="H16" s="519">
        <f>'Tab.3. Mieszkańcy_Polska '!H190</f>
        <v>1137</v>
      </c>
      <c r="I16" s="522">
        <f t="shared" si="3"/>
        <v>33</v>
      </c>
      <c r="J16" s="519">
        <f>'Tab.3. Mieszkańcy_Polska '!H191</f>
        <v>884</v>
      </c>
      <c r="K16" s="522">
        <f t="shared" si="4"/>
        <v>25.7</v>
      </c>
      <c r="L16" s="519">
        <f>'Tab.3. Mieszkańcy_Polska '!H192</f>
        <v>1021</v>
      </c>
      <c r="M16" s="525">
        <f t="shared" si="5"/>
        <v>29.6</v>
      </c>
    </row>
    <row r="17" spans="1:13" x14ac:dyDescent="0.2">
      <c r="A17" s="462">
        <v>3</v>
      </c>
      <c r="B17" s="509" t="s">
        <v>238</v>
      </c>
      <c r="C17" s="489">
        <f t="shared" si="0"/>
        <v>3969</v>
      </c>
      <c r="D17" s="516">
        <f>'Tab.3. Mieszkańcy_Polska '!H264</f>
        <v>79</v>
      </c>
      <c r="E17" s="522">
        <f t="shared" si="1"/>
        <v>2</v>
      </c>
      <c r="F17" s="519">
        <f>'Tab.3. Mieszkańcy_Polska '!H265</f>
        <v>657</v>
      </c>
      <c r="G17" s="522">
        <f t="shared" si="2"/>
        <v>16.600000000000001</v>
      </c>
      <c r="H17" s="519">
        <f>'Tab.3. Mieszkańcy_Polska '!H266</f>
        <v>1180</v>
      </c>
      <c r="I17" s="522">
        <f t="shared" si="3"/>
        <v>29.7</v>
      </c>
      <c r="J17" s="519">
        <f>'Tab.3. Mieszkańcy_Polska '!H267</f>
        <v>978</v>
      </c>
      <c r="K17" s="522">
        <f t="shared" si="4"/>
        <v>24.6</v>
      </c>
      <c r="L17" s="519">
        <f>'Tab.3. Mieszkańcy_Polska '!H268</f>
        <v>1075</v>
      </c>
      <c r="M17" s="525">
        <f t="shared" si="5"/>
        <v>27.1</v>
      </c>
    </row>
    <row r="18" spans="1:13" x14ac:dyDescent="0.2">
      <c r="A18" s="462">
        <v>4</v>
      </c>
      <c r="B18" s="509" t="s">
        <v>239</v>
      </c>
      <c r="C18" s="489">
        <f t="shared" si="0"/>
        <v>2220</v>
      </c>
      <c r="D18" s="516">
        <f>'Tab.3. Mieszkańcy_Polska '!H340</f>
        <v>11</v>
      </c>
      <c r="E18" s="522">
        <f t="shared" si="1"/>
        <v>0.5</v>
      </c>
      <c r="F18" s="519">
        <f>'Tab.3. Mieszkańcy_Polska '!H341</f>
        <v>275</v>
      </c>
      <c r="G18" s="522">
        <f t="shared" si="2"/>
        <v>12.4</v>
      </c>
      <c r="H18" s="519">
        <f>'Tab.3. Mieszkańcy_Polska '!H342</f>
        <v>600</v>
      </c>
      <c r="I18" s="522">
        <f t="shared" si="3"/>
        <v>27</v>
      </c>
      <c r="J18" s="519">
        <f>'Tab.3. Mieszkańcy_Polska '!H343</f>
        <v>489</v>
      </c>
      <c r="K18" s="522">
        <f t="shared" si="4"/>
        <v>22</v>
      </c>
      <c r="L18" s="519">
        <f>'Tab.3. Mieszkańcy_Polska '!H344</f>
        <v>845</v>
      </c>
      <c r="M18" s="525">
        <f t="shared" si="5"/>
        <v>38.1</v>
      </c>
    </row>
    <row r="19" spans="1:13" x14ac:dyDescent="0.2">
      <c r="A19" s="462">
        <v>5</v>
      </c>
      <c r="B19" s="509" t="s">
        <v>240</v>
      </c>
      <c r="C19" s="489">
        <f t="shared" si="0"/>
        <v>5837</v>
      </c>
      <c r="D19" s="516">
        <f>'Tab.3. Mieszkańcy_Polska '!H416</f>
        <v>38</v>
      </c>
      <c r="E19" s="522">
        <f t="shared" si="1"/>
        <v>0.7</v>
      </c>
      <c r="F19" s="519">
        <f>'Tab.3. Mieszkańcy_Polska '!H417</f>
        <v>640</v>
      </c>
      <c r="G19" s="522">
        <f t="shared" si="2"/>
        <v>11</v>
      </c>
      <c r="H19" s="519">
        <f>'Tab.3. Mieszkańcy_Polska '!H418</f>
        <v>1748</v>
      </c>
      <c r="I19" s="522">
        <f t="shared" si="3"/>
        <v>29.9</v>
      </c>
      <c r="J19" s="519">
        <f>'Tab.3. Mieszkańcy_Polska '!H419</f>
        <v>1585</v>
      </c>
      <c r="K19" s="522">
        <f t="shared" si="4"/>
        <v>27.2</v>
      </c>
      <c r="L19" s="519">
        <f>'Tab.3. Mieszkańcy_Polska '!H420</f>
        <v>1826</v>
      </c>
      <c r="M19" s="525">
        <f t="shared" si="5"/>
        <v>31.3</v>
      </c>
    </row>
    <row r="20" spans="1:13" x14ac:dyDescent="0.2">
      <c r="A20" s="462">
        <v>6</v>
      </c>
      <c r="B20" s="509" t="s">
        <v>241</v>
      </c>
      <c r="C20" s="489">
        <f t="shared" si="0"/>
        <v>5763</v>
      </c>
      <c r="D20" s="516">
        <f>'Tab.3. Mieszkańcy_Polska '!H492</f>
        <v>13</v>
      </c>
      <c r="E20" s="522">
        <f t="shared" si="1"/>
        <v>0.2</v>
      </c>
      <c r="F20" s="519">
        <f>'Tab.3. Mieszkańcy_Polska '!H493</f>
        <v>549</v>
      </c>
      <c r="G20" s="522">
        <f t="shared" si="2"/>
        <v>9.5</v>
      </c>
      <c r="H20" s="519">
        <f>'Tab.3. Mieszkańcy_Polska '!H494</f>
        <v>1775</v>
      </c>
      <c r="I20" s="522">
        <f t="shared" si="3"/>
        <v>30.8</v>
      </c>
      <c r="J20" s="519">
        <f>'Tab.3. Mieszkańcy_Polska '!H495</f>
        <v>1516</v>
      </c>
      <c r="K20" s="522">
        <f t="shared" si="4"/>
        <v>26.3</v>
      </c>
      <c r="L20" s="519">
        <f>'Tab.3. Mieszkańcy_Polska '!H496</f>
        <v>1910</v>
      </c>
      <c r="M20" s="525">
        <f t="shared" si="5"/>
        <v>33.1</v>
      </c>
    </row>
    <row r="21" spans="1:13" x14ac:dyDescent="0.2">
      <c r="A21" s="462">
        <v>7</v>
      </c>
      <c r="B21" s="509" t="s">
        <v>242</v>
      </c>
      <c r="C21" s="489">
        <f t="shared" si="0"/>
        <v>7882</v>
      </c>
      <c r="D21" s="516">
        <f>'Tab.3. Mieszkańcy_Polska '!H568</f>
        <v>79</v>
      </c>
      <c r="E21" s="522">
        <f t="shared" si="1"/>
        <v>1</v>
      </c>
      <c r="F21" s="519">
        <f>'Tab.3. Mieszkańcy_Polska '!H569</f>
        <v>1111</v>
      </c>
      <c r="G21" s="522">
        <f t="shared" si="2"/>
        <v>14.1</v>
      </c>
      <c r="H21" s="519">
        <f>'Tab.3. Mieszkańcy_Polska '!H570</f>
        <v>2523</v>
      </c>
      <c r="I21" s="522">
        <f t="shared" si="3"/>
        <v>32</v>
      </c>
      <c r="J21" s="519">
        <f>'Tab.3. Mieszkańcy_Polska '!H571</f>
        <v>1852</v>
      </c>
      <c r="K21" s="522">
        <f t="shared" si="4"/>
        <v>23.5</v>
      </c>
      <c r="L21" s="519">
        <f>'Tab.3. Mieszkańcy_Polska '!H572</f>
        <v>2317</v>
      </c>
      <c r="M21" s="525">
        <f t="shared" si="5"/>
        <v>29.4</v>
      </c>
    </row>
    <row r="22" spans="1:13" x14ac:dyDescent="0.2">
      <c r="A22" s="462">
        <v>8</v>
      </c>
      <c r="B22" s="509" t="s">
        <v>243</v>
      </c>
      <c r="C22" s="489">
        <f t="shared" si="0"/>
        <v>2000</v>
      </c>
      <c r="D22" s="516">
        <f>'Tab.3. Mieszkańcy_Polska '!H644</f>
        <v>0</v>
      </c>
      <c r="E22" s="522">
        <f t="shared" si="1"/>
        <v>0</v>
      </c>
      <c r="F22" s="519">
        <f>'Tab.3. Mieszkańcy_Polska '!H645</f>
        <v>215</v>
      </c>
      <c r="G22" s="522">
        <f t="shared" si="2"/>
        <v>10.8</v>
      </c>
      <c r="H22" s="519">
        <f>'Tab.3. Mieszkańcy_Polska '!H646</f>
        <v>714</v>
      </c>
      <c r="I22" s="522">
        <f t="shared" si="3"/>
        <v>35.700000000000003</v>
      </c>
      <c r="J22" s="519">
        <f>'Tab.3. Mieszkańcy_Polska '!H647</f>
        <v>477</v>
      </c>
      <c r="K22" s="522">
        <f t="shared" si="4"/>
        <v>23.9</v>
      </c>
      <c r="L22" s="519">
        <f>'Tab.3. Mieszkańcy_Polska '!H648</f>
        <v>594</v>
      </c>
      <c r="M22" s="525">
        <f t="shared" si="5"/>
        <v>29.7</v>
      </c>
    </row>
    <row r="23" spans="1:13" x14ac:dyDescent="0.2">
      <c r="A23" s="462">
        <v>9</v>
      </c>
      <c r="B23" s="509" t="s">
        <v>244</v>
      </c>
      <c r="C23" s="489">
        <f t="shared" si="0"/>
        <v>3381</v>
      </c>
      <c r="D23" s="516">
        <f>'Tab.3. Mieszkańcy_Polska '!H720</f>
        <v>4</v>
      </c>
      <c r="E23" s="522">
        <f t="shared" si="1"/>
        <v>0.1</v>
      </c>
      <c r="F23" s="519">
        <f>'Tab.3. Mieszkańcy_Polska '!H721</f>
        <v>303</v>
      </c>
      <c r="G23" s="522">
        <f t="shared" si="2"/>
        <v>9</v>
      </c>
      <c r="H23" s="519">
        <f>'Tab.3. Mieszkańcy_Polska '!H722</f>
        <v>1164</v>
      </c>
      <c r="I23" s="522">
        <f t="shared" si="3"/>
        <v>34.4</v>
      </c>
      <c r="J23" s="519">
        <f>'Tab.3. Mieszkańcy_Polska '!H723</f>
        <v>941</v>
      </c>
      <c r="K23" s="522">
        <f t="shared" si="4"/>
        <v>27.8</v>
      </c>
      <c r="L23" s="519">
        <f>'Tab.3. Mieszkańcy_Polska '!H724</f>
        <v>969</v>
      </c>
      <c r="M23" s="525">
        <f t="shared" si="5"/>
        <v>28.7</v>
      </c>
    </row>
    <row r="24" spans="1:13" x14ac:dyDescent="0.2">
      <c r="A24" s="463">
        <v>10</v>
      </c>
      <c r="B24" s="509" t="s">
        <v>245</v>
      </c>
      <c r="C24" s="489">
        <f t="shared" si="0"/>
        <v>1850</v>
      </c>
      <c r="D24" s="516">
        <f>'Tab.3. Mieszkańcy_Polska '!H796</f>
        <v>35</v>
      </c>
      <c r="E24" s="522">
        <f t="shared" si="1"/>
        <v>1.9</v>
      </c>
      <c r="F24" s="519">
        <f>'Tab.3. Mieszkańcy_Polska '!H797</f>
        <v>346</v>
      </c>
      <c r="G24" s="522">
        <f t="shared" si="2"/>
        <v>18.7</v>
      </c>
      <c r="H24" s="519">
        <f>'Tab.3. Mieszkańcy_Polska '!H798</f>
        <v>555</v>
      </c>
      <c r="I24" s="522">
        <f t="shared" si="3"/>
        <v>30</v>
      </c>
      <c r="J24" s="519">
        <f>'Tab.3. Mieszkańcy_Polska '!H799</f>
        <v>419</v>
      </c>
      <c r="K24" s="522">
        <f t="shared" si="4"/>
        <v>22.6</v>
      </c>
      <c r="L24" s="519">
        <f>'Tab.3. Mieszkańcy_Polska '!H800</f>
        <v>495</v>
      </c>
      <c r="M24" s="525">
        <f t="shared" si="5"/>
        <v>26.8</v>
      </c>
    </row>
    <row r="25" spans="1:13" x14ac:dyDescent="0.2">
      <c r="A25" s="463">
        <v>11</v>
      </c>
      <c r="B25" s="509" t="s">
        <v>246</v>
      </c>
      <c r="C25" s="489">
        <f t="shared" si="0"/>
        <v>3308</v>
      </c>
      <c r="D25" s="516">
        <f>'Tab.3. Mieszkańcy_Polska '!H872</f>
        <v>25</v>
      </c>
      <c r="E25" s="522">
        <f t="shared" si="1"/>
        <v>0.8</v>
      </c>
      <c r="F25" s="519">
        <f>'Tab.3. Mieszkańcy_Polska '!H873</f>
        <v>472</v>
      </c>
      <c r="G25" s="522">
        <f t="shared" si="2"/>
        <v>14.3</v>
      </c>
      <c r="H25" s="519">
        <f>'Tab.3. Mieszkańcy_Polska '!H874</f>
        <v>1304</v>
      </c>
      <c r="I25" s="522">
        <f t="shared" si="3"/>
        <v>39.4</v>
      </c>
      <c r="J25" s="519">
        <f>'Tab.3. Mieszkańcy_Polska '!H875</f>
        <v>797</v>
      </c>
      <c r="K25" s="522">
        <f t="shared" si="4"/>
        <v>24.1</v>
      </c>
      <c r="L25" s="519">
        <f>'Tab.3. Mieszkańcy_Polska '!H876</f>
        <v>710</v>
      </c>
      <c r="M25" s="525">
        <f t="shared" si="5"/>
        <v>21.5</v>
      </c>
    </row>
    <row r="26" spans="1:13" x14ac:dyDescent="0.2">
      <c r="A26" s="463">
        <v>12</v>
      </c>
      <c r="B26" s="509" t="s">
        <v>247</v>
      </c>
      <c r="C26" s="489">
        <f t="shared" si="0"/>
        <v>4876</v>
      </c>
      <c r="D26" s="516">
        <f>'Tab.3. Mieszkańcy_Polska '!H948</f>
        <v>16</v>
      </c>
      <c r="E26" s="522">
        <f t="shared" si="1"/>
        <v>0.3</v>
      </c>
      <c r="F26" s="519">
        <f>'Tab.3. Mieszkańcy_Polska '!H949</f>
        <v>450</v>
      </c>
      <c r="G26" s="522">
        <f t="shared" si="2"/>
        <v>9.1999999999999993</v>
      </c>
      <c r="H26" s="519">
        <f>'Tab.3. Mieszkańcy_Polska '!H950</f>
        <v>1487</v>
      </c>
      <c r="I26" s="522">
        <f t="shared" si="3"/>
        <v>30.5</v>
      </c>
      <c r="J26" s="519">
        <f>'Tab.3. Mieszkańcy_Polska '!H951</f>
        <v>1308</v>
      </c>
      <c r="K26" s="522">
        <f t="shared" si="4"/>
        <v>26.8</v>
      </c>
      <c r="L26" s="519">
        <f>'Tab.3. Mieszkańcy_Polska '!H952</f>
        <v>1615</v>
      </c>
      <c r="M26" s="525">
        <f t="shared" si="5"/>
        <v>33.1</v>
      </c>
    </row>
    <row r="27" spans="1:13" x14ac:dyDescent="0.2">
      <c r="A27" s="463">
        <v>13</v>
      </c>
      <c r="B27" s="509" t="s">
        <v>248</v>
      </c>
      <c r="C27" s="489">
        <f t="shared" si="0"/>
        <v>2829</v>
      </c>
      <c r="D27" s="516">
        <f>'Tab.3. Mieszkańcy_Polska '!H1024</f>
        <v>14</v>
      </c>
      <c r="E27" s="522">
        <f t="shared" si="1"/>
        <v>0.5</v>
      </c>
      <c r="F27" s="519">
        <f>'Tab.3. Mieszkańcy_Polska '!H1025</f>
        <v>432</v>
      </c>
      <c r="G27" s="522">
        <f t="shared" si="2"/>
        <v>15.3</v>
      </c>
      <c r="H27" s="519">
        <f>'Tab.3. Mieszkańcy_Polska '!H1026</f>
        <v>944</v>
      </c>
      <c r="I27" s="522">
        <f t="shared" si="3"/>
        <v>33.4</v>
      </c>
      <c r="J27" s="519">
        <f>'Tab.3. Mieszkańcy_Polska '!H1027</f>
        <v>675</v>
      </c>
      <c r="K27" s="522">
        <f t="shared" si="4"/>
        <v>23.9</v>
      </c>
      <c r="L27" s="519">
        <f>'Tab.3. Mieszkańcy_Polska '!H1028</f>
        <v>764</v>
      </c>
      <c r="M27" s="525">
        <f t="shared" si="5"/>
        <v>27</v>
      </c>
    </row>
    <row r="28" spans="1:13" x14ac:dyDescent="0.2">
      <c r="A28" s="463">
        <v>14</v>
      </c>
      <c r="B28" s="509" t="s">
        <v>249</v>
      </c>
      <c r="C28" s="489">
        <f t="shared" si="0"/>
        <v>2836</v>
      </c>
      <c r="D28" s="516">
        <f>'Tab.3. Mieszkańcy_Polska '!H1100</f>
        <v>39</v>
      </c>
      <c r="E28" s="522">
        <f t="shared" si="1"/>
        <v>1.4</v>
      </c>
      <c r="F28" s="519">
        <f>'Tab.3. Mieszkańcy_Polska '!H1101</f>
        <v>382</v>
      </c>
      <c r="G28" s="522">
        <f t="shared" si="2"/>
        <v>13.5</v>
      </c>
      <c r="H28" s="519">
        <f>'Tab.3. Mieszkańcy_Polska '!H1102</f>
        <v>944</v>
      </c>
      <c r="I28" s="522">
        <f t="shared" si="3"/>
        <v>33.299999999999997</v>
      </c>
      <c r="J28" s="519">
        <f>'Tab.3. Mieszkańcy_Polska '!H1103</f>
        <v>676</v>
      </c>
      <c r="K28" s="522">
        <f t="shared" si="4"/>
        <v>23.8</v>
      </c>
      <c r="L28" s="519">
        <f>'Tab.3. Mieszkańcy_Polska '!H1104</f>
        <v>795</v>
      </c>
      <c r="M28" s="525">
        <f t="shared" si="5"/>
        <v>28</v>
      </c>
    </row>
    <row r="29" spans="1:13" x14ac:dyDescent="0.2">
      <c r="A29" s="463">
        <v>15</v>
      </c>
      <c r="B29" s="509" t="s">
        <v>250</v>
      </c>
      <c r="C29" s="489">
        <f t="shared" si="0"/>
        <v>5180</v>
      </c>
      <c r="D29" s="516">
        <f>'Tab.3. Mieszkańcy_Polska '!H1176</f>
        <v>12</v>
      </c>
      <c r="E29" s="522">
        <f t="shared" si="1"/>
        <v>0.2</v>
      </c>
      <c r="F29" s="519">
        <f>'Tab.3. Mieszkańcy_Polska '!H1177</f>
        <v>583</v>
      </c>
      <c r="G29" s="522">
        <f t="shared" si="2"/>
        <v>11.3</v>
      </c>
      <c r="H29" s="519">
        <f>'Tab.3. Mieszkańcy_Polska '!H1178</f>
        <v>1704</v>
      </c>
      <c r="I29" s="522">
        <f t="shared" si="3"/>
        <v>32.9</v>
      </c>
      <c r="J29" s="519">
        <f>'Tab.3. Mieszkańcy_Polska '!H1179</f>
        <v>1297</v>
      </c>
      <c r="K29" s="522">
        <f t="shared" si="4"/>
        <v>25</v>
      </c>
      <c r="L29" s="519">
        <f>'Tab.3. Mieszkańcy_Polska '!H1180</f>
        <v>1584</v>
      </c>
      <c r="M29" s="525">
        <f t="shared" si="5"/>
        <v>30.6</v>
      </c>
    </row>
    <row r="30" spans="1:13" ht="13.5" thickBot="1" x14ac:dyDescent="0.25">
      <c r="A30" s="463">
        <v>16</v>
      </c>
      <c r="B30" s="510" t="s">
        <v>251</v>
      </c>
      <c r="C30" s="489">
        <f t="shared" si="0"/>
        <v>3083</v>
      </c>
      <c r="D30" s="517">
        <f>'Tab.3. Mieszkańcy_Polska '!H1252</f>
        <v>29</v>
      </c>
      <c r="E30" s="523">
        <f t="shared" si="1"/>
        <v>0.9</v>
      </c>
      <c r="F30" s="520">
        <f>'Tab.3. Mieszkańcy_Polska '!H1253</f>
        <v>416</v>
      </c>
      <c r="G30" s="523">
        <f t="shared" si="2"/>
        <v>13.5</v>
      </c>
      <c r="H30" s="520">
        <f>'Tab.3. Mieszkańcy_Polska '!H1254</f>
        <v>930</v>
      </c>
      <c r="I30" s="523">
        <f t="shared" si="3"/>
        <v>30.2</v>
      </c>
      <c r="J30" s="520">
        <f>'Tab.3. Mieszkańcy_Polska '!H1255</f>
        <v>715</v>
      </c>
      <c r="K30" s="523">
        <f t="shared" si="4"/>
        <v>23.2</v>
      </c>
      <c r="L30" s="520">
        <f>'Tab.3. Mieszkańcy_Polska '!H1256</f>
        <v>993</v>
      </c>
      <c r="M30" s="526">
        <f t="shared" si="5"/>
        <v>32.200000000000003</v>
      </c>
    </row>
    <row r="31" spans="1:13" ht="16.5" thickBot="1" x14ac:dyDescent="0.3">
      <c r="A31" s="445" t="s">
        <v>252</v>
      </c>
      <c r="B31" s="446"/>
      <c r="C31" s="514">
        <f>SUM(C15:C30)</f>
        <v>63109</v>
      </c>
      <c r="D31" s="527">
        <f>SUM(D15:D30)</f>
        <v>468</v>
      </c>
      <c r="E31" s="528">
        <f>AVERAGE(E15:E30)</f>
        <v>0.76875000000000004</v>
      </c>
      <c r="F31" s="529">
        <f>SUM(F15:F30)</f>
        <v>7950</v>
      </c>
      <c r="G31" s="528">
        <f>AVERAGE(G15:G30)</f>
        <v>12.881250000000001</v>
      </c>
      <c r="H31" s="529">
        <f>SUM(H15:H30)</f>
        <v>20210</v>
      </c>
      <c r="I31" s="528">
        <f>AVERAGE(I15:I30)</f>
        <v>32.15625</v>
      </c>
      <c r="J31" s="529">
        <f>SUM(J15:J30)</f>
        <v>15491</v>
      </c>
      <c r="K31" s="528">
        <f>AVERAGE(K15:K30)</f>
        <v>24.337500000000002</v>
      </c>
      <c r="L31" s="529">
        <f>SUM(L15:L30)</f>
        <v>18990</v>
      </c>
      <c r="M31" s="530">
        <f>AVERAGE(M15:M30)</f>
        <v>29.875000000000004</v>
      </c>
    </row>
    <row r="32" spans="1:13" ht="13.5" thickTop="1" x14ac:dyDescent="0.2"/>
  </sheetData>
  <mergeCells count="19">
    <mergeCell ref="A6:M6"/>
    <mergeCell ref="A7:M7"/>
    <mergeCell ref="L1:M1"/>
    <mergeCell ref="L12:L13"/>
    <mergeCell ref="D10:M10"/>
    <mergeCell ref="D11:E11"/>
    <mergeCell ref="F11:G11"/>
    <mergeCell ref="H11:I11"/>
    <mergeCell ref="J11:K11"/>
    <mergeCell ref="M12:M13"/>
    <mergeCell ref="L11:M11"/>
    <mergeCell ref="D12:D13"/>
    <mergeCell ref="E12:E13"/>
    <mergeCell ref="F12:F13"/>
    <mergeCell ref="G12:G13"/>
    <mergeCell ref="H12:H13"/>
    <mergeCell ref="I12:I13"/>
    <mergeCell ref="J12:J13"/>
    <mergeCell ref="K12:K13"/>
  </mergeCells>
  <phoneticPr fontId="82"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5:F30 H15:H30 J15:J30 L15:L30 E31:K3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A39" sqref="A39:IV39"/>
    </sheetView>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A1" s="1" t="s">
        <v>195</v>
      </c>
      <c r="B1" s="3"/>
      <c r="C1" s="4"/>
      <c r="D1" s="3"/>
      <c r="E1" s="3"/>
      <c r="F1" s="3"/>
      <c r="G1" s="413"/>
      <c r="H1" s="413"/>
      <c r="I1" s="413"/>
      <c r="J1" s="413"/>
      <c r="L1" s="1603" t="s">
        <v>296</v>
      </c>
      <c r="M1" s="1603"/>
    </row>
    <row r="2" spans="1:14" x14ac:dyDescent="0.2">
      <c r="A2" s="3" t="s">
        <v>214</v>
      </c>
      <c r="B2" s="3"/>
      <c r="C2" s="3"/>
      <c r="D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
      <c r="A6" s="1761" t="s">
        <v>489</v>
      </c>
      <c r="B6" s="1761"/>
      <c r="C6" s="1761"/>
      <c r="D6" s="1761"/>
      <c r="E6" s="1761"/>
      <c r="F6" s="1761"/>
      <c r="G6" s="1761"/>
      <c r="H6" s="1761"/>
      <c r="I6" s="1761"/>
      <c r="J6" s="1761"/>
      <c r="K6" s="1761"/>
      <c r="L6" s="1761"/>
      <c r="M6" s="1761"/>
      <c r="N6" s="813"/>
    </row>
    <row r="7" spans="1:14" ht="15.75" x14ac:dyDescent="0.2">
      <c r="A7" s="1755" t="str">
        <f>"wg stanu na dzień 31.XII."&amp;'Tab.1. bilans_Polska'!A2&amp;" r."</f>
        <v>wg stanu na dzień 31.XII.2011 r.</v>
      </c>
      <c r="B7" s="1756"/>
      <c r="C7" s="1756"/>
      <c r="D7" s="1756"/>
      <c r="E7" s="1756"/>
      <c r="F7" s="1756"/>
      <c r="G7" s="1756"/>
      <c r="H7" s="1756"/>
      <c r="I7" s="1756"/>
      <c r="J7" s="1756"/>
      <c r="K7" s="1756"/>
      <c r="L7" s="1756"/>
      <c r="M7" s="1756"/>
      <c r="N7" s="813"/>
    </row>
    <row r="9" spans="1:14" ht="13.5" thickBot="1" x14ac:dyDescent="0.25">
      <c r="A9" s="3"/>
      <c r="B9" s="3"/>
      <c r="C9" s="3"/>
      <c r="D9" s="3"/>
      <c r="E9" s="3"/>
      <c r="F9" s="3"/>
      <c r="G9" s="3"/>
      <c r="H9" s="3"/>
      <c r="I9" s="3"/>
      <c r="J9" s="3"/>
      <c r="K9" s="3"/>
      <c r="L9" s="3"/>
    </row>
    <row r="10" spans="1:14" ht="13.5" thickTop="1" x14ac:dyDescent="0.2">
      <c r="A10" s="5"/>
      <c r="B10" s="505"/>
      <c r="C10" s="511"/>
      <c r="D10" s="1750" t="s">
        <v>289</v>
      </c>
      <c r="E10" s="1751"/>
      <c r="F10" s="1751"/>
      <c r="G10" s="1751"/>
      <c r="H10" s="1751"/>
      <c r="I10" s="1751"/>
      <c r="J10" s="1751"/>
      <c r="K10" s="1751"/>
      <c r="L10" s="1751"/>
      <c r="M10" s="1752"/>
    </row>
    <row r="11" spans="1:14" x14ac:dyDescent="0.2">
      <c r="A11" s="415" t="s">
        <v>226</v>
      </c>
      <c r="B11" s="506" t="s">
        <v>227</v>
      </c>
      <c r="C11" s="512" t="s">
        <v>7</v>
      </c>
      <c r="D11" s="1753" t="s">
        <v>290</v>
      </c>
      <c r="E11" s="1754"/>
      <c r="F11" s="1754" t="s">
        <v>291</v>
      </c>
      <c r="G11" s="1754"/>
      <c r="H11" s="1754" t="s">
        <v>292</v>
      </c>
      <c r="I11" s="1754"/>
      <c r="J11" s="1754" t="s">
        <v>293</v>
      </c>
      <c r="K11" s="1754"/>
      <c r="L11" s="1754" t="s">
        <v>466</v>
      </c>
      <c r="M11" s="1759"/>
    </row>
    <row r="12" spans="1:14" x14ac:dyDescent="0.2">
      <c r="A12" s="415"/>
      <c r="B12" s="506"/>
      <c r="C12" s="512"/>
      <c r="D12" s="1760" t="s">
        <v>0</v>
      </c>
      <c r="E12" s="1748" t="s">
        <v>294</v>
      </c>
      <c r="F12" s="1749" t="s">
        <v>0</v>
      </c>
      <c r="G12" s="1748" t="s">
        <v>294</v>
      </c>
      <c r="H12" s="1749" t="s">
        <v>0</v>
      </c>
      <c r="I12" s="1748" t="s">
        <v>294</v>
      </c>
      <c r="J12" s="1749" t="s">
        <v>0</v>
      </c>
      <c r="K12" s="1748" t="s">
        <v>294</v>
      </c>
      <c r="L12" s="1749" t="s">
        <v>0</v>
      </c>
      <c r="M12" s="1757" t="s">
        <v>294</v>
      </c>
    </row>
    <row r="13" spans="1:14" x14ac:dyDescent="0.2">
      <c r="A13" s="417"/>
      <c r="B13" s="507"/>
      <c r="C13" s="513"/>
      <c r="D13" s="1760"/>
      <c r="E13" s="1749"/>
      <c r="F13" s="1749"/>
      <c r="G13" s="1749"/>
      <c r="H13" s="1749"/>
      <c r="I13" s="1749"/>
      <c r="J13" s="1749"/>
      <c r="K13" s="1749"/>
      <c r="L13" s="1749"/>
      <c r="M13" s="1758"/>
    </row>
    <row r="14" spans="1:14"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14" ht="13.5" thickTop="1" x14ac:dyDescent="0.2">
      <c r="A15" s="461">
        <v>1</v>
      </c>
      <c r="B15" s="508" t="s">
        <v>236</v>
      </c>
      <c r="C15" s="488">
        <f t="shared" ref="C15:C30" si="0">D15+F15+H15+J15+L15</f>
        <v>824</v>
      </c>
      <c r="D15" s="515">
        <f>'Tab.3. Mieszkańcy_Polska '!I112</f>
        <v>119</v>
      </c>
      <c r="E15" s="521">
        <f t="shared" ref="E15:E30" si="1">ROUND(D15*100/$C15, 1)</f>
        <v>14.4</v>
      </c>
      <c r="F15" s="518">
        <f>'Tab.3. Mieszkańcy_Polska '!I113</f>
        <v>183</v>
      </c>
      <c r="G15" s="521">
        <f t="shared" ref="G15:G30" si="2">ROUND(F15*100/$C15, 1)</f>
        <v>22.2</v>
      </c>
      <c r="H15" s="518">
        <f>'Tab.3. Mieszkańcy_Polska '!I114</f>
        <v>123</v>
      </c>
      <c r="I15" s="521">
        <f t="shared" ref="I15:I30" si="3">ROUND(H15*100/$C15, 1)</f>
        <v>14.9</v>
      </c>
      <c r="J15" s="518">
        <f>'Tab.3. Mieszkańcy_Polska '!I115</f>
        <v>87</v>
      </c>
      <c r="K15" s="521">
        <f t="shared" ref="K15:K30" si="4">ROUND(J15*100/$C15, 1)</f>
        <v>10.6</v>
      </c>
      <c r="L15" s="518">
        <f>'Tab.3. Mieszkańcy_Polska '!I116</f>
        <v>312</v>
      </c>
      <c r="M15" s="524">
        <f t="shared" ref="M15:M30" si="5">ROUND(L15*100/$C15, 1)</f>
        <v>37.9</v>
      </c>
    </row>
    <row r="16" spans="1:14" x14ac:dyDescent="0.2">
      <c r="A16" s="462">
        <v>2</v>
      </c>
      <c r="B16" s="509" t="s">
        <v>237</v>
      </c>
      <c r="C16" s="489">
        <f t="shared" si="0"/>
        <v>438</v>
      </c>
      <c r="D16" s="516">
        <f>'Tab.3. Mieszkańcy_Polska '!I188</f>
        <v>91</v>
      </c>
      <c r="E16" s="522">
        <f t="shared" si="1"/>
        <v>20.8</v>
      </c>
      <c r="F16" s="519">
        <f>'Tab.3. Mieszkańcy_Polska '!I189</f>
        <v>166</v>
      </c>
      <c r="G16" s="522">
        <f t="shared" si="2"/>
        <v>37.9</v>
      </c>
      <c r="H16" s="519">
        <f>'Tab.3. Mieszkańcy_Polska '!I190</f>
        <v>71</v>
      </c>
      <c r="I16" s="522">
        <f t="shared" si="3"/>
        <v>16.2</v>
      </c>
      <c r="J16" s="519">
        <f>'Tab.3. Mieszkańcy_Polska '!I191</f>
        <v>34</v>
      </c>
      <c r="K16" s="522">
        <f t="shared" si="4"/>
        <v>7.8</v>
      </c>
      <c r="L16" s="519">
        <f>'Tab.3. Mieszkańcy_Polska '!I192</f>
        <v>76</v>
      </c>
      <c r="M16" s="525">
        <f t="shared" si="5"/>
        <v>17.399999999999999</v>
      </c>
    </row>
    <row r="17" spans="1:13" x14ac:dyDescent="0.2">
      <c r="A17" s="462">
        <v>3</v>
      </c>
      <c r="B17" s="509" t="s">
        <v>238</v>
      </c>
      <c r="C17" s="489">
        <f t="shared" si="0"/>
        <v>353</v>
      </c>
      <c r="D17" s="516">
        <f>'Tab.3. Mieszkańcy_Polska '!I264</f>
        <v>8</v>
      </c>
      <c r="E17" s="522">
        <f t="shared" si="1"/>
        <v>2.2999999999999998</v>
      </c>
      <c r="F17" s="519">
        <f>'Tab.3. Mieszkańcy_Polska '!I265</f>
        <v>58</v>
      </c>
      <c r="G17" s="522">
        <f t="shared" si="2"/>
        <v>16.399999999999999</v>
      </c>
      <c r="H17" s="519">
        <f>'Tab.3. Mieszkańcy_Polska '!I266</f>
        <v>98</v>
      </c>
      <c r="I17" s="522">
        <f t="shared" si="3"/>
        <v>27.8</v>
      </c>
      <c r="J17" s="519">
        <f>'Tab.3. Mieszkańcy_Polska '!I267</f>
        <v>52</v>
      </c>
      <c r="K17" s="522">
        <f t="shared" si="4"/>
        <v>14.7</v>
      </c>
      <c r="L17" s="519">
        <f>'Tab.3. Mieszkańcy_Polska '!I268</f>
        <v>137</v>
      </c>
      <c r="M17" s="525">
        <f t="shared" si="5"/>
        <v>38.799999999999997</v>
      </c>
    </row>
    <row r="18" spans="1:13" x14ac:dyDescent="0.2">
      <c r="A18" s="462">
        <v>4</v>
      </c>
      <c r="B18" s="509" t="s">
        <v>239</v>
      </c>
      <c r="C18" s="489">
        <f t="shared" si="0"/>
        <v>113</v>
      </c>
      <c r="D18" s="516">
        <f>'Tab.3. Mieszkańcy_Polska '!I340</f>
        <v>23</v>
      </c>
      <c r="E18" s="522">
        <f t="shared" si="1"/>
        <v>20.399999999999999</v>
      </c>
      <c r="F18" s="519">
        <f>'Tab.3. Mieszkańcy_Polska '!I341</f>
        <v>41</v>
      </c>
      <c r="G18" s="522">
        <f t="shared" si="2"/>
        <v>36.299999999999997</v>
      </c>
      <c r="H18" s="519">
        <f>'Tab.3. Mieszkańcy_Polska '!I342</f>
        <v>42</v>
      </c>
      <c r="I18" s="522">
        <f t="shared" si="3"/>
        <v>37.200000000000003</v>
      </c>
      <c r="J18" s="519">
        <f>'Tab.3. Mieszkańcy_Polska '!I343</f>
        <v>7</v>
      </c>
      <c r="K18" s="522">
        <f t="shared" si="4"/>
        <v>6.2</v>
      </c>
      <c r="L18" s="519">
        <f>'Tab.3. Mieszkańcy_Polska '!I344</f>
        <v>0</v>
      </c>
      <c r="M18" s="525">
        <f t="shared" si="5"/>
        <v>0</v>
      </c>
    </row>
    <row r="19" spans="1:13" x14ac:dyDescent="0.2">
      <c r="A19" s="462">
        <v>5</v>
      </c>
      <c r="B19" s="509" t="s">
        <v>240</v>
      </c>
      <c r="C19" s="489">
        <f t="shared" si="0"/>
        <v>273</v>
      </c>
      <c r="D19" s="516">
        <f>'Tab.3. Mieszkańcy_Polska '!I416</f>
        <v>12</v>
      </c>
      <c r="E19" s="522">
        <f t="shared" si="1"/>
        <v>4.4000000000000004</v>
      </c>
      <c r="F19" s="519">
        <f>'Tab.3. Mieszkańcy_Polska '!I417</f>
        <v>39</v>
      </c>
      <c r="G19" s="522">
        <f t="shared" si="2"/>
        <v>14.3</v>
      </c>
      <c r="H19" s="519">
        <f>'Tab.3. Mieszkańcy_Polska '!I418</f>
        <v>66</v>
      </c>
      <c r="I19" s="522">
        <f t="shared" si="3"/>
        <v>24.2</v>
      </c>
      <c r="J19" s="519">
        <f>'Tab.3. Mieszkańcy_Polska '!I419</f>
        <v>66</v>
      </c>
      <c r="K19" s="522">
        <f t="shared" si="4"/>
        <v>24.2</v>
      </c>
      <c r="L19" s="519">
        <f>'Tab.3. Mieszkańcy_Polska '!I420</f>
        <v>90</v>
      </c>
      <c r="M19" s="525">
        <f t="shared" si="5"/>
        <v>33</v>
      </c>
    </row>
    <row r="20" spans="1:13" x14ac:dyDescent="0.2">
      <c r="A20" s="462">
        <v>6</v>
      </c>
      <c r="B20" s="509" t="s">
        <v>241</v>
      </c>
      <c r="C20" s="489">
        <f t="shared" si="0"/>
        <v>1550</v>
      </c>
      <c r="D20" s="516">
        <f>'Tab.3. Mieszkańcy_Polska '!I492</f>
        <v>70</v>
      </c>
      <c r="E20" s="522">
        <f t="shared" si="1"/>
        <v>4.5</v>
      </c>
      <c r="F20" s="519">
        <f>'Tab.3. Mieszkańcy_Polska '!I493</f>
        <v>325</v>
      </c>
      <c r="G20" s="522">
        <f t="shared" si="2"/>
        <v>21</v>
      </c>
      <c r="H20" s="519">
        <f>'Tab.3. Mieszkańcy_Polska '!I494</f>
        <v>437</v>
      </c>
      <c r="I20" s="522">
        <f t="shared" si="3"/>
        <v>28.2</v>
      </c>
      <c r="J20" s="519">
        <f>'Tab.3. Mieszkańcy_Polska '!I495</f>
        <v>265</v>
      </c>
      <c r="K20" s="522">
        <f t="shared" si="4"/>
        <v>17.100000000000001</v>
      </c>
      <c r="L20" s="519">
        <f>'Tab.3. Mieszkańcy_Polska '!I496</f>
        <v>453</v>
      </c>
      <c r="M20" s="525">
        <f t="shared" si="5"/>
        <v>29.2</v>
      </c>
    </row>
    <row r="21" spans="1:13" x14ac:dyDescent="0.2">
      <c r="A21" s="462">
        <v>7</v>
      </c>
      <c r="B21" s="509" t="s">
        <v>242</v>
      </c>
      <c r="C21" s="489">
        <f t="shared" si="0"/>
        <v>1138</v>
      </c>
      <c r="D21" s="516">
        <f>'Tab.3. Mieszkańcy_Polska '!I568</f>
        <v>42</v>
      </c>
      <c r="E21" s="522">
        <f t="shared" si="1"/>
        <v>3.7</v>
      </c>
      <c r="F21" s="519">
        <f>'Tab.3. Mieszkańcy_Polska '!I569</f>
        <v>225</v>
      </c>
      <c r="G21" s="522">
        <f t="shared" si="2"/>
        <v>19.8</v>
      </c>
      <c r="H21" s="519">
        <f>'Tab.3. Mieszkańcy_Polska '!I570</f>
        <v>323</v>
      </c>
      <c r="I21" s="522">
        <f t="shared" si="3"/>
        <v>28.4</v>
      </c>
      <c r="J21" s="519">
        <f>'Tab.3. Mieszkańcy_Polska '!I571</f>
        <v>187</v>
      </c>
      <c r="K21" s="522">
        <f t="shared" si="4"/>
        <v>16.399999999999999</v>
      </c>
      <c r="L21" s="519">
        <f>'Tab.3. Mieszkańcy_Polska '!I572</f>
        <v>361</v>
      </c>
      <c r="M21" s="525">
        <f t="shared" si="5"/>
        <v>31.7</v>
      </c>
    </row>
    <row r="22" spans="1:13" x14ac:dyDescent="0.2">
      <c r="A22" s="462">
        <v>8</v>
      </c>
      <c r="B22" s="509" t="s">
        <v>243</v>
      </c>
      <c r="C22" s="489">
        <f t="shared" si="0"/>
        <v>881</v>
      </c>
      <c r="D22" s="516">
        <f>'Tab.3. Mieszkańcy_Polska '!I644</f>
        <v>82</v>
      </c>
      <c r="E22" s="522">
        <f t="shared" si="1"/>
        <v>9.3000000000000007</v>
      </c>
      <c r="F22" s="519">
        <f>'Tab.3. Mieszkańcy_Polska '!I645</f>
        <v>340</v>
      </c>
      <c r="G22" s="522">
        <f t="shared" si="2"/>
        <v>38.6</v>
      </c>
      <c r="H22" s="519">
        <f>'Tab.3. Mieszkańcy_Polska '!I646</f>
        <v>141</v>
      </c>
      <c r="I22" s="522">
        <f t="shared" si="3"/>
        <v>16</v>
      </c>
      <c r="J22" s="519">
        <f>'Tab.3. Mieszkańcy_Polska '!I647</f>
        <v>91</v>
      </c>
      <c r="K22" s="522">
        <f t="shared" si="4"/>
        <v>10.3</v>
      </c>
      <c r="L22" s="519">
        <f>'Tab.3. Mieszkańcy_Polska '!I648</f>
        <v>227</v>
      </c>
      <c r="M22" s="525">
        <f t="shared" si="5"/>
        <v>25.8</v>
      </c>
    </row>
    <row r="23" spans="1:13" x14ac:dyDescent="0.2">
      <c r="A23" s="462">
        <v>9</v>
      </c>
      <c r="B23" s="509" t="s">
        <v>244</v>
      </c>
      <c r="C23" s="489">
        <f t="shared" si="0"/>
        <v>1049</v>
      </c>
      <c r="D23" s="516">
        <f>'Tab.3. Mieszkańcy_Polska '!I720</f>
        <v>78</v>
      </c>
      <c r="E23" s="522">
        <f t="shared" si="1"/>
        <v>7.4</v>
      </c>
      <c r="F23" s="519">
        <f>'Tab.3. Mieszkańcy_Polska '!I721</f>
        <v>316</v>
      </c>
      <c r="G23" s="522">
        <f t="shared" si="2"/>
        <v>30.1</v>
      </c>
      <c r="H23" s="519">
        <f>'Tab.3. Mieszkańcy_Polska '!I722</f>
        <v>207</v>
      </c>
      <c r="I23" s="522">
        <f t="shared" si="3"/>
        <v>19.7</v>
      </c>
      <c r="J23" s="519">
        <f>'Tab.3. Mieszkańcy_Polska '!I723</f>
        <v>145</v>
      </c>
      <c r="K23" s="522">
        <f t="shared" si="4"/>
        <v>13.8</v>
      </c>
      <c r="L23" s="519">
        <f>'Tab.3. Mieszkańcy_Polska '!I724</f>
        <v>303</v>
      </c>
      <c r="M23" s="525">
        <f t="shared" si="5"/>
        <v>28.9</v>
      </c>
    </row>
    <row r="24" spans="1:13" x14ac:dyDescent="0.2">
      <c r="A24" s="463">
        <v>10</v>
      </c>
      <c r="B24" s="509" t="s">
        <v>245</v>
      </c>
      <c r="C24" s="489">
        <f t="shared" si="0"/>
        <v>434</v>
      </c>
      <c r="D24" s="516">
        <f>'Tab.3. Mieszkańcy_Polska '!I796</f>
        <v>15</v>
      </c>
      <c r="E24" s="522">
        <f t="shared" si="1"/>
        <v>3.5</v>
      </c>
      <c r="F24" s="519">
        <f>'Tab.3. Mieszkańcy_Polska '!I797</f>
        <v>108</v>
      </c>
      <c r="G24" s="522">
        <f t="shared" si="2"/>
        <v>24.9</v>
      </c>
      <c r="H24" s="519">
        <f>'Tab.3. Mieszkańcy_Polska '!I798</f>
        <v>167</v>
      </c>
      <c r="I24" s="522">
        <f t="shared" si="3"/>
        <v>38.5</v>
      </c>
      <c r="J24" s="519">
        <f>'Tab.3. Mieszkańcy_Polska '!I799</f>
        <v>76</v>
      </c>
      <c r="K24" s="522">
        <f t="shared" si="4"/>
        <v>17.5</v>
      </c>
      <c r="L24" s="519">
        <f>'Tab.3. Mieszkańcy_Polska '!I800</f>
        <v>68</v>
      </c>
      <c r="M24" s="525">
        <f t="shared" si="5"/>
        <v>15.7</v>
      </c>
    </row>
    <row r="25" spans="1:13" x14ac:dyDescent="0.2">
      <c r="A25" s="463">
        <v>11</v>
      </c>
      <c r="B25" s="509" t="s">
        <v>246</v>
      </c>
      <c r="C25" s="489">
        <f t="shared" si="0"/>
        <v>543</v>
      </c>
      <c r="D25" s="516">
        <f>'Tab.3. Mieszkańcy_Polska '!I872</f>
        <v>59</v>
      </c>
      <c r="E25" s="522">
        <f t="shared" si="1"/>
        <v>10.9</v>
      </c>
      <c r="F25" s="519">
        <f>'Tab.3. Mieszkańcy_Polska '!I873</f>
        <v>190</v>
      </c>
      <c r="G25" s="522">
        <f t="shared" si="2"/>
        <v>35</v>
      </c>
      <c r="H25" s="519">
        <f>'Tab.3. Mieszkańcy_Polska '!I874</f>
        <v>122</v>
      </c>
      <c r="I25" s="522">
        <f t="shared" si="3"/>
        <v>22.5</v>
      </c>
      <c r="J25" s="519">
        <f>'Tab.3. Mieszkańcy_Polska '!I875</f>
        <v>75</v>
      </c>
      <c r="K25" s="522">
        <f t="shared" si="4"/>
        <v>13.8</v>
      </c>
      <c r="L25" s="519">
        <f>'Tab.3. Mieszkańcy_Polska '!I876</f>
        <v>97</v>
      </c>
      <c r="M25" s="525">
        <f t="shared" si="5"/>
        <v>17.899999999999999</v>
      </c>
    </row>
    <row r="26" spans="1:13" x14ac:dyDescent="0.2">
      <c r="A26" s="463">
        <v>12</v>
      </c>
      <c r="B26" s="509" t="s">
        <v>247</v>
      </c>
      <c r="C26" s="489">
        <f t="shared" si="0"/>
        <v>2907</v>
      </c>
      <c r="D26" s="516">
        <f>'Tab.3. Mieszkańcy_Polska '!I948</f>
        <v>139</v>
      </c>
      <c r="E26" s="522">
        <f t="shared" si="1"/>
        <v>4.8</v>
      </c>
      <c r="F26" s="519">
        <f>'Tab.3. Mieszkańcy_Polska '!I949</f>
        <v>614</v>
      </c>
      <c r="G26" s="522">
        <f t="shared" si="2"/>
        <v>21.1</v>
      </c>
      <c r="H26" s="519">
        <f>'Tab.3. Mieszkańcy_Polska '!I950</f>
        <v>852</v>
      </c>
      <c r="I26" s="522">
        <f t="shared" si="3"/>
        <v>29.3</v>
      </c>
      <c r="J26" s="519">
        <f>'Tab.3. Mieszkańcy_Polska '!I951</f>
        <v>534</v>
      </c>
      <c r="K26" s="522">
        <f t="shared" si="4"/>
        <v>18.399999999999999</v>
      </c>
      <c r="L26" s="519">
        <f>'Tab.3. Mieszkańcy_Polska '!I952</f>
        <v>768</v>
      </c>
      <c r="M26" s="525">
        <f t="shared" si="5"/>
        <v>26.4</v>
      </c>
    </row>
    <row r="27" spans="1:13" x14ac:dyDescent="0.2">
      <c r="A27" s="463">
        <v>13</v>
      </c>
      <c r="B27" s="509" t="s">
        <v>248</v>
      </c>
      <c r="C27" s="489">
        <f t="shared" si="0"/>
        <v>382</v>
      </c>
      <c r="D27" s="516">
        <f>'Tab.3. Mieszkańcy_Polska '!I1024</f>
        <v>0</v>
      </c>
      <c r="E27" s="522">
        <f t="shared" si="1"/>
        <v>0</v>
      </c>
      <c r="F27" s="519">
        <f>'Tab.3. Mieszkańcy_Polska '!I1025</f>
        <v>20</v>
      </c>
      <c r="G27" s="522">
        <f t="shared" si="2"/>
        <v>5.2</v>
      </c>
      <c r="H27" s="519">
        <f>'Tab.3. Mieszkańcy_Polska '!I1026</f>
        <v>70</v>
      </c>
      <c r="I27" s="522">
        <f t="shared" si="3"/>
        <v>18.3</v>
      </c>
      <c r="J27" s="519">
        <f>'Tab.3. Mieszkańcy_Polska '!I1027</f>
        <v>102</v>
      </c>
      <c r="K27" s="522">
        <f t="shared" si="4"/>
        <v>26.7</v>
      </c>
      <c r="L27" s="519">
        <f>'Tab.3. Mieszkańcy_Polska '!I1028</f>
        <v>190</v>
      </c>
      <c r="M27" s="525">
        <f t="shared" si="5"/>
        <v>49.7</v>
      </c>
    </row>
    <row r="28" spans="1:13" x14ac:dyDescent="0.2">
      <c r="A28" s="463">
        <v>14</v>
      </c>
      <c r="B28" s="509" t="s">
        <v>249</v>
      </c>
      <c r="C28" s="489">
        <f t="shared" si="0"/>
        <v>588</v>
      </c>
      <c r="D28" s="516">
        <f>'Tab.3. Mieszkańcy_Polska '!I1100</f>
        <v>76</v>
      </c>
      <c r="E28" s="522">
        <f t="shared" si="1"/>
        <v>12.9</v>
      </c>
      <c r="F28" s="519">
        <f>'Tab.3. Mieszkańcy_Polska '!I1101</f>
        <v>138</v>
      </c>
      <c r="G28" s="522">
        <f t="shared" si="2"/>
        <v>23.5</v>
      </c>
      <c r="H28" s="519">
        <f>'Tab.3. Mieszkańcy_Polska '!I1102</f>
        <v>134</v>
      </c>
      <c r="I28" s="522">
        <f t="shared" si="3"/>
        <v>22.8</v>
      </c>
      <c r="J28" s="519">
        <f>'Tab.3. Mieszkańcy_Polska '!I1103</f>
        <v>95</v>
      </c>
      <c r="K28" s="522">
        <f t="shared" si="4"/>
        <v>16.2</v>
      </c>
      <c r="L28" s="519">
        <f>'Tab.3. Mieszkańcy_Polska '!I1104</f>
        <v>145</v>
      </c>
      <c r="M28" s="525">
        <f t="shared" si="5"/>
        <v>24.7</v>
      </c>
    </row>
    <row r="29" spans="1:13" x14ac:dyDescent="0.2">
      <c r="A29" s="463">
        <v>15</v>
      </c>
      <c r="B29" s="509" t="s">
        <v>250</v>
      </c>
      <c r="C29" s="489">
        <f t="shared" si="0"/>
        <v>1004</v>
      </c>
      <c r="D29" s="516">
        <f>'Tab.3. Mieszkańcy_Polska '!I1176</f>
        <v>102</v>
      </c>
      <c r="E29" s="522">
        <f t="shared" si="1"/>
        <v>10.199999999999999</v>
      </c>
      <c r="F29" s="519">
        <f>'Tab.3. Mieszkańcy_Polska '!I1177</f>
        <v>206</v>
      </c>
      <c r="G29" s="522">
        <f t="shared" si="2"/>
        <v>20.5</v>
      </c>
      <c r="H29" s="519">
        <f>'Tab.3. Mieszkańcy_Polska '!I1178</f>
        <v>165</v>
      </c>
      <c r="I29" s="522">
        <f t="shared" si="3"/>
        <v>16.399999999999999</v>
      </c>
      <c r="J29" s="519">
        <f>'Tab.3. Mieszkańcy_Polska '!I1179</f>
        <v>96</v>
      </c>
      <c r="K29" s="522">
        <f t="shared" si="4"/>
        <v>9.6</v>
      </c>
      <c r="L29" s="519">
        <f>'Tab.3. Mieszkańcy_Polska '!I1180</f>
        <v>435</v>
      </c>
      <c r="M29" s="525">
        <f t="shared" si="5"/>
        <v>43.3</v>
      </c>
    </row>
    <row r="30" spans="1:13" ht="13.5" thickBot="1" x14ac:dyDescent="0.25">
      <c r="A30" s="463">
        <v>16</v>
      </c>
      <c r="B30" s="510" t="s">
        <v>251</v>
      </c>
      <c r="C30" s="489">
        <f t="shared" si="0"/>
        <v>633</v>
      </c>
      <c r="D30" s="517">
        <f>'Tab.3. Mieszkańcy_Polska '!I1252</f>
        <v>7</v>
      </c>
      <c r="E30" s="523">
        <f t="shared" si="1"/>
        <v>1.1000000000000001</v>
      </c>
      <c r="F30" s="520">
        <f>'Tab.3. Mieszkańcy_Polska '!I1253</f>
        <v>105</v>
      </c>
      <c r="G30" s="523">
        <f t="shared" si="2"/>
        <v>16.600000000000001</v>
      </c>
      <c r="H30" s="520">
        <f>'Tab.3. Mieszkańcy_Polska '!I1254</f>
        <v>194</v>
      </c>
      <c r="I30" s="523">
        <f t="shared" si="3"/>
        <v>30.6</v>
      </c>
      <c r="J30" s="520">
        <f>'Tab.3. Mieszkańcy_Polska '!I1255</f>
        <v>151</v>
      </c>
      <c r="K30" s="523">
        <f t="shared" si="4"/>
        <v>23.9</v>
      </c>
      <c r="L30" s="520">
        <f>'Tab.3. Mieszkańcy_Polska '!I1256</f>
        <v>176</v>
      </c>
      <c r="M30" s="526">
        <f t="shared" si="5"/>
        <v>27.8</v>
      </c>
    </row>
    <row r="31" spans="1:13" ht="16.5" thickBot="1" x14ac:dyDescent="0.3">
      <c r="A31" s="445" t="s">
        <v>252</v>
      </c>
      <c r="B31" s="446"/>
      <c r="C31" s="514">
        <f>SUM(C15:C30)</f>
        <v>13110</v>
      </c>
      <c r="D31" s="527">
        <f>SUM(D15:D30)</f>
        <v>923</v>
      </c>
      <c r="E31" s="528">
        <f>AVERAGE(E15:E30)</f>
        <v>8.1624999999999996</v>
      </c>
      <c r="F31" s="529">
        <f>SUM(F15:F30)</f>
        <v>3074</v>
      </c>
      <c r="G31" s="528">
        <f>AVERAGE(G15:G30)</f>
        <v>23.962500000000002</v>
      </c>
      <c r="H31" s="529">
        <f>SUM(H15:H30)</f>
        <v>3212</v>
      </c>
      <c r="I31" s="528">
        <f>AVERAGE(I15:I30)</f>
        <v>24.437500000000004</v>
      </c>
      <c r="J31" s="529">
        <f>SUM(J15:J30)</f>
        <v>2063</v>
      </c>
      <c r="K31" s="528">
        <f>AVERAGE(K15:K30)</f>
        <v>15.45</v>
      </c>
      <c r="L31" s="529">
        <f>SUM(L15:L30)</f>
        <v>3838</v>
      </c>
      <c r="M31" s="530">
        <f>AVERAGE(M15:M30)</f>
        <v>28.012499999999996</v>
      </c>
    </row>
    <row r="32" spans="1:13" ht="13.5" thickTop="1" x14ac:dyDescent="0.2"/>
  </sheetData>
  <mergeCells count="19">
    <mergeCell ref="A6:M6"/>
    <mergeCell ref="A7:M7"/>
    <mergeCell ref="L1:M1"/>
    <mergeCell ref="L11:M11"/>
    <mergeCell ref="K12:K13"/>
    <mergeCell ref="D12:D13"/>
    <mergeCell ref="E12:E13"/>
    <mergeCell ref="F12:F13"/>
    <mergeCell ref="G12:G13"/>
    <mergeCell ref="L12:L13"/>
    <mergeCell ref="D10:M10"/>
    <mergeCell ref="D11:E11"/>
    <mergeCell ref="F11:G11"/>
    <mergeCell ref="H11:I11"/>
    <mergeCell ref="J11:K11"/>
    <mergeCell ref="M12:M13"/>
    <mergeCell ref="H12:H13"/>
    <mergeCell ref="I12:I13"/>
    <mergeCell ref="J12:J13"/>
  </mergeCells>
  <phoneticPr fontId="82"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5:F30 H15:H30 J15:J30 L15:L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heetViews>
  <sheetFormatPr defaultRowHeight="12.75" x14ac:dyDescent="0.2"/>
  <cols>
    <col min="1" max="1" width="3.7109375" customWidth="1"/>
    <col min="2" max="2" width="24.5703125" bestFit="1" customWidth="1"/>
    <col min="3" max="5" width="15.7109375" customWidth="1"/>
    <col min="6" max="13" width="9.7109375" customWidth="1"/>
    <col min="14" max="14" width="15.7109375" customWidth="1"/>
  </cols>
  <sheetData>
    <row r="1" spans="1:14" ht="15.75" x14ac:dyDescent="0.25">
      <c r="A1" s="1" t="s">
        <v>195</v>
      </c>
      <c r="B1" s="3"/>
      <c r="C1" s="4"/>
      <c r="D1" s="1603" t="s">
        <v>299</v>
      </c>
      <c r="E1" s="1603"/>
      <c r="F1" s="3"/>
      <c r="G1" s="413"/>
      <c r="H1" s="413"/>
      <c r="I1" s="413"/>
      <c r="J1" s="413"/>
    </row>
    <row r="2" spans="1:14" x14ac:dyDescent="0.2">
      <c r="A2" s="3" t="s">
        <v>214</v>
      </c>
      <c r="B2" s="3"/>
      <c r="C2" s="3"/>
      <c r="D2" s="3"/>
      <c r="E2" s="3"/>
      <c r="F2" s="3" t="s">
        <v>215</v>
      </c>
      <c r="G2" s="3"/>
      <c r="H2" s="3"/>
      <c r="I2" s="3"/>
      <c r="J2" s="3"/>
      <c r="K2" s="3"/>
      <c r="L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300</v>
      </c>
      <c r="B6" s="1604"/>
      <c r="C6" s="1604"/>
      <c r="D6" s="1604"/>
      <c r="E6" s="1604"/>
      <c r="F6" s="8"/>
      <c r="G6" s="8"/>
      <c r="H6" s="8"/>
      <c r="I6" s="8"/>
      <c r="J6" s="8"/>
      <c r="K6" s="8"/>
      <c r="L6" s="8"/>
      <c r="M6" s="8"/>
      <c r="N6" s="8"/>
    </row>
    <row r="7" spans="1:14" ht="15.75" x14ac:dyDescent="0.25">
      <c r="A7" s="1766" t="s">
        <v>490</v>
      </c>
      <c r="B7" s="1766"/>
      <c r="C7" s="1766"/>
      <c r="D7" s="1766"/>
      <c r="E7" s="1766"/>
      <c r="F7" s="8"/>
      <c r="G7" s="8"/>
      <c r="H7" s="8"/>
      <c r="I7" s="8"/>
      <c r="J7" s="8"/>
      <c r="K7" s="8"/>
      <c r="L7" s="8"/>
      <c r="M7" s="8"/>
      <c r="N7" s="8"/>
    </row>
    <row r="8" spans="1:14" ht="15.75" x14ac:dyDescent="0.25">
      <c r="A8" s="1691" t="str">
        <f>"wg stanu na dzień 31.XII."&amp;'Tab.1. bilans_Polska'!A2&amp;" r."</f>
        <v>wg stanu na dzień 31.XII.2011 r.</v>
      </c>
      <c r="B8" s="1690"/>
      <c r="C8" s="1690"/>
      <c r="D8" s="1690"/>
      <c r="E8" s="1690"/>
      <c r="F8" s="8"/>
      <c r="G8" s="8"/>
      <c r="H8" s="8"/>
      <c r="I8" s="8"/>
      <c r="J8" s="8"/>
      <c r="K8" s="8"/>
      <c r="L8" s="8"/>
    </row>
    <row r="9" spans="1:14" ht="13.5" thickBot="1" x14ac:dyDescent="0.25">
      <c r="A9" s="3"/>
      <c r="B9" s="3"/>
      <c r="C9" s="3"/>
      <c r="D9" s="3"/>
      <c r="E9" s="3"/>
      <c r="F9" s="3"/>
      <c r="G9" s="3"/>
      <c r="H9" s="3"/>
      <c r="I9" s="3"/>
      <c r="J9" s="3"/>
      <c r="K9" s="3"/>
      <c r="L9" s="3"/>
    </row>
    <row r="10" spans="1:14" ht="13.5" thickTop="1" x14ac:dyDescent="0.2">
      <c r="A10" s="5"/>
      <c r="B10" s="505"/>
      <c r="C10" s="1767" t="s">
        <v>297</v>
      </c>
      <c r="D10" s="1762" t="s">
        <v>298</v>
      </c>
      <c r="E10" s="1763"/>
    </row>
    <row r="11" spans="1:14" x14ac:dyDescent="0.2">
      <c r="A11" s="415" t="s">
        <v>226</v>
      </c>
      <c r="B11" s="506" t="s">
        <v>227</v>
      </c>
      <c r="C11" s="1768"/>
      <c r="D11" s="1764"/>
      <c r="E11" s="1765"/>
    </row>
    <row r="12" spans="1:14" x14ac:dyDescent="0.2">
      <c r="A12" s="415"/>
      <c r="B12" s="506"/>
      <c r="C12" s="1768"/>
      <c r="D12" s="1760" t="s">
        <v>0</v>
      </c>
      <c r="E12" s="1757" t="s">
        <v>294</v>
      </c>
    </row>
    <row r="13" spans="1:14" x14ac:dyDescent="0.2">
      <c r="A13" s="417"/>
      <c r="B13" s="507"/>
      <c r="C13" s="1769"/>
      <c r="D13" s="1760"/>
      <c r="E13" s="1758"/>
    </row>
    <row r="14" spans="1:14" ht="13.5" thickBot="1" x14ac:dyDescent="0.25">
      <c r="A14" s="425"/>
      <c r="B14" s="429">
        <v>0</v>
      </c>
      <c r="C14" s="464">
        <v>1</v>
      </c>
      <c r="D14" s="427">
        <v>2</v>
      </c>
      <c r="E14" s="431">
        <v>3</v>
      </c>
    </row>
    <row r="15" spans="1:14" ht="13.5" thickTop="1" x14ac:dyDescent="0.2">
      <c r="A15" s="461">
        <v>1</v>
      </c>
      <c r="B15" s="508" t="s">
        <v>236</v>
      </c>
      <c r="C15" s="473">
        <f>'Tab.3. Mieszkańcy_Polska '!G107</f>
        <v>5474</v>
      </c>
      <c r="D15" s="515">
        <f>'Tab.3. Mieszkańcy_Polska '!G109</f>
        <v>659</v>
      </c>
      <c r="E15" s="524">
        <f t="shared" ref="E15:E30" si="0">ROUND(D15*100/$C15, 1)</f>
        <v>12</v>
      </c>
    </row>
    <row r="16" spans="1:14" x14ac:dyDescent="0.2">
      <c r="A16" s="462">
        <v>2</v>
      </c>
      <c r="B16" s="509" t="s">
        <v>237</v>
      </c>
      <c r="C16" s="481">
        <f>'Tab.3. Mieszkańcy_Polska '!G183</f>
        <v>3883</v>
      </c>
      <c r="D16" s="516">
        <f>'Tab.3. Mieszkańcy_Polska '!G185</f>
        <v>544</v>
      </c>
      <c r="E16" s="525">
        <f t="shared" si="0"/>
        <v>14</v>
      </c>
    </row>
    <row r="17" spans="1:5" x14ac:dyDescent="0.2">
      <c r="A17" s="462">
        <v>3</v>
      </c>
      <c r="B17" s="509" t="s">
        <v>238</v>
      </c>
      <c r="C17" s="481">
        <f>'Tab.3. Mieszkańcy_Polska '!G259</f>
        <v>4322</v>
      </c>
      <c r="D17" s="516">
        <f>'Tab.3. Mieszkańcy_Polska '!G261</f>
        <v>547</v>
      </c>
      <c r="E17" s="525">
        <f t="shared" si="0"/>
        <v>12.7</v>
      </c>
    </row>
    <row r="18" spans="1:5" x14ac:dyDescent="0.2">
      <c r="A18" s="462">
        <v>4</v>
      </c>
      <c r="B18" s="509" t="s">
        <v>239</v>
      </c>
      <c r="C18" s="481">
        <f>'Tab.3. Mieszkańcy_Polska '!G335</f>
        <v>2333</v>
      </c>
      <c r="D18" s="516">
        <f>'Tab.3. Mieszkańcy_Polska '!G337</f>
        <v>414</v>
      </c>
      <c r="E18" s="525">
        <f t="shared" si="0"/>
        <v>17.7</v>
      </c>
    </row>
    <row r="19" spans="1:5" x14ac:dyDescent="0.2">
      <c r="A19" s="462">
        <v>5</v>
      </c>
      <c r="B19" s="509" t="s">
        <v>240</v>
      </c>
      <c r="C19" s="481">
        <f>'Tab.3. Mieszkańcy_Polska '!G411</f>
        <v>6110</v>
      </c>
      <c r="D19" s="516">
        <f>'Tab.3. Mieszkańcy_Polska '!G413</f>
        <v>822</v>
      </c>
      <c r="E19" s="525">
        <f t="shared" si="0"/>
        <v>13.5</v>
      </c>
    </row>
    <row r="20" spans="1:5" x14ac:dyDescent="0.2">
      <c r="A20" s="462">
        <v>6</v>
      </c>
      <c r="B20" s="509" t="s">
        <v>241</v>
      </c>
      <c r="C20" s="481">
        <f>'Tab.3. Mieszkańcy_Polska '!G487</f>
        <v>7313</v>
      </c>
      <c r="D20" s="516">
        <f>'Tab.3. Mieszkańcy_Polska '!G489</f>
        <v>970</v>
      </c>
      <c r="E20" s="525">
        <f t="shared" si="0"/>
        <v>13.3</v>
      </c>
    </row>
    <row r="21" spans="1:5" x14ac:dyDescent="0.2">
      <c r="A21" s="462">
        <v>7</v>
      </c>
      <c r="B21" s="509" t="s">
        <v>242</v>
      </c>
      <c r="C21" s="481">
        <f>'Tab.3. Mieszkańcy_Polska '!G563</f>
        <v>9020</v>
      </c>
      <c r="D21" s="516">
        <f>'Tab.3. Mieszkańcy_Polska '!G565</f>
        <v>959</v>
      </c>
      <c r="E21" s="525">
        <f t="shared" si="0"/>
        <v>10.6</v>
      </c>
    </row>
    <row r="22" spans="1:5" x14ac:dyDescent="0.2">
      <c r="A22" s="462">
        <v>8</v>
      </c>
      <c r="B22" s="509" t="s">
        <v>243</v>
      </c>
      <c r="C22" s="481">
        <f>'Tab.3. Mieszkańcy_Polska '!G639</f>
        <v>2881</v>
      </c>
      <c r="D22" s="516">
        <f>'Tab.3. Mieszkańcy_Polska '!G641</f>
        <v>261</v>
      </c>
      <c r="E22" s="525">
        <f t="shared" si="0"/>
        <v>9.1</v>
      </c>
    </row>
    <row r="23" spans="1:5" x14ac:dyDescent="0.2">
      <c r="A23" s="462">
        <v>9</v>
      </c>
      <c r="B23" s="509" t="s">
        <v>244</v>
      </c>
      <c r="C23" s="481">
        <f>'Tab.3. Mieszkańcy_Polska '!G715</f>
        <v>4430</v>
      </c>
      <c r="D23" s="516">
        <f>'Tab.3. Mieszkańcy_Polska '!G717</f>
        <v>552</v>
      </c>
      <c r="E23" s="525">
        <f t="shared" si="0"/>
        <v>12.5</v>
      </c>
    </row>
    <row r="24" spans="1:5" x14ac:dyDescent="0.2">
      <c r="A24" s="463">
        <v>10</v>
      </c>
      <c r="B24" s="509" t="s">
        <v>245</v>
      </c>
      <c r="C24" s="481">
        <f>'Tab.3. Mieszkańcy_Polska '!G791</f>
        <v>2284</v>
      </c>
      <c r="D24" s="516">
        <f>'Tab.3. Mieszkańcy_Polska '!G793</f>
        <v>303</v>
      </c>
      <c r="E24" s="525">
        <f t="shared" si="0"/>
        <v>13.3</v>
      </c>
    </row>
    <row r="25" spans="1:5" x14ac:dyDescent="0.2">
      <c r="A25" s="463">
        <v>11</v>
      </c>
      <c r="B25" s="509" t="s">
        <v>246</v>
      </c>
      <c r="C25" s="481">
        <f>'Tab.3. Mieszkańcy_Polska '!G867</f>
        <v>3851</v>
      </c>
      <c r="D25" s="516">
        <f>'Tab.3. Mieszkańcy_Polska '!G869</f>
        <v>377</v>
      </c>
      <c r="E25" s="525">
        <f t="shared" si="0"/>
        <v>9.8000000000000007</v>
      </c>
    </row>
    <row r="26" spans="1:5" x14ac:dyDescent="0.2">
      <c r="A26" s="463">
        <v>12</v>
      </c>
      <c r="B26" s="509" t="s">
        <v>247</v>
      </c>
      <c r="C26" s="481">
        <f>'Tab.3. Mieszkańcy_Polska '!G943</f>
        <v>7783</v>
      </c>
      <c r="D26" s="516">
        <f>'Tab.3. Mieszkańcy_Polska '!G945</f>
        <v>1084</v>
      </c>
      <c r="E26" s="525">
        <f t="shared" si="0"/>
        <v>13.9</v>
      </c>
    </row>
    <row r="27" spans="1:5" x14ac:dyDescent="0.2">
      <c r="A27" s="463">
        <v>13</v>
      </c>
      <c r="B27" s="509" t="s">
        <v>248</v>
      </c>
      <c r="C27" s="481">
        <f>'Tab.3. Mieszkańcy_Polska '!G1019</f>
        <v>3211</v>
      </c>
      <c r="D27" s="516">
        <f>'Tab.3. Mieszkańcy_Polska '!G1021</f>
        <v>421</v>
      </c>
      <c r="E27" s="525">
        <f t="shared" si="0"/>
        <v>13.1</v>
      </c>
    </row>
    <row r="28" spans="1:5" x14ac:dyDescent="0.2">
      <c r="A28" s="463">
        <v>14</v>
      </c>
      <c r="B28" s="509" t="s">
        <v>249</v>
      </c>
      <c r="C28" s="481">
        <f>'Tab.3. Mieszkańcy_Polska '!G1095</f>
        <v>3424</v>
      </c>
      <c r="D28" s="516">
        <f>'Tab.3. Mieszkańcy_Polska '!G1097</f>
        <v>502</v>
      </c>
      <c r="E28" s="525">
        <f t="shared" si="0"/>
        <v>14.7</v>
      </c>
    </row>
    <row r="29" spans="1:5" x14ac:dyDescent="0.2">
      <c r="A29" s="463">
        <v>15</v>
      </c>
      <c r="B29" s="509" t="s">
        <v>250</v>
      </c>
      <c r="C29" s="481">
        <f>'Tab.3. Mieszkańcy_Polska '!G1171</f>
        <v>6184</v>
      </c>
      <c r="D29" s="516">
        <f>'Tab.3. Mieszkańcy_Polska '!G1173</f>
        <v>854</v>
      </c>
      <c r="E29" s="525">
        <f t="shared" si="0"/>
        <v>13.8</v>
      </c>
    </row>
    <row r="30" spans="1:5" ht="13.5" thickBot="1" x14ac:dyDescent="0.25">
      <c r="A30" s="463">
        <v>16</v>
      </c>
      <c r="B30" s="510" t="s">
        <v>251</v>
      </c>
      <c r="C30" s="481">
        <f>'Tab.3. Mieszkańcy_Polska '!G1247</f>
        <v>3716</v>
      </c>
      <c r="D30" s="517">
        <f>'Tab.3. Mieszkańcy_Polska '!G1249</f>
        <v>719</v>
      </c>
      <c r="E30" s="526">
        <f t="shared" si="0"/>
        <v>19.3</v>
      </c>
    </row>
    <row r="31" spans="1:5" ht="16.5" thickBot="1" x14ac:dyDescent="0.3">
      <c r="A31" s="445" t="s">
        <v>252</v>
      </c>
      <c r="B31" s="446"/>
      <c r="C31" s="514">
        <f>SUM(C15:C30)</f>
        <v>76219</v>
      </c>
      <c r="D31" s="527">
        <f>SUM(D15:D30)</f>
        <v>9988</v>
      </c>
      <c r="E31" s="531">
        <f>AVERAGE(E15:E30)</f>
        <v>13.331250000000001</v>
      </c>
    </row>
    <row r="32" spans="1:5" ht="13.5" thickTop="1" x14ac:dyDescent="0.2"/>
  </sheetData>
  <mergeCells count="8">
    <mergeCell ref="D1:E1"/>
    <mergeCell ref="D12:D13"/>
    <mergeCell ref="E12:E13"/>
    <mergeCell ref="D10:E11"/>
    <mergeCell ref="A6:E6"/>
    <mergeCell ref="A8:E8"/>
    <mergeCell ref="A7:E7"/>
    <mergeCell ref="C10:C13"/>
  </mergeCells>
  <phoneticPr fontId="82"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heetViews>
  <sheetFormatPr defaultRowHeight="12.75" x14ac:dyDescent="0.2"/>
  <cols>
    <col min="1" max="1" width="3.7109375" customWidth="1"/>
    <col min="2" max="2" width="24.5703125" bestFit="1" customWidth="1"/>
    <col min="3" max="5" width="15.7109375" customWidth="1"/>
    <col min="6" max="13" width="9.7109375" customWidth="1"/>
    <col min="14" max="14" width="15.7109375" customWidth="1"/>
  </cols>
  <sheetData>
    <row r="1" spans="1:14" ht="15.75" x14ac:dyDescent="0.25">
      <c r="A1" s="1" t="s">
        <v>195</v>
      </c>
      <c r="B1" s="3"/>
      <c r="C1" s="4"/>
      <c r="D1" s="1603" t="s">
        <v>301</v>
      </c>
      <c r="E1" s="1603"/>
      <c r="F1" s="3"/>
      <c r="G1" s="413"/>
      <c r="H1" s="413"/>
      <c r="I1" s="413"/>
      <c r="J1" s="413"/>
    </row>
    <row r="2" spans="1:14" x14ac:dyDescent="0.2">
      <c r="A2" s="3" t="s">
        <v>214</v>
      </c>
      <c r="B2" s="3"/>
      <c r="C2" s="3"/>
      <c r="D2" s="3"/>
      <c r="E2" s="3"/>
      <c r="F2" s="3" t="s">
        <v>215</v>
      </c>
      <c r="G2" s="3"/>
      <c r="H2" s="3"/>
      <c r="I2" s="3"/>
      <c r="J2" s="3"/>
      <c r="K2" s="3"/>
      <c r="L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300</v>
      </c>
      <c r="B6" s="1604"/>
      <c r="C6" s="1604"/>
      <c r="D6" s="1604"/>
      <c r="E6" s="1604"/>
      <c r="F6" s="8"/>
      <c r="G6" s="8"/>
      <c r="H6" s="8"/>
      <c r="I6" s="8"/>
      <c r="J6" s="8"/>
      <c r="K6" s="8"/>
      <c r="L6" s="8"/>
      <c r="M6" s="8"/>
      <c r="N6" s="8"/>
    </row>
    <row r="7" spans="1:14" ht="15.75" x14ac:dyDescent="0.25">
      <c r="A7" s="1766" t="s">
        <v>302</v>
      </c>
      <c r="B7" s="1766"/>
      <c r="C7" s="1766"/>
      <c r="D7" s="1766"/>
      <c r="E7" s="1766"/>
      <c r="F7" s="8"/>
      <c r="G7" s="8"/>
      <c r="H7" s="8"/>
      <c r="I7" s="8"/>
      <c r="J7" s="8"/>
      <c r="K7" s="8"/>
      <c r="L7" s="8"/>
      <c r="M7" s="8"/>
      <c r="N7" s="8"/>
    </row>
    <row r="8" spans="1:14" ht="15.75" x14ac:dyDescent="0.25">
      <c r="A8" s="1691" t="str">
        <f>"wg stanu na dzień 31.XII."&amp;'Tab.1. bilans_Polska'!A2&amp;" r."</f>
        <v>wg stanu na dzień 31.XII.2011 r.</v>
      </c>
      <c r="B8" s="1690"/>
      <c r="C8" s="1690"/>
      <c r="D8" s="1690"/>
      <c r="E8" s="1690"/>
      <c r="F8" s="8"/>
      <c r="G8" s="8"/>
      <c r="H8" s="8"/>
      <c r="I8" s="8"/>
      <c r="J8" s="8"/>
      <c r="K8" s="8"/>
      <c r="L8" s="8"/>
    </row>
    <row r="9" spans="1:14" ht="13.5" thickBot="1" x14ac:dyDescent="0.25">
      <c r="A9" s="3"/>
      <c r="B9" s="3"/>
      <c r="C9" s="3"/>
      <c r="D9" s="3"/>
      <c r="E9" s="3"/>
      <c r="F9" s="3"/>
      <c r="G9" s="3"/>
      <c r="H9" s="3"/>
      <c r="I9" s="3"/>
      <c r="J9" s="3"/>
      <c r="K9" s="3"/>
      <c r="L9" s="3"/>
    </row>
    <row r="10" spans="1:14" ht="13.5" thickTop="1" x14ac:dyDescent="0.2">
      <c r="A10" s="5"/>
      <c r="B10" s="505"/>
      <c r="C10" s="1767" t="s">
        <v>297</v>
      </c>
      <c r="D10" s="1762" t="s">
        <v>298</v>
      </c>
      <c r="E10" s="1763"/>
    </row>
    <row r="11" spans="1:14" x14ac:dyDescent="0.2">
      <c r="A11" s="415" t="s">
        <v>226</v>
      </c>
      <c r="B11" s="506" t="s">
        <v>227</v>
      </c>
      <c r="C11" s="1768"/>
      <c r="D11" s="1764"/>
      <c r="E11" s="1765"/>
    </row>
    <row r="12" spans="1:14" x14ac:dyDescent="0.2">
      <c r="A12" s="415"/>
      <c r="B12" s="506"/>
      <c r="C12" s="1768"/>
      <c r="D12" s="1760" t="s">
        <v>0</v>
      </c>
      <c r="E12" s="1757" t="s">
        <v>294</v>
      </c>
    </row>
    <row r="13" spans="1:14" x14ac:dyDescent="0.2">
      <c r="A13" s="417"/>
      <c r="B13" s="507"/>
      <c r="C13" s="1769"/>
      <c r="D13" s="1760"/>
      <c r="E13" s="1758"/>
    </row>
    <row r="14" spans="1:14" ht="13.5" thickBot="1" x14ac:dyDescent="0.25">
      <c r="A14" s="425"/>
      <c r="B14" s="429">
        <v>0</v>
      </c>
      <c r="C14" s="464">
        <v>1</v>
      </c>
      <c r="D14" s="427">
        <v>2</v>
      </c>
      <c r="E14" s="431">
        <v>3</v>
      </c>
    </row>
    <row r="15" spans="1:14" ht="13.5" thickTop="1" x14ac:dyDescent="0.2">
      <c r="A15" s="461">
        <v>1</v>
      </c>
      <c r="B15" s="508" t="s">
        <v>236</v>
      </c>
      <c r="C15" s="473">
        <f>'Tab.3. Mieszkańcy_Polska '!G107</f>
        <v>5474</v>
      </c>
      <c r="D15" s="515">
        <f>'Tab.3. Mieszkańcy_Polska '!H109</f>
        <v>572</v>
      </c>
      <c r="E15" s="524">
        <f t="shared" ref="E15:E30" si="0">ROUND(D15*100/$C15, 1)</f>
        <v>10.4</v>
      </c>
    </row>
    <row r="16" spans="1:14" x14ac:dyDescent="0.2">
      <c r="A16" s="462">
        <v>2</v>
      </c>
      <c r="B16" s="509" t="s">
        <v>237</v>
      </c>
      <c r="C16" s="481">
        <f>'Tab.3. Mieszkańcy_Polska '!G183</f>
        <v>3883</v>
      </c>
      <c r="D16" s="516">
        <f>'Tab.3. Mieszkańcy_Polska '!H185</f>
        <v>474</v>
      </c>
      <c r="E16" s="525">
        <f t="shared" si="0"/>
        <v>12.2</v>
      </c>
    </row>
    <row r="17" spans="1:5" x14ac:dyDescent="0.2">
      <c r="A17" s="462">
        <v>3</v>
      </c>
      <c r="B17" s="509" t="s">
        <v>238</v>
      </c>
      <c r="C17" s="481">
        <f>'Tab.3. Mieszkańcy_Polska '!G259</f>
        <v>4322</v>
      </c>
      <c r="D17" s="516">
        <f>'Tab.3. Mieszkańcy_Polska '!H261</f>
        <v>522</v>
      </c>
      <c r="E17" s="525">
        <f t="shared" si="0"/>
        <v>12.1</v>
      </c>
    </row>
    <row r="18" spans="1:5" x14ac:dyDescent="0.2">
      <c r="A18" s="462">
        <v>4</v>
      </c>
      <c r="B18" s="509" t="s">
        <v>239</v>
      </c>
      <c r="C18" s="481">
        <f>'Tab.3. Mieszkańcy_Polska '!G335</f>
        <v>2333</v>
      </c>
      <c r="D18" s="516">
        <f>'Tab.3. Mieszkańcy_Polska '!H337</f>
        <v>403</v>
      </c>
      <c r="E18" s="525">
        <f t="shared" si="0"/>
        <v>17.3</v>
      </c>
    </row>
    <row r="19" spans="1:5" x14ac:dyDescent="0.2">
      <c r="A19" s="462">
        <v>5</v>
      </c>
      <c r="B19" s="509" t="s">
        <v>240</v>
      </c>
      <c r="C19" s="481">
        <f>'Tab.3. Mieszkańcy_Polska '!G411</f>
        <v>6110</v>
      </c>
      <c r="D19" s="516">
        <f>'Tab.3. Mieszkańcy_Polska '!H413</f>
        <v>754</v>
      </c>
      <c r="E19" s="525">
        <f t="shared" si="0"/>
        <v>12.3</v>
      </c>
    </row>
    <row r="20" spans="1:5" x14ac:dyDescent="0.2">
      <c r="A20" s="462">
        <v>6</v>
      </c>
      <c r="B20" s="509" t="s">
        <v>241</v>
      </c>
      <c r="C20" s="481">
        <f>'Tab.3. Mieszkańcy_Polska '!G487</f>
        <v>7313</v>
      </c>
      <c r="D20" s="516">
        <f>'Tab.3. Mieszkańcy_Polska '!H489</f>
        <v>812</v>
      </c>
      <c r="E20" s="525">
        <f t="shared" si="0"/>
        <v>11.1</v>
      </c>
    </row>
    <row r="21" spans="1:5" x14ac:dyDescent="0.2">
      <c r="A21" s="462">
        <v>7</v>
      </c>
      <c r="B21" s="509" t="s">
        <v>242</v>
      </c>
      <c r="C21" s="481">
        <f>'Tab.3. Mieszkańcy_Polska '!G563</f>
        <v>9020</v>
      </c>
      <c r="D21" s="516">
        <f>'Tab.3. Mieszkańcy_Polska '!H565</f>
        <v>798</v>
      </c>
      <c r="E21" s="525">
        <f t="shared" si="0"/>
        <v>8.8000000000000007</v>
      </c>
    </row>
    <row r="22" spans="1:5" x14ac:dyDescent="0.2">
      <c r="A22" s="462">
        <v>8</v>
      </c>
      <c r="B22" s="509" t="s">
        <v>243</v>
      </c>
      <c r="C22" s="481">
        <f>'Tab.3. Mieszkańcy_Polska '!G639</f>
        <v>2881</v>
      </c>
      <c r="D22" s="516">
        <f>'Tab.3. Mieszkańcy_Polska '!H641</f>
        <v>122</v>
      </c>
      <c r="E22" s="525">
        <f t="shared" si="0"/>
        <v>4.2</v>
      </c>
    </row>
    <row r="23" spans="1:5" x14ac:dyDescent="0.2">
      <c r="A23" s="462">
        <v>9</v>
      </c>
      <c r="B23" s="509" t="s">
        <v>244</v>
      </c>
      <c r="C23" s="481">
        <f>'Tab.3. Mieszkańcy_Polska '!G715</f>
        <v>4430</v>
      </c>
      <c r="D23" s="516">
        <f>'Tab.3. Mieszkańcy_Polska '!H717</f>
        <v>375</v>
      </c>
      <c r="E23" s="525">
        <f t="shared" si="0"/>
        <v>8.5</v>
      </c>
    </row>
    <row r="24" spans="1:5" x14ac:dyDescent="0.2">
      <c r="A24" s="463">
        <v>10</v>
      </c>
      <c r="B24" s="509" t="s">
        <v>245</v>
      </c>
      <c r="C24" s="481">
        <f>'Tab.3. Mieszkańcy_Polska '!G791</f>
        <v>2284</v>
      </c>
      <c r="D24" s="516">
        <f>'Tab.3. Mieszkańcy_Polska '!H793</f>
        <v>262</v>
      </c>
      <c r="E24" s="525">
        <f t="shared" si="0"/>
        <v>11.5</v>
      </c>
    </row>
    <row r="25" spans="1:5" x14ac:dyDescent="0.2">
      <c r="A25" s="463">
        <v>11</v>
      </c>
      <c r="B25" s="509" t="s">
        <v>246</v>
      </c>
      <c r="C25" s="481">
        <f>'Tab.3. Mieszkańcy_Polska '!G867</f>
        <v>3851</v>
      </c>
      <c r="D25" s="516">
        <f>'Tab.3. Mieszkańcy_Polska '!H869</f>
        <v>320</v>
      </c>
      <c r="E25" s="525">
        <f t="shared" si="0"/>
        <v>8.3000000000000007</v>
      </c>
    </row>
    <row r="26" spans="1:5" x14ac:dyDescent="0.2">
      <c r="A26" s="463">
        <v>12</v>
      </c>
      <c r="B26" s="509" t="s">
        <v>247</v>
      </c>
      <c r="C26" s="481">
        <f>'Tab.3. Mieszkańcy_Polska '!G943</f>
        <v>7783</v>
      </c>
      <c r="D26" s="516">
        <f>'Tab.3. Mieszkańcy_Polska '!H945</f>
        <v>732</v>
      </c>
      <c r="E26" s="525">
        <f t="shared" si="0"/>
        <v>9.4</v>
      </c>
    </row>
    <row r="27" spans="1:5" x14ac:dyDescent="0.2">
      <c r="A27" s="463">
        <v>13</v>
      </c>
      <c r="B27" s="509" t="s">
        <v>248</v>
      </c>
      <c r="C27" s="481">
        <f>'Tab.3. Mieszkańcy_Polska '!G1019</f>
        <v>3211</v>
      </c>
      <c r="D27" s="516">
        <f>'Tab.3. Mieszkańcy_Polska '!H1021</f>
        <v>368</v>
      </c>
      <c r="E27" s="525">
        <f t="shared" si="0"/>
        <v>11.5</v>
      </c>
    </row>
    <row r="28" spans="1:5" x14ac:dyDescent="0.2">
      <c r="A28" s="463">
        <v>14</v>
      </c>
      <c r="B28" s="509" t="s">
        <v>249</v>
      </c>
      <c r="C28" s="481">
        <f>'Tab.3. Mieszkańcy_Polska '!G1095</f>
        <v>3424</v>
      </c>
      <c r="D28" s="516">
        <f>'Tab.3. Mieszkańcy_Polska '!H1097</f>
        <v>408</v>
      </c>
      <c r="E28" s="525">
        <f t="shared" si="0"/>
        <v>11.9</v>
      </c>
    </row>
    <row r="29" spans="1:5" x14ac:dyDescent="0.2">
      <c r="A29" s="463">
        <v>15</v>
      </c>
      <c r="B29" s="509" t="s">
        <v>250</v>
      </c>
      <c r="C29" s="481">
        <f>'Tab.3. Mieszkańcy_Polska '!G1171</f>
        <v>6184</v>
      </c>
      <c r="D29" s="516">
        <f>'Tab.3. Mieszkańcy_Polska '!H1173</f>
        <v>597</v>
      </c>
      <c r="E29" s="525">
        <f t="shared" si="0"/>
        <v>9.6999999999999993</v>
      </c>
    </row>
    <row r="30" spans="1:5" ht="13.5" thickBot="1" x14ac:dyDescent="0.25">
      <c r="A30" s="463">
        <v>16</v>
      </c>
      <c r="B30" s="510" t="s">
        <v>251</v>
      </c>
      <c r="C30" s="481">
        <f>'Tab.3. Mieszkańcy_Polska '!G1247</f>
        <v>3716</v>
      </c>
      <c r="D30" s="517">
        <f>'Tab.3. Mieszkańcy_Polska '!H1249</f>
        <v>597</v>
      </c>
      <c r="E30" s="526">
        <f t="shared" si="0"/>
        <v>16.100000000000001</v>
      </c>
    </row>
    <row r="31" spans="1:5" ht="16.5" thickBot="1" x14ac:dyDescent="0.3">
      <c r="A31" s="445" t="s">
        <v>252</v>
      </c>
      <c r="B31" s="446"/>
      <c r="C31" s="514">
        <f>SUM(C15:C30)</f>
        <v>76219</v>
      </c>
      <c r="D31" s="527">
        <f>SUM(D15:D30)</f>
        <v>8116</v>
      </c>
      <c r="E31" s="531">
        <f>AVERAGE(E15:E30)</f>
        <v>10.956249999999999</v>
      </c>
    </row>
    <row r="32" spans="1:5" ht="13.5" thickTop="1" x14ac:dyDescent="0.2"/>
  </sheetData>
  <mergeCells count="8">
    <mergeCell ref="D1:E1"/>
    <mergeCell ref="D12:D13"/>
    <mergeCell ref="E12:E13"/>
    <mergeCell ref="D10:E11"/>
    <mergeCell ref="A6:E6"/>
    <mergeCell ref="A8:E8"/>
    <mergeCell ref="A7:E7"/>
    <mergeCell ref="C10:C13"/>
  </mergeCells>
  <phoneticPr fontId="82"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heetViews>
  <sheetFormatPr defaultRowHeight="12.75" x14ac:dyDescent="0.2"/>
  <cols>
    <col min="1" max="1" width="3.7109375" customWidth="1"/>
    <col min="2" max="2" width="24.5703125" bestFit="1" customWidth="1"/>
    <col min="3" max="5" width="15.7109375" customWidth="1"/>
    <col min="6" max="13" width="9.7109375" customWidth="1"/>
    <col min="14" max="14" width="15.7109375" customWidth="1"/>
  </cols>
  <sheetData>
    <row r="1" spans="1:14" ht="15.75" x14ac:dyDescent="0.25">
      <c r="A1" s="1" t="s">
        <v>195</v>
      </c>
      <c r="B1" s="3"/>
      <c r="C1" s="4"/>
      <c r="D1" s="1603" t="s">
        <v>303</v>
      </c>
      <c r="E1" s="1603"/>
      <c r="F1" s="3"/>
      <c r="G1" s="413"/>
      <c r="H1" s="413"/>
      <c r="I1" s="413"/>
      <c r="J1" s="413"/>
    </row>
    <row r="2" spans="1:14" x14ac:dyDescent="0.2">
      <c r="A2" s="3" t="s">
        <v>214</v>
      </c>
      <c r="B2" s="3"/>
      <c r="C2" s="3"/>
      <c r="D2" s="3"/>
      <c r="E2" s="3"/>
      <c r="F2" s="3" t="s">
        <v>215</v>
      </c>
      <c r="G2" s="3"/>
      <c r="H2" s="3"/>
      <c r="I2" s="3"/>
      <c r="J2" s="3"/>
      <c r="K2" s="3"/>
      <c r="L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300</v>
      </c>
      <c r="B6" s="1604"/>
      <c r="C6" s="1604"/>
      <c r="D6" s="1604"/>
      <c r="E6" s="1604"/>
      <c r="F6" s="8"/>
      <c r="G6" s="8"/>
      <c r="H6" s="8"/>
      <c r="I6" s="8"/>
      <c r="J6" s="8"/>
      <c r="K6" s="8"/>
      <c r="L6" s="8"/>
      <c r="M6" s="8"/>
      <c r="N6" s="8"/>
    </row>
    <row r="7" spans="1:14" ht="15.75" x14ac:dyDescent="0.25">
      <c r="A7" s="1770" t="s">
        <v>491</v>
      </c>
      <c r="B7" s="1770"/>
      <c r="C7" s="1770"/>
      <c r="D7" s="1770"/>
      <c r="E7" s="1770"/>
      <c r="F7" s="8"/>
      <c r="G7" s="8"/>
      <c r="H7" s="8"/>
      <c r="I7" s="8"/>
      <c r="J7" s="8"/>
      <c r="K7" s="8"/>
      <c r="L7" s="8"/>
      <c r="M7" s="8"/>
      <c r="N7" s="8"/>
    </row>
    <row r="8" spans="1:14" ht="15.75" x14ac:dyDescent="0.25">
      <c r="A8" s="1691" t="str">
        <f>"wg stanu na dzień 31.XII."&amp;'Tab.1. bilans_Polska'!A2&amp;" r."</f>
        <v>wg stanu na dzień 31.XII.2011 r.</v>
      </c>
      <c r="B8" s="1690"/>
      <c r="C8" s="1690"/>
      <c r="D8" s="1690"/>
      <c r="E8" s="1690"/>
      <c r="F8" s="8"/>
      <c r="G8" s="8"/>
      <c r="H8" s="8"/>
      <c r="I8" s="8"/>
      <c r="J8" s="8"/>
      <c r="K8" s="8"/>
      <c r="L8" s="8"/>
    </row>
    <row r="9" spans="1:14" ht="13.5" thickBot="1" x14ac:dyDescent="0.25">
      <c r="A9" s="3"/>
      <c r="B9" s="3"/>
      <c r="C9" s="3"/>
      <c r="D9" s="3"/>
      <c r="E9" s="3"/>
      <c r="F9" s="3"/>
      <c r="G9" s="3"/>
      <c r="H9" s="3"/>
      <c r="I9" s="3"/>
      <c r="J9" s="3"/>
      <c r="K9" s="3"/>
      <c r="L9" s="3"/>
    </row>
    <row r="10" spans="1:14" ht="13.5" thickTop="1" x14ac:dyDescent="0.2">
      <c r="A10" s="5"/>
      <c r="B10" s="505"/>
      <c r="C10" s="1767" t="s">
        <v>297</v>
      </c>
      <c r="D10" s="1762" t="s">
        <v>298</v>
      </c>
      <c r="E10" s="1763"/>
    </row>
    <row r="11" spans="1:14" x14ac:dyDescent="0.2">
      <c r="A11" s="415" t="s">
        <v>226</v>
      </c>
      <c r="B11" s="506" t="s">
        <v>227</v>
      </c>
      <c r="C11" s="1768"/>
      <c r="D11" s="1764"/>
      <c r="E11" s="1765"/>
    </row>
    <row r="12" spans="1:14" x14ac:dyDescent="0.2">
      <c r="A12" s="415"/>
      <c r="B12" s="506"/>
      <c r="C12" s="1768"/>
      <c r="D12" s="1760" t="s">
        <v>0</v>
      </c>
      <c r="E12" s="1757" t="s">
        <v>294</v>
      </c>
    </row>
    <row r="13" spans="1:14" x14ac:dyDescent="0.2">
      <c r="A13" s="417"/>
      <c r="B13" s="507"/>
      <c r="C13" s="1769"/>
      <c r="D13" s="1760"/>
      <c r="E13" s="1758"/>
    </row>
    <row r="14" spans="1:14" ht="13.5" thickBot="1" x14ac:dyDescent="0.25">
      <c r="A14" s="425"/>
      <c r="B14" s="429">
        <v>0</v>
      </c>
      <c r="C14" s="464">
        <v>1</v>
      </c>
      <c r="D14" s="427">
        <v>2</v>
      </c>
      <c r="E14" s="431">
        <v>3</v>
      </c>
    </row>
    <row r="15" spans="1:14" ht="13.5" thickTop="1" x14ac:dyDescent="0.2">
      <c r="A15" s="461">
        <v>1</v>
      </c>
      <c r="B15" s="508" t="s">
        <v>236</v>
      </c>
      <c r="C15" s="473">
        <f>'Tab.3. Mieszkańcy_Polska '!G107</f>
        <v>5474</v>
      </c>
      <c r="D15" s="515">
        <f>'Tab.3. Mieszkańcy_Polska '!I109</f>
        <v>87</v>
      </c>
      <c r="E15" s="524">
        <f t="shared" ref="E15:E30" si="0">ROUND(D15*100/$C15, 1)</f>
        <v>1.6</v>
      </c>
    </row>
    <row r="16" spans="1:14" x14ac:dyDescent="0.2">
      <c r="A16" s="462">
        <v>2</v>
      </c>
      <c r="B16" s="509" t="s">
        <v>237</v>
      </c>
      <c r="C16" s="481">
        <f>'Tab.3. Mieszkańcy_Polska '!G183</f>
        <v>3883</v>
      </c>
      <c r="D16" s="516">
        <f>'Tab.3. Mieszkańcy_Polska '!I185</f>
        <v>70</v>
      </c>
      <c r="E16" s="525">
        <f t="shared" si="0"/>
        <v>1.8</v>
      </c>
    </row>
    <row r="17" spans="1:5" x14ac:dyDescent="0.2">
      <c r="A17" s="462">
        <v>3</v>
      </c>
      <c r="B17" s="509" t="s">
        <v>238</v>
      </c>
      <c r="C17" s="481">
        <f>'Tab.3. Mieszkańcy_Polska '!G259</f>
        <v>4322</v>
      </c>
      <c r="D17" s="516">
        <f>'Tab.3. Mieszkańcy_Polska '!I261</f>
        <v>25</v>
      </c>
      <c r="E17" s="525">
        <f t="shared" si="0"/>
        <v>0.6</v>
      </c>
    </row>
    <row r="18" spans="1:5" x14ac:dyDescent="0.2">
      <c r="A18" s="462">
        <v>4</v>
      </c>
      <c r="B18" s="509" t="s">
        <v>239</v>
      </c>
      <c r="C18" s="481">
        <f>'Tab.3. Mieszkańcy_Polska '!G335</f>
        <v>2333</v>
      </c>
      <c r="D18" s="516">
        <f>'Tab.3. Mieszkańcy_Polska '!I337</f>
        <v>11</v>
      </c>
      <c r="E18" s="525">
        <f t="shared" si="0"/>
        <v>0.5</v>
      </c>
    </row>
    <row r="19" spans="1:5" x14ac:dyDescent="0.2">
      <c r="A19" s="462">
        <v>5</v>
      </c>
      <c r="B19" s="509" t="s">
        <v>240</v>
      </c>
      <c r="C19" s="481">
        <f>'Tab.3. Mieszkańcy_Polska '!G411</f>
        <v>6110</v>
      </c>
      <c r="D19" s="516">
        <f>'Tab.3. Mieszkańcy_Polska '!I413</f>
        <v>68</v>
      </c>
      <c r="E19" s="525">
        <f t="shared" si="0"/>
        <v>1.1000000000000001</v>
      </c>
    </row>
    <row r="20" spans="1:5" x14ac:dyDescent="0.2">
      <c r="A20" s="462">
        <v>6</v>
      </c>
      <c r="B20" s="509" t="s">
        <v>241</v>
      </c>
      <c r="C20" s="481">
        <f>'Tab.3. Mieszkańcy_Polska '!G487</f>
        <v>7313</v>
      </c>
      <c r="D20" s="516">
        <f>'Tab.3. Mieszkańcy_Polska '!I489</f>
        <v>158</v>
      </c>
      <c r="E20" s="525">
        <f t="shared" si="0"/>
        <v>2.2000000000000002</v>
      </c>
    </row>
    <row r="21" spans="1:5" x14ac:dyDescent="0.2">
      <c r="A21" s="462">
        <v>7</v>
      </c>
      <c r="B21" s="509" t="s">
        <v>242</v>
      </c>
      <c r="C21" s="481">
        <f>'Tab.3. Mieszkańcy_Polska '!G563</f>
        <v>9020</v>
      </c>
      <c r="D21" s="516">
        <f>'Tab.3. Mieszkańcy_Polska '!I565</f>
        <v>161</v>
      </c>
      <c r="E21" s="525">
        <f t="shared" si="0"/>
        <v>1.8</v>
      </c>
    </row>
    <row r="22" spans="1:5" x14ac:dyDescent="0.2">
      <c r="A22" s="462">
        <v>8</v>
      </c>
      <c r="B22" s="509" t="s">
        <v>243</v>
      </c>
      <c r="C22" s="481">
        <f>'Tab.3. Mieszkańcy_Polska '!G639</f>
        <v>2881</v>
      </c>
      <c r="D22" s="516">
        <f>'Tab.3. Mieszkańcy_Polska '!I641</f>
        <v>139</v>
      </c>
      <c r="E22" s="525">
        <f t="shared" si="0"/>
        <v>4.8</v>
      </c>
    </row>
    <row r="23" spans="1:5" x14ac:dyDescent="0.2">
      <c r="A23" s="462">
        <v>9</v>
      </c>
      <c r="B23" s="509" t="s">
        <v>244</v>
      </c>
      <c r="C23" s="481">
        <f>'Tab.3. Mieszkańcy_Polska '!G715</f>
        <v>4430</v>
      </c>
      <c r="D23" s="516">
        <f>'Tab.3. Mieszkańcy_Polska '!I717</f>
        <v>177</v>
      </c>
      <c r="E23" s="525">
        <f t="shared" si="0"/>
        <v>4</v>
      </c>
    </row>
    <row r="24" spans="1:5" x14ac:dyDescent="0.2">
      <c r="A24" s="463">
        <v>10</v>
      </c>
      <c r="B24" s="661" t="s">
        <v>245</v>
      </c>
      <c r="C24" s="662">
        <f>'Tab.3. Mieszkańcy_Polska '!G791</f>
        <v>2284</v>
      </c>
      <c r="D24" s="663">
        <f>'Tab.3. Mieszkańcy_Polska '!I793</f>
        <v>41</v>
      </c>
      <c r="E24" s="664">
        <f t="shared" si="0"/>
        <v>1.8</v>
      </c>
    </row>
    <row r="25" spans="1:5" x14ac:dyDescent="0.2">
      <c r="A25" s="463">
        <v>11</v>
      </c>
      <c r="B25" s="509" t="s">
        <v>246</v>
      </c>
      <c r="C25" s="481">
        <f>'Tab.3. Mieszkańcy_Polska '!G867</f>
        <v>3851</v>
      </c>
      <c r="D25" s="516">
        <f>'Tab.3. Mieszkańcy_Polska '!I869</f>
        <v>57</v>
      </c>
      <c r="E25" s="525">
        <f t="shared" si="0"/>
        <v>1.5</v>
      </c>
    </row>
    <row r="26" spans="1:5" x14ac:dyDescent="0.2">
      <c r="A26" s="463">
        <v>12</v>
      </c>
      <c r="B26" s="509" t="s">
        <v>247</v>
      </c>
      <c r="C26" s="481">
        <f>'Tab.3. Mieszkańcy_Polska '!G943</f>
        <v>7783</v>
      </c>
      <c r="D26" s="516">
        <f>'Tab.3. Mieszkańcy_Polska '!I945</f>
        <v>352</v>
      </c>
      <c r="E26" s="525">
        <f t="shared" si="0"/>
        <v>4.5</v>
      </c>
    </row>
    <row r="27" spans="1:5" x14ac:dyDescent="0.2">
      <c r="A27" s="463">
        <v>13</v>
      </c>
      <c r="B27" s="509" t="s">
        <v>248</v>
      </c>
      <c r="C27" s="481">
        <f>'Tab.3. Mieszkańcy_Polska '!G1019</f>
        <v>3211</v>
      </c>
      <c r="D27" s="516">
        <f>'Tab.3. Mieszkańcy_Polska '!I1021</f>
        <v>53</v>
      </c>
      <c r="E27" s="525">
        <f t="shared" si="0"/>
        <v>1.7</v>
      </c>
    </row>
    <row r="28" spans="1:5" x14ac:dyDescent="0.2">
      <c r="A28" s="463">
        <v>14</v>
      </c>
      <c r="B28" s="509" t="s">
        <v>249</v>
      </c>
      <c r="C28" s="481">
        <f>'Tab.3. Mieszkańcy_Polska '!G1095</f>
        <v>3424</v>
      </c>
      <c r="D28" s="516">
        <f>'Tab.3. Mieszkańcy_Polska '!I1097</f>
        <v>94</v>
      </c>
      <c r="E28" s="525">
        <f t="shared" si="0"/>
        <v>2.7</v>
      </c>
    </row>
    <row r="29" spans="1:5" x14ac:dyDescent="0.2">
      <c r="A29" s="463">
        <v>15</v>
      </c>
      <c r="B29" s="509" t="s">
        <v>250</v>
      </c>
      <c r="C29" s="481">
        <f>'Tab.3. Mieszkańcy_Polska '!G1171</f>
        <v>6184</v>
      </c>
      <c r="D29" s="516">
        <f>'Tab.3. Mieszkańcy_Polska '!I1173</f>
        <v>257</v>
      </c>
      <c r="E29" s="525">
        <f t="shared" si="0"/>
        <v>4.2</v>
      </c>
    </row>
    <row r="30" spans="1:5" ht="13.5" thickBot="1" x14ac:dyDescent="0.25">
      <c r="A30" s="463">
        <v>16</v>
      </c>
      <c r="B30" s="510" t="s">
        <v>251</v>
      </c>
      <c r="C30" s="481">
        <f>'Tab.3. Mieszkańcy_Polska '!G1247</f>
        <v>3716</v>
      </c>
      <c r="D30" s="517">
        <f>'Tab.3. Mieszkańcy_Polska '!I1249</f>
        <v>122</v>
      </c>
      <c r="E30" s="526">
        <f t="shared" si="0"/>
        <v>3.3</v>
      </c>
    </row>
    <row r="31" spans="1:5" ht="16.5" thickBot="1" x14ac:dyDescent="0.3">
      <c r="A31" s="445" t="s">
        <v>252</v>
      </c>
      <c r="B31" s="446"/>
      <c r="C31" s="514">
        <f>SUM(C15:C30)</f>
        <v>76219</v>
      </c>
      <c r="D31" s="527">
        <f>SUM(D15:D30)</f>
        <v>1872</v>
      </c>
      <c r="E31" s="531">
        <f>AVERAGE(E15:E30)</f>
        <v>2.3812499999999996</v>
      </c>
    </row>
    <row r="32" spans="1:5" ht="13.5" thickTop="1" x14ac:dyDescent="0.2"/>
  </sheetData>
  <mergeCells count="8">
    <mergeCell ref="D1:E1"/>
    <mergeCell ref="D12:D13"/>
    <mergeCell ref="E12:E13"/>
    <mergeCell ref="D10:E11"/>
    <mergeCell ref="A6:E6"/>
    <mergeCell ref="A8:E8"/>
    <mergeCell ref="A7:E7"/>
    <mergeCell ref="C10:C13"/>
  </mergeCells>
  <phoneticPr fontId="82"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F16" sqref="F16"/>
    </sheetView>
  </sheetViews>
  <sheetFormatPr defaultRowHeight="12.75" x14ac:dyDescent="0.2"/>
  <cols>
    <col min="1" max="1" width="3.7109375" customWidth="1"/>
    <col min="2" max="2" width="24.5703125" bestFit="1" customWidth="1"/>
    <col min="3" max="11" width="9.7109375" customWidth="1"/>
    <col min="12" max="12" width="15.7109375" customWidth="1"/>
  </cols>
  <sheetData>
    <row r="1" spans="1:12" ht="15.75" x14ac:dyDescent="0.25">
      <c r="A1" s="1" t="s">
        <v>195</v>
      </c>
      <c r="B1" s="3"/>
      <c r="C1" s="4"/>
      <c r="D1" s="3"/>
      <c r="E1" s="3"/>
      <c r="F1" s="3"/>
      <c r="G1" s="413"/>
      <c r="H1" s="413"/>
      <c r="I1" s="413"/>
      <c r="J1" s="1603" t="s">
        <v>304</v>
      </c>
      <c r="K1" s="1603"/>
    </row>
    <row r="2" spans="1:12" x14ac:dyDescent="0.2">
      <c r="A2" s="3" t="s">
        <v>214</v>
      </c>
      <c r="B2" s="3"/>
      <c r="C2" s="3"/>
      <c r="D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604" t="s">
        <v>486</v>
      </c>
      <c r="B6" s="1604"/>
      <c r="C6" s="1604"/>
      <c r="D6" s="1604"/>
      <c r="E6" s="1604"/>
      <c r="F6" s="1604"/>
      <c r="G6" s="1604"/>
      <c r="H6" s="1604"/>
      <c r="I6" s="1604"/>
      <c r="J6" s="1604"/>
      <c r="K6" s="1604"/>
      <c r="L6" s="8"/>
    </row>
    <row r="7" spans="1:12" ht="15.75" x14ac:dyDescent="0.25">
      <c r="A7" s="1604" t="s">
        <v>305</v>
      </c>
      <c r="B7" s="1604"/>
      <c r="C7" s="1604"/>
      <c r="D7" s="1604"/>
      <c r="E7" s="1604"/>
      <c r="F7" s="1604"/>
      <c r="G7" s="1604"/>
      <c r="H7" s="1604"/>
      <c r="I7" s="1604"/>
      <c r="J7" s="1604"/>
      <c r="K7" s="1604"/>
      <c r="L7" s="8"/>
    </row>
    <row r="8" spans="1:12" ht="15.75" x14ac:dyDescent="0.25">
      <c r="A8" s="1691" t="str">
        <f>"wg ŹRÓDEŁ DOCHODU, wg stanu na dzień 31.XII."&amp;'Tab.1. bilans_Polska'!A2&amp;" r."</f>
        <v>wg ŹRÓDEŁ DOCHODU, wg stanu na dzień 31.XII.2011 r.</v>
      </c>
      <c r="B8" s="1690"/>
      <c r="C8" s="1690"/>
      <c r="D8" s="1690"/>
      <c r="E8" s="1690"/>
      <c r="F8" s="1690"/>
      <c r="G8" s="1690"/>
      <c r="H8" s="1690"/>
      <c r="I8" s="1690"/>
      <c r="J8" s="1690"/>
      <c r="K8" s="1690"/>
      <c r="L8" s="8"/>
    </row>
    <row r="10" spans="1:12" ht="13.5" thickBot="1" x14ac:dyDescent="0.25">
      <c r="A10" s="3"/>
      <c r="B10" s="3"/>
      <c r="C10" s="3"/>
      <c r="D10" s="3"/>
      <c r="E10" s="3"/>
      <c r="F10" s="3"/>
      <c r="G10" s="3"/>
      <c r="H10" s="3"/>
      <c r="I10" s="3"/>
      <c r="J10" s="3"/>
    </row>
    <row r="11" spans="1:12" ht="13.5" thickTop="1" x14ac:dyDescent="0.2">
      <c r="A11" s="5"/>
      <c r="B11" s="505"/>
      <c r="C11" s="511"/>
      <c r="D11" s="1773" t="s">
        <v>155</v>
      </c>
      <c r="E11" s="1774"/>
      <c r="F11" s="1774"/>
      <c r="G11" s="1774"/>
      <c r="H11" s="1774"/>
      <c r="I11" s="1774"/>
      <c r="J11" s="1774"/>
      <c r="K11" s="1775"/>
    </row>
    <row r="12" spans="1:12" ht="28.5" customHeight="1" x14ac:dyDescent="0.2">
      <c r="A12" s="415" t="s">
        <v>226</v>
      </c>
      <c r="B12" s="506" t="s">
        <v>227</v>
      </c>
      <c r="C12" s="512" t="s">
        <v>7</v>
      </c>
      <c r="D12" s="1776" t="s">
        <v>178</v>
      </c>
      <c r="E12" s="1777"/>
      <c r="F12" s="1771" t="s">
        <v>151</v>
      </c>
      <c r="G12" s="1777"/>
      <c r="H12" s="1771" t="s">
        <v>149</v>
      </c>
      <c r="I12" s="1777"/>
      <c r="J12" s="1771" t="s">
        <v>152</v>
      </c>
      <c r="K12" s="1772"/>
    </row>
    <row r="13" spans="1:12" ht="12.75" customHeight="1" x14ac:dyDescent="0.2">
      <c r="A13" s="415"/>
      <c r="B13" s="506"/>
      <c r="C13" s="512"/>
      <c r="D13" s="1760" t="s">
        <v>0</v>
      </c>
      <c r="E13" s="1748" t="s">
        <v>294</v>
      </c>
      <c r="F13" s="1749" t="s">
        <v>0</v>
      </c>
      <c r="G13" s="1748" t="s">
        <v>294</v>
      </c>
      <c r="H13" s="1749" t="s">
        <v>0</v>
      </c>
      <c r="I13" s="1748" t="s">
        <v>294</v>
      </c>
      <c r="J13" s="1749" t="s">
        <v>0</v>
      </c>
      <c r="K13" s="1757" t="s">
        <v>294</v>
      </c>
    </row>
    <row r="14" spans="1:12" x14ac:dyDescent="0.2">
      <c r="A14" s="417"/>
      <c r="B14" s="507"/>
      <c r="C14" s="513"/>
      <c r="D14" s="1760"/>
      <c r="E14" s="1749"/>
      <c r="F14" s="1749"/>
      <c r="G14" s="1749"/>
      <c r="H14" s="1749"/>
      <c r="I14" s="1749"/>
      <c r="J14" s="1749"/>
      <c r="K14" s="1758"/>
    </row>
    <row r="15" spans="1:12" ht="13.5" thickBot="1" x14ac:dyDescent="0.25">
      <c r="A15" s="425"/>
      <c r="B15" s="429">
        <v>0</v>
      </c>
      <c r="C15" s="464">
        <v>1</v>
      </c>
      <c r="D15" s="427">
        <v>2</v>
      </c>
      <c r="E15" s="428">
        <v>3</v>
      </c>
      <c r="F15" s="428">
        <v>4</v>
      </c>
      <c r="G15" s="428">
        <v>5</v>
      </c>
      <c r="H15" s="428">
        <v>6</v>
      </c>
      <c r="I15" s="428">
        <v>7</v>
      </c>
      <c r="J15" s="428">
        <v>8</v>
      </c>
      <c r="K15" s="431">
        <v>9</v>
      </c>
    </row>
    <row r="16" spans="1:12" ht="13.5" thickTop="1" x14ac:dyDescent="0.2">
      <c r="A16" s="461">
        <v>1</v>
      </c>
      <c r="B16" s="508" t="s">
        <v>236</v>
      </c>
      <c r="C16" s="473">
        <f>'Tab.3. Mieszkańcy_Polska '!G121</f>
        <v>2918</v>
      </c>
      <c r="D16" s="515">
        <f>'Tab.3. Mieszkańcy_Polska '!G123</f>
        <v>2724</v>
      </c>
      <c r="E16" s="521">
        <f>D16*100/$C16</f>
        <v>93.351610692254965</v>
      </c>
      <c r="F16" s="518">
        <f>'Tab.3. Mieszkańcy_Polska '!G124</f>
        <v>190</v>
      </c>
      <c r="G16" s="521">
        <f>F16*100/$C16</f>
        <v>6.5113091158327618</v>
      </c>
      <c r="H16" s="518">
        <f>'Tab.3. Mieszkańcy_Polska '!G125</f>
        <v>1</v>
      </c>
      <c r="I16" s="521">
        <f>H16*100/$C16</f>
        <v>3.4270047978067167E-2</v>
      </c>
      <c r="J16" s="518">
        <f>'Tab.3. Mieszkańcy_Polska '!G126</f>
        <v>3</v>
      </c>
      <c r="K16" s="524">
        <f>J16*100/$C16</f>
        <v>0.10281014393420151</v>
      </c>
    </row>
    <row r="17" spans="1:12" x14ac:dyDescent="0.2">
      <c r="A17" s="462">
        <v>2</v>
      </c>
      <c r="B17" s="509" t="s">
        <v>237</v>
      </c>
      <c r="C17" s="481">
        <f>'Tab.3. Mieszkańcy_Polska '!G197</f>
        <v>2139</v>
      </c>
      <c r="D17" s="516">
        <f>'Tab.3. Mieszkańcy_Polska '!G199</f>
        <v>1960</v>
      </c>
      <c r="E17" s="522">
        <f t="shared" ref="E17:E31" si="0">D17*100/C17</f>
        <v>91.631603553062178</v>
      </c>
      <c r="F17" s="519">
        <f>'Tab.3. Mieszkańcy_Polska '!G200</f>
        <v>168</v>
      </c>
      <c r="G17" s="522">
        <f t="shared" ref="G17:G31" si="1">F17*100/$C17</f>
        <v>7.8541374474053294</v>
      </c>
      <c r="H17" s="519">
        <f>'Tab.3. Mieszkańcy_Polska '!G201</f>
        <v>7</v>
      </c>
      <c r="I17" s="522">
        <f t="shared" ref="I17:I31" si="2">H17*100/$C17</f>
        <v>0.32725572697522204</v>
      </c>
      <c r="J17" s="519">
        <f>'Tab.3. Mieszkańcy_Polska '!G202</f>
        <v>4</v>
      </c>
      <c r="K17" s="525">
        <f t="shared" ref="K17:K31" si="3">J17*100/$C17</f>
        <v>0.18700327255726976</v>
      </c>
    </row>
    <row r="18" spans="1:12" x14ac:dyDescent="0.2">
      <c r="A18" s="462">
        <v>3</v>
      </c>
      <c r="B18" s="509" t="s">
        <v>238</v>
      </c>
      <c r="C18" s="481">
        <f>'Tab.3. Mieszkańcy_Polska '!G273</f>
        <v>2399</v>
      </c>
      <c r="D18" s="516">
        <f>'Tab.3. Mieszkańcy_Polska '!G275</f>
        <v>2226</v>
      </c>
      <c r="E18" s="522">
        <f t="shared" si="0"/>
        <v>92.788661942476026</v>
      </c>
      <c r="F18" s="519">
        <f>'Tab.3. Mieszkańcy_Polska '!G276</f>
        <v>163</v>
      </c>
      <c r="G18" s="522">
        <f t="shared" si="1"/>
        <v>6.7944977073780741</v>
      </c>
      <c r="H18" s="519">
        <f>'Tab.3. Mieszkańcy_Polska '!G277</f>
        <v>7</v>
      </c>
      <c r="I18" s="522">
        <f t="shared" si="2"/>
        <v>0.29178824510212586</v>
      </c>
      <c r="J18" s="519">
        <f>'Tab.3. Mieszkańcy_Polska '!G278</f>
        <v>3</v>
      </c>
      <c r="K18" s="525">
        <f t="shared" si="3"/>
        <v>0.12505210504376824</v>
      </c>
    </row>
    <row r="19" spans="1:12" x14ac:dyDescent="0.2">
      <c r="A19" s="462">
        <v>4</v>
      </c>
      <c r="B19" s="509" t="s">
        <v>239</v>
      </c>
      <c r="C19" s="481">
        <f>'Tab.3. Mieszkańcy_Polska '!G349</f>
        <v>1225</v>
      </c>
      <c r="D19" s="516">
        <f>'Tab.3. Mieszkańcy_Polska '!G351</f>
        <v>1131</v>
      </c>
      <c r="E19" s="522">
        <f t="shared" si="0"/>
        <v>92.326530612244895</v>
      </c>
      <c r="F19" s="519">
        <f>'Tab.3. Mieszkańcy_Polska '!G352</f>
        <v>93</v>
      </c>
      <c r="G19" s="522">
        <f t="shared" si="1"/>
        <v>7.591836734693878</v>
      </c>
      <c r="H19" s="519">
        <f>'Tab.3. Mieszkańcy_Polska '!G353</f>
        <v>1</v>
      </c>
      <c r="I19" s="522">
        <f t="shared" si="2"/>
        <v>8.1632653061224483E-2</v>
      </c>
      <c r="J19" s="519">
        <f>'Tab.3. Mieszkańcy_Polska '!G354</f>
        <v>0</v>
      </c>
      <c r="K19" s="525">
        <f t="shared" si="3"/>
        <v>0</v>
      </c>
    </row>
    <row r="20" spans="1:12" x14ac:dyDescent="0.2">
      <c r="A20" s="462">
        <v>5</v>
      </c>
      <c r="B20" s="509" t="s">
        <v>240</v>
      </c>
      <c r="C20" s="481">
        <f>'Tab.3. Mieszkańcy_Polska '!G425</f>
        <v>3176</v>
      </c>
      <c r="D20" s="516">
        <f>'Tab.3. Mieszkańcy_Polska '!G427</f>
        <v>2792</v>
      </c>
      <c r="E20" s="522">
        <f t="shared" si="0"/>
        <v>87.909319899244338</v>
      </c>
      <c r="F20" s="519">
        <f>'Tab.3. Mieszkańcy_Polska '!G428</f>
        <v>379</v>
      </c>
      <c r="G20" s="522">
        <f t="shared" si="1"/>
        <v>11.933249370277078</v>
      </c>
      <c r="H20" s="519">
        <f>'Tab.3. Mieszkańcy_Polska '!G429</f>
        <v>3</v>
      </c>
      <c r="I20" s="522">
        <f t="shared" si="2"/>
        <v>9.4458438287153654E-2</v>
      </c>
      <c r="J20" s="519">
        <f>'Tab.3. Mieszkańcy_Polska '!G430</f>
        <v>2</v>
      </c>
      <c r="K20" s="525">
        <f t="shared" si="3"/>
        <v>6.2972292191435769E-2</v>
      </c>
    </row>
    <row r="21" spans="1:12" x14ac:dyDescent="0.2">
      <c r="A21" s="462">
        <v>6</v>
      </c>
      <c r="B21" s="509" t="s">
        <v>241</v>
      </c>
      <c r="C21" s="481">
        <f>'Tab.3. Mieszkańcy_Polska '!G501</f>
        <v>4141</v>
      </c>
      <c r="D21" s="516">
        <f>'Tab.3. Mieszkańcy_Polska '!G503</f>
        <v>3809</v>
      </c>
      <c r="E21" s="522">
        <f t="shared" si="0"/>
        <v>91.982612895435892</v>
      </c>
      <c r="F21" s="519">
        <f>'Tab.3. Mieszkańcy_Polska '!G504</f>
        <v>313</v>
      </c>
      <c r="G21" s="522">
        <f t="shared" si="1"/>
        <v>7.5585607341221923</v>
      </c>
      <c r="H21" s="519">
        <f>'Tab.3. Mieszkańcy_Polska '!G505</f>
        <v>9</v>
      </c>
      <c r="I21" s="522">
        <f t="shared" si="2"/>
        <v>0.21733880705143685</v>
      </c>
      <c r="J21" s="519">
        <f>'Tab.3. Mieszkańcy_Polska '!G506</f>
        <v>10</v>
      </c>
      <c r="K21" s="525">
        <f t="shared" si="3"/>
        <v>0.24148756339048538</v>
      </c>
    </row>
    <row r="22" spans="1:12" x14ac:dyDescent="0.2">
      <c r="A22" s="462">
        <v>7</v>
      </c>
      <c r="B22" s="509" t="s">
        <v>242</v>
      </c>
      <c r="C22" s="481">
        <f>'Tab.3. Mieszkańcy_Polska '!G577</f>
        <v>5129</v>
      </c>
      <c r="D22" s="516">
        <f>'Tab.3. Mieszkańcy_Polska '!G579</f>
        <v>4748</v>
      </c>
      <c r="E22" s="522">
        <f t="shared" si="0"/>
        <v>92.571651394033921</v>
      </c>
      <c r="F22" s="519">
        <f>'Tab.3. Mieszkańcy_Polska '!G580</f>
        <v>373</v>
      </c>
      <c r="G22" s="522">
        <f t="shared" si="1"/>
        <v>7.2723727822187563</v>
      </c>
      <c r="H22" s="519">
        <f>'Tab.3. Mieszkańcy_Polska '!G581</f>
        <v>6</v>
      </c>
      <c r="I22" s="522">
        <f t="shared" si="2"/>
        <v>0.11698186781048937</v>
      </c>
      <c r="J22" s="519">
        <f>'Tab.3. Mieszkańcy_Polska '!G582</f>
        <v>2</v>
      </c>
      <c r="K22" s="525">
        <f t="shared" si="3"/>
        <v>3.8993955936829791E-2</v>
      </c>
    </row>
    <row r="23" spans="1:12" x14ac:dyDescent="0.2">
      <c r="A23" s="462">
        <v>8</v>
      </c>
      <c r="B23" s="509" t="s">
        <v>243</v>
      </c>
      <c r="C23" s="481">
        <f>'Tab.3. Mieszkańcy_Polska '!G653</f>
        <v>1549</v>
      </c>
      <c r="D23" s="516">
        <f>'Tab.3. Mieszkańcy_Polska '!G655</f>
        <v>1459</v>
      </c>
      <c r="E23" s="522">
        <f t="shared" si="0"/>
        <v>94.189799870884443</v>
      </c>
      <c r="F23" s="519">
        <f>'Tab.3. Mieszkańcy_Polska '!G656</f>
        <v>84</v>
      </c>
      <c r="G23" s="522">
        <f t="shared" si="1"/>
        <v>5.4228534538411877</v>
      </c>
      <c r="H23" s="519">
        <f>'Tab.3. Mieszkańcy_Polska '!G657</f>
        <v>6</v>
      </c>
      <c r="I23" s="522">
        <f t="shared" si="2"/>
        <v>0.38734667527437056</v>
      </c>
      <c r="J23" s="519">
        <f>'Tab.3. Mieszkańcy_Polska '!G658</f>
        <v>0</v>
      </c>
      <c r="K23" s="525">
        <f t="shared" si="3"/>
        <v>0</v>
      </c>
    </row>
    <row r="24" spans="1:12" x14ac:dyDescent="0.2">
      <c r="A24" s="462">
        <v>9</v>
      </c>
      <c r="B24" s="509" t="s">
        <v>244</v>
      </c>
      <c r="C24" s="481">
        <f>'Tab.3. Mieszkańcy_Polska '!G729</f>
        <v>2674</v>
      </c>
      <c r="D24" s="516">
        <f>'Tab.3. Mieszkańcy_Polska '!G731</f>
        <v>2473</v>
      </c>
      <c r="E24" s="522">
        <f t="shared" si="0"/>
        <v>92.483171278982795</v>
      </c>
      <c r="F24" s="519">
        <f>'Tab.3. Mieszkańcy_Polska '!G732</f>
        <v>195</v>
      </c>
      <c r="G24" s="522">
        <f t="shared" si="1"/>
        <v>7.292445774121167</v>
      </c>
      <c r="H24" s="519">
        <f>'Tab.3. Mieszkańcy_Polska '!G733</f>
        <v>5</v>
      </c>
      <c r="I24" s="522">
        <f t="shared" si="2"/>
        <v>0.18698578908002991</v>
      </c>
      <c r="J24" s="519">
        <f>'Tab.3. Mieszkańcy_Polska '!G734</f>
        <v>1</v>
      </c>
      <c r="K24" s="525">
        <f t="shared" si="3"/>
        <v>3.7397157816005985E-2</v>
      </c>
    </row>
    <row r="25" spans="1:12" x14ac:dyDescent="0.2">
      <c r="A25" s="463">
        <v>10</v>
      </c>
      <c r="B25" s="509" t="s">
        <v>245</v>
      </c>
      <c r="C25" s="481">
        <f>'Tab.3. Mieszkańcy_Polska '!G805</f>
        <v>1331</v>
      </c>
      <c r="D25" s="516">
        <f>'Tab.3. Mieszkańcy_Polska '!G807</f>
        <v>1206</v>
      </c>
      <c r="E25" s="522">
        <f t="shared" si="0"/>
        <v>90.608564988730279</v>
      </c>
      <c r="F25" s="519">
        <f>'Tab.3. Mieszkańcy_Polska '!G808</f>
        <v>116</v>
      </c>
      <c r="G25" s="522">
        <f t="shared" si="1"/>
        <v>8.7152516904583024</v>
      </c>
      <c r="H25" s="519">
        <f>'Tab.3. Mieszkańcy_Polska '!G809</f>
        <v>1</v>
      </c>
      <c r="I25" s="522">
        <f t="shared" si="2"/>
        <v>7.5131480090157771E-2</v>
      </c>
      <c r="J25" s="519">
        <f>'Tab.3. Mieszkańcy_Polska '!G810</f>
        <v>8</v>
      </c>
      <c r="K25" s="525">
        <f t="shared" si="3"/>
        <v>0.60105184072126216</v>
      </c>
    </row>
    <row r="26" spans="1:12" x14ac:dyDescent="0.2">
      <c r="A26" s="463">
        <v>11</v>
      </c>
      <c r="B26" s="509" t="s">
        <v>246</v>
      </c>
      <c r="C26" s="481">
        <f>'Tab.3. Mieszkańcy_Polska '!G881</f>
        <v>2211</v>
      </c>
      <c r="D26" s="516">
        <f>'Tab.3. Mieszkańcy_Polska '!G883</f>
        <v>2026</v>
      </c>
      <c r="E26" s="522">
        <f t="shared" si="0"/>
        <v>91.632745364088649</v>
      </c>
      <c r="F26" s="519">
        <f>'Tab.3. Mieszkańcy_Polska '!G884</f>
        <v>178</v>
      </c>
      <c r="G26" s="522">
        <f t="shared" si="1"/>
        <v>8.0506558118498415</v>
      </c>
      <c r="H26" s="519">
        <f>'Tab.3. Mieszkańcy_Polska '!G885</f>
        <v>4</v>
      </c>
      <c r="I26" s="522">
        <f t="shared" si="2"/>
        <v>0.18091361374943465</v>
      </c>
      <c r="J26" s="519">
        <f>'Tab.3. Mieszkańcy_Polska '!G886</f>
        <v>3</v>
      </c>
      <c r="K26" s="525">
        <f t="shared" si="3"/>
        <v>0.13568521031207598</v>
      </c>
    </row>
    <row r="27" spans="1:12" x14ac:dyDescent="0.2">
      <c r="A27" s="463">
        <v>12</v>
      </c>
      <c r="B27" s="509" t="s">
        <v>247</v>
      </c>
      <c r="C27" s="481">
        <f>'Tab.3. Mieszkańcy_Polska '!G957</f>
        <v>3955</v>
      </c>
      <c r="D27" s="516">
        <f>'Tab.3. Mieszkańcy_Polska '!G959</f>
        <v>3685</v>
      </c>
      <c r="E27" s="522">
        <f t="shared" si="0"/>
        <v>93.173198482933003</v>
      </c>
      <c r="F27" s="519">
        <f>'Tab.3. Mieszkańcy_Polska '!G960</f>
        <v>241</v>
      </c>
      <c r="G27" s="522">
        <f t="shared" si="1"/>
        <v>6.0935524652338815</v>
      </c>
      <c r="H27" s="519">
        <f>'Tab.3. Mieszkańcy_Polska '!G961</f>
        <v>10</v>
      </c>
      <c r="I27" s="522">
        <f t="shared" si="2"/>
        <v>0.25284450063211122</v>
      </c>
      <c r="J27" s="519">
        <f>'Tab.3. Mieszkańcy_Polska '!G962</f>
        <v>19</v>
      </c>
      <c r="K27" s="525">
        <f t="shared" si="3"/>
        <v>0.48040455120101139</v>
      </c>
    </row>
    <row r="28" spans="1:12" x14ac:dyDescent="0.2">
      <c r="A28" s="463">
        <v>13</v>
      </c>
      <c r="B28" s="509" t="s">
        <v>248</v>
      </c>
      <c r="C28" s="481">
        <f>'Tab.3. Mieszkańcy_Polska '!G1033</f>
        <v>1726</v>
      </c>
      <c r="D28" s="516">
        <f>'Tab.3. Mieszkańcy_Polska '!G1035</f>
        <v>1591</v>
      </c>
      <c r="E28" s="522">
        <f t="shared" si="0"/>
        <v>92.178447276940901</v>
      </c>
      <c r="F28" s="519">
        <f>'Tab.3. Mieszkańcy_Polska '!G1036</f>
        <v>132</v>
      </c>
      <c r="G28" s="522">
        <f t="shared" si="1"/>
        <v>7.6477404403244496</v>
      </c>
      <c r="H28" s="519">
        <f>'Tab.3. Mieszkańcy_Polska '!G1037</f>
        <v>0</v>
      </c>
      <c r="I28" s="522">
        <f t="shared" si="2"/>
        <v>0</v>
      </c>
      <c r="J28" s="519">
        <f>'Tab.3. Mieszkańcy_Polska '!G1038</f>
        <v>3</v>
      </c>
      <c r="K28" s="525">
        <f t="shared" si="3"/>
        <v>0.17381228273464658</v>
      </c>
    </row>
    <row r="29" spans="1:12" x14ac:dyDescent="0.2">
      <c r="A29" s="463">
        <v>14</v>
      </c>
      <c r="B29" s="509" t="s">
        <v>249</v>
      </c>
      <c r="C29" s="481">
        <f>'Tab.3. Mieszkańcy_Polska '!G1109</f>
        <v>1971</v>
      </c>
      <c r="D29" s="516">
        <f>'Tab.3. Mieszkańcy_Polska '!G1111</f>
        <v>1795</v>
      </c>
      <c r="E29" s="522">
        <f t="shared" si="0"/>
        <v>91.070522577371889</v>
      </c>
      <c r="F29" s="519">
        <f>'Tab.3. Mieszkańcy_Polska '!G1112</f>
        <v>160</v>
      </c>
      <c r="G29" s="522">
        <f t="shared" si="1"/>
        <v>8.1177067478437337</v>
      </c>
      <c r="H29" s="519">
        <f>'Tab.3. Mieszkańcy_Polska '!G1113</f>
        <v>3</v>
      </c>
      <c r="I29" s="522">
        <f t="shared" si="2"/>
        <v>0.15220700152207001</v>
      </c>
      <c r="J29" s="519">
        <f>'Tab.3. Mieszkańcy_Polska '!G1114</f>
        <v>13</v>
      </c>
      <c r="K29" s="525">
        <f t="shared" si="3"/>
        <v>0.65956367326230336</v>
      </c>
    </row>
    <row r="30" spans="1:12" x14ac:dyDescent="0.2">
      <c r="A30" s="463">
        <v>15</v>
      </c>
      <c r="B30" s="509" t="s">
        <v>250</v>
      </c>
      <c r="C30" s="481">
        <f>'Tab.3. Mieszkańcy_Polska '!G1185</f>
        <v>3128</v>
      </c>
      <c r="D30" s="516">
        <f>'Tab.3. Mieszkańcy_Polska '!G1187</f>
        <v>2939</v>
      </c>
      <c r="E30" s="522">
        <f t="shared" si="0"/>
        <v>93.95780051150895</v>
      </c>
      <c r="F30" s="519">
        <f>'Tab.3. Mieszkańcy_Polska '!G1188</f>
        <v>182</v>
      </c>
      <c r="G30" s="522">
        <f t="shared" si="1"/>
        <v>5.8184143222506393</v>
      </c>
      <c r="H30" s="519">
        <f>'Tab.3. Mieszkańcy_Polska '!G1189</f>
        <v>4</v>
      </c>
      <c r="I30" s="522">
        <f t="shared" si="2"/>
        <v>0.12787723785166241</v>
      </c>
      <c r="J30" s="519">
        <f>'Tab.3. Mieszkańcy_Polska '!G1190</f>
        <v>3</v>
      </c>
      <c r="K30" s="525">
        <f t="shared" si="3"/>
        <v>9.5907928388746802E-2</v>
      </c>
    </row>
    <row r="31" spans="1:12" ht="13.5" thickBot="1" x14ac:dyDescent="0.25">
      <c r="A31" s="463">
        <v>16</v>
      </c>
      <c r="B31" s="510" t="s">
        <v>251</v>
      </c>
      <c r="C31" s="481">
        <f>'Tab.3. Mieszkańcy_Polska '!G1261</f>
        <v>1985</v>
      </c>
      <c r="D31" s="517">
        <f>'Tab.3. Mieszkańcy_Polska '!G1263</f>
        <v>1796</v>
      </c>
      <c r="E31" s="523">
        <f t="shared" si="0"/>
        <v>90.478589420654913</v>
      </c>
      <c r="F31" s="520">
        <f>'Tab.3. Mieszkańcy_Polska '!G1264</f>
        <v>182</v>
      </c>
      <c r="G31" s="523">
        <f t="shared" si="1"/>
        <v>9.1687657430730471</v>
      </c>
      <c r="H31" s="520">
        <f>'Tab.3. Mieszkańcy_Polska '!G1265</f>
        <v>4</v>
      </c>
      <c r="I31" s="523">
        <f t="shared" si="2"/>
        <v>0.20151133501259447</v>
      </c>
      <c r="J31" s="520">
        <f>'Tab.3. Mieszkańcy_Polska '!G1266</f>
        <v>3</v>
      </c>
      <c r="K31" s="526">
        <f t="shared" si="3"/>
        <v>0.15113350125944586</v>
      </c>
    </row>
    <row r="32" spans="1:12" ht="16.5" thickBot="1" x14ac:dyDescent="0.3">
      <c r="A32" s="445" t="s">
        <v>252</v>
      </c>
      <c r="B32" s="446"/>
      <c r="C32" s="514">
        <f>SUM(C16:C31)</f>
        <v>41657</v>
      </c>
      <c r="D32" s="527">
        <f>SUM(D16:D31)</f>
        <v>38360</v>
      </c>
      <c r="E32" s="528">
        <f>AVERAGE(E16:E31)</f>
        <v>92.020926922553016</v>
      </c>
      <c r="F32" s="529">
        <f>SUM(F16:F31)</f>
        <v>3149</v>
      </c>
      <c r="G32" s="528">
        <f>AVERAGE(G16:G31)</f>
        <v>7.6152093963077698</v>
      </c>
      <c r="H32" s="529">
        <f>SUM(H16:H31)</f>
        <v>71</v>
      </c>
      <c r="I32" s="528">
        <f>AVERAGE(I16:I31)</f>
        <v>0.17053396371738444</v>
      </c>
      <c r="J32" s="529">
        <f>SUM(J16:J31)</f>
        <v>77</v>
      </c>
      <c r="K32" s="530">
        <f>AVERAGE(K16:K31)</f>
        <v>0.19332971742184304</v>
      </c>
      <c r="L32" s="533"/>
    </row>
    <row r="33" ht="13.5" thickTop="1" x14ac:dyDescent="0.2"/>
  </sheetData>
  <mergeCells count="17">
    <mergeCell ref="A8:K8"/>
    <mergeCell ref="A7:K7"/>
    <mergeCell ref="D11:K11"/>
    <mergeCell ref="J13:J14"/>
    <mergeCell ref="D12:E12"/>
    <mergeCell ref="F12:G12"/>
    <mergeCell ref="H12:I12"/>
    <mergeCell ref="J1:K1"/>
    <mergeCell ref="J12:K12"/>
    <mergeCell ref="D13:D14"/>
    <mergeCell ref="E13:E14"/>
    <mergeCell ref="F13:F14"/>
    <mergeCell ref="G13:G14"/>
    <mergeCell ref="H13:H14"/>
    <mergeCell ref="I13:I14"/>
    <mergeCell ref="K13:K14"/>
    <mergeCell ref="A6:K6"/>
  </mergeCells>
  <phoneticPr fontId="82"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H16:H31 J16:J31 E32:K32 F1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heetViews>
  <sheetFormatPr defaultRowHeight="12.75" x14ac:dyDescent="0.2"/>
  <cols>
    <col min="1" max="1" width="3.7109375" customWidth="1"/>
    <col min="2" max="2" width="24.5703125" bestFit="1" customWidth="1"/>
    <col min="3" max="11" width="9.7109375" customWidth="1"/>
    <col min="12" max="12" width="15.7109375" customWidth="1"/>
  </cols>
  <sheetData>
    <row r="1" spans="1:12" ht="15.75" x14ac:dyDescent="0.25">
      <c r="A1" s="1" t="s">
        <v>195</v>
      </c>
      <c r="B1" s="3"/>
      <c r="C1" s="4"/>
      <c r="D1" s="3"/>
      <c r="E1" s="3"/>
      <c r="F1" s="3"/>
      <c r="G1" s="413"/>
      <c r="H1" s="413"/>
      <c r="I1" s="413"/>
      <c r="J1" s="1603" t="s">
        <v>306</v>
      </c>
      <c r="K1" s="1603"/>
    </row>
    <row r="2" spans="1:12" x14ac:dyDescent="0.2">
      <c r="A2" s="3" t="s">
        <v>214</v>
      </c>
      <c r="B2" s="3"/>
      <c r="C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604" t="s">
        <v>307</v>
      </c>
      <c r="B6" s="1604"/>
      <c r="C6" s="1604"/>
      <c r="D6" s="1604"/>
      <c r="E6" s="1604"/>
      <c r="F6" s="1604"/>
      <c r="G6" s="1604"/>
      <c r="H6" s="1604"/>
      <c r="I6" s="1604"/>
      <c r="J6" s="1604"/>
      <c r="K6" s="1604"/>
      <c r="L6" s="8"/>
    </row>
    <row r="7" spans="1:12" ht="15.75" x14ac:dyDescent="0.25">
      <c r="A7" s="1604" t="s">
        <v>305</v>
      </c>
      <c r="B7" s="1604"/>
      <c r="C7" s="1604"/>
      <c r="D7" s="1604"/>
      <c r="E7" s="1604"/>
      <c r="F7" s="1604"/>
      <c r="G7" s="1604"/>
      <c r="H7" s="1604"/>
      <c r="I7" s="1604"/>
      <c r="J7" s="1604"/>
      <c r="K7" s="1604"/>
      <c r="L7" s="8"/>
    </row>
    <row r="8" spans="1:12" ht="15.75" x14ac:dyDescent="0.25">
      <c r="A8" s="1691" t="str">
        <f>"wg ŹRÓDEŁ DOCHODU, wg stanu na dzień 31.XII."&amp;'Tab.1. bilans_Polska'!A2&amp;" r."</f>
        <v>wg ŹRÓDEŁ DOCHODU, wg stanu na dzień 31.XII.2011 r.</v>
      </c>
      <c r="B8" s="1690"/>
      <c r="C8" s="1690"/>
      <c r="D8" s="1690"/>
      <c r="E8" s="1690"/>
      <c r="F8" s="1690"/>
      <c r="G8" s="1690"/>
      <c r="H8" s="1690"/>
      <c r="I8" s="1690"/>
      <c r="J8" s="1690"/>
      <c r="K8" s="1690"/>
      <c r="L8" s="8"/>
    </row>
    <row r="10" spans="1:12" ht="13.5" thickBot="1" x14ac:dyDescent="0.25">
      <c r="A10" s="3"/>
      <c r="B10" s="3"/>
      <c r="C10" s="3"/>
      <c r="D10" s="3"/>
      <c r="E10" s="3"/>
      <c r="F10" s="3"/>
      <c r="G10" s="3"/>
      <c r="H10" s="3"/>
      <c r="I10" s="3"/>
      <c r="J10" s="3"/>
    </row>
    <row r="11" spans="1:12" ht="13.5" thickTop="1" x14ac:dyDescent="0.2">
      <c r="A11" s="5"/>
      <c r="B11" s="505"/>
      <c r="C11" s="511"/>
      <c r="D11" s="1773" t="s">
        <v>155</v>
      </c>
      <c r="E11" s="1774"/>
      <c r="F11" s="1774"/>
      <c r="G11" s="1774"/>
      <c r="H11" s="1774"/>
      <c r="I11" s="1774"/>
      <c r="J11" s="1774"/>
      <c r="K11" s="1775"/>
    </row>
    <row r="12" spans="1:12" ht="28.5" customHeight="1" x14ac:dyDescent="0.2">
      <c r="A12" s="415" t="s">
        <v>226</v>
      </c>
      <c r="B12" s="506" t="s">
        <v>227</v>
      </c>
      <c r="C12" s="512" t="s">
        <v>7</v>
      </c>
      <c r="D12" s="1776" t="s">
        <v>178</v>
      </c>
      <c r="E12" s="1777"/>
      <c r="F12" s="1771" t="s">
        <v>151</v>
      </c>
      <c r="G12" s="1777"/>
      <c r="H12" s="1771" t="s">
        <v>149</v>
      </c>
      <c r="I12" s="1777"/>
      <c r="J12" s="1771" t="s">
        <v>152</v>
      </c>
      <c r="K12" s="1772"/>
    </row>
    <row r="13" spans="1:12" ht="12.75" customHeight="1" x14ac:dyDescent="0.2">
      <c r="A13" s="415"/>
      <c r="B13" s="506"/>
      <c r="C13" s="512"/>
      <c r="D13" s="1760" t="s">
        <v>0</v>
      </c>
      <c r="E13" s="1748" t="s">
        <v>294</v>
      </c>
      <c r="F13" s="1749" t="s">
        <v>0</v>
      </c>
      <c r="G13" s="1748" t="s">
        <v>294</v>
      </c>
      <c r="H13" s="1749" t="s">
        <v>0</v>
      </c>
      <c r="I13" s="1748" t="s">
        <v>294</v>
      </c>
      <c r="J13" s="1749" t="s">
        <v>0</v>
      </c>
      <c r="K13" s="1757" t="s">
        <v>294</v>
      </c>
    </row>
    <row r="14" spans="1:12" x14ac:dyDescent="0.2">
      <c r="A14" s="417"/>
      <c r="B14" s="507"/>
      <c r="C14" s="513"/>
      <c r="D14" s="1760"/>
      <c r="E14" s="1749"/>
      <c r="F14" s="1749"/>
      <c r="G14" s="1749"/>
      <c r="H14" s="1749"/>
      <c r="I14" s="1749"/>
      <c r="J14" s="1749"/>
      <c r="K14" s="1758"/>
    </row>
    <row r="15" spans="1:12" ht="13.5" thickBot="1" x14ac:dyDescent="0.25">
      <c r="A15" s="425"/>
      <c r="B15" s="429">
        <v>0</v>
      </c>
      <c r="C15" s="464">
        <v>1</v>
      </c>
      <c r="D15" s="427">
        <v>2</v>
      </c>
      <c r="E15" s="428">
        <v>3</v>
      </c>
      <c r="F15" s="428">
        <v>4</v>
      </c>
      <c r="G15" s="428">
        <v>5</v>
      </c>
      <c r="H15" s="428">
        <v>6</v>
      </c>
      <c r="I15" s="428">
        <v>7</v>
      </c>
      <c r="J15" s="428">
        <v>8</v>
      </c>
      <c r="K15" s="431">
        <v>9</v>
      </c>
    </row>
    <row r="16" spans="1:12" ht="13.5" thickTop="1" x14ac:dyDescent="0.2">
      <c r="A16" s="461">
        <v>1</v>
      </c>
      <c r="B16" s="508" t="s">
        <v>236</v>
      </c>
      <c r="C16" s="473">
        <f>'Tab.3. Mieszkańcy_Polska '!H121</f>
        <v>2593</v>
      </c>
      <c r="D16" s="515">
        <f>'Tab.3. Mieszkańcy_Polska '!H123</f>
        <v>2407</v>
      </c>
      <c r="E16" s="521">
        <f>D16*100/$C16</f>
        <v>92.826841496336286</v>
      </c>
      <c r="F16" s="518">
        <f>'Tab.3. Mieszkańcy_Polska '!H124</f>
        <v>182</v>
      </c>
      <c r="G16" s="521">
        <f t="shared" ref="G16:G31" si="0">F16*100/$C16</f>
        <v>7.0188970304666407</v>
      </c>
      <c r="H16" s="518">
        <f>'Tab.3. Mieszkańcy_Polska '!H125</f>
        <v>1</v>
      </c>
      <c r="I16" s="521">
        <f t="shared" ref="I16:I31" si="1">H16*100/$C16</f>
        <v>3.8565368299267259E-2</v>
      </c>
      <c r="J16" s="518">
        <f>'Tab.3. Mieszkańcy_Polska '!H126</f>
        <v>3</v>
      </c>
      <c r="K16" s="524">
        <f t="shared" ref="K16:K31" si="2">J16*100/$C16</f>
        <v>0.11569610489780177</v>
      </c>
    </row>
    <row r="17" spans="1:12" x14ac:dyDescent="0.2">
      <c r="A17" s="462">
        <v>2</v>
      </c>
      <c r="B17" s="509" t="s">
        <v>237</v>
      </c>
      <c r="C17" s="481">
        <f>'Tab.3. Mieszkańcy_Polska '!H197</f>
        <v>1911</v>
      </c>
      <c r="D17" s="516">
        <f>'Tab.3. Mieszkańcy_Polska '!H199</f>
        <v>1745</v>
      </c>
      <c r="E17" s="522">
        <f t="shared" ref="E17:E31" si="3">D17*100/C17</f>
        <v>91.313448456305593</v>
      </c>
      <c r="F17" s="519">
        <f>'Tab.3. Mieszkańcy_Polska '!H200</f>
        <v>162</v>
      </c>
      <c r="G17" s="522">
        <f t="shared" si="0"/>
        <v>8.4772370486656197</v>
      </c>
      <c r="H17" s="519">
        <f>'Tab.3. Mieszkańcy_Polska '!H201</f>
        <v>0</v>
      </c>
      <c r="I17" s="522">
        <f t="shared" si="1"/>
        <v>0</v>
      </c>
      <c r="J17" s="519">
        <f>'Tab.3. Mieszkańcy_Polska '!H202</f>
        <v>4</v>
      </c>
      <c r="K17" s="525">
        <f t="shared" si="2"/>
        <v>0.20931449502878074</v>
      </c>
    </row>
    <row r="18" spans="1:12" x14ac:dyDescent="0.2">
      <c r="A18" s="462">
        <v>3</v>
      </c>
      <c r="B18" s="509" t="s">
        <v>238</v>
      </c>
      <c r="C18" s="481">
        <f>'Tab.3. Mieszkańcy_Polska '!H273</f>
        <v>2203</v>
      </c>
      <c r="D18" s="516">
        <f>'Tab.3. Mieszkańcy_Polska '!H275</f>
        <v>2032</v>
      </c>
      <c r="E18" s="522">
        <f t="shared" si="3"/>
        <v>92.237857467090336</v>
      </c>
      <c r="F18" s="519">
        <f>'Tab.3. Mieszkańcy_Polska '!H276</f>
        <v>161</v>
      </c>
      <c r="G18" s="522">
        <f t="shared" si="0"/>
        <v>7.3082160689968223</v>
      </c>
      <c r="H18" s="519">
        <f>'Tab.3. Mieszkańcy_Polska '!H277</f>
        <v>7</v>
      </c>
      <c r="I18" s="522">
        <f t="shared" si="1"/>
        <v>0.31774852473899229</v>
      </c>
      <c r="J18" s="519">
        <f>'Tab.3. Mieszkańcy_Polska '!H278</f>
        <v>3</v>
      </c>
      <c r="K18" s="525">
        <f t="shared" si="2"/>
        <v>0.13617793917385385</v>
      </c>
    </row>
    <row r="19" spans="1:12" x14ac:dyDescent="0.2">
      <c r="A19" s="462">
        <v>4</v>
      </c>
      <c r="B19" s="509" t="s">
        <v>239</v>
      </c>
      <c r="C19" s="481">
        <f>'Tab.3. Mieszkańcy_Polska '!H349</f>
        <v>1142</v>
      </c>
      <c r="D19" s="516">
        <f>'Tab.3. Mieszkańcy_Polska '!H351</f>
        <v>1048</v>
      </c>
      <c r="E19" s="522">
        <f t="shared" si="3"/>
        <v>91.768826619964969</v>
      </c>
      <c r="F19" s="519">
        <f>'Tab.3. Mieszkańcy_Polska '!H352</f>
        <v>93</v>
      </c>
      <c r="G19" s="522">
        <f t="shared" si="0"/>
        <v>8.1436077057793348</v>
      </c>
      <c r="H19" s="519">
        <f>'Tab.3. Mieszkańcy_Polska '!H353</f>
        <v>1</v>
      </c>
      <c r="I19" s="522">
        <f t="shared" si="1"/>
        <v>8.7565674255691769E-2</v>
      </c>
      <c r="J19" s="519">
        <f>'Tab.3. Mieszkańcy_Polska '!H354</f>
        <v>0</v>
      </c>
      <c r="K19" s="525">
        <f t="shared" si="2"/>
        <v>0</v>
      </c>
    </row>
    <row r="20" spans="1:12" x14ac:dyDescent="0.2">
      <c r="A20" s="462">
        <v>5</v>
      </c>
      <c r="B20" s="509" t="s">
        <v>240</v>
      </c>
      <c r="C20" s="481">
        <f>'Tab.3. Mieszkańcy_Polska '!H425</f>
        <v>3023</v>
      </c>
      <c r="D20" s="516">
        <f>'Tab.3. Mieszkańcy_Polska '!H427</f>
        <v>2654</v>
      </c>
      <c r="E20" s="522">
        <f t="shared" si="3"/>
        <v>87.793582533906715</v>
      </c>
      <c r="F20" s="519">
        <f>'Tab.3. Mieszkańcy_Polska '!H428</f>
        <v>367</v>
      </c>
      <c r="G20" s="522">
        <f t="shared" si="0"/>
        <v>12.140258021832617</v>
      </c>
      <c r="H20" s="519">
        <f>'Tab.3. Mieszkańcy_Polska '!H429</f>
        <v>0</v>
      </c>
      <c r="I20" s="522">
        <f t="shared" si="1"/>
        <v>0</v>
      </c>
      <c r="J20" s="519">
        <f>'Tab.3. Mieszkańcy_Polska '!H430</f>
        <v>2</v>
      </c>
      <c r="K20" s="525">
        <f t="shared" si="2"/>
        <v>6.6159444260668207E-2</v>
      </c>
    </row>
    <row r="21" spans="1:12" x14ac:dyDescent="0.2">
      <c r="A21" s="462">
        <v>6</v>
      </c>
      <c r="B21" s="509" t="s">
        <v>241</v>
      </c>
      <c r="C21" s="481">
        <f>'Tab.3. Mieszkańcy_Polska '!H501</f>
        <v>3313</v>
      </c>
      <c r="D21" s="516">
        <f>'Tab.3. Mieszkańcy_Polska '!H503</f>
        <v>3021</v>
      </c>
      <c r="E21" s="522">
        <f t="shared" si="3"/>
        <v>91.186236039843038</v>
      </c>
      <c r="F21" s="519">
        <f>'Tab.3. Mieszkańcy_Polska '!H504</f>
        <v>278</v>
      </c>
      <c r="G21" s="522">
        <f t="shared" si="0"/>
        <v>8.391186236039843</v>
      </c>
      <c r="H21" s="519">
        <f>'Tab.3. Mieszkańcy_Polska '!H505</f>
        <v>4</v>
      </c>
      <c r="I21" s="522">
        <f t="shared" si="1"/>
        <v>0.12073649260488983</v>
      </c>
      <c r="J21" s="519">
        <f>'Tab.3. Mieszkańcy_Polska '!H506</f>
        <v>10</v>
      </c>
      <c r="K21" s="525">
        <f t="shared" si="2"/>
        <v>0.30184123151222458</v>
      </c>
    </row>
    <row r="22" spans="1:12" x14ac:dyDescent="0.2">
      <c r="A22" s="462">
        <v>7</v>
      </c>
      <c r="B22" s="509" t="s">
        <v>242</v>
      </c>
      <c r="C22" s="481">
        <f>'Tab.3. Mieszkańcy_Polska '!H577</f>
        <v>4484</v>
      </c>
      <c r="D22" s="516">
        <f>'Tab.3. Mieszkańcy_Polska '!H579</f>
        <v>4121</v>
      </c>
      <c r="E22" s="522">
        <f t="shared" si="3"/>
        <v>91.904549509366632</v>
      </c>
      <c r="F22" s="519">
        <f>'Tab.3. Mieszkańcy_Polska '!H580</f>
        <v>355</v>
      </c>
      <c r="G22" s="522">
        <f t="shared" si="0"/>
        <v>7.9170383586083855</v>
      </c>
      <c r="H22" s="519">
        <f>'Tab.3. Mieszkańcy_Polska '!H581</f>
        <v>6</v>
      </c>
      <c r="I22" s="522">
        <f t="shared" si="1"/>
        <v>0.13380909901873328</v>
      </c>
      <c r="J22" s="519">
        <f>'Tab.3. Mieszkańcy_Polska '!H582</f>
        <v>2</v>
      </c>
      <c r="K22" s="525">
        <f t="shared" si="2"/>
        <v>4.4603033006244422E-2</v>
      </c>
    </row>
    <row r="23" spans="1:12" x14ac:dyDescent="0.2">
      <c r="A23" s="462">
        <v>8</v>
      </c>
      <c r="B23" s="509" t="s">
        <v>243</v>
      </c>
      <c r="C23" s="481">
        <f>'Tab.3. Mieszkańcy_Polska '!H653</f>
        <v>1026</v>
      </c>
      <c r="D23" s="516">
        <f>'Tab.3. Mieszkańcy_Polska '!H655</f>
        <v>953</v>
      </c>
      <c r="E23" s="522">
        <f t="shared" si="3"/>
        <v>92.884990253411303</v>
      </c>
      <c r="F23" s="519">
        <f>'Tab.3. Mieszkańcy_Polska '!H656</f>
        <v>73</v>
      </c>
      <c r="G23" s="522">
        <f t="shared" si="0"/>
        <v>7.1150097465886937</v>
      </c>
      <c r="H23" s="519">
        <f>'Tab.3. Mieszkańcy_Polska '!H657</f>
        <v>0</v>
      </c>
      <c r="I23" s="522">
        <f t="shared" si="1"/>
        <v>0</v>
      </c>
      <c r="J23" s="519">
        <f>'Tab.3. Mieszkańcy_Polska '!H658</f>
        <v>0</v>
      </c>
      <c r="K23" s="525">
        <f t="shared" si="2"/>
        <v>0</v>
      </c>
    </row>
    <row r="24" spans="1:12" x14ac:dyDescent="0.2">
      <c r="A24" s="462">
        <v>9</v>
      </c>
      <c r="B24" s="509" t="s">
        <v>244</v>
      </c>
      <c r="C24" s="481">
        <f>'Tab.3. Mieszkańcy_Polska '!H729</f>
        <v>2016</v>
      </c>
      <c r="D24" s="516">
        <f>'Tab.3. Mieszkańcy_Polska '!H731</f>
        <v>1843</v>
      </c>
      <c r="E24" s="522">
        <f t="shared" si="3"/>
        <v>91.418650793650798</v>
      </c>
      <c r="F24" s="519">
        <f>'Tab.3. Mieszkańcy_Polska '!H732</f>
        <v>172</v>
      </c>
      <c r="G24" s="522">
        <f t="shared" si="0"/>
        <v>8.5317460317460316</v>
      </c>
      <c r="H24" s="519">
        <f>'Tab.3. Mieszkańcy_Polska '!H733</f>
        <v>0</v>
      </c>
      <c r="I24" s="522">
        <f t="shared" si="1"/>
        <v>0</v>
      </c>
      <c r="J24" s="519">
        <f>'Tab.3. Mieszkańcy_Polska '!H734</f>
        <v>1</v>
      </c>
      <c r="K24" s="525">
        <f t="shared" si="2"/>
        <v>4.96031746031746E-2</v>
      </c>
    </row>
    <row r="25" spans="1:12" x14ac:dyDescent="0.2">
      <c r="A25" s="463">
        <v>10</v>
      </c>
      <c r="B25" s="509" t="s">
        <v>245</v>
      </c>
      <c r="C25" s="481">
        <f>'Tab.3. Mieszkańcy_Polska '!H805</f>
        <v>1038</v>
      </c>
      <c r="D25" s="516">
        <f>'Tab.3. Mieszkańcy_Polska '!H807</f>
        <v>946</v>
      </c>
      <c r="E25" s="522">
        <f t="shared" si="3"/>
        <v>91.136801541425825</v>
      </c>
      <c r="F25" s="519">
        <f>'Tab.3. Mieszkańcy_Polska '!H808</f>
        <v>83</v>
      </c>
      <c r="G25" s="522">
        <f t="shared" si="0"/>
        <v>7.9961464354527942</v>
      </c>
      <c r="H25" s="519">
        <f>'Tab.3. Mieszkańcy_Polska '!H809</f>
        <v>1</v>
      </c>
      <c r="I25" s="522">
        <f t="shared" si="1"/>
        <v>9.6339113680154145E-2</v>
      </c>
      <c r="J25" s="519">
        <f>'Tab.3. Mieszkańcy_Polska '!H810</f>
        <v>8</v>
      </c>
      <c r="K25" s="525">
        <f t="shared" si="2"/>
        <v>0.77071290944123316</v>
      </c>
    </row>
    <row r="26" spans="1:12" x14ac:dyDescent="0.2">
      <c r="A26" s="463">
        <v>11</v>
      </c>
      <c r="B26" s="509" t="s">
        <v>246</v>
      </c>
      <c r="C26" s="481">
        <f>'Tab.3. Mieszkańcy_Polska '!H881</f>
        <v>1866</v>
      </c>
      <c r="D26" s="516">
        <f>'Tab.3. Mieszkańcy_Polska '!H883</f>
        <v>1690</v>
      </c>
      <c r="E26" s="522">
        <f t="shared" si="3"/>
        <v>90.568060021436224</v>
      </c>
      <c r="F26" s="519">
        <f>'Tab.3. Mieszkańcy_Polska '!H884</f>
        <v>172</v>
      </c>
      <c r="G26" s="522">
        <f t="shared" si="0"/>
        <v>9.2175777063236879</v>
      </c>
      <c r="H26" s="519">
        <f>'Tab.3. Mieszkańcy_Polska '!H885</f>
        <v>2</v>
      </c>
      <c r="I26" s="522">
        <f t="shared" si="1"/>
        <v>0.10718113612004287</v>
      </c>
      <c r="J26" s="519">
        <f>'Tab.3. Mieszkańcy_Polska '!H886</f>
        <v>2</v>
      </c>
      <c r="K26" s="525">
        <f t="shared" si="2"/>
        <v>0.10718113612004287</v>
      </c>
    </row>
    <row r="27" spans="1:12" x14ac:dyDescent="0.2">
      <c r="A27" s="463">
        <v>12</v>
      </c>
      <c r="B27" s="509" t="s">
        <v>247</v>
      </c>
      <c r="C27" s="481">
        <f>'Tab.3. Mieszkańcy_Polska '!H957</f>
        <v>2355</v>
      </c>
      <c r="D27" s="516">
        <f>'Tab.3. Mieszkańcy_Polska '!H959</f>
        <v>2155</v>
      </c>
      <c r="E27" s="522">
        <f t="shared" si="3"/>
        <v>91.507430997876853</v>
      </c>
      <c r="F27" s="519">
        <f>'Tab.3. Mieszkańcy_Polska '!H960</f>
        <v>192</v>
      </c>
      <c r="G27" s="522">
        <f t="shared" si="0"/>
        <v>8.1528662420382165</v>
      </c>
      <c r="H27" s="519">
        <f>'Tab.3. Mieszkańcy_Polska '!H961</f>
        <v>3</v>
      </c>
      <c r="I27" s="522">
        <f t="shared" si="1"/>
        <v>0.12738853503184713</v>
      </c>
      <c r="J27" s="519">
        <f>'Tab.3. Mieszkańcy_Polska '!H962</f>
        <v>5</v>
      </c>
      <c r="K27" s="525">
        <f t="shared" si="2"/>
        <v>0.21231422505307856</v>
      </c>
    </row>
    <row r="28" spans="1:12" x14ac:dyDescent="0.2">
      <c r="A28" s="463">
        <v>13</v>
      </c>
      <c r="B28" s="509" t="s">
        <v>248</v>
      </c>
      <c r="C28" s="481">
        <f>'Tab.3. Mieszkańcy_Polska '!H1033</f>
        <v>1572</v>
      </c>
      <c r="D28" s="516">
        <f>'Tab.3. Mieszkańcy_Polska '!H1035</f>
        <v>1449</v>
      </c>
      <c r="E28" s="522">
        <f t="shared" si="3"/>
        <v>92.175572519083971</v>
      </c>
      <c r="F28" s="519">
        <f>'Tab.3. Mieszkańcy_Polska '!H1036</f>
        <v>120</v>
      </c>
      <c r="G28" s="522">
        <f t="shared" si="0"/>
        <v>7.6335877862595423</v>
      </c>
      <c r="H28" s="519">
        <f>'Tab.3. Mieszkańcy_Polska '!H1037</f>
        <v>0</v>
      </c>
      <c r="I28" s="522">
        <f t="shared" si="1"/>
        <v>0</v>
      </c>
      <c r="J28" s="519">
        <f>'Tab.3. Mieszkańcy_Polska '!H1038</f>
        <v>3</v>
      </c>
      <c r="K28" s="525">
        <f t="shared" si="2"/>
        <v>0.19083969465648856</v>
      </c>
    </row>
    <row r="29" spans="1:12" x14ac:dyDescent="0.2">
      <c r="A29" s="463">
        <v>14</v>
      </c>
      <c r="B29" s="509" t="s">
        <v>249</v>
      </c>
      <c r="C29" s="481">
        <f>'Tab.3. Mieszkańcy_Polska '!H1109</f>
        <v>1677</v>
      </c>
      <c r="D29" s="516">
        <f>'Tab.3. Mieszkańcy_Polska '!H1111</f>
        <v>1525</v>
      </c>
      <c r="E29" s="522">
        <f t="shared" si="3"/>
        <v>90.936195587358384</v>
      </c>
      <c r="F29" s="519">
        <f>'Tab.3. Mieszkańcy_Polska '!H1112</f>
        <v>150</v>
      </c>
      <c r="G29" s="522">
        <f t="shared" si="0"/>
        <v>8.9445438282647594</v>
      </c>
      <c r="H29" s="519">
        <f>'Tab.3. Mieszkańcy_Polska '!H1113</f>
        <v>1</v>
      </c>
      <c r="I29" s="522">
        <f t="shared" si="1"/>
        <v>5.9630292188431723E-2</v>
      </c>
      <c r="J29" s="519">
        <f>'Tab.3. Mieszkańcy_Polska '!H1114</f>
        <v>1</v>
      </c>
      <c r="K29" s="525">
        <f t="shared" si="2"/>
        <v>5.9630292188431723E-2</v>
      </c>
    </row>
    <row r="30" spans="1:12" x14ac:dyDescent="0.2">
      <c r="A30" s="463">
        <v>15</v>
      </c>
      <c r="B30" s="509" t="s">
        <v>250</v>
      </c>
      <c r="C30" s="481">
        <f>'Tab.3. Mieszkańcy_Polska '!H1185</f>
        <v>2641</v>
      </c>
      <c r="D30" s="516">
        <f>'Tab.3. Mieszkańcy_Polska '!H1187</f>
        <v>2467</v>
      </c>
      <c r="E30" s="522">
        <f t="shared" si="3"/>
        <v>93.411586520257472</v>
      </c>
      <c r="F30" s="519">
        <f>'Tab.3. Mieszkańcy_Polska '!H1188</f>
        <v>171</v>
      </c>
      <c r="G30" s="522">
        <f t="shared" si="0"/>
        <v>6.4748201438848918</v>
      </c>
      <c r="H30" s="519">
        <f>'Tab.3. Mieszkańcy_Polska '!H1189</f>
        <v>2</v>
      </c>
      <c r="I30" s="522">
        <f t="shared" si="1"/>
        <v>7.5728890571753124E-2</v>
      </c>
      <c r="J30" s="519">
        <f>'Tab.3. Mieszkańcy_Polska '!H1190</f>
        <v>1</v>
      </c>
      <c r="K30" s="525">
        <f t="shared" si="2"/>
        <v>3.7864445285876562E-2</v>
      </c>
    </row>
    <row r="31" spans="1:12" ht="13.5" thickBot="1" x14ac:dyDescent="0.25">
      <c r="A31" s="463">
        <v>16</v>
      </c>
      <c r="B31" s="510" t="s">
        <v>251</v>
      </c>
      <c r="C31" s="481">
        <f>'Tab.3. Mieszkańcy_Polska '!H1261</f>
        <v>1672</v>
      </c>
      <c r="D31" s="517">
        <f>'Tab.3. Mieszkańcy_Polska '!H1263</f>
        <v>1519</v>
      </c>
      <c r="E31" s="523">
        <f t="shared" si="3"/>
        <v>90.849282296650713</v>
      </c>
      <c r="F31" s="520">
        <f>'Tab.3. Mieszkańcy_Polska '!H1264</f>
        <v>147</v>
      </c>
      <c r="G31" s="523">
        <f t="shared" si="0"/>
        <v>8.7918660287081334</v>
      </c>
      <c r="H31" s="520">
        <f>'Tab.3. Mieszkańcy_Polska '!H1265</f>
        <v>3</v>
      </c>
      <c r="I31" s="523">
        <f t="shared" si="1"/>
        <v>0.17942583732057416</v>
      </c>
      <c r="J31" s="520">
        <f>'Tab.3. Mieszkańcy_Polska '!H1266</f>
        <v>3</v>
      </c>
      <c r="K31" s="526">
        <f t="shared" si="2"/>
        <v>0.17942583732057416</v>
      </c>
    </row>
    <row r="32" spans="1:12" ht="16.5" thickBot="1" x14ac:dyDescent="0.3">
      <c r="A32" s="445" t="s">
        <v>252</v>
      </c>
      <c r="B32" s="446"/>
      <c r="C32" s="514">
        <f>SUM(C16:C31)</f>
        <v>34532</v>
      </c>
      <c r="D32" s="527">
        <f>SUM(D16:D31)</f>
        <v>31575</v>
      </c>
      <c r="E32" s="528">
        <f>AVERAGE(E16:E31)</f>
        <v>91.49499454087281</v>
      </c>
      <c r="F32" s="529">
        <f>SUM(F16:F31)</f>
        <v>2878</v>
      </c>
      <c r="G32" s="528">
        <f>AVERAGE(G16:G31)</f>
        <v>8.2659127762285021</v>
      </c>
      <c r="H32" s="529">
        <f>SUM(H16:H31)</f>
        <v>31</v>
      </c>
      <c r="I32" s="528">
        <f>AVERAGE(I16:I31)</f>
        <v>8.4007435239398603E-2</v>
      </c>
      <c r="J32" s="529">
        <f>SUM(J16:J31)</f>
        <v>48</v>
      </c>
      <c r="K32" s="530">
        <f>AVERAGE(K16:K31)</f>
        <v>0.15508524765927961</v>
      </c>
      <c r="L32" s="533"/>
    </row>
    <row r="33" ht="13.5" thickTop="1" x14ac:dyDescent="0.2"/>
  </sheetData>
  <mergeCells count="17">
    <mergeCell ref="J1:K1"/>
    <mergeCell ref="J12:K12"/>
    <mergeCell ref="D13:D14"/>
    <mergeCell ref="E13:E14"/>
    <mergeCell ref="F13:F14"/>
    <mergeCell ref="G13:G14"/>
    <mergeCell ref="H13:H14"/>
    <mergeCell ref="I13:I14"/>
    <mergeCell ref="K13:K14"/>
    <mergeCell ref="A6:K6"/>
    <mergeCell ref="A8:K8"/>
    <mergeCell ref="A7:K7"/>
    <mergeCell ref="D11:K11"/>
    <mergeCell ref="J13:J14"/>
    <mergeCell ref="D12:E12"/>
    <mergeCell ref="F12:G12"/>
    <mergeCell ref="H12:I12"/>
  </mergeCells>
  <phoneticPr fontId="82" type="noConversion"/>
  <printOptions horizont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H16:H31 J16:J31 F16 E32:K32"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heetViews>
  <sheetFormatPr defaultRowHeight="12.75" x14ac:dyDescent="0.2"/>
  <cols>
    <col min="1" max="1" width="3.7109375" customWidth="1"/>
    <col min="2" max="2" width="24.5703125" bestFit="1" customWidth="1"/>
    <col min="3" max="11" width="9.7109375" customWidth="1"/>
    <col min="12" max="12" width="15.7109375" customWidth="1"/>
  </cols>
  <sheetData>
    <row r="1" spans="1:12" ht="15.75" x14ac:dyDescent="0.25">
      <c r="A1" s="1" t="s">
        <v>195</v>
      </c>
      <c r="B1" s="3"/>
      <c r="C1" s="4"/>
      <c r="D1" s="3"/>
      <c r="E1" s="3"/>
      <c r="F1" s="3"/>
      <c r="G1" s="413"/>
      <c r="H1" s="413"/>
      <c r="I1" s="413"/>
      <c r="J1" s="1603" t="s">
        <v>308</v>
      </c>
      <c r="K1" s="1603"/>
    </row>
    <row r="2" spans="1:12" x14ac:dyDescent="0.2">
      <c r="A2" s="3" t="s">
        <v>214</v>
      </c>
      <c r="B2" s="3"/>
      <c r="C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778" t="s">
        <v>492</v>
      </c>
      <c r="B6" s="1778"/>
      <c r="C6" s="1778"/>
      <c r="D6" s="1778"/>
      <c r="E6" s="1778"/>
      <c r="F6" s="1778"/>
      <c r="G6" s="1778"/>
      <c r="H6" s="1778"/>
      <c r="I6" s="1778"/>
      <c r="J6" s="1778"/>
      <c r="K6" s="1778"/>
      <c r="L6" s="8"/>
    </row>
    <row r="7" spans="1:12" ht="15.75" x14ac:dyDescent="0.25">
      <c r="A7" s="1604" t="s">
        <v>305</v>
      </c>
      <c r="B7" s="1604"/>
      <c r="C7" s="1604"/>
      <c r="D7" s="1604"/>
      <c r="E7" s="1604"/>
      <c r="F7" s="1604"/>
      <c r="G7" s="1604"/>
      <c r="H7" s="1604"/>
      <c r="I7" s="1604"/>
      <c r="J7" s="1604"/>
      <c r="K7" s="1604"/>
      <c r="L7" s="8"/>
    </row>
    <row r="8" spans="1:12" ht="15.75" x14ac:dyDescent="0.25">
      <c r="A8" s="1691" t="str">
        <f>"wg ŹRÓDEŁ DOCHODU, wg stanu na dzień 31.XII."&amp;'Tab.1. bilans_Polska'!A2&amp;" r."</f>
        <v>wg ŹRÓDEŁ DOCHODU, wg stanu na dzień 31.XII.2011 r.</v>
      </c>
      <c r="B8" s="1690"/>
      <c r="C8" s="1690"/>
      <c r="D8" s="1690"/>
      <c r="E8" s="1690"/>
      <c r="F8" s="1690"/>
      <c r="G8" s="1690"/>
      <c r="H8" s="1690"/>
      <c r="I8" s="1690"/>
      <c r="J8" s="1690"/>
      <c r="K8" s="1690"/>
      <c r="L8" s="8"/>
    </row>
    <row r="10" spans="1:12" ht="13.5" thickBot="1" x14ac:dyDescent="0.25">
      <c r="A10" s="3"/>
      <c r="B10" s="3"/>
      <c r="C10" s="3"/>
      <c r="D10" s="3"/>
      <c r="E10" s="3"/>
      <c r="F10" s="3"/>
      <c r="G10" s="3"/>
      <c r="H10" s="3"/>
      <c r="I10" s="3"/>
      <c r="J10" s="3"/>
    </row>
    <row r="11" spans="1:12" ht="13.5" thickTop="1" x14ac:dyDescent="0.2">
      <c r="A11" s="5"/>
      <c r="B11" s="505"/>
      <c r="C11" s="511"/>
      <c r="D11" s="1773" t="s">
        <v>155</v>
      </c>
      <c r="E11" s="1774"/>
      <c r="F11" s="1774"/>
      <c r="G11" s="1774"/>
      <c r="H11" s="1774"/>
      <c r="I11" s="1774"/>
      <c r="J11" s="1774"/>
      <c r="K11" s="1775"/>
    </row>
    <row r="12" spans="1:12" ht="28.5" customHeight="1" x14ac:dyDescent="0.2">
      <c r="A12" s="415" t="s">
        <v>226</v>
      </c>
      <c r="B12" s="506" t="s">
        <v>227</v>
      </c>
      <c r="C12" s="512" t="s">
        <v>7</v>
      </c>
      <c r="D12" s="1776" t="s">
        <v>178</v>
      </c>
      <c r="E12" s="1777"/>
      <c r="F12" s="1771" t="s">
        <v>151</v>
      </c>
      <c r="G12" s="1777"/>
      <c r="H12" s="1771" t="s">
        <v>149</v>
      </c>
      <c r="I12" s="1777"/>
      <c r="J12" s="1771" t="s">
        <v>152</v>
      </c>
      <c r="K12" s="1772"/>
    </row>
    <row r="13" spans="1:12" ht="12.75" customHeight="1" x14ac:dyDescent="0.2">
      <c r="A13" s="415"/>
      <c r="B13" s="506"/>
      <c r="C13" s="512"/>
      <c r="D13" s="1760" t="s">
        <v>0</v>
      </c>
      <c r="E13" s="1748" t="s">
        <v>294</v>
      </c>
      <c r="F13" s="1749" t="s">
        <v>0</v>
      </c>
      <c r="G13" s="1748" t="s">
        <v>294</v>
      </c>
      <c r="H13" s="1749" t="s">
        <v>0</v>
      </c>
      <c r="I13" s="1748" t="s">
        <v>294</v>
      </c>
      <c r="J13" s="1749" t="s">
        <v>0</v>
      </c>
      <c r="K13" s="1757" t="s">
        <v>294</v>
      </c>
    </row>
    <row r="14" spans="1:12" x14ac:dyDescent="0.2">
      <c r="A14" s="417"/>
      <c r="B14" s="507"/>
      <c r="C14" s="513"/>
      <c r="D14" s="1760"/>
      <c r="E14" s="1749"/>
      <c r="F14" s="1749"/>
      <c r="G14" s="1749"/>
      <c r="H14" s="1749"/>
      <c r="I14" s="1749"/>
      <c r="J14" s="1749"/>
      <c r="K14" s="1758"/>
    </row>
    <row r="15" spans="1:12" ht="13.5" thickBot="1" x14ac:dyDescent="0.25">
      <c r="A15" s="425"/>
      <c r="B15" s="429">
        <v>0</v>
      </c>
      <c r="C15" s="464">
        <v>1</v>
      </c>
      <c r="D15" s="427">
        <v>2</v>
      </c>
      <c r="E15" s="428">
        <v>3</v>
      </c>
      <c r="F15" s="428">
        <v>4</v>
      </c>
      <c r="G15" s="428">
        <v>5</v>
      </c>
      <c r="H15" s="428">
        <v>6</v>
      </c>
      <c r="I15" s="428">
        <v>7</v>
      </c>
      <c r="J15" s="428">
        <v>8</v>
      </c>
      <c r="K15" s="431">
        <v>9</v>
      </c>
    </row>
    <row r="16" spans="1:12" ht="13.5" thickTop="1" x14ac:dyDescent="0.2">
      <c r="A16" s="461">
        <v>1</v>
      </c>
      <c r="B16" s="508" t="s">
        <v>236</v>
      </c>
      <c r="C16" s="473">
        <f>'Tab.3. Mieszkańcy_Polska '!I121</f>
        <v>325</v>
      </c>
      <c r="D16" s="515">
        <f>'Tab.3. Mieszkańcy_Polska '!I123</f>
        <v>317</v>
      </c>
      <c r="E16" s="521">
        <f>D16*100/$C16</f>
        <v>97.538461538461533</v>
      </c>
      <c r="F16" s="518">
        <f>'Tab.3. Mieszkańcy_Polska '!I124</f>
        <v>8</v>
      </c>
      <c r="G16" s="521">
        <f t="shared" ref="G16:G31" si="0">F16*100/$C16</f>
        <v>2.4615384615384617</v>
      </c>
      <c r="H16" s="518">
        <f>'Tab.3. Mieszkańcy_Polska '!I125</f>
        <v>0</v>
      </c>
      <c r="I16" s="521">
        <f t="shared" ref="I16:I31" si="1">H16*100/$C16</f>
        <v>0</v>
      </c>
      <c r="J16" s="518">
        <f>'Tab.3. Mieszkańcy_Polska '!I126</f>
        <v>0</v>
      </c>
      <c r="K16" s="524">
        <f t="shared" ref="K16:K31" si="2">J16*100/$C16</f>
        <v>0</v>
      </c>
    </row>
    <row r="17" spans="1:12" x14ac:dyDescent="0.2">
      <c r="A17" s="462">
        <v>2</v>
      </c>
      <c r="B17" s="509" t="s">
        <v>237</v>
      </c>
      <c r="C17" s="481">
        <f>'Tab.3. Mieszkańcy_Polska '!I197</f>
        <v>228</v>
      </c>
      <c r="D17" s="516">
        <f>'Tab.3. Mieszkańcy_Polska '!I199</f>
        <v>215</v>
      </c>
      <c r="E17" s="522">
        <f t="shared" ref="E17:E31" si="3">D17*100/C17</f>
        <v>94.298245614035082</v>
      </c>
      <c r="F17" s="519">
        <f>'Tab.3. Mieszkańcy_Polska '!I200</f>
        <v>6</v>
      </c>
      <c r="G17" s="522">
        <f t="shared" si="0"/>
        <v>2.6315789473684212</v>
      </c>
      <c r="H17" s="519">
        <f>'Tab.3. Mieszkańcy_Polska '!I201</f>
        <v>7</v>
      </c>
      <c r="I17" s="522">
        <f t="shared" si="1"/>
        <v>3.0701754385964914</v>
      </c>
      <c r="J17" s="519">
        <f>'Tab.3. Mieszkańcy_Polska '!I202</f>
        <v>0</v>
      </c>
      <c r="K17" s="525">
        <f t="shared" si="2"/>
        <v>0</v>
      </c>
    </row>
    <row r="18" spans="1:12" x14ac:dyDescent="0.2">
      <c r="A18" s="462">
        <v>3</v>
      </c>
      <c r="B18" s="509" t="s">
        <v>238</v>
      </c>
      <c r="C18" s="481">
        <f>'Tab.3. Mieszkańcy_Polska '!I273</f>
        <v>196</v>
      </c>
      <c r="D18" s="516">
        <f>'Tab.3. Mieszkańcy_Polska '!I275</f>
        <v>194</v>
      </c>
      <c r="E18" s="522">
        <f t="shared" si="3"/>
        <v>98.979591836734699</v>
      </c>
      <c r="F18" s="519">
        <f>'Tab.3. Mieszkańcy_Polska '!I276</f>
        <v>2</v>
      </c>
      <c r="G18" s="522">
        <f t="shared" si="0"/>
        <v>1.0204081632653061</v>
      </c>
      <c r="H18" s="519">
        <f>'Tab.3. Mieszkańcy_Polska '!I277</f>
        <v>0</v>
      </c>
      <c r="I18" s="522">
        <f t="shared" si="1"/>
        <v>0</v>
      </c>
      <c r="J18" s="519">
        <f>'Tab.3. Mieszkańcy_Polska '!I278</f>
        <v>0</v>
      </c>
      <c r="K18" s="525">
        <f t="shared" si="2"/>
        <v>0</v>
      </c>
    </row>
    <row r="19" spans="1:12" x14ac:dyDescent="0.2">
      <c r="A19" s="462">
        <v>4</v>
      </c>
      <c r="B19" s="509" t="s">
        <v>239</v>
      </c>
      <c r="C19" s="481">
        <f>'Tab.3. Mieszkańcy_Polska '!I349</f>
        <v>83</v>
      </c>
      <c r="D19" s="516">
        <f>'Tab.3. Mieszkańcy_Polska '!I351</f>
        <v>83</v>
      </c>
      <c r="E19" s="522">
        <f t="shared" si="3"/>
        <v>100</v>
      </c>
      <c r="F19" s="519">
        <f>'Tab.3. Mieszkańcy_Polska '!I352</f>
        <v>0</v>
      </c>
      <c r="G19" s="522">
        <f t="shared" si="0"/>
        <v>0</v>
      </c>
      <c r="H19" s="519">
        <f>'Tab.3. Mieszkańcy_Polska '!I353</f>
        <v>0</v>
      </c>
      <c r="I19" s="522">
        <f t="shared" si="1"/>
        <v>0</v>
      </c>
      <c r="J19" s="519">
        <f>'Tab.3. Mieszkańcy_Polska '!I354</f>
        <v>0</v>
      </c>
      <c r="K19" s="525">
        <f t="shared" si="2"/>
        <v>0</v>
      </c>
    </row>
    <row r="20" spans="1:12" x14ac:dyDescent="0.2">
      <c r="A20" s="462">
        <v>5</v>
      </c>
      <c r="B20" s="509" t="s">
        <v>240</v>
      </c>
      <c r="C20" s="481">
        <f>'Tab.3. Mieszkańcy_Polska '!I425</f>
        <v>153</v>
      </c>
      <c r="D20" s="516">
        <f>'Tab.3. Mieszkańcy_Polska '!I427</f>
        <v>138</v>
      </c>
      <c r="E20" s="522">
        <f t="shared" si="3"/>
        <v>90.196078431372555</v>
      </c>
      <c r="F20" s="519">
        <f>'Tab.3. Mieszkańcy_Polska '!I428</f>
        <v>12</v>
      </c>
      <c r="G20" s="522">
        <f t="shared" si="0"/>
        <v>7.8431372549019605</v>
      </c>
      <c r="H20" s="519">
        <f>'Tab.3. Mieszkańcy_Polska '!I429</f>
        <v>3</v>
      </c>
      <c r="I20" s="522">
        <f t="shared" si="1"/>
        <v>1.9607843137254901</v>
      </c>
      <c r="J20" s="519">
        <f>'Tab.3. Mieszkańcy_Polska '!I430</f>
        <v>0</v>
      </c>
      <c r="K20" s="525">
        <f t="shared" si="2"/>
        <v>0</v>
      </c>
    </row>
    <row r="21" spans="1:12" x14ac:dyDescent="0.2">
      <c r="A21" s="462">
        <v>6</v>
      </c>
      <c r="B21" s="509" t="s">
        <v>241</v>
      </c>
      <c r="C21" s="481">
        <f>'Tab.3. Mieszkańcy_Polska '!I501</f>
        <v>828</v>
      </c>
      <c r="D21" s="516">
        <f>'Tab.3. Mieszkańcy_Polska '!I503</f>
        <v>788</v>
      </c>
      <c r="E21" s="522">
        <f t="shared" si="3"/>
        <v>95.169082125603865</v>
      </c>
      <c r="F21" s="519">
        <f>'Tab.3. Mieszkańcy_Polska '!I504</f>
        <v>35</v>
      </c>
      <c r="G21" s="522">
        <f t="shared" si="0"/>
        <v>4.2270531400966185</v>
      </c>
      <c r="H21" s="519">
        <f>'Tab.3. Mieszkańcy_Polska '!I505</f>
        <v>5</v>
      </c>
      <c r="I21" s="522">
        <f t="shared" si="1"/>
        <v>0.60386473429951693</v>
      </c>
      <c r="J21" s="519">
        <f>'Tab.3. Mieszkańcy_Polska '!I506</f>
        <v>0</v>
      </c>
      <c r="K21" s="525">
        <f t="shared" si="2"/>
        <v>0</v>
      </c>
    </row>
    <row r="22" spans="1:12" x14ac:dyDescent="0.2">
      <c r="A22" s="462">
        <v>7</v>
      </c>
      <c r="B22" s="509" t="s">
        <v>242</v>
      </c>
      <c r="C22" s="481">
        <f>'Tab.3. Mieszkańcy_Polska '!I577</f>
        <v>645</v>
      </c>
      <c r="D22" s="516">
        <f>'Tab.3. Mieszkańcy_Polska '!I579</f>
        <v>627</v>
      </c>
      <c r="E22" s="522">
        <f t="shared" si="3"/>
        <v>97.20930232558139</v>
      </c>
      <c r="F22" s="519">
        <f>'Tab.3. Mieszkańcy_Polska '!I580</f>
        <v>18</v>
      </c>
      <c r="G22" s="522">
        <f t="shared" si="0"/>
        <v>2.7906976744186047</v>
      </c>
      <c r="H22" s="519">
        <f>'Tab.3. Mieszkańcy_Polska '!I581</f>
        <v>0</v>
      </c>
      <c r="I22" s="522">
        <f t="shared" si="1"/>
        <v>0</v>
      </c>
      <c r="J22" s="519">
        <f>'Tab.3. Mieszkańcy_Polska '!I582</f>
        <v>0</v>
      </c>
      <c r="K22" s="525">
        <f t="shared" si="2"/>
        <v>0</v>
      </c>
    </row>
    <row r="23" spans="1:12" x14ac:dyDescent="0.2">
      <c r="A23" s="462">
        <v>8</v>
      </c>
      <c r="B23" s="509" t="s">
        <v>243</v>
      </c>
      <c r="C23" s="481">
        <f>'Tab.3. Mieszkańcy_Polska '!I653</f>
        <v>523</v>
      </c>
      <c r="D23" s="516">
        <f>'Tab.3. Mieszkańcy_Polska '!I655</f>
        <v>506</v>
      </c>
      <c r="E23" s="522">
        <f t="shared" si="3"/>
        <v>96.749521988527718</v>
      </c>
      <c r="F23" s="519">
        <f>'Tab.3. Mieszkańcy_Polska '!I656</f>
        <v>11</v>
      </c>
      <c r="G23" s="522">
        <f t="shared" si="0"/>
        <v>2.1032504780114722</v>
      </c>
      <c r="H23" s="519">
        <f>'Tab.3. Mieszkańcy_Polska '!I657</f>
        <v>6</v>
      </c>
      <c r="I23" s="522">
        <f t="shared" si="1"/>
        <v>1.1472275334608031</v>
      </c>
      <c r="J23" s="519">
        <f>'Tab.3. Mieszkańcy_Polska '!I658</f>
        <v>0</v>
      </c>
      <c r="K23" s="525">
        <f t="shared" si="2"/>
        <v>0</v>
      </c>
    </row>
    <row r="24" spans="1:12" x14ac:dyDescent="0.2">
      <c r="A24" s="462">
        <v>9</v>
      </c>
      <c r="B24" s="509" t="s">
        <v>244</v>
      </c>
      <c r="C24" s="481">
        <f>'Tab.3. Mieszkańcy_Polska '!I729</f>
        <v>658</v>
      </c>
      <c r="D24" s="516">
        <f>'Tab.3. Mieszkańcy_Polska '!I731</f>
        <v>630</v>
      </c>
      <c r="E24" s="522">
        <f t="shared" si="3"/>
        <v>95.744680851063833</v>
      </c>
      <c r="F24" s="519">
        <f>'Tab.3. Mieszkańcy_Polska '!I732</f>
        <v>23</v>
      </c>
      <c r="G24" s="522">
        <f t="shared" si="0"/>
        <v>3.4954407294832825</v>
      </c>
      <c r="H24" s="519">
        <f>'Tab.3. Mieszkańcy_Polska '!I733</f>
        <v>5</v>
      </c>
      <c r="I24" s="522">
        <f t="shared" si="1"/>
        <v>0.75987841945288759</v>
      </c>
      <c r="J24" s="519">
        <f>'Tab.3. Mieszkańcy_Polska '!I734</f>
        <v>0</v>
      </c>
      <c r="K24" s="525">
        <f t="shared" si="2"/>
        <v>0</v>
      </c>
    </row>
    <row r="25" spans="1:12" x14ac:dyDescent="0.2">
      <c r="A25" s="463">
        <v>10</v>
      </c>
      <c r="B25" s="509" t="s">
        <v>245</v>
      </c>
      <c r="C25" s="481">
        <f>'Tab.3. Mieszkańcy_Polska '!I805</f>
        <v>293</v>
      </c>
      <c r="D25" s="516">
        <f>'Tab.3. Mieszkańcy_Polska '!I807</f>
        <v>260</v>
      </c>
      <c r="E25" s="522">
        <f t="shared" si="3"/>
        <v>88.737201365187715</v>
      </c>
      <c r="F25" s="519">
        <f>'Tab.3. Mieszkańcy_Polska '!I808</f>
        <v>33</v>
      </c>
      <c r="G25" s="522">
        <f t="shared" si="0"/>
        <v>11.262798634812286</v>
      </c>
      <c r="H25" s="519">
        <f>'Tab.3. Mieszkańcy_Polska '!I809</f>
        <v>0</v>
      </c>
      <c r="I25" s="522">
        <f t="shared" si="1"/>
        <v>0</v>
      </c>
      <c r="J25" s="519">
        <f>'Tab.3. Mieszkańcy_Polska '!I810</f>
        <v>0</v>
      </c>
      <c r="K25" s="525">
        <f t="shared" si="2"/>
        <v>0</v>
      </c>
    </row>
    <row r="26" spans="1:12" x14ac:dyDescent="0.2">
      <c r="A26" s="463">
        <v>11</v>
      </c>
      <c r="B26" s="509" t="s">
        <v>246</v>
      </c>
      <c r="C26" s="481">
        <f>'Tab.3. Mieszkańcy_Polska '!I881</f>
        <v>345</v>
      </c>
      <c r="D26" s="516">
        <f>'Tab.3. Mieszkańcy_Polska '!I883</f>
        <v>336</v>
      </c>
      <c r="E26" s="522">
        <f t="shared" si="3"/>
        <v>97.391304347826093</v>
      </c>
      <c r="F26" s="519">
        <f>'Tab.3. Mieszkańcy_Polska '!I884</f>
        <v>6</v>
      </c>
      <c r="G26" s="522">
        <f t="shared" si="0"/>
        <v>1.7391304347826086</v>
      </c>
      <c r="H26" s="519">
        <f>'Tab.3. Mieszkańcy_Polska '!I885</f>
        <v>2</v>
      </c>
      <c r="I26" s="522">
        <f t="shared" si="1"/>
        <v>0.57971014492753625</v>
      </c>
      <c r="J26" s="519">
        <f>'Tab.3. Mieszkańcy_Polska '!I886</f>
        <v>1</v>
      </c>
      <c r="K26" s="525">
        <f t="shared" si="2"/>
        <v>0.28985507246376813</v>
      </c>
    </row>
    <row r="27" spans="1:12" x14ac:dyDescent="0.2">
      <c r="A27" s="463">
        <v>12</v>
      </c>
      <c r="B27" s="509" t="s">
        <v>247</v>
      </c>
      <c r="C27" s="481">
        <f>'Tab.3. Mieszkańcy_Polska '!I957</f>
        <v>1600</v>
      </c>
      <c r="D27" s="516">
        <f>'Tab.3. Mieszkańcy_Polska '!I959</f>
        <v>1530</v>
      </c>
      <c r="E27" s="522">
        <f t="shared" si="3"/>
        <v>95.625</v>
      </c>
      <c r="F27" s="519">
        <f>'Tab.3. Mieszkańcy_Polska '!I960</f>
        <v>49</v>
      </c>
      <c r="G27" s="522">
        <f t="shared" si="0"/>
        <v>3.0625</v>
      </c>
      <c r="H27" s="519">
        <f>'Tab.3. Mieszkańcy_Polska '!I961</f>
        <v>7</v>
      </c>
      <c r="I27" s="522">
        <f t="shared" si="1"/>
        <v>0.4375</v>
      </c>
      <c r="J27" s="519">
        <f>'Tab.3. Mieszkańcy_Polska '!I962</f>
        <v>14</v>
      </c>
      <c r="K27" s="525">
        <f t="shared" si="2"/>
        <v>0.875</v>
      </c>
    </row>
    <row r="28" spans="1:12" x14ac:dyDescent="0.2">
      <c r="A28" s="463">
        <v>13</v>
      </c>
      <c r="B28" s="509" t="s">
        <v>248</v>
      </c>
      <c r="C28" s="481">
        <f>'Tab.3. Mieszkańcy_Polska '!I1033</f>
        <v>154</v>
      </c>
      <c r="D28" s="516">
        <f>'Tab.3. Mieszkańcy_Polska '!I1035</f>
        <v>142</v>
      </c>
      <c r="E28" s="522">
        <f t="shared" si="3"/>
        <v>92.20779220779221</v>
      </c>
      <c r="F28" s="519">
        <f>'Tab.3. Mieszkańcy_Polska '!I1036</f>
        <v>12</v>
      </c>
      <c r="G28" s="522">
        <f t="shared" si="0"/>
        <v>7.7922077922077921</v>
      </c>
      <c r="H28" s="519">
        <f>'Tab.3. Mieszkańcy_Polska '!I1037</f>
        <v>0</v>
      </c>
      <c r="I28" s="522">
        <f t="shared" si="1"/>
        <v>0</v>
      </c>
      <c r="J28" s="519">
        <f>'Tab.3. Mieszkańcy_Polska '!I1038</f>
        <v>0</v>
      </c>
      <c r="K28" s="525">
        <f t="shared" si="2"/>
        <v>0</v>
      </c>
    </row>
    <row r="29" spans="1:12" x14ac:dyDescent="0.2">
      <c r="A29" s="463">
        <v>14</v>
      </c>
      <c r="B29" s="509" t="s">
        <v>249</v>
      </c>
      <c r="C29" s="481">
        <f>'Tab.3. Mieszkańcy_Polska '!I1109</f>
        <v>294</v>
      </c>
      <c r="D29" s="516">
        <f>'Tab.3. Mieszkańcy_Polska '!I1111</f>
        <v>270</v>
      </c>
      <c r="E29" s="522">
        <f t="shared" si="3"/>
        <v>91.836734693877546</v>
      </c>
      <c r="F29" s="519">
        <f>'Tab.3. Mieszkańcy_Polska '!I1112</f>
        <v>10</v>
      </c>
      <c r="G29" s="522">
        <f t="shared" si="0"/>
        <v>3.4013605442176869</v>
      </c>
      <c r="H29" s="519">
        <f>'Tab.3. Mieszkańcy_Polska '!I1113</f>
        <v>2</v>
      </c>
      <c r="I29" s="522">
        <f t="shared" si="1"/>
        <v>0.68027210884353739</v>
      </c>
      <c r="J29" s="519">
        <f>'Tab.3. Mieszkańcy_Polska '!I1114</f>
        <v>12</v>
      </c>
      <c r="K29" s="525">
        <f t="shared" si="2"/>
        <v>4.0816326530612246</v>
      </c>
    </row>
    <row r="30" spans="1:12" x14ac:dyDescent="0.2">
      <c r="A30" s="463">
        <v>15</v>
      </c>
      <c r="B30" s="509" t="s">
        <v>250</v>
      </c>
      <c r="C30" s="481">
        <f>'Tab.3. Mieszkańcy_Polska '!I1185</f>
        <v>487</v>
      </c>
      <c r="D30" s="516">
        <f>'Tab.3. Mieszkańcy_Polska '!I1187</f>
        <v>472</v>
      </c>
      <c r="E30" s="522">
        <f t="shared" si="3"/>
        <v>96.919917864476389</v>
      </c>
      <c r="F30" s="519">
        <f>'Tab.3. Mieszkańcy_Polska '!I1188</f>
        <v>11</v>
      </c>
      <c r="G30" s="522">
        <f t="shared" si="0"/>
        <v>2.2587268993839835</v>
      </c>
      <c r="H30" s="519">
        <f>'Tab.3. Mieszkańcy_Polska '!I1189</f>
        <v>2</v>
      </c>
      <c r="I30" s="522">
        <f t="shared" si="1"/>
        <v>0.41067761806981518</v>
      </c>
      <c r="J30" s="519">
        <f>'Tab.3. Mieszkańcy_Polska '!I1190</f>
        <v>2</v>
      </c>
      <c r="K30" s="525">
        <f t="shared" si="2"/>
        <v>0.41067761806981518</v>
      </c>
    </row>
    <row r="31" spans="1:12" ht="13.5" thickBot="1" x14ac:dyDescent="0.25">
      <c r="A31" s="463">
        <v>16</v>
      </c>
      <c r="B31" s="510" t="s">
        <v>251</v>
      </c>
      <c r="C31" s="481">
        <f>'Tab.3. Mieszkańcy_Polska '!I1261</f>
        <v>313</v>
      </c>
      <c r="D31" s="517">
        <f>'Tab.3. Mieszkańcy_Polska '!I1263</f>
        <v>277</v>
      </c>
      <c r="E31" s="523">
        <f t="shared" si="3"/>
        <v>88.498402555910545</v>
      </c>
      <c r="F31" s="520">
        <f>'Tab.3. Mieszkańcy_Polska '!I1264</f>
        <v>35</v>
      </c>
      <c r="G31" s="523">
        <f t="shared" si="0"/>
        <v>11.182108626198083</v>
      </c>
      <c r="H31" s="520">
        <f>'Tab.3. Mieszkańcy_Polska '!I1265</f>
        <v>1</v>
      </c>
      <c r="I31" s="523">
        <f t="shared" si="1"/>
        <v>0.31948881789137379</v>
      </c>
      <c r="J31" s="520">
        <f>'Tab.3. Mieszkańcy_Polska '!I1266</f>
        <v>0</v>
      </c>
      <c r="K31" s="526">
        <f t="shared" si="2"/>
        <v>0</v>
      </c>
    </row>
    <row r="32" spans="1:12" ht="16.5" thickBot="1" x14ac:dyDescent="0.3">
      <c r="A32" s="445" t="s">
        <v>252</v>
      </c>
      <c r="B32" s="446"/>
      <c r="C32" s="514">
        <f>SUM(C16:C31)</f>
        <v>7125</v>
      </c>
      <c r="D32" s="527">
        <f>SUM(D16:D31)</f>
        <v>6785</v>
      </c>
      <c r="E32" s="528">
        <f>AVERAGE(E16:E31)</f>
        <v>94.818832359153205</v>
      </c>
      <c r="F32" s="529">
        <f>SUM(F16:F31)</f>
        <v>271</v>
      </c>
      <c r="G32" s="528">
        <f>AVERAGE(G16:G31)</f>
        <v>4.2044961112929107</v>
      </c>
      <c r="H32" s="529">
        <f>SUM(H16:H31)</f>
        <v>40</v>
      </c>
      <c r="I32" s="528">
        <f>AVERAGE(I16:I31)</f>
        <v>0.62309869557921582</v>
      </c>
      <c r="J32" s="529">
        <f>SUM(J16:J31)</f>
        <v>29</v>
      </c>
      <c r="K32" s="530">
        <f>AVERAGE(K16:K31)</f>
        <v>0.35357283397467554</v>
      </c>
      <c r="L32" s="533"/>
    </row>
    <row r="33" ht="13.5" thickTop="1" x14ac:dyDescent="0.2"/>
  </sheetData>
  <mergeCells count="17">
    <mergeCell ref="A8:K8"/>
    <mergeCell ref="A7:K7"/>
    <mergeCell ref="D11:K11"/>
    <mergeCell ref="J13:J14"/>
    <mergeCell ref="D12:E12"/>
    <mergeCell ref="F12:G12"/>
    <mergeCell ref="H12:I12"/>
    <mergeCell ref="J1:K1"/>
    <mergeCell ref="J12:K12"/>
    <mergeCell ref="D13:D14"/>
    <mergeCell ref="E13:E14"/>
    <mergeCell ref="F13:F14"/>
    <mergeCell ref="G13:G14"/>
    <mergeCell ref="H13:H14"/>
    <mergeCell ref="I13:I14"/>
    <mergeCell ref="K13:K14"/>
    <mergeCell ref="A6:K6"/>
  </mergeCells>
  <phoneticPr fontId="82"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J16:J31 H16:H31 J32 H32 K32 E32:G32 I32 F16"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A1" s="1" t="s">
        <v>195</v>
      </c>
      <c r="B1" s="3"/>
      <c r="C1" s="4"/>
      <c r="D1" s="3"/>
      <c r="E1" s="3"/>
      <c r="F1" s="3"/>
      <c r="G1" s="413"/>
      <c r="H1" s="413"/>
      <c r="I1" s="413"/>
      <c r="J1" s="1603" t="s">
        <v>309</v>
      </c>
      <c r="K1" s="1603"/>
    </row>
    <row r="2" spans="1:12" x14ac:dyDescent="0.2">
      <c r="A2" s="3" t="s">
        <v>214</v>
      </c>
      <c r="B2" s="3"/>
      <c r="C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604" t="s">
        <v>486</v>
      </c>
      <c r="B6" s="1604"/>
      <c r="C6" s="1604"/>
      <c r="D6" s="1604"/>
      <c r="E6" s="1604"/>
      <c r="F6" s="1604"/>
      <c r="G6" s="1604"/>
      <c r="H6" s="1604"/>
      <c r="I6" s="1604"/>
      <c r="J6" s="1604"/>
      <c r="K6" s="1604"/>
      <c r="L6" s="8"/>
    </row>
    <row r="7" spans="1:12" ht="15.75" x14ac:dyDescent="0.25">
      <c r="A7" s="1604" t="s">
        <v>321</v>
      </c>
      <c r="B7" s="1604"/>
      <c r="C7" s="1604"/>
      <c r="D7" s="1604"/>
      <c r="E7" s="1604"/>
      <c r="F7" s="1604"/>
      <c r="G7" s="1604"/>
      <c r="H7" s="1604"/>
      <c r="I7" s="1604"/>
      <c r="J7" s="1604"/>
      <c r="K7" s="1604"/>
      <c r="L7" s="8"/>
    </row>
    <row r="8" spans="1:12" ht="15.75" x14ac:dyDescent="0.25">
      <c r="A8" s="1691" t="str">
        <f>"wg FORM ODPŁATNOŚCI, wg stanu na dzień 31.XII."&amp;'Tab.1. bilans_Polska'!A2&amp;" r."</f>
        <v>wg FORM ODPŁATNOŚCI, wg stanu na dzień 31.XII.2011 r.</v>
      </c>
      <c r="B8" s="1690"/>
      <c r="C8" s="1690"/>
      <c r="D8" s="1690"/>
      <c r="E8" s="1690"/>
      <c r="F8" s="1690"/>
      <c r="G8" s="1690"/>
      <c r="H8" s="1690"/>
      <c r="I8" s="1690"/>
      <c r="J8" s="1690"/>
      <c r="K8" s="1690"/>
      <c r="L8" s="8"/>
    </row>
    <row r="10" spans="1:12" ht="13.5" thickBot="1" x14ac:dyDescent="0.25">
      <c r="A10" s="3"/>
      <c r="B10" s="3"/>
      <c r="C10" s="3"/>
      <c r="D10" s="3"/>
      <c r="E10" s="3"/>
      <c r="F10" s="3"/>
      <c r="G10" s="3"/>
      <c r="H10" s="3"/>
      <c r="I10" s="3"/>
      <c r="J10" s="3"/>
    </row>
    <row r="11" spans="1:12" ht="13.5" thickTop="1" x14ac:dyDescent="0.2">
      <c r="A11" s="5"/>
      <c r="B11" s="505"/>
      <c r="C11" s="511"/>
      <c r="D11" s="1773" t="s">
        <v>49</v>
      </c>
      <c r="E11" s="1774"/>
      <c r="F11" s="1774"/>
      <c r="G11" s="1784"/>
      <c r="H11" s="1774" t="s">
        <v>310</v>
      </c>
      <c r="I11" s="1774"/>
      <c r="J11" s="1774"/>
      <c r="K11" s="1775"/>
    </row>
    <row r="12" spans="1:12" ht="42" customHeight="1" x14ac:dyDescent="0.2">
      <c r="A12" s="542" t="s">
        <v>226</v>
      </c>
      <c r="B12" s="543" t="s">
        <v>227</v>
      </c>
      <c r="C12" s="532" t="s">
        <v>7</v>
      </c>
      <c r="D12" s="1779" t="s">
        <v>311</v>
      </c>
      <c r="E12" s="1780"/>
      <c r="F12" s="1781" t="s">
        <v>312</v>
      </c>
      <c r="G12" s="1782"/>
      <c r="H12" s="1783" t="s">
        <v>313</v>
      </c>
      <c r="I12" s="1780"/>
      <c r="J12" s="1781" t="s">
        <v>314</v>
      </c>
      <c r="K12" s="1785"/>
    </row>
    <row r="13" spans="1:12" ht="12.75" customHeight="1" x14ac:dyDescent="0.2">
      <c r="A13" s="415"/>
      <c r="B13" s="506"/>
      <c r="C13" s="512"/>
      <c r="D13" s="1760" t="s">
        <v>0</v>
      </c>
      <c r="E13" s="1748" t="s">
        <v>294</v>
      </c>
      <c r="F13" s="1749" t="s">
        <v>0</v>
      </c>
      <c r="G13" s="1786" t="s">
        <v>294</v>
      </c>
      <c r="H13" s="1777" t="s">
        <v>0</v>
      </c>
      <c r="I13" s="1748" t="s">
        <v>294</v>
      </c>
      <c r="J13" s="1749" t="s">
        <v>0</v>
      </c>
      <c r="K13" s="1757" t="s">
        <v>294</v>
      </c>
    </row>
    <row r="14" spans="1:12" x14ac:dyDescent="0.2">
      <c r="A14" s="417"/>
      <c r="B14" s="507"/>
      <c r="C14" s="513"/>
      <c r="D14" s="1760"/>
      <c r="E14" s="1749"/>
      <c r="F14" s="1749"/>
      <c r="G14" s="1787"/>
      <c r="H14" s="1777"/>
      <c r="I14" s="1749"/>
      <c r="J14" s="1749"/>
      <c r="K14" s="1758"/>
    </row>
    <row r="15" spans="1:12" ht="13.5" thickBot="1" x14ac:dyDescent="0.25">
      <c r="A15" s="425"/>
      <c r="B15" s="429">
        <v>0</v>
      </c>
      <c r="C15" s="464">
        <v>1</v>
      </c>
      <c r="D15" s="427">
        <v>2</v>
      </c>
      <c r="E15" s="428">
        <v>3</v>
      </c>
      <c r="F15" s="428">
        <v>4</v>
      </c>
      <c r="G15" s="429">
        <v>5</v>
      </c>
      <c r="H15" s="430">
        <v>6</v>
      </c>
      <c r="I15" s="428">
        <v>7</v>
      </c>
      <c r="J15" s="428">
        <v>8</v>
      </c>
      <c r="K15" s="431">
        <v>9</v>
      </c>
    </row>
    <row r="16" spans="1:12" ht="13.5" thickTop="1" x14ac:dyDescent="0.2">
      <c r="A16" s="461">
        <v>1</v>
      </c>
      <c r="B16" s="508" t="s">
        <v>236</v>
      </c>
      <c r="C16" s="473">
        <f>'Tab.3. Mieszkańcy_Polska '!G119</f>
        <v>2964</v>
      </c>
      <c r="D16" s="515">
        <f>'Tab.3. Mieszkańcy_Polska '!G121</f>
        <v>2918</v>
      </c>
      <c r="E16" s="521">
        <f>IF(D16&gt;0, ROUND(D16*100/$C16, 1), "")</f>
        <v>98.4</v>
      </c>
      <c r="F16" s="1458">
        <f>'Tab.3. Mieszkańcy_Polska '!G127</f>
        <v>46</v>
      </c>
      <c r="G16" s="538">
        <f>IF(F16&gt;0, ROUND(F16*100/$C16, 1), "")</f>
        <v>1.6</v>
      </c>
      <c r="H16" s="1459">
        <f>'Tab.3. Mieszkańcy_Polska '!G128</f>
        <v>54</v>
      </c>
      <c r="I16" s="521">
        <f>IF(H16&gt;0, ROUND(H16*100/$C16, 1), "")</f>
        <v>1.8</v>
      </c>
      <c r="J16" s="1458">
        <f>'Tab.3. Mieszkańcy_Polska '!G130</f>
        <v>0</v>
      </c>
      <c r="K16" s="524" t="str">
        <f>IF(J16&gt;0, ROUND(J16*100/$C16, 1), "")</f>
        <v/>
      </c>
    </row>
    <row r="17" spans="1:12" x14ac:dyDescent="0.2">
      <c r="A17" s="462">
        <v>2</v>
      </c>
      <c r="B17" s="509" t="s">
        <v>237</v>
      </c>
      <c r="C17" s="481">
        <f>'Tab.3. Mieszkańcy_Polska '!G195</f>
        <v>2181</v>
      </c>
      <c r="D17" s="516">
        <f>'Tab.3. Mieszkańcy_Polska '!G197</f>
        <v>2139</v>
      </c>
      <c r="E17" s="522">
        <f t="shared" ref="E17:E31" si="0">IF(D17&gt;0, ROUND(D17*100/$C17, 1), "")</f>
        <v>98.1</v>
      </c>
      <c r="F17" s="1460">
        <f>'Tab.3. Mieszkańcy_Polska '!G203</f>
        <v>42</v>
      </c>
      <c r="G17" s="539">
        <f t="shared" ref="G17:G31" si="1">IF(F17&gt;0, ROUND(F17*100/$C17, 1), "")</f>
        <v>1.9</v>
      </c>
      <c r="H17" s="1461">
        <f>'Tab.3. Mieszkańcy_Polska '!G204</f>
        <v>28</v>
      </c>
      <c r="I17" s="522">
        <f t="shared" ref="I17:I31" si="2">IF(H17&gt;0, ROUND(H17*100/$C17, 1), "")</f>
        <v>1.3</v>
      </c>
      <c r="J17" s="1460">
        <f>'Tab.3. Mieszkańcy_Polska '!G206</f>
        <v>16</v>
      </c>
      <c r="K17" s="525">
        <f t="shared" ref="K17:K31" si="3">IF(J17&gt;0, ROUND(J17*100/$C17, 1), "")</f>
        <v>0.7</v>
      </c>
    </row>
    <row r="18" spans="1:12" x14ac:dyDescent="0.2">
      <c r="A18" s="462">
        <v>3</v>
      </c>
      <c r="B18" s="509" t="s">
        <v>238</v>
      </c>
      <c r="C18" s="481">
        <f>'Tab.3. Mieszkańcy_Polska '!G271</f>
        <v>2427</v>
      </c>
      <c r="D18" s="516">
        <f>'Tab.3. Mieszkańcy_Polska '!G273</f>
        <v>2399</v>
      </c>
      <c r="E18" s="522">
        <f t="shared" si="0"/>
        <v>98.8</v>
      </c>
      <c r="F18" s="1460">
        <f>'Tab.3. Mieszkańcy_Polska '!G279</f>
        <v>28</v>
      </c>
      <c r="G18" s="539">
        <f t="shared" si="1"/>
        <v>1.2</v>
      </c>
      <c r="H18" s="1461">
        <f>'Tab.3. Mieszkańcy_Polska '!G280</f>
        <v>108</v>
      </c>
      <c r="I18" s="522">
        <f t="shared" si="2"/>
        <v>4.4000000000000004</v>
      </c>
      <c r="J18" s="1460">
        <f>'Tab.3. Mieszkańcy_Polska '!G282</f>
        <v>19</v>
      </c>
      <c r="K18" s="525">
        <f t="shared" si="3"/>
        <v>0.8</v>
      </c>
    </row>
    <row r="19" spans="1:12" x14ac:dyDescent="0.2">
      <c r="A19" s="462">
        <v>4</v>
      </c>
      <c r="B19" s="509" t="s">
        <v>239</v>
      </c>
      <c r="C19" s="481">
        <f>'Tab.3. Mieszkańcy_Polska '!G347</f>
        <v>1229</v>
      </c>
      <c r="D19" s="516">
        <f>'Tab.3. Mieszkańcy_Polska '!G349</f>
        <v>1225</v>
      </c>
      <c r="E19" s="522">
        <f t="shared" si="0"/>
        <v>99.7</v>
      </c>
      <c r="F19" s="1460">
        <f>'Tab.3. Mieszkańcy_Polska '!G355</f>
        <v>4</v>
      </c>
      <c r="G19" s="539">
        <f t="shared" si="1"/>
        <v>0.3</v>
      </c>
      <c r="H19" s="1461">
        <f>'Tab.3. Mieszkańcy_Polska '!G356</f>
        <v>36</v>
      </c>
      <c r="I19" s="522">
        <f t="shared" si="2"/>
        <v>2.9</v>
      </c>
      <c r="J19" s="1460">
        <f>'Tab.3. Mieszkańcy_Polska '!G358</f>
        <v>0</v>
      </c>
      <c r="K19" s="525" t="str">
        <f t="shared" si="3"/>
        <v/>
      </c>
    </row>
    <row r="20" spans="1:12" x14ac:dyDescent="0.2">
      <c r="A20" s="462">
        <v>5</v>
      </c>
      <c r="B20" s="509" t="s">
        <v>240</v>
      </c>
      <c r="C20" s="481">
        <f>'Tab.3. Mieszkańcy_Polska '!G423</f>
        <v>3182</v>
      </c>
      <c r="D20" s="516">
        <f>'Tab.3. Mieszkańcy_Polska '!G425</f>
        <v>3176</v>
      </c>
      <c r="E20" s="522">
        <f t="shared" si="0"/>
        <v>99.8</v>
      </c>
      <c r="F20" s="1460">
        <f>'Tab.3. Mieszkańcy_Polska '!G431</f>
        <v>6</v>
      </c>
      <c r="G20" s="539">
        <f t="shared" si="1"/>
        <v>0.2</v>
      </c>
      <c r="H20" s="1461">
        <f>'Tab.3. Mieszkańcy_Polska '!G432</f>
        <v>38</v>
      </c>
      <c r="I20" s="522">
        <f t="shared" si="2"/>
        <v>1.2</v>
      </c>
      <c r="J20" s="1460">
        <f>'Tab.3. Mieszkańcy_Polska '!G434</f>
        <v>6</v>
      </c>
      <c r="K20" s="525">
        <f t="shared" si="3"/>
        <v>0.2</v>
      </c>
    </row>
    <row r="21" spans="1:12" x14ac:dyDescent="0.2">
      <c r="A21" s="462">
        <v>6</v>
      </c>
      <c r="B21" s="509" t="s">
        <v>241</v>
      </c>
      <c r="C21" s="481">
        <f>'Tab.3. Mieszkańcy_Polska '!G499</f>
        <v>4163</v>
      </c>
      <c r="D21" s="516">
        <f>'Tab.3. Mieszkańcy_Polska '!G501</f>
        <v>4141</v>
      </c>
      <c r="E21" s="522">
        <f t="shared" si="0"/>
        <v>99.5</v>
      </c>
      <c r="F21" s="1460">
        <f>'Tab.3. Mieszkańcy_Polska '!G507</f>
        <v>22</v>
      </c>
      <c r="G21" s="539">
        <f t="shared" si="1"/>
        <v>0.5</v>
      </c>
      <c r="H21" s="1461">
        <f>'Tab.3. Mieszkańcy_Polska '!G508</f>
        <v>92</v>
      </c>
      <c r="I21" s="522">
        <f t="shared" si="2"/>
        <v>2.2000000000000002</v>
      </c>
      <c r="J21" s="1460">
        <f>'Tab.3. Mieszkańcy_Polska '!G510</f>
        <v>10</v>
      </c>
      <c r="K21" s="525">
        <f t="shared" si="3"/>
        <v>0.2</v>
      </c>
    </row>
    <row r="22" spans="1:12" x14ac:dyDescent="0.2">
      <c r="A22" s="462">
        <v>7</v>
      </c>
      <c r="B22" s="509" t="s">
        <v>242</v>
      </c>
      <c r="C22" s="481">
        <f>'Tab.3. Mieszkańcy_Polska '!G575</f>
        <v>5157</v>
      </c>
      <c r="D22" s="516">
        <f>'Tab.3. Mieszkańcy_Polska '!G577</f>
        <v>5129</v>
      </c>
      <c r="E22" s="522">
        <f t="shared" si="0"/>
        <v>99.5</v>
      </c>
      <c r="F22" s="1460">
        <f>'Tab.3. Mieszkańcy_Polska '!G583</f>
        <v>28</v>
      </c>
      <c r="G22" s="539">
        <f t="shared" si="1"/>
        <v>0.5</v>
      </c>
      <c r="H22" s="1461">
        <f>'Tab.3. Mieszkańcy_Polska '!G584</f>
        <v>80</v>
      </c>
      <c r="I22" s="522">
        <f t="shared" si="2"/>
        <v>1.6</v>
      </c>
      <c r="J22" s="1460">
        <f>'Tab.3. Mieszkańcy_Polska '!G586</f>
        <v>4</v>
      </c>
      <c r="K22" s="525">
        <f t="shared" si="3"/>
        <v>0.1</v>
      </c>
    </row>
    <row r="23" spans="1:12" x14ac:dyDescent="0.2">
      <c r="A23" s="462">
        <v>8</v>
      </c>
      <c r="B23" s="509" t="s">
        <v>243</v>
      </c>
      <c r="C23" s="481">
        <f>'Tab.3. Mieszkańcy_Polska '!G651</f>
        <v>1574</v>
      </c>
      <c r="D23" s="516">
        <f>'Tab.3. Mieszkańcy_Polska '!G653</f>
        <v>1549</v>
      </c>
      <c r="E23" s="522">
        <f t="shared" si="0"/>
        <v>98.4</v>
      </c>
      <c r="F23" s="1460">
        <f>'Tab.3. Mieszkańcy_Polska '!G659</f>
        <v>25</v>
      </c>
      <c r="G23" s="539">
        <f t="shared" si="1"/>
        <v>1.6</v>
      </c>
      <c r="H23" s="1461">
        <f>'Tab.3. Mieszkańcy_Polska '!G660</f>
        <v>20</v>
      </c>
      <c r="I23" s="522">
        <f t="shared" si="2"/>
        <v>1.3</v>
      </c>
      <c r="J23" s="1460">
        <f>'Tab.3. Mieszkańcy_Polska '!G662</f>
        <v>10</v>
      </c>
      <c r="K23" s="525">
        <f t="shared" si="3"/>
        <v>0.6</v>
      </c>
    </row>
    <row r="24" spans="1:12" x14ac:dyDescent="0.2">
      <c r="A24" s="462">
        <v>9</v>
      </c>
      <c r="B24" s="509" t="s">
        <v>244</v>
      </c>
      <c r="C24" s="481">
        <f>'Tab.3. Mieszkańcy_Polska '!G727</f>
        <v>2703</v>
      </c>
      <c r="D24" s="516">
        <f>'Tab.3. Mieszkańcy_Polska '!G729</f>
        <v>2674</v>
      </c>
      <c r="E24" s="522">
        <f t="shared" si="0"/>
        <v>98.9</v>
      </c>
      <c r="F24" s="1460">
        <f>'Tab.3. Mieszkańcy_Polska '!G735</f>
        <v>29</v>
      </c>
      <c r="G24" s="539">
        <f t="shared" si="1"/>
        <v>1.1000000000000001</v>
      </c>
      <c r="H24" s="1461">
        <f>'Tab.3. Mieszkańcy_Polska '!G736</f>
        <v>196</v>
      </c>
      <c r="I24" s="522">
        <f t="shared" si="2"/>
        <v>7.3</v>
      </c>
      <c r="J24" s="1460">
        <f>'Tab.3. Mieszkańcy_Polska '!G738</f>
        <v>6</v>
      </c>
      <c r="K24" s="525">
        <f t="shared" si="3"/>
        <v>0.2</v>
      </c>
    </row>
    <row r="25" spans="1:12" x14ac:dyDescent="0.2">
      <c r="A25" s="463">
        <v>10</v>
      </c>
      <c r="B25" s="509" t="s">
        <v>245</v>
      </c>
      <c r="C25" s="481">
        <f>'Tab.3. Mieszkańcy_Polska '!G803</f>
        <v>1336</v>
      </c>
      <c r="D25" s="516">
        <f>'Tab.3. Mieszkańcy_Polska '!G805</f>
        <v>1331</v>
      </c>
      <c r="E25" s="522">
        <f t="shared" si="0"/>
        <v>99.6</v>
      </c>
      <c r="F25" s="1460">
        <f>'Tab.3. Mieszkańcy_Polska '!G811</f>
        <v>5</v>
      </c>
      <c r="G25" s="539">
        <f t="shared" si="1"/>
        <v>0.4</v>
      </c>
      <c r="H25" s="1461">
        <f>'Tab.3. Mieszkańcy_Polska '!G812</f>
        <v>9</v>
      </c>
      <c r="I25" s="522">
        <f t="shared" si="2"/>
        <v>0.7</v>
      </c>
      <c r="J25" s="1460">
        <f>'Tab.3. Mieszkańcy_Polska '!G814</f>
        <v>0</v>
      </c>
      <c r="K25" s="525" t="str">
        <f t="shared" si="3"/>
        <v/>
      </c>
    </row>
    <row r="26" spans="1:12" x14ac:dyDescent="0.2">
      <c r="A26" s="463">
        <v>11</v>
      </c>
      <c r="B26" s="509" t="s">
        <v>246</v>
      </c>
      <c r="C26" s="481">
        <f>'Tab.3. Mieszkańcy_Polska '!G879</f>
        <v>2219</v>
      </c>
      <c r="D26" s="516">
        <f>'Tab.3. Mieszkańcy_Polska '!G881</f>
        <v>2211</v>
      </c>
      <c r="E26" s="522">
        <f t="shared" si="0"/>
        <v>99.6</v>
      </c>
      <c r="F26" s="1460">
        <f>'Tab.3. Mieszkańcy_Polska '!G887</f>
        <v>8</v>
      </c>
      <c r="G26" s="539">
        <f t="shared" si="1"/>
        <v>0.4</v>
      </c>
      <c r="H26" s="1461">
        <f>'Tab.3. Mieszkańcy_Polska '!G888</f>
        <v>49</v>
      </c>
      <c r="I26" s="522">
        <f t="shared" si="2"/>
        <v>2.2000000000000002</v>
      </c>
      <c r="J26" s="1460">
        <f>'Tab.3. Mieszkańcy_Polska '!G890</f>
        <v>0</v>
      </c>
      <c r="K26" s="525" t="str">
        <f t="shared" si="3"/>
        <v/>
      </c>
    </row>
    <row r="27" spans="1:12" x14ac:dyDescent="0.2">
      <c r="A27" s="463">
        <v>12</v>
      </c>
      <c r="B27" s="509" t="s">
        <v>247</v>
      </c>
      <c r="C27" s="481">
        <f>'Tab.3. Mieszkańcy_Polska '!G955</f>
        <v>3990</v>
      </c>
      <c r="D27" s="516">
        <f>'Tab.3. Mieszkańcy_Polska '!G957</f>
        <v>3955</v>
      </c>
      <c r="E27" s="522">
        <f t="shared" si="0"/>
        <v>99.1</v>
      </c>
      <c r="F27" s="1460">
        <f>'Tab.3. Mieszkańcy_Polska '!G963</f>
        <v>35</v>
      </c>
      <c r="G27" s="539">
        <f t="shared" si="1"/>
        <v>0.9</v>
      </c>
      <c r="H27" s="1461">
        <f>'Tab.3. Mieszkańcy_Polska '!G964</f>
        <v>185</v>
      </c>
      <c r="I27" s="522">
        <f t="shared" si="2"/>
        <v>4.5999999999999996</v>
      </c>
      <c r="J27" s="1460">
        <f>'Tab.3. Mieszkańcy_Polska '!G966</f>
        <v>7</v>
      </c>
      <c r="K27" s="525">
        <f t="shared" si="3"/>
        <v>0.2</v>
      </c>
    </row>
    <row r="28" spans="1:12" x14ac:dyDescent="0.2">
      <c r="A28" s="463">
        <v>13</v>
      </c>
      <c r="B28" s="509" t="s">
        <v>248</v>
      </c>
      <c r="C28" s="481">
        <f>'Tab.3. Mieszkańcy_Polska '!G1031</f>
        <v>1731</v>
      </c>
      <c r="D28" s="516">
        <f>'Tab.3. Mieszkańcy_Polska '!G1033</f>
        <v>1726</v>
      </c>
      <c r="E28" s="522">
        <f t="shared" si="0"/>
        <v>99.7</v>
      </c>
      <c r="F28" s="1460">
        <f>'Tab.3. Mieszkańcy_Polska '!G1039</f>
        <v>5</v>
      </c>
      <c r="G28" s="539">
        <f t="shared" si="1"/>
        <v>0.3</v>
      </c>
      <c r="H28" s="1461">
        <f>'Tab.3. Mieszkańcy_Polska '!G1040</f>
        <v>79</v>
      </c>
      <c r="I28" s="522">
        <f t="shared" si="2"/>
        <v>4.5999999999999996</v>
      </c>
      <c r="J28" s="1460">
        <f>'Tab.3. Mieszkańcy_Polska '!G1042</f>
        <v>0</v>
      </c>
      <c r="K28" s="525" t="str">
        <f t="shared" si="3"/>
        <v/>
      </c>
    </row>
    <row r="29" spans="1:12" x14ac:dyDescent="0.2">
      <c r="A29" s="463">
        <v>14</v>
      </c>
      <c r="B29" s="509" t="s">
        <v>249</v>
      </c>
      <c r="C29" s="481">
        <f>'Tab.3. Mieszkańcy_Polska '!G1107</f>
        <v>2012</v>
      </c>
      <c r="D29" s="516">
        <f>'Tab.3. Mieszkańcy_Polska '!G1109</f>
        <v>1971</v>
      </c>
      <c r="E29" s="522">
        <f t="shared" si="0"/>
        <v>98</v>
      </c>
      <c r="F29" s="1460">
        <f>'Tab.3. Mieszkańcy_Polska '!G1115</f>
        <v>41</v>
      </c>
      <c r="G29" s="539">
        <f t="shared" si="1"/>
        <v>2</v>
      </c>
      <c r="H29" s="1461">
        <f>'Tab.3. Mieszkańcy_Polska '!G1116</f>
        <v>1</v>
      </c>
      <c r="I29" s="522">
        <f t="shared" si="2"/>
        <v>0</v>
      </c>
      <c r="J29" s="1460">
        <f>'Tab.3. Mieszkańcy_Polska '!G1118</f>
        <v>0</v>
      </c>
      <c r="K29" s="525" t="str">
        <f t="shared" si="3"/>
        <v/>
      </c>
    </row>
    <row r="30" spans="1:12" x14ac:dyDescent="0.2">
      <c r="A30" s="463">
        <v>15</v>
      </c>
      <c r="B30" s="509" t="s">
        <v>250</v>
      </c>
      <c r="C30" s="481">
        <f>'Tab.3. Mieszkańcy_Polska '!G1183</f>
        <v>3148</v>
      </c>
      <c r="D30" s="516">
        <f>'Tab.3. Mieszkańcy_Polska '!G1185</f>
        <v>3128</v>
      </c>
      <c r="E30" s="522">
        <f t="shared" si="0"/>
        <v>99.4</v>
      </c>
      <c r="F30" s="1460">
        <f>'Tab.3. Mieszkańcy_Polska '!G1191</f>
        <v>20</v>
      </c>
      <c r="G30" s="539">
        <f t="shared" si="1"/>
        <v>0.6</v>
      </c>
      <c r="H30" s="1461">
        <f>'Tab.3. Mieszkańcy_Polska '!G1192</f>
        <v>38</v>
      </c>
      <c r="I30" s="522">
        <f t="shared" si="2"/>
        <v>1.2</v>
      </c>
      <c r="J30" s="1460">
        <f>'Tab.3. Mieszkańcy_Polska '!G1194</f>
        <v>2</v>
      </c>
      <c r="K30" s="525">
        <f t="shared" si="3"/>
        <v>0.1</v>
      </c>
    </row>
    <row r="31" spans="1:12" ht="13.5" thickBot="1" x14ac:dyDescent="0.25">
      <c r="A31" s="463">
        <v>16</v>
      </c>
      <c r="B31" s="510" t="s">
        <v>251</v>
      </c>
      <c r="C31" s="481">
        <f>'Tab.3. Mieszkańcy_Polska '!G1259</f>
        <v>1995</v>
      </c>
      <c r="D31" s="517">
        <f>'Tab.3. Mieszkańcy_Polska '!G1261</f>
        <v>1985</v>
      </c>
      <c r="E31" s="523">
        <f t="shared" si="0"/>
        <v>99.5</v>
      </c>
      <c r="F31" s="1462">
        <f>'Tab.3. Mieszkańcy_Polska '!G1267</f>
        <v>10</v>
      </c>
      <c r="G31" s="540">
        <f t="shared" si="1"/>
        <v>0.5</v>
      </c>
      <c r="H31" s="1463">
        <f>'Tab.3. Mieszkańcy_Polska '!G1268</f>
        <v>142</v>
      </c>
      <c r="I31" s="523">
        <f t="shared" si="2"/>
        <v>7.1</v>
      </c>
      <c r="J31" s="1462">
        <f>'Tab.3. Mieszkańcy_Polska '!G1270</f>
        <v>8</v>
      </c>
      <c r="K31" s="526">
        <f t="shared" si="3"/>
        <v>0.4</v>
      </c>
    </row>
    <row r="32" spans="1:12" ht="16.5" thickBot="1" x14ac:dyDescent="0.3">
      <c r="A32" s="445" t="s">
        <v>252</v>
      </c>
      <c r="B32" s="446"/>
      <c r="C32" s="514">
        <f>SUM(C16:C31)</f>
        <v>42011</v>
      </c>
      <c r="D32" s="527">
        <f>SUM(D16:D31)</f>
        <v>41657</v>
      </c>
      <c r="E32" s="528">
        <f>AVERAGE(E16:E31)</f>
        <v>99.125</v>
      </c>
      <c r="F32" s="1213">
        <f>SUM(F16:F31)</f>
        <v>354</v>
      </c>
      <c r="G32" s="541">
        <f>AVERAGE(G16:G31)</f>
        <v>0.87500000000000011</v>
      </c>
      <c r="H32" s="1217">
        <f>SUM(H16:H31)</f>
        <v>1155</v>
      </c>
      <c r="I32" s="528">
        <f>AVERAGE(I16:I31)</f>
        <v>2.7750000000000004</v>
      </c>
      <c r="J32" s="1213">
        <f>SUM(J16:J31)</f>
        <v>88</v>
      </c>
      <c r="K32" s="530">
        <f>AVERAGE(K16:K31)</f>
        <v>0.35000000000000003</v>
      </c>
      <c r="L32" s="533"/>
    </row>
    <row r="33" ht="13.5" thickTop="1" x14ac:dyDescent="0.2"/>
  </sheetData>
  <mergeCells count="18">
    <mergeCell ref="J1:K1"/>
    <mergeCell ref="J12:K12"/>
    <mergeCell ref="D13:D14"/>
    <mergeCell ref="E13:E14"/>
    <mergeCell ref="F13:F14"/>
    <mergeCell ref="G13:G14"/>
    <mergeCell ref="H13:H14"/>
    <mergeCell ref="I13:I14"/>
    <mergeCell ref="K13:K14"/>
    <mergeCell ref="A6:K6"/>
    <mergeCell ref="A8:K8"/>
    <mergeCell ref="A7:K7"/>
    <mergeCell ref="J13:J14"/>
    <mergeCell ref="D12:E12"/>
    <mergeCell ref="F12:G12"/>
    <mergeCell ref="H12:I12"/>
    <mergeCell ref="D11:G11"/>
    <mergeCell ref="H11:K11"/>
  </mergeCells>
  <phoneticPr fontId="82"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J17:J31 F16 H17:H31 J32 H32 K32 E32:G32 I32 H16 J16 F17:F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31"/>
  <sheetViews>
    <sheetView workbookViewId="0"/>
  </sheetViews>
  <sheetFormatPr defaultRowHeight="12.75" x14ac:dyDescent="0.2"/>
  <cols>
    <col min="1" max="1" width="3.7109375" customWidth="1"/>
    <col min="2" max="2" width="24.5703125" bestFit="1" customWidth="1"/>
    <col min="3" max="13" width="10.7109375" customWidth="1"/>
    <col min="14" max="14" width="3.7109375" customWidth="1"/>
    <col min="15" max="15" width="24.5703125" bestFit="1" customWidth="1"/>
    <col min="27" max="27" width="3.7109375" customWidth="1"/>
    <col min="28" max="28" width="24.5703125" bestFit="1" customWidth="1"/>
    <col min="40" max="40" width="3.7109375" customWidth="1"/>
    <col min="41" max="41" width="24.5703125" bestFit="1" customWidth="1"/>
    <col min="51" max="51" width="3.7109375" customWidth="1"/>
    <col min="52" max="52" width="24.5703125" bestFit="1" customWidth="1"/>
    <col min="62" max="62" width="3.7109375" customWidth="1"/>
    <col min="63" max="63" width="24.5703125" bestFit="1" customWidth="1"/>
  </cols>
  <sheetData>
    <row r="1" spans="1:72" ht="15.75" x14ac:dyDescent="0.25">
      <c r="A1" s="1" t="s">
        <v>195</v>
      </c>
      <c r="B1" s="3"/>
      <c r="C1" s="3"/>
      <c r="D1" s="4"/>
      <c r="E1" s="3"/>
      <c r="F1" s="3"/>
      <c r="G1" s="3"/>
      <c r="H1" s="413"/>
      <c r="I1" s="413"/>
      <c r="J1" s="413"/>
      <c r="K1" s="413"/>
      <c r="L1" s="1603" t="s">
        <v>397</v>
      </c>
      <c r="M1" s="1603"/>
      <c r="N1" s="1" t="s">
        <v>195</v>
      </c>
      <c r="O1" s="3"/>
      <c r="P1" s="3"/>
      <c r="Q1" s="4"/>
      <c r="R1" s="3"/>
      <c r="S1" s="3"/>
      <c r="T1" s="3"/>
      <c r="U1" s="413"/>
      <c r="V1" s="413"/>
      <c r="W1" s="413"/>
      <c r="X1" s="413"/>
      <c r="Y1" s="1603" t="s">
        <v>209</v>
      </c>
      <c r="Z1" s="1603"/>
      <c r="AA1" s="1" t="s">
        <v>195</v>
      </c>
      <c r="AB1" s="3"/>
      <c r="AC1" s="3"/>
      <c r="AD1" s="4"/>
      <c r="AE1" s="3"/>
      <c r="AF1" s="3"/>
      <c r="AG1" s="3"/>
      <c r="AH1" s="413"/>
      <c r="AI1" s="413"/>
      <c r="AJ1" s="413"/>
      <c r="AK1" s="413"/>
      <c r="AL1" s="1603" t="s">
        <v>210</v>
      </c>
      <c r="AM1" s="1603"/>
      <c r="AN1" s="1" t="s">
        <v>195</v>
      </c>
      <c r="AO1" s="3"/>
      <c r="AP1" s="3"/>
      <c r="AQ1" s="4"/>
      <c r="AR1" s="3"/>
      <c r="AS1" s="3"/>
      <c r="AT1" s="3"/>
      <c r="AU1" s="413"/>
      <c r="AV1" s="413"/>
      <c r="AW1" s="1603" t="s">
        <v>211</v>
      </c>
      <c r="AX1" s="1603"/>
      <c r="AY1" s="1" t="s">
        <v>195</v>
      </c>
      <c r="AZ1" s="3"/>
      <c r="BA1" s="3"/>
      <c r="BB1" s="4"/>
      <c r="BC1" s="3"/>
      <c r="BD1" s="3"/>
      <c r="BE1" s="3"/>
      <c r="BF1" s="413"/>
      <c r="BG1" s="413"/>
      <c r="BH1" s="1603" t="s">
        <v>212</v>
      </c>
      <c r="BI1" s="1603"/>
      <c r="BJ1" s="1" t="s">
        <v>195</v>
      </c>
      <c r="BK1" s="3"/>
      <c r="BL1" s="3"/>
      <c r="BM1" s="4"/>
      <c r="BN1" s="3"/>
      <c r="BO1" s="3"/>
      <c r="BP1" s="3"/>
      <c r="BQ1" s="413"/>
      <c r="BR1" s="413"/>
      <c r="BS1" s="1603" t="s">
        <v>213</v>
      </c>
      <c r="BT1" s="1603"/>
    </row>
    <row r="2" spans="1:72" x14ac:dyDescent="0.2">
      <c r="A2" s="3" t="s">
        <v>214</v>
      </c>
      <c r="B2" s="3"/>
      <c r="C2" s="3"/>
      <c r="D2" s="3"/>
      <c r="E2" s="3"/>
      <c r="N2" s="3" t="s">
        <v>214</v>
      </c>
      <c r="O2" s="3"/>
      <c r="P2" s="3"/>
      <c r="Q2" s="3"/>
      <c r="R2" s="3"/>
      <c r="AA2" s="3" t="s">
        <v>214</v>
      </c>
      <c r="AB2" s="3"/>
      <c r="AC2" s="3"/>
      <c r="AD2" s="3"/>
      <c r="AE2" s="3"/>
      <c r="AN2" s="3" t="s">
        <v>214</v>
      </c>
      <c r="AO2" s="3"/>
      <c r="AP2" s="3"/>
      <c r="AQ2" s="3"/>
      <c r="AR2" s="3"/>
      <c r="AY2" s="3" t="s">
        <v>214</v>
      </c>
      <c r="AZ2" s="3"/>
      <c r="BA2" s="3"/>
      <c r="BB2" s="3"/>
      <c r="BC2" s="3"/>
      <c r="BJ2" s="3" t="s">
        <v>214</v>
      </c>
      <c r="BK2" s="3"/>
      <c r="BL2" s="3"/>
      <c r="BM2" s="3"/>
      <c r="BN2" s="3"/>
    </row>
    <row r="3" spans="1:72" x14ac:dyDescent="0.2">
      <c r="A3" s="3" t="s">
        <v>216</v>
      </c>
      <c r="B3" s="3"/>
      <c r="C3" s="3"/>
      <c r="D3" s="3"/>
      <c r="E3" s="3"/>
      <c r="F3" s="3"/>
      <c r="G3" s="3"/>
      <c r="H3" s="3"/>
      <c r="I3" s="3"/>
      <c r="J3" s="3"/>
      <c r="K3" s="3"/>
      <c r="L3" s="3"/>
      <c r="M3" s="3"/>
      <c r="N3" s="3" t="s">
        <v>216</v>
      </c>
      <c r="O3" s="3"/>
      <c r="P3" s="3"/>
      <c r="Q3" s="3"/>
      <c r="R3" s="3"/>
      <c r="S3" s="3"/>
      <c r="T3" s="3"/>
      <c r="U3" s="3"/>
      <c r="V3" s="3"/>
      <c r="W3" s="3"/>
      <c r="X3" s="3"/>
      <c r="Y3" s="3"/>
      <c r="Z3" s="3"/>
      <c r="AA3" s="3" t="s">
        <v>216</v>
      </c>
      <c r="AB3" s="3"/>
      <c r="AC3" s="3"/>
      <c r="AD3" s="3"/>
      <c r="AE3" s="3"/>
      <c r="AF3" s="3"/>
      <c r="AG3" s="3"/>
      <c r="AH3" s="3"/>
      <c r="AI3" s="3"/>
      <c r="AJ3" s="3"/>
      <c r="AK3" s="3"/>
      <c r="AL3" s="3"/>
      <c r="AM3" s="3"/>
      <c r="AN3" s="3" t="s">
        <v>216</v>
      </c>
      <c r="AO3" s="3"/>
      <c r="AP3" s="3"/>
      <c r="AQ3" s="3"/>
      <c r="AR3" s="3"/>
      <c r="AS3" s="3"/>
      <c r="AT3" s="3"/>
      <c r="AU3" s="3"/>
      <c r="AV3" s="3"/>
      <c r="AW3" s="3"/>
      <c r="AX3" s="3"/>
      <c r="AY3" s="3" t="s">
        <v>216</v>
      </c>
      <c r="AZ3" s="3"/>
      <c r="BA3" s="3"/>
      <c r="BB3" s="3"/>
      <c r="BC3" s="3"/>
      <c r="BD3" s="3"/>
      <c r="BE3" s="3"/>
      <c r="BF3" s="3"/>
      <c r="BG3" s="3"/>
      <c r="BH3" s="3"/>
      <c r="BI3" s="3"/>
      <c r="BJ3" s="3" t="s">
        <v>216</v>
      </c>
      <c r="BK3" s="3"/>
      <c r="BL3" s="3"/>
      <c r="BM3" s="3"/>
      <c r="BN3" s="3"/>
      <c r="BO3" s="3"/>
      <c r="BP3" s="3"/>
      <c r="BQ3" s="3"/>
      <c r="BR3" s="3"/>
      <c r="BS3" s="3"/>
      <c r="BT3" s="3"/>
    </row>
    <row r="4" spans="1:72" x14ac:dyDescent="0.2">
      <c r="A4" s="3" t="s">
        <v>128</v>
      </c>
      <c r="B4" s="3"/>
      <c r="C4" s="3"/>
      <c r="D4" s="3"/>
      <c r="E4" s="3"/>
      <c r="F4" s="3"/>
      <c r="G4" s="3"/>
      <c r="H4" s="3"/>
      <c r="I4" s="3"/>
      <c r="J4" s="3"/>
      <c r="K4" s="3"/>
      <c r="L4" s="3"/>
      <c r="M4" s="3"/>
      <c r="N4" s="3" t="s">
        <v>128</v>
      </c>
      <c r="O4" s="3"/>
      <c r="P4" s="3"/>
      <c r="Q4" s="3"/>
      <c r="R4" s="3"/>
      <c r="S4" s="3"/>
      <c r="T4" s="3"/>
      <c r="U4" s="3"/>
      <c r="V4" s="3"/>
      <c r="W4" s="3"/>
      <c r="X4" s="3"/>
      <c r="Y4" s="3"/>
      <c r="Z4" s="3"/>
      <c r="AA4" s="3" t="s">
        <v>128</v>
      </c>
      <c r="AB4" s="3"/>
      <c r="AC4" s="3"/>
      <c r="AD4" s="3"/>
      <c r="AE4" s="3"/>
      <c r="AF4" s="3"/>
      <c r="AG4" s="3"/>
      <c r="AH4" s="3"/>
      <c r="AI4" s="3"/>
      <c r="AJ4" s="3"/>
      <c r="AK4" s="3"/>
      <c r="AL4" s="3"/>
      <c r="AM4" s="3"/>
      <c r="AN4" s="3" t="s">
        <v>128</v>
      </c>
      <c r="AO4" s="3"/>
      <c r="AP4" s="3"/>
      <c r="AQ4" s="3"/>
      <c r="AR4" s="3"/>
      <c r="AS4" s="3"/>
      <c r="AT4" s="3"/>
      <c r="AU4" s="3"/>
      <c r="AV4" s="3"/>
      <c r="AW4" s="3"/>
      <c r="AX4" s="3"/>
      <c r="AY4" s="3" t="s">
        <v>128</v>
      </c>
      <c r="AZ4" s="3"/>
      <c r="BA4" s="3"/>
      <c r="BB4" s="3"/>
      <c r="BC4" s="3"/>
      <c r="BD4" s="3"/>
      <c r="BE4" s="3"/>
      <c r="BF4" s="3"/>
      <c r="BG4" s="3"/>
      <c r="BH4" s="3"/>
      <c r="BI4" s="3"/>
      <c r="BJ4" s="3" t="s">
        <v>128</v>
      </c>
      <c r="BK4" s="3"/>
      <c r="BL4" s="3"/>
      <c r="BM4" s="3"/>
      <c r="BN4" s="3"/>
      <c r="BO4" s="3"/>
      <c r="BP4" s="3"/>
      <c r="BQ4" s="3"/>
      <c r="BR4" s="3"/>
      <c r="BS4" s="3"/>
      <c r="BT4" s="3"/>
    </row>
    <row r="5" spans="1:72"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row>
    <row r="6" spans="1:72" ht="15.75" x14ac:dyDescent="0.25">
      <c r="A6" s="1604" t="s">
        <v>263</v>
      </c>
      <c r="B6" s="1604"/>
      <c r="C6" s="1604"/>
      <c r="D6" s="1604"/>
      <c r="E6" s="1604"/>
      <c r="F6" s="1604"/>
      <c r="G6" s="1604"/>
      <c r="H6" s="1604"/>
      <c r="I6" s="1604"/>
      <c r="J6" s="1604"/>
      <c r="K6" s="1604"/>
      <c r="L6" s="1604"/>
      <c r="M6" s="1604"/>
      <c r="N6" s="1604" t="s">
        <v>263</v>
      </c>
      <c r="O6" s="1604"/>
      <c r="P6" s="1604"/>
      <c r="Q6" s="1604"/>
      <c r="R6" s="1604"/>
      <c r="S6" s="1604"/>
      <c r="T6" s="1604"/>
      <c r="U6" s="1604"/>
      <c r="V6" s="1604"/>
      <c r="W6" s="1604"/>
      <c r="X6" s="1604"/>
      <c r="Y6" s="1604"/>
      <c r="Z6" s="1604"/>
      <c r="AA6" s="1604" t="s">
        <v>263</v>
      </c>
      <c r="AB6" s="1604"/>
      <c r="AC6" s="1604"/>
      <c r="AD6" s="1604"/>
      <c r="AE6" s="1604"/>
      <c r="AF6" s="1604"/>
      <c r="AG6" s="1604"/>
      <c r="AH6" s="1604"/>
      <c r="AI6" s="1604"/>
      <c r="AJ6" s="1604"/>
      <c r="AK6" s="1604"/>
      <c r="AL6" s="1604"/>
      <c r="AM6" s="1604"/>
      <c r="AN6" s="1636" t="s">
        <v>274</v>
      </c>
      <c r="AO6" s="1636"/>
      <c r="AP6" s="1636"/>
      <c r="AQ6" s="1636"/>
      <c r="AR6" s="1636"/>
      <c r="AS6" s="1636"/>
      <c r="AT6" s="1636"/>
      <c r="AU6" s="1636"/>
      <c r="AV6" s="1636"/>
      <c r="AW6" s="1636"/>
      <c r="AX6" s="1636"/>
      <c r="AY6" s="1636" t="s">
        <v>274</v>
      </c>
      <c r="AZ6" s="1636"/>
      <c r="BA6" s="1636"/>
      <c r="BB6" s="1636"/>
      <c r="BC6" s="1636"/>
      <c r="BD6" s="1636"/>
      <c r="BE6" s="1636"/>
      <c r="BF6" s="1636"/>
      <c r="BG6" s="1636"/>
      <c r="BH6" s="1636"/>
      <c r="BI6" s="1636"/>
      <c r="BJ6" s="1636" t="s">
        <v>274</v>
      </c>
      <c r="BK6" s="1636"/>
      <c r="BL6" s="1636"/>
      <c r="BM6" s="1636"/>
      <c r="BN6" s="1636"/>
      <c r="BO6" s="1636"/>
      <c r="BP6" s="1636"/>
      <c r="BQ6" s="1636"/>
      <c r="BR6" s="1636"/>
      <c r="BS6" s="1636"/>
      <c r="BT6" s="1636"/>
    </row>
    <row r="7" spans="1:72" ht="15.75" x14ac:dyDescent="0.25">
      <c r="A7" s="1604" t="s">
        <v>7</v>
      </c>
      <c r="B7" s="1604"/>
      <c r="C7" s="1604"/>
      <c r="D7" s="1604"/>
      <c r="E7" s="1604"/>
      <c r="F7" s="1604"/>
      <c r="G7" s="1604"/>
      <c r="H7" s="1604"/>
      <c r="I7" s="1604"/>
      <c r="J7" s="1604"/>
      <c r="K7" s="1604"/>
      <c r="L7" s="1604"/>
      <c r="M7" s="1604"/>
      <c r="N7" s="1604" t="s">
        <v>272</v>
      </c>
      <c r="O7" s="1604"/>
      <c r="P7" s="1604"/>
      <c r="Q7" s="1604"/>
      <c r="R7" s="1604"/>
      <c r="S7" s="1604"/>
      <c r="T7" s="1604"/>
      <c r="U7" s="1604"/>
      <c r="V7" s="1604"/>
      <c r="W7" s="1604"/>
      <c r="X7" s="1604"/>
      <c r="Y7" s="1604"/>
      <c r="Z7" s="1604"/>
      <c r="AA7" s="1604" t="s">
        <v>273</v>
      </c>
      <c r="AB7" s="1604"/>
      <c r="AC7" s="1604"/>
      <c r="AD7" s="1604"/>
      <c r="AE7" s="1604"/>
      <c r="AF7" s="1604"/>
      <c r="AG7" s="1604"/>
      <c r="AH7" s="1604"/>
      <c r="AI7" s="1604"/>
      <c r="AJ7" s="1604"/>
      <c r="AK7" s="1604"/>
      <c r="AL7" s="1604"/>
      <c r="AM7" s="1604"/>
      <c r="AN7" s="1636" t="s">
        <v>7</v>
      </c>
      <c r="AO7" s="1636"/>
      <c r="AP7" s="1636"/>
      <c r="AQ7" s="1636"/>
      <c r="AR7" s="1636"/>
      <c r="AS7" s="1636"/>
      <c r="AT7" s="1636"/>
      <c r="AU7" s="1636"/>
      <c r="AV7" s="1636"/>
      <c r="AW7" s="1636"/>
      <c r="AX7" s="1636"/>
      <c r="AY7" s="1636" t="s">
        <v>278</v>
      </c>
      <c r="AZ7" s="1636"/>
      <c r="BA7" s="1636"/>
      <c r="BB7" s="1636"/>
      <c r="BC7" s="1636"/>
      <c r="BD7" s="1636"/>
      <c r="BE7" s="1636"/>
      <c r="BF7" s="1636"/>
      <c r="BG7" s="1636"/>
      <c r="BH7" s="1636"/>
      <c r="BI7" s="1636"/>
      <c r="BJ7" s="1636" t="s">
        <v>279</v>
      </c>
      <c r="BK7" s="1636"/>
      <c r="BL7" s="1636"/>
      <c r="BM7" s="1636"/>
      <c r="BN7" s="1636"/>
      <c r="BO7" s="1636"/>
      <c r="BP7" s="1636"/>
      <c r="BQ7" s="1636"/>
      <c r="BR7" s="1636"/>
      <c r="BS7" s="1636"/>
      <c r="BT7" s="1636"/>
    </row>
    <row r="8" spans="1:72" ht="15.75" x14ac:dyDescent="0.25">
      <c r="A8" s="1605" t="str">
        <f>$AN$8</f>
        <v>wg stanu na dzień 31. XII. 2011 r.</v>
      </c>
      <c r="B8" s="1605"/>
      <c r="C8" s="1605"/>
      <c r="D8" s="1605"/>
      <c r="E8" s="1605"/>
      <c r="F8" s="1605"/>
      <c r="G8" s="1605"/>
      <c r="H8" s="1605"/>
      <c r="I8" s="1605"/>
      <c r="J8" s="1605"/>
      <c r="K8" s="1605"/>
      <c r="L8" s="1605"/>
      <c r="M8" s="1605"/>
      <c r="N8" s="1605" t="str">
        <f>$AN$8</f>
        <v>wg stanu na dzień 31. XII. 2011 r.</v>
      </c>
      <c r="O8" s="1605"/>
      <c r="P8" s="1605"/>
      <c r="Q8" s="1605"/>
      <c r="R8" s="1605"/>
      <c r="S8" s="1605"/>
      <c r="T8" s="1605"/>
      <c r="U8" s="1605"/>
      <c r="V8" s="1605"/>
      <c r="W8" s="1605"/>
      <c r="X8" s="1605"/>
      <c r="Y8" s="1605"/>
      <c r="Z8" s="1605"/>
      <c r="AA8" s="1605" t="str">
        <f>$AN$8</f>
        <v>wg stanu na dzień 31. XII. 2011 r.</v>
      </c>
      <c r="AB8" s="1605"/>
      <c r="AC8" s="1605"/>
      <c r="AD8" s="1605"/>
      <c r="AE8" s="1605"/>
      <c r="AF8" s="1605"/>
      <c r="AG8" s="1605"/>
      <c r="AH8" s="1605"/>
      <c r="AI8" s="1605"/>
      <c r="AJ8" s="1605"/>
      <c r="AK8" s="1605"/>
      <c r="AL8" s="1605"/>
      <c r="AM8" s="1605"/>
      <c r="AN8" s="1637" t="str">
        <f>"wg stanu na dzień 31. XII. "&amp;'Tab.1. bilans_Polska'!A2&amp;" r."</f>
        <v>wg stanu na dzień 31. XII. 2011 r.</v>
      </c>
      <c r="AO8" s="1637"/>
      <c r="AP8" s="1637"/>
      <c r="AQ8" s="1637"/>
      <c r="AR8" s="1637"/>
      <c r="AS8" s="1637"/>
      <c r="AT8" s="1637"/>
      <c r="AU8" s="1637"/>
      <c r="AV8" s="1637"/>
      <c r="AW8" s="1637"/>
      <c r="AX8" s="1637"/>
      <c r="AY8" s="1644" t="str">
        <f>$AN$8</f>
        <v>wg stanu na dzień 31. XII. 2011 r.</v>
      </c>
      <c r="AZ8" s="1644"/>
      <c r="BA8" s="1644"/>
      <c r="BB8" s="1644"/>
      <c r="BC8" s="1644"/>
      <c r="BD8" s="1644"/>
      <c r="BE8" s="1644"/>
      <c r="BF8" s="1644"/>
      <c r="BG8" s="1644"/>
      <c r="BH8" s="1644"/>
      <c r="BI8" s="1644"/>
      <c r="BJ8" s="1644" t="str">
        <f>$AN$8</f>
        <v>wg stanu na dzień 31. XII. 2011 r.</v>
      </c>
      <c r="BK8" s="1644"/>
      <c r="BL8" s="1644"/>
      <c r="BM8" s="1644"/>
      <c r="BN8" s="1644"/>
      <c r="BO8" s="1644"/>
      <c r="BP8" s="1644"/>
      <c r="BQ8" s="1644"/>
      <c r="BR8" s="1644"/>
      <c r="BS8" s="1644"/>
      <c r="BT8" s="1644"/>
    </row>
    <row r="9" spans="1:72" ht="13.5" thickBot="1" x14ac:dyDescent="0.2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row>
    <row r="10" spans="1:72" ht="13.5" thickTop="1" x14ac:dyDescent="0.2">
      <c r="A10" s="5"/>
      <c r="B10" s="414"/>
      <c r="C10" s="465" t="s">
        <v>262</v>
      </c>
      <c r="D10" s="1619" t="str">
        <f>"ZWIĘKSZENIA W "&amp;'Tab.1. bilans_Polska'!A2&amp;"r."</f>
        <v>ZWIĘKSZENIA W 2011r.</v>
      </c>
      <c r="E10" s="1620"/>
      <c r="F10" s="1620"/>
      <c r="G10" s="1621"/>
      <c r="H10" s="1623" t="str">
        <f>"ZMNIEJSZENIA W "&amp;'Tab.1. bilans_Polska'!A2&amp;"r."</f>
        <v>ZMNIEJSZENIA W 2011r.</v>
      </c>
      <c r="I10" s="1624"/>
      <c r="J10" s="1624"/>
      <c r="K10" s="1625"/>
      <c r="L10" s="1606" t="s">
        <v>271</v>
      </c>
      <c r="M10" s="1609" t="str">
        <f>"STAN NA 31.XII."&amp;'Tab.1. bilans_Polska'!A2&amp;"r.
(1+2-6=1+10)"</f>
        <v>STAN NA 31.XII.2011r.
(1+2-6=1+10)</v>
      </c>
      <c r="N10" s="5"/>
      <c r="O10" s="414"/>
      <c r="P10" s="465" t="s">
        <v>262</v>
      </c>
      <c r="Q10" s="1626" t="str">
        <f>$D$10</f>
        <v>ZWIĘKSZENIA W 2011r.</v>
      </c>
      <c r="R10" s="1627"/>
      <c r="S10" s="1627"/>
      <c r="T10" s="1628"/>
      <c r="U10" s="1629" t="str">
        <f>$H$10</f>
        <v>ZMNIEJSZENIA W 2011r.</v>
      </c>
      <c r="V10" s="1630"/>
      <c r="W10" s="1630"/>
      <c r="X10" s="1631"/>
      <c r="Y10" s="1606" t="s">
        <v>271</v>
      </c>
      <c r="Z10" s="1609" t="str">
        <f>"STAN NA 31.XII."&amp;'Tab.1. bilans_Polska'!A2&amp;"r.
(1+2-6=1+10)"</f>
        <v>STAN NA 31.XII.2011r.
(1+2-6=1+10)</v>
      </c>
      <c r="AA10" s="5"/>
      <c r="AB10" s="414"/>
      <c r="AC10" s="465" t="s">
        <v>262</v>
      </c>
      <c r="AD10" s="1619" t="str">
        <f>"ZWIĘKSZENIA W "&amp;'Tab.1. bilans_Polska'!A2&amp;"r."</f>
        <v>ZWIĘKSZENIA W 2011r.</v>
      </c>
      <c r="AE10" s="1620"/>
      <c r="AF10" s="1620"/>
      <c r="AG10" s="1621"/>
      <c r="AH10" s="1623" t="str">
        <f>"ZMNIEJSZENIA W "&amp;'Tab.1. bilans_Polska'!A2&amp;"r."</f>
        <v>ZMNIEJSZENIA W 2011r.</v>
      </c>
      <c r="AI10" s="1624"/>
      <c r="AJ10" s="1624"/>
      <c r="AK10" s="1625"/>
      <c r="AL10" s="1606" t="s">
        <v>271</v>
      </c>
      <c r="AM10" s="1632" t="str">
        <f>$Z$10</f>
        <v>STAN NA 31.XII.2011r.
(1+2-6=1+10)</v>
      </c>
      <c r="AN10" s="5"/>
      <c r="AO10" s="414"/>
      <c r="AP10" s="1189" t="str">
        <f>'Tab.1. bilans_Polska'!A2+1&amp;"r."</f>
        <v>2012r.</v>
      </c>
      <c r="AQ10" s="1638" t="s">
        <v>275</v>
      </c>
      <c r="AR10" s="1639"/>
      <c r="AS10" s="1639"/>
      <c r="AT10" s="1640"/>
      <c r="AU10" s="1641" t="s">
        <v>276</v>
      </c>
      <c r="AV10" s="1642"/>
      <c r="AW10" s="1642"/>
      <c r="AX10" s="1643"/>
      <c r="AY10" s="5"/>
      <c r="AZ10" s="414"/>
      <c r="BA10" s="1190" t="str">
        <f>$AP$10</f>
        <v>2012r.</v>
      </c>
      <c r="BB10" s="1638" t="s">
        <v>275</v>
      </c>
      <c r="BC10" s="1639"/>
      <c r="BD10" s="1639"/>
      <c r="BE10" s="1640"/>
      <c r="BF10" s="1641" t="s">
        <v>276</v>
      </c>
      <c r="BG10" s="1642"/>
      <c r="BH10" s="1642"/>
      <c r="BI10" s="1643"/>
      <c r="BJ10" s="5"/>
      <c r="BK10" s="414"/>
      <c r="BL10" s="1189" t="str">
        <f>'Tab.1. bilans_Polska'!A2+1&amp;"r."</f>
        <v>2012r.</v>
      </c>
      <c r="BM10" s="1638" t="s">
        <v>275</v>
      </c>
      <c r="BN10" s="1639"/>
      <c r="BO10" s="1639"/>
      <c r="BP10" s="1640"/>
      <c r="BQ10" s="1641" t="s">
        <v>276</v>
      </c>
      <c r="BR10" s="1642"/>
      <c r="BS10" s="1642"/>
      <c r="BT10" s="1643"/>
    </row>
    <row r="11" spans="1:72" ht="12.75" customHeight="1" x14ac:dyDescent="0.2">
      <c r="A11" s="415" t="s">
        <v>226</v>
      </c>
      <c r="B11" s="416" t="s">
        <v>227</v>
      </c>
      <c r="C11" s="469" t="s">
        <v>261</v>
      </c>
      <c r="D11" s="1617" t="s">
        <v>264</v>
      </c>
      <c r="E11" s="1613" t="s">
        <v>265</v>
      </c>
      <c r="F11" s="1613" t="s">
        <v>266</v>
      </c>
      <c r="G11" s="1622" t="s">
        <v>267</v>
      </c>
      <c r="H11" s="1612" t="s">
        <v>268</v>
      </c>
      <c r="I11" s="1613" t="s">
        <v>269</v>
      </c>
      <c r="J11" s="1613" t="s">
        <v>270</v>
      </c>
      <c r="K11" s="1615" t="s">
        <v>267</v>
      </c>
      <c r="L11" s="1607"/>
      <c r="M11" s="1610"/>
      <c r="N11" s="415" t="s">
        <v>226</v>
      </c>
      <c r="O11" s="416" t="s">
        <v>227</v>
      </c>
      <c r="P11" s="469" t="s">
        <v>261</v>
      </c>
      <c r="Q11" s="1617" t="s">
        <v>264</v>
      </c>
      <c r="R11" s="1613" t="s">
        <v>265</v>
      </c>
      <c r="S11" s="1613" t="s">
        <v>266</v>
      </c>
      <c r="T11" s="1622" t="s">
        <v>267</v>
      </c>
      <c r="U11" s="1612" t="s">
        <v>268</v>
      </c>
      <c r="V11" s="1613" t="s">
        <v>269</v>
      </c>
      <c r="W11" s="1613" t="s">
        <v>270</v>
      </c>
      <c r="X11" s="1615" t="s">
        <v>267</v>
      </c>
      <c r="Y11" s="1607"/>
      <c r="Z11" s="1610"/>
      <c r="AA11" s="415" t="s">
        <v>226</v>
      </c>
      <c r="AB11" s="416" t="s">
        <v>227</v>
      </c>
      <c r="AC11" s="469" t="s">
        <v>261</v>
      </c>
      <c r="AD11" s="1617" t="s">
        <v>264</v>
      </c>
      <c r="AE11" s="1613" t="s">
        <v>265</v>
      </c>
      <c r="AF11" s="1613" t="s">
        <v>266</v>
      </c>
      <c r="AG11" s="1622" t="s">
        <v>267</v>
      </c>
      <c r="AH11" s="1612" t="s">
        <v>268</v>
      </c>
      <c r="AI11" s="1613" t="s">
        <v>269</v>
      </c>
      <c r="AJ11" s="1613" t="s">
        <v>270</v>
      </c>
      <c r="AK11" s="1615" t="s">
        <v>267</v>
      </c>
      <c r="AL11" s="1607"/>
      <c r="AM11" s="1633"/>
      <c r="AN11" s="415" t="s">
        <v>226</v>
      </c>
      <c r="AO11" s="416" t="s">
        <v>227</v>
      </c>
      <c r="AP11" s="469"/>
      <c r="AQ11" s="1617" t="s">
        <v>264</v>
      </c>
      <c r="AR11" s="1613" t="s">
        <v>265</v>
      </c>
      <c r="AS11" s="1613" t="s">
        <v>266</v>
      </c>
      <c r="AT11" s="1622" t="s">
        <v>267</v>
      </c>
      <c r="AU11" s="1612" t="s">
        <v>268</v>
      </c>
      <c r="AV11" s="1613" t="s">
        <v>265</v>
      </c>
      <c r="AW11" s="1613" t="s">
        <v>266</v>
      </c>
      <c r="AX11" s="1635" t="s">
        <v>267</v>
      </c>
      <c r="AY11" s="415" t="s">
        <v>226</v>
      </c>
      <c r="AZ11" s="416" t="s">
        <v>227</v>
      </c>
      <c r="BA11" s="469"/>
      <c r="BB11" s="1617" t="s">
        <v>264</v>
      </c>
      <c r="BC11" s="1613" t="s">
        <v>265</v>
      </c>
      <c r="BD11" s="1613" t="s">
        <v>266</v>
      </c>
      <c r="BE11" s="1622" t="s">
        <v>267</v>
      </c>
      <c r="BF11" s="1612" t="s">
        <v>268</v>
      </c>
      <c r="BG11" s="1613" t="s">
        <v>265</v>
      </c>
      <c r="BH11" s="1613" t="s">
        <v>266</v>
      </c>
      <c r="BI11" s="1635" t="s">
        <v>267</v>
      </c>
      <c r="BJ11" s="415" t="s">
        <v>226</v>
      </c>
      <c r="BK11" s="416" t="s">
        <v>227</v>
      </c>
      <c r="BL11" s="469"/>
      <c r="BM11" s="1617" t="s">
        <v>264</v>
      </c>
      <c r="BN11" s="1613" t="s">
        <v>265</v>
      </c>
      <c r="BO11" s="1613" t="s">
        <v>266</v>
      </c>
      <c r="BP11" s="1622" t="s">
        <v>267</v>
      </c>
      <c r="BQ11" s="1612" t="s">
        <v>268</v>
      </c>
      <c r="BR11" s="1613" t="s">
        <v>265</v>
      </c>
      <c r="BS11" s="1613" t="s">
        <v>266</v>
      </c>
      <c r="BT11" s="1635" t="s">
        <v>267</v>
      </c>
    </row>
    <row r="12" spans="1:72" x14ac:dyDescent="0.2">
      <c r="A12" s="417"/>
      <c r="B12" s="418"/>
      <c r="C12" s="1187" t="str">
        <f>"31.XII."&amp;'Tab.1. bilans_Polska'!A2-1&amp;"r."</f>
        <v>31.XII.2010r.</v>
      </c>
      <c r="D12" s="1618"/>
      <c r="E12" s="1614"/>
      <c r="F12" s="1614"/>
      <c r="G12" s="1622"/>
      <c r="H12" s="1608"/>
      <c r="I12" s="1614"/>
      <c r="J12" s="1614"/>
      <c r="K12" s="1616"/>
      <c r="L12" s="1608"/>
      <c r="M12" s="1611"/>
      <c r="N12" s="417"/>
      <c r="O12" s="418"/>
      <c r="P12" s="1188" t="str">
        <f>"31.XII.0"&amp;('Tab.1. bilans_Polska'!A2-1)-2000&amp;"r."</f>
        <v>31.XII.010r.</v>
      </c>
      <c r="Q12" s="1618"/>
      <c r="R12" s="1614"/>
      <c r="S12" s="1614"/>
      <c r="T12" s="1622"/>
      <c r="U12" s="1608"/>
      <c r="V12" s="1614"/>
      <c r="W12" s="1614"/>
      <c r="X12" s="1616"/>
      <c r="Y12" s="1608"/>
      <c r="Z12" s="1611"/>
      <c r="AA12" s="417"/>
      <c r="AB12" s="418"/>
      <c r="AC12" s="1328" t="str">
        <f>$P$12</f>
        <v>31.XII.010r.</v>
      </c>
      <c r="AD12" s="1618"/>
      <c r="AE12" s="1614"/>
      <c r="AF12" s="1614"/>
      <c r="AG12" s="1622"/>
      <c r="AH12" s="1608"/>
      <c r="AI12" s="1614"/>
      <c r="AJ12" s="1614"/>
      <c r="AK12" s="1616"/>
      <c r="AL12" s="1608"/>
      <c r="AM12" s="1634"/>
      <c r="AN12" s="417"/>
      <c r="AO12" s="418"/>
      <c r="AP12" s="487" t="s">
        <v>277</v>
      </c>
      <c r="AQ12" s="1618"/>
      <c r="AR12" s="1614"/>
      <c r="AS12" s="1614"/>
      <c r="AT12" s="1622"/>
      <c r="AU12" s="1608"/>
      <c r="AV12" s="1614"/>
      <c r="AW12" s="1614"/>
      <c r="AX12" s="1635"/>
      <c r="AY12" s="417"/>
      <c r="AZ12" s="418"/>
      <c r="BA12" s="487" t="s">
        <v>277</v>
      </c>
      <c r="BB12" s="1618"/>
      <c r="BC12" s="1614"/>
      <c r="BD12" s="1614"/>
      <c r="BE12" s="1622"/>
      <c r="BF12" s="1608"/>
      <c r="BG12" s="1614"/>
      <c r="BH12" s="1614"/>
      <c r="BI12" s="1635"/>
      <c r="BJ12" s="417"/>
      <c r="BK12" s="418"/>
      <c r="BL12" s="487" t="s">
        <v>277</v>
      </c>
      <c r="BM12" s="1618"/>
      <c r="BN12" s="1614"/>
      <c r="BO12" s="1614"/>
      <c r="BP12" s="1622"/>
      <c r="BQ12" s="1608"/>
      <c r="BR12" s="1614"/>
      <c r="BS12" s="1614"/>
      <c r="BT12" s="1635"/>
    </row>
    <row r="13" spans="1:72" ht="13.5" thickBot="1" x14ac:dyDescent="0.25">
      <c r="A13" s="425"/>
      <c r="B13" s="426">
        <v>0</v>
      </c>
      <c r="C13" s="464">
        <v>1</v>
      </c>
      <c r="D13" s="427">
        <v>2</v>
      </c>
      <c r="E13" s="466">
        <v>3</v>
      </c>
      <c r="F13" s="467">
        <v>4</v>
      </c>
      <c r="G13" s="468">
        <v>5</v>
      </c>
      <c r="H13" s="430">
        <v>6</v>
      </c>
      <c r="I13" s="430">
        <v>7</v>
      </c>
      <c r="J13" s="428">
        <v>8</v>
      </c>
      <c r="K13" s="429">
        <v>9</v>
      </c>
      <c r="L13" s="430">
        <v>10</v>
      </c>
      <c r="M13" s="431">
        <v>11</v>
      </c>
      <c r="N13" s="425"/>
      <c r="O13" s="426">
        <v>0</v>
      </c>
      <c r="P13" s="464">
        <v>1</v>
      </c>
      <c r="Q13" s="427">
        <v>2</v>
      </c>
      <c r="R13" s="466">
        <v>3</v>
      </c>
      <c r="S13" s="467">
        <v>4</v>
      </c>
      <c r="T13" s="468">
        <v>5</v>
      </c>
      <c r="U13" s="430">
        <v>6</v>
      </c>
      <c r="V13" s="430">
        <v>7</v>
      </c>
      <c r="W13" s="428">
        <v>8</v>
      </c>
      <c r="X13" s="426">
        <v>9</v>
      </c>
      <c r="Y13" s="428">
        <v>10</v>
      </c>
      <c r="Z13" s="431">
        <v>11</v>
      </c>
      <c r="AA13" s="425"/>
      <c r="AB13" s="426">
        <v>0</v>
      </c>
      <c r="AC13" s="464">
        <v>1</v>
      </c>
      <c r="AD13" s="427">
        <v>2</v>
      </c>
      <c r="AE13" s="466">
        <v>3</v>
      </c>
      <c r="AF13" s="467">
        <v>4</v>
      </c>
      <c r="AG13" s="468">
        <v>5</v>
      </c>
      <c r="AH13" s="430">
        <v>6</v>
      </c>
      <c r="AI13" s="430">
        <v>7</v>
      </c>
      <c r="AJ13" s="428">
        <v>8</v>
      </c>
      <c r="AK13" s="426">
        <v>9</v>
      </c>
      <c r="AL13" s="428">
        <v>10</v>
      </c>
      <c r="AM13" s="431">
        <v>11</v>
      </c>
      <c r="AN13" s="425"/>
      <c r="AO13" s="426">
        <v>0</v>
      </c>
      <c r="AP13" s="464">
        <v>1</v>
      </c>
      <c r="AQ13" s="427">
        <v>2</v>
      </c>
      <c r="AR13" s="466">
        <v>3</v>
      </c>
      <c r="AS13" s="467">
        <v>4</v>
      </c>
      <c r="AT13" s="468">
        <v>5</v>
      </c>
      <c r="AU13" s="427">
        <v>6</v>
      </c>
      <c r="AV13" s="430">
        <v>7</v>
      </c>
      <c r="AW13" s="428">
        <v>8</v>
      </c>
      <c r="AX13" s="431">
        <v>9</v>
      </c>
      <c r="AY13" s="425"/>
      <c r="AZ13" s="426">
        <v>0</v>
      </c>
      <c r="BA13" s="464">
        <v>1</v>
      </c>
      <c r="BB13" s="427">
        <v>2</v>
      </c>
      <c r="BC13" s="466">
        <v>3</v>
      </c>
      <c r="BD13" s="467">
        <v>4</v>
      </c>
      <c r="BE13" s="468">
        <v>5</v>
      </c>
      <c r="BF13" s="427">
        <v>6</v>
      </c>
      <c r="BG13" s="430">
        <v>7</v>
      </c>
      <c r="BH13" s="428">
        <v>8</v>
      </c>
      <c r="BI13" s="431">
        <v>9</v>
      </c>
      <c r="BJ13" s="425"/>
      <c r="BK13" s="426">
        <v>0</v>
      </c>
      <c r="BL13" s="464">
        <v>1</v>
      </c>
      <c r="BM13" s="427">
        <v>2</v>
      </c>
      <c r="BN13" s="466">
        <v>3</v>
      </c>
      <c r="BO13" s="467">
        <v>4</v>
      </c>
      <c r="BP13" s="468">
        <v>5</v>
      </c>
      <c r="BQ13" s="427">
        <v>6</v>
      </c>
      <c r="BR13" s="430">
        <v>7</v>
      </c>
      <c r="BS13" s="428">
        <v>8</v>
      </c>
      <c r="BT13" s="431">
        <v>9</v>
      </c>
    </row>
    <row r="14" spans="1:72" ht="13.5" thickTop="1" x14ac:dyDescent="0.2">
      <c r="A14" s="461">
        <v>1</v>
      </c>
      <c r="B14" s="433" t="s">
        <v>236</v>
      </c>
      <c r="C14" s="874">
        <f>'Tab.1. bilans_Polska'!C75</f>
        <v>5546</v>
      </c>
      <c r="D14" s="447">
        <f>E14+F14+G14</f>
        <v>35</v>
      </c>
      <c r="E14" s="848">
        <f>'Tab.1. bilans_Polska'!C78</f>
        <v>31</v>
      </c>
      <c r="F14" s="860">
        <f>'Tab.1. bilans_Polska'!C79</f>
        <v>0</v>
      </c>
      <c r="G14" s="849">
        <f>'Tab.1. bilans_Polska'!C80</f>
        <v>4</v>
      </c>
      <c r="H14" s="447">
        <f>I14+J14+K14</f>
        <v>90</v>
      </c>
      <c r="I14" s="876">
        <f>'Tab.1. bilans_Polska'!C83</f>
        <v>20</v>
      </c>
      <c r="J14" s="848">
        <f>'Tab.1. bilans_Polska'!C84</f>
        <v>0</v>
      </c>
      <c r="K14" s="849">
        <f>'Tab.1. bilans_Polska'!C85</f>
        <v>70</v>
      </c>
      <c r="L14" s="482">
        <f>D14-H14</f>
        <v>-55</v>
      </c>
      <c r="M14" s="458">
        <f>(C14+D14)-H14</f>
        <v>5491</v>
      </c>
      <c r="N14" s="461">
        <v>1</v>
      </c>
      <c r="O14" s="433" t="s">
        <v>236</v>
      </c>
      <c r="P14" s="473">
        <f>'Tab.1. bilans_Polska'!D75</f>
        <v>4732</v>
      </c>
      <c r="Q14" s="447">
        <f>R14+S14+T14</f>
        <v>26</v>
      </c>
      <c r="R14" s="435">
        <f>'Tab.1. bilans_Polska'!D78</f>
        <v>26</v>
      </c>
      <c r="S14" s="437">
        <f>'Tab.1. bilans_Polska'!D79</f>
        <v>0</v>
      </c>
      <c r="T14" s="436">
        <f>'Tab.1. bilans_Polska'!D80</f>
        <v>0</v>
      </c>
      <c r="U14" s="447">
        <f>V14+W14+X14</f>
        <v>90</v>
      </c>
      <c r="V14" s="470">
        <f>'Tab.1. bilans_Polska'!D83</f>
        <v>20</v>
      </c>
      <c r="W14" s="435">
        <f>'Tab.1. bilans_Polska'!D84</f>
        <v>0</v>
      </c>
      <c r="X14" s="436">
        <f>'Tab.1. bilans_Polska'!D85</f>
        <v>70</v>
      </c>
      <c r="Y14" s="482">
        <f>Q14-U14</f>
        <v>-64</v>
      </c>
      <c r="Z14" s="458">
        <f>(P14+Q14)-U14</f>
        <v>4668</v>
      </c>
      <c r="AA14" s="461">
        <v>1</v>
      </c>
      <c r="AB14" s="433" t="s">
        <v>236</v>
      </c>
      <c r="AC14" s="473">
        <f>'Tab.1. bilans_Polska'!E75</f>
        <v>814</v>
      </c>
      <c r="AD14" s="447">
        <f>AE14+AF14+AG14</f>
        <v>9</v>
      </c>
      <c r="AE14" s="435">
        <f>'Tab.1. bilans_Polska'!E78</f>
        <v>5</v>
      </c>
      <c r="AF14" s="437">
        <f>'Tab.1. bilans_Polska'!E79</f>
        <v>0</v>
      </c>
      <c r="AG14" s="436">
        <f>'Tab.1. bilans_Polska'!E80</f>
        <v>4</v>
      </c>
      <c r="AH14" s="447">
        <f>AI14+AJ14+AK14</f>
        <v>0</v>
      </c>
      <c r="AI14" s="470">
        <f>'Tab.1. bilans_Polska'!E83</f>
        <v>0</v>
      </c>
      <c r="AJ14" s="435">
        <f>'Tab.1. bilans_Polska'!E84</f>
        <v>0</v>
      </c>
      <c r="AK14" s="436">
        <f>'Tab.1. bilans_Polska'!E85</f>
        <v>0</v>
      </c>
      <c r="AL14" s="482">
        <f>AD14-AH14</f>
        <v>9</v>
      </c>
      <c r="AM14" s="458">
        <f>(AC14+AD14)-AH14</f>
        <v>823</v>
      </c>
      <c r="AN14" s="461">
        <v>1</v>
      </c>
      <c r="AO14" s="433" t="s">
        <v>236</v>
      </c>
      <c r="AP14" s="488">
        <f>AQ14+AU14</f>
        <v>43</v>
      </c>
      <c r="AQ14" s="447">
        <f>AR14+AS14+AT14</f>
        <v>30</v>
      </c>
      <c r="AR14" s="435">
        <f>'Tab.1. bilans_Polska'!C95</f>
        <v>30</v>
      </c>
      <c r="AS14" s="437">
        <f>'Tab.1. bilans_Polska'!C96</f>
        <v>0</v>
      </c>
      <c r="AT14" s="436">
        <f>'Tab.1. bilans_Polska'!C97</f>
        <v>0</v>
      </c>
      <c r="AU14" s="447">
        <f>AV14+AW14+AX14</f>
        <v>13</v>
      </c>
      <c r="AV14" s="470">
        <f>'Tab.1. bilans_Polska'!C100</f>
        <v>13</v>
      </c>
      <c r="AW14" s="435">
        <f>'Tab.1. bilans_Polska'!C101</f>
        <v>0</v>
      </c>
      <c r="AX14" s="438">
        <f>'Tab.1. bilans_Polska'!C102</f>
        <v>0</v>
      </c>
      <c r="AY14" s="461">
        <v>1</v>
      </c>
      <c r="AZ14" s="433" t="s">
        <v>236</v>
      </c>
      <c r="BA14" s="488">
        <f>BB14+BF14</f>
        <v>43</v>
      </c>
      <c r="BB14" s="447">
        <f>BC14+BD14+BE14</f>
        <v>30</v>
      </c>
      <c r="BC14" s="435">
        <f>'Tab.1. bilans_Polska'!D95</f>
        <v>30</v>
      </c>
      <c r="BD14" s="437">
        <f>'Tab.1. bilans_Polska'!D96</f>
        <v>0</v>
      </c>
      <c r="BE14" s="436">
        <f>'Tab.1. bilans_Polska'!D97</f>
        <v>0</v>
      </c>
      <c r="BF14" s="447">
        <f>BG14+BH14+BI14</f>
        <v>13</v>
      </c>
      <c r="BG14" s="470">
        <f>'Tab.1. bilans_Polska'!D100</f>
        <v>13</v>
      </c>
      <c r="BH14" s="435">
        <f>'Tab.1. bilans_Polska'!D101</f>
        <v>0</v>
      </c>
      <c r="BI14" s="438">
        <f>'Tab.1. bilans_Polska'!D102</f>
        <v>0</v>
      </c>
      <c r="BJ14" s="461">
        <v>1</v>
      </c>
      <c r="BK14" s="433" t="s">
        <v>236</v>
      </c>
      <c r="BL14" s="488">
        <f>BM14+BQ14</f>
        <v>0</v>
      </c>
      <c r="BM14" s="447">
        <f>BN14+BO14+BP14</f>
        <v>0</v>
      </c>
      <c r="BN14" s="435">
        <f>'Tab.1. bilans_Polska'!E95</f>
        <v>0</v>
      </c>
      <c r="BO14" s="437">
        <f>'Tab.1. bilans_Polska'!E96</f>
        <v>0</v>
      </c>
      <c r="BP14" s="436">
        <f>'Tab.1. bilans_Polska'!E97</f>
        <v>0</v>
      </c>
      <c r="BQ14" s="447">
        <f>BR14+BS14+BT14</f>
        <v>0</v>
      </c>
      <c r="BR14" s="470">
        <f>'Tab.1. bilans_Polska'!E100</f>
        <v>0</v>
      </c>
      <c r="BS14" s="435">
        <f>'Tab.1. bilans_Polska'!E101</f>
        <v>0</v>
      </c>
      <c r="BT14" s="438">
        <f>'Tab.1. bilans_Polska'!E102</f>
        <v>0</v>
      </c>
    </row>
    <row r="15" spans="1:72" x14ac:dyDescent="0.2">
      <c r="A15" s="462">
        <v>2</v>
      </c>
      <c r="B15" s="439" t="s">
        <v>237</v>
      </c>
      <c r="C15" s="875">
        <f>'Tab.1. bilans_Polska'!C129</f>
        <v>4026</v>
      </c>
      <c r="D15" s="450">
        <f t="shared" ref="D15:D29" si="0">E15+F15+G15</f>
        <v>0</v>
      </c>
      <c r="E15" s="852">
        <f>'Tab.1. bilans_Polska'!C132</f>
        <v>0</v>
      </c>
      <c r="F15" s="861">
        <f>'Tab.1. bilans_Polska'!C133</f>
        <v>0</v>
      </c>
      <c r="G15" s="853">
        <f>'Tab.1. bilans_Polska'!C134</f>
        <v>0</v>
      </c>
      <c r="H15" s="450">
        <f t="shared" ref="H15:H29" si="1">I15+J15+K15</f>
        <v>39</v>
      </c>
      <c r="I15" s="877">
        <f>'Tab.1. bilans_Polska'!C137</f>
        <v>0</v>
      </c>
      <c r="J15" s="852">
        <f>'Tab.1. bilans_Polska'!C138</f>
        <v>0</v>
      </c>
      <c r="K15" s="853">
        <f>'Tab.1. bilans_Polska'!C139</f>
        <v>39</v>
      </c>
      <c r="L15" s="483">
        <f t="shared" ref="L15:L29" si="2">D15-H15</f>
        <v>-39</v>
      </c>
      <c r="M15" s="459">
        <f t="shared" ref="M15:M29" si="3">C15+D15-H15</f>
        <v>3987</v>
      </c>
      <c r="N15" s="462">
        <v>2</v>
      </c>
      <c r="O15" s="439" t="s">
        <v>237</v>
      </c>
      <c r="P15" s="481">
        <f>'Tab.1. bilans_Polska'!D129</f>
        <v>3579</v>
      </c>
      <c r="Q15" s="450">
        <f t="shared" ref="Q15:Q29" si="4">R15+S15+T15</f>
        <v>0</v>
      </c>
      <c r="R15" s="441">
        <f>'Tab.1. bilans_Polska'!D132</f>
        <v>0</v>
      </c>
      <c r="S15" s="443">
        <f>'Tab.1. bilans_Polska'!D133</f>
        <v>0</v>
      </c>
      <c r="T15" s="442">
        <f>'Tab.1. bilans_Polska'!D134</f>
        <v>0</v>
      </c>
      <c r="U15" s="450">
        <f t="shared" ref="U15:U29" si="5">V15+W15+X15</f>
        <v>39</v>
      </c>
      <c r="V15" s="471">
        <f>'Tab.1. bilans_Polska'!D137</f>
        <v>0</v>
      </c>
      <c r="W15" s="441">
        <f>'Tab.1. bilans_Polska'!D138</f>
        <v>0</v>
      </c>
      <c r="X15" s="442">
        <f>'Tab.1. bilans_Polska'!D139</f>
        <v>39</v>
      </c>
      <c r="Y15" s="483">
        <f t="shared" ref="Y15:Y29" si="6">Q15-U15</f>
        <v>-39</v>
      </c>
      <c r="Z15" s="459">
        <f t="shared" ref="Z15:Z29" si="7">P15+Q15-U15</f>
        <v>3540</v>
      </c>
      <c r="AA15" s="462">
        <v>2</v>
      </c>
      <c r="AB15" s="439" t="s">
        <v>237</v>
      </c>
      <c r="AC15" s="481">
        <f>'Tab.1. bilans_Polska'!E129</f>
        <v>447</v>
      </c>
      <c r="AD15" s="450">
        <f t="shared" ref="AD15:AD29" si="8">AE15+AF15+AG15</f>
        <v>0</v>
      </c>
      <c r="AE15" s="441">
        <f>'Tab.1. bilans_Polska'!E132</f>
        <v>0</v>
      </c>
      <c r="AF15" s="443">
        <f>'Tab.1. bilans_Polska'!E133</f>
        <v>0</v>
      </c>
      <c r="AG15" s="442">
        <f>'Tab.1. bilans_Polska'!E134</f>
        <v>0</v>
      </c>
      <c r="AH15" s="450">
        <f t="shared" ref="AH15:AH29" si="9">AI15+AJ15+AK15</f>
        <v>0</v>
      </c>
      <c r="AI15" s="471">
        <f>'Tab.1. bilans_Polska'!E137</f>
        <v>0</v>
      </c>
      <c r="AJ15" s="441">
        <f>'Tab.1. bilans_Polska'!E138</f>
        <v>0</v>
      </c>
      <c r="AK15" s="442">
        <f>'Tab.1. bilans_Polska'!E139</f>
        <v>0</v>
      </c>
      <c r="AL15" s="483">
        <f t="shared" ref="AL15:AL29" si="10">AD15-AH15</f>
        <v>0</v>
      </c>
      <c r="AM15" s="459">
        <f t="shared" ref="AM15:AM29" si="11">AC15+AD15-AH15</f>
        <v>447</v>
      </c>
      <c r="AN15" s="462">
        <v>2</v>
      </c>
      <c r="AO15" s="439" t="s">
        <v>237</v>
      </c>
      <c r="AP15" s="489">
        <f t="shared" ref="AP15:AP29" si="12">AQ15+AU15</f>
        <v>8</v>
      </c>
      <c r="AQ15" s="450">
        <f t="shared" ref="AQ15:AQ29" si="13">AR15+AS15+AT15</f>
        <v>8</v>
      </c>
      <c r="AR15" s="441">
        <f>'Tab.1. bilans_Polska'!C149</f>
        <v>5</v>
      </c>
      <c r="AS15" s="443">
        <f>'Tab.1. bilans_Polska'!C150</f>
        <v>0</v>
      </c>
      <c r="AT15" s="442">
        <f>'Tab.1. bilans_Polska'!C151</f>
        <v>3</v>
      </c>
      <c r="AU15" s="450">
        <f t="shared" ref="AU15:AU29" si="14">AV15+AW15+AX15</f>
        <v>0</v>
      </c>
      <c r="AV15" s="471">
        <f>'Tab.1. bilans_Polska'!C154</f>
        <v>0</v>
      </c>
      <c r="AW15" s="441">
        <f>'Tab.1. bilans_Polska'!C155</f>
        <v>0</v>
      </c>
      <c r="AX15" s="444">
        <f>'Tab.1. bilans_Polska'!C156</f>
        <v>0</v>
      </c>
      <c r="AY15" s="462">
        <v>2</v>
      </c>
      <c r="AZ15" s="439" t="s">
        <v>237</v>
      </c>
      <c r="BA15" s="489">
        <f t="shared" ref="BA15:BA29" si="15">BB15+BF15</f>
        <v>8</v>
      </c>
      <c r="BB15" s="450">
        <f t="shared" ref="BB15:BB29" si="16">BC15+BD15+BE15</f>
        <v>8</v>
      </c>
      <c r="BC15" s="441">
        <f>'Tab.1. bilans_Polska'!D149</f>
        <v>5</v>
      </c>
      <c r="BD15" s="443">
        <f>'Tab.1. bilans_Polska'!D150</f>
        <v>0</v>
      </c>
      <c r="BE15" s="442">
        <f>'Tab.1. bilans_Polska'!D151</f>
        <v>3</v>
      </c>
      <c r="BF15" s="450">
        <f t="shared" ref="BF15:BF29" si="17">BG15+BH15+BI15</f>
        <v>0</v>
      </c>
      <c r="BG15" s="471">
        <f>'Tab.1. bilans_Polska'!D154</f>
        <v>0</v>
      </c>
      <c r="BH15" s="441">
        <f>'Tab.1. bilans_Polska'!D155</f>
        <v>0</v>
      </c>
      <c r="BI15" s="444">
        <f>'Tab.1. bilans_Polska'!D156</f>
        <v>0</v>
      </c>
      <c r="BJ15" s="462">
        <v>2</v>
      </c>
      <c r="BK15" s="439" t="s">
        <v>237</v>
      </c>
      <c r="BL15" s="489">
        <f t="shared" ref="BL15:BL29" si="18">BM15+BQ15</f>
        <v>0</v>
      </c>
      <c r="BM15" s="450">
        <f t="shared" ref="BM15:BM29" si="19">BN15+BO15+BP15</f>
        <v>0</v>
      </c>
      <c r="BN15" s="441">
        <f>'Tab.1. bilans_Polska'!E149</f>
        <v>0</v>
      </c>
      <c r="BO15" s="443">
        <f>'Tab.1. bilans_Polska'!E150</f>
        <v>0</v>
      </c>
      <c r="BP15" s="442">
        <f>'Tab.1. bilans_Polska'!E151</f>
        <v>0</v>
      </c>
      <c r="BQ15" s="450">
        <f t="shared" ref="BQ15:BQ29" si="20">BR15+BS15+BT15</f>
        <v>0</v>
      </c>
      <c r="BR15" s="471">
        <f>'Tab.1. bilans_Polska'!E154</f>
        <v>0</v>
      </c>
      <c r="BS15" s="441">
        <f>'Tab.1. bilans_Polska'!E155</f>
        <v>0</v>
      </c>
      <c r="BT15" s="444">
        <f>'Tab.1. bilans_Polska'!E156</f>
        <v>0</v>
      </c>
    </row>
    <row r="16" spans="1:72" x14ac:dyDescent="0.2">
      <c r="A16" s="462">
        <v>3</v>
      </c>
      <c r="B16" s="439" t="s">
        <v>238</v>
      </c>
      <c r="C16" s="875">
        <f>'Tab.1. bilans_Polska'!C183</f>
        <v>4436</v>
      </c>
      <c r="D16" s="450">
        <f t="shared" si="0"/>
        <v>3</v>
      </c>
      <c r="E16" s="852">
        <f>'Tab.1. bilans_Polska'!C186</f>
        <v>3</v>
      </c>
      <c r="F16" s="861">
        <f>'Tab.1. bilans_Polska'!C187</f>
        <v>0</v>
      </c>
      <c r="G16" s="853">
        <f>'Tab.1. bilans_Polska'!C188</f>
        <v>0</v>
      </c>
      <c r="H16" s="450">
        <f t="shared" si="1"/>
        <v>2</v>
      </c>
      <c r="I16" s="878">
        <f>'Tab.1. bilans_Polska'!C191</f>
        <v>0</v>
      </c>
      <c r="J16" s="852">
        <f>'Tab.1. bilans_Polska'!C192</f>
        <v>0</v>
      </c>
      <c r="K16" s="853">
        <f>'Tab.1. bilans_Polska'!C193</f>
        <v>2</v>
      </c>
      <c r="L16" s="484">
        <f t="shared" si="2"/>
        <v>1</v>
      </c>
      <c r="M16" s="459">
        <f t="shared" si="3"/>
        <v>4437</v>
      </c>
      <c r="N16" s="462">
        <v>3</v>
      </c>
      <c r="O16" s="439" t="s">
        <v>238</v>
      </c>
      <c r="P16" s="481">
        <f>'Tab.1. bilans_Polska'!D183</f>
        <v>4072</v>
      </c>
      <c r="Q16" s="450">
        <f t="shared" si="4"/>
        <v>3</v>
      </c>
      <c r="R16" s="441">
        <f>'Tab.1. bilans_Polska'!D186</f>
        <v>3</v>
      </c>
      <c r="S16" s="443">
        <f>'Tab.1. bilans_Polska'!D187</f>
        <v>0</v>
      </c>
      <c r="T16" s="442">
        <f>'Tab.1. bilans_Polska'!D188</f>
        <v>0</v>
      </c>
      <c r="U16" s="450">
        <f t="shared" si="5"/>
        <v>2</v>
      </c>
      <c r="V16" s="472">
        <f>'Tab.1. bilans_Polska'!D191</f>
        <v>0</v>
      </c>
      <c r="W16" s="441">
        <f>'Tab.1. bilans_Polska'!D192</f>
        <v>0</v>
      </c>
      <c r="X16" s="442">
        <f>'Tab.1. bilans_Polska'!D193</f>
        <v>2</v>
      </c>
      <c r="Y16" s="484">
        <f t="shared" si="6"/>
        <v>1</v>
      </c>
      <c r="Z16" s="459">
        <f t="shared" si="7"/>
        <v>4073</v>
      </c>
      <c r="AA16" s="462">
        <v>3</v>
      </c>
      <c r="AB16" s="439" t="s">
        <v>238</v>
      </c>
      <c r="AC16" s="481">
        <f>'Tab.1. bilans_Polska'!E183</f>
        <v>364</v>
      </c>
      <c r="AD16" s="450">
        <f t="shared" si="8"/>
        <v>0</v>
      </c>
      <c r="AE16" s="441">
        <f>'Tab.1. bilans_Polska'!E186</f>
        <v>0</v>
      </c>
      <c r="AF16" s="443">
        <f>'Tab.1. bilans_Polska'!E187</f>
        <v>0</v>
      </c>
      <c r="AG16" s="442">
        <f>'Tab.1. bilans_Polska'!E188</f>
        <v>0</v>
      </c>
      <c r="AH16" s="450">
        <f t="shared" si="9"/>
        <v>0</v>
      </c>
      <c r="AI16" s="472">
        <f>'Tab.1. bilans_Polska'!E191</f>
        <v>0</v>
      </c>
      <c r="AJ16" s="441">
        <f>'Tab.1. bilans_Polska'!E192</f>
        <v>0</v>
      </c>
      <c r="AK16" s="442">
        <f>'Tab.1. bilans_Polska'!E193</f>
        <v>0</v>
      </c>
      <c r="AL16" s="484">
        <f t="shared" si="10"/>
        <v>0</v>
      </c>
      <c r="AM16" s="459">
        <f t="shared" si="11"/>
        <v>364</v>
      </c>
      <c r="AN16" s="462">
        <v>3</v>
      </c>
      <c r="AO16" s="439" t="s">
        <v>238</v>
      </c>
      <c r="AP16" s="489">
        <f t="shared" si="12"/>
        <v>0</v>
      </c>
      <c r="AQ16" s="450">
        <f t="shared" si="13"/>
        <v>0</v>
      </c>
      <c r="AR16" s="441">
        <f>'Tab.1. bilans_Polska'!C203</f>
        <v>0</v>
      </c>
      <c r="AS16" s="443">
        <f>'Tab.1. bilans_Polska'!C204</f>
        <v>0</v>
      </c>
      <c r="AT16" s="442">
        <f>'Tab.1. bilans_Polska'!C205</f>
        <v>0</v>
      </c>
      <c r="AU16" s="450">
        <f t="shared" si="14"/>
        <v>0</v>
      </c>
      <c r="AV16" s="472">
        <f>'Tab.1. bilans_Polska'!C208</f>
        <v>0</v>
      </c>
      <c r="AW16" s="441">
        <f>'Tab.1. bilans_Polska'!C209</f>
        <v>0</v>
      </c>
      <c r="AX16" s="444">
        <f>'Tab.1. bilans_Polska'!C210</f>
        <v>0</v>
      </c>
      <c r="AY16" s="462">
        <v>3</v>
      </c>
      <c r="AZ16" s="439" t="s">
        <v>238</v>
      </c>
      <c r="BA16" s="489">
        <f t="shared" si="15"/>
        <v>0</v>
      </c>
      <c r="BB16" s="450">
        <f t="shared" si="16"/>
        <v>0</v>
      </c>
      <c r="BC16" s="441">
        <f>'Tab.1. bilans_Polska'!D203</f>
        <v>0</v>
      </c>
      <c r="BD16" s="443">
        <f>'Tab.1. bilans_Polska'!D204</f>
        <v>0</v>
      </c>
      <c r="BE16" s="442">
        <f>'Tab.1. bilans_Polska'!D205</f>
        <v>0</v>
      </c>
      <c r="BF16" s="450">
        <f t="shared" si="17"/>
        <v>0</v>
      </c>
      <c r="BG16" s="472">
        <f>'Tab.1. bilans_Polska'!D208</f>
        <v>0</v>
      </c>
      <c r="BH16" s="441">
        <f>'Tab.1. bilans_Polska'!D209</f>
        <v>0</v>
      </c>
      <c r="BI16" s="444">
        <f>'Tab.1. bilans_Polska'!D210</f>
        <v>0</v>
      </c>
      <c r="BJ16" s="462">
        <v>3</v>
      </c>
      <c r="BK16" s="439" t="s">
        <v>238</v>
      </c>
      <c r="BL16" s="489">
        <f t="shared" si="18"/>
        <v>0</v>
      </c>
      <c r="BM16" s="450">
        <f t="shared" si="19"/>
        <v>0</v>
      </c>
      <c r="BN16" s="441">
        <f>'Tab.1. bilans_Polska'!E203</f>
        <v>0</v>
      </c>
      <c r="BO16" s="443">
        <f>'Tab.1. bilans_Polska'!E204</f>
        <v>0</v>
      </c>
      <c r="BP16" s="442">
        <f>'Tab.1. bilans_Polska'!E205</f>
        <v>0</v>
      </c>
      <c r="BQ16" s="450">
        <f t="shared" si="20"/>
        <v>0</v>
      </c>
      <c r="BR16" s="472">
        <f>'Tab.1. bilans_Polska'!E208</f>
        <v>0</v>
      </c>
      <c r="BS16" s="441">
        <f>'Tab.1. bilans_Polska'!E209</f>
        <v>0</v>
      </c>
      <c r="BT16" s="444">
        <f>'Tab.1. bilans_Polska'!E210</f>
        <v>0</v>
      </c>
    </row>
    <row r="17" spans="1:72" x14ac:dyDescent="0.2">
      <c r="A17" s="462">
        <v>4</v>
      </c>
      <c r="B17" s="439" t="s">
        <v>239</v>
      </c>
      <c r="C17" s="875">
        <f>'Tab.1. bilans_Polska'!C237</f>
        <v>2356</v>
      </c>
      <c r="D17" s="450">
        <f t="shared" si="0"/>
        <v>0</v>
      </c>
      <c r="E17" s="852">
        <f>'Tab.1. bilans_Polska'!C240</f>
        <v>0</v>
      </c>
      <c r="F17" s="861">
        <f>'Tab.1. bilans_Polska'!C241</f>
        <v>0</v>
      </c>
      <c r="G17" s="853">
        <f>'Tab.1. bilans_Polska'!C242</f>
        <v>0</v>
      </c>
      <c r="H17" s="450">
        <f t="shared" si="1"/>
        <v>12</v>
      </c>
      <c r="I17" s="878">
        <f>'Tab.1. bilans_Polska'!C245</f>
        <v>0</v>
      </c>
      <c r="J17" s="852">
        <f>'Tab.1. bilans_Polska'!C246</f>
        <v>0</v>
      </c>
      <c r="K17" s="853">
        <f>'Tab.1. bilans_Polska'!C247</f>
        <v>12</v>
      </c>
      <c r="L17" s="484">
        <f t="shared" si="2"/>
        <v>-12</v>
      </c>
      <c r="M17" s="459">
        <f t="shared" si="3"/>
        <v>2344</v>
      </c>
      <c r="N17" s="462">
        <v>4</v>
      </c>
      <c r="O17" s="439" t="s">
        <v>239</v>
      </c>
      <c r="P17" s="481">
        <f>'Tab.1. bilans_Polska'!D237</f>
        <v>2244</v>
      </c>
      <c r="Q17" s="450">
        <f t="shared" si="4"/>
        <v>0</v>
      </c>
      <c r="R17" s="441">
        <f>'Tab.1. bilans_Polska'!D240</f>
        <v>0</v>
      </c>
      <c r="S17" s="443">
        <f>'Tab.1. bilans_Polska'!D241</f>
        <v>0</v>
      </c>
      <c r="T17" s="442">
        <f>'Tab.1. bilans_Polska'!D242</f>
        <v>0</v>
      </c>
      <c r="U17" s="450">
        <f t="shared" si="5"/>
        <v>12</v>
      </c>
      <c r="V17" s="472">
        <f>'Tab.1. bilans_Polska'!D245</f>
        <v>0</v>
      </c>
      <c r="W17" s="441">
        <f>'Tab.1. bilans_Polska'!D246</f>
        <v>0</v>
      </c>
      <c r="X17" s="442">
        <f>'Tab.1. bilans_Polska'!D247</f>
        <v>12</v>
      </c>
      <c r="Y17" s="484">
        <f t="shared" si="6"/>
        <v>-12</v>
      </c>
      <c r="Z17" s="459">
        <f t="shared" si="7"/>
        <v>2232</v>
      </c>
      <c r="AA17" s="462">
        <v>4</v>
      </c>
      <c r="AB17" s="439" t="s">
        <v>239</v>
      </c>
      <c r="AC17" s="481">
        <f>'Tab.1. bilans_Polska'!E237</f>
        <v>112</v>
      </c>
      <c r="AD17" s="450">
        <f t="shared" si="8"/>
        <v>0</v>
      </c>
      <c r="AE17" s="441">
        <f>'Tab.1. bilans_Polska'!E240</f>
        <v>0</v>
      </c>
      <c r="AF17" s="443">
        <f>'Tab.1. bilans_Polska'!E241</f>
        <v>0</v>
      </c>
      <c r="AG17" s="442">
        <f>'Tab.1. bilans_Polska'!E242</f>
        <v>0</v>
      </c>
      <c r="AH17" s="450">
        <f t="shared" si="9"/>
        <v>0</v>
      </c>
      <c r="AI17" s="472">
        <f>'Tab.1. bilans_Polska'!E245</f>
        <v>0</v>
      </c>
      <c r="AJ17" s="441">
        <f>'Tab.1. bilans_Polska'!E246</f>
        <v>0</v>
      </c>
      <c r="AK17" s="442">
        <f>'Tab.1. bilans_Polska'!E247</f>
        <v>0</v>
      </c>
      <c r="AL17" s="484">
        <f t="shared" si="10"/>
        <v>0</v>
      </c>
      <c r="AM17" s="459">
        <f t="shared" si="11"/>
        <v>112</v>
      </c>
      <c r="AN17" s="462">
        <v>4</v>
      </c>
      <c r="AO17" s="439" t="s">
        <v>239</v>
      </c>
      <c r="AP17" s="489">
        <f t="shared" si="12"/>
        <v>0</v>
      </c>
      <c r="AQ17" s="450">
        <f t="shared" si="13"/>
        <v>0</v>
      </c>
      <c r="AR17" s="441">
        <f>'Tab.1. bilans_Polska'!C257</f>
        <v>0</v>
      </c>
      <c r="AS17" s="443">
        <f>'Tab.1. bilans_Polska'!C258</f>
        <v>0</v>
      </c>
      <c r="AT17" s="442">
        <f>'Tab.1. bilans_Polska'!C259</f>
        <v>0</v>
      </c>
      <c r="AU17" s="450">
        <f t="shared" si="14"/>
        <v>0</v>
      </c>
      <c r="AV17" s="472">
        <f>'Tab.1. bilans_Polska'!C262</f>
        <v>0</v>
      </c>
      <c r="AW17" s="441">
        <f>'Tab.1. bilans_Polska'!C263</f>
        <v>0</v>
      </c>
      <c r="AX17" s="444">
        <f>'Tab.1. bilans_Polska'!C264</f>
        <v>0</v>
      </c>
      <c r="AY17" s="462">
        <v>4</v>
      </c>
      <c r="AZ17" s="439" t="s">
        <v>239</v>
      </c>
      <c r="BA17" s="489">
        <f t="shared" si="15"/>
        <v>0</v>
      </c>
      <c r="BB17" s="450">
        <f t="shared" si="16"/>
        <v>0</v>
      </c>
      <c r="BC17" s="441">
        <f>'Tab.1. bilans_Polska'!D257</f>
        <v>0</v>
      </c>
      <c r="BD17" s="443">
        <f>'Tab.1. bilans_Polska'!D258</f>
        <v>0</v>
      </c>
      <c r="BE17" s="442">
        <f>'Tab.1. bilans_Polska'!D259</f>
        <v>0</v>
      </c>
      <c r="BF17" s="450">
        <f t="shared" si="17"/>
        <v>0</v>
      </c>
      <c r="BG17" s="472">
        <f>'Tab.1. bilans_Polska'!D262</f>
        <v>0</v>
      </c>
      <c r="BH17" s="441">
        <f>'Tab.1. bilans_Polska'!D263</f>
        <v>0</v>
      </c>
      <c r="BI17" s="444">
        <f>'Tab.1. bilans_Polska'!D264</f>
        <v>0</v>
      </c>
      <c r="BJ17" s="462">
        <v>4</v>
      </c>
      <c r="BK17" s="439" t="s">
        <v>239</v>
      </c>
      <c r="BL17" s="489">
        <f t="shared" si="18"/>
        <v>0</v>
      </c>
      <c r="BM17" s="450">
        <f t="shared" si="19"/>
        <v>0</v>
      </c>
      <c r="BN17" s="441">
        <f>'Tab.1. bilans_Polska'!E257</f>
        <v>0</v>
      </c>
      <c r="BO17" s="443">
        <f>'Tab.1. bilans_Polska'!E258</f>
        <v>0</v>
      </c>
      <c r="BP17" s="442">
        <f>'Tab.1. bilans_Polska'!E259</f>
        <v>0</v>
      </c>
      <c r="BQ17" s="450">
        <f t="shared" si="20"/>
        <v>0</v>
      </c>
      <c r="BR17" s="472">
        <f>'Tab.1. bilans_Polska'!E262</f>
        <v>0</v>
      </c>
      <c r="BS17" s="441">
        <f>'Tab.1. bilans_Polska'!E263</f>
        <v>0</v>
      </c>
      <c r="BT17" s="444">
        <f>'Tab.1. bilans_Polska'!E264</f>
        <v>0</v>
      </c>
    </row>
    <row r="18" spans="1:72" x14ac:dyDescent="0.2">
      <c r="A18" s="462">
        <v>5</v>
      </c>
      <c r="B18" s="439" t="s">
        <v>240</v>
      </c>
      <c r="C18" s="875">
        <f>'Tab.1. bilans_Polska'!C291</f>
        <v>6187</v>
      </c>
      <c r="D18" s="450">
        <f t="shared" si="0"/>
        <v>48</v>
      </c>
      <c r="E18" s="852">
        <f>'Tab.1. bilans_Polska'!C294</f>
        <v>26</v>
      </c>
      <c r="F18" s="861">
        <f>'Tab.1. bilans_Polska'!C295</f>
        <v>0</v>
      </c>
      <c r="G18" s="853">
        <f>'Tab.1. bilans_Polska'!C296</f>
        <v>22</v>
      </c>
      <c r="H18" s="450">
        <f t="shared" si="1"/>
        <v>35</v>
      </c>
      <c r="I18" s="878">
        <f>'Tab.1. bilans_Polska'!C299</f>
        <v>26</v>
      </c>
      <c r="J18" s="852">
        <f>'Tab.1. bilans_Polska'!C300</f>
        <v>0</v>
      </c>
      <c r="K18" s="853">
        <f>'Tab.1. bilans_Polska'!C301</f>
        <v>9</v>
      </c>
      <c r="L18" s="484">
        <f t="shared" si="2"/>
        <v>13</v>
      </c>
      <c r="M18" s="459">
        <f t="shared" si="3"/>
        <v>6200</v>
      </c>
      <c r="N18" s="462">
        <v>5</v>
      </c>
      <c r="O18" s="439" t="s">
        <v>240</v>
      </c>
      <c r="P18" s="481">
        <f>'Tab.1. bilans_Polska'!D291</f>
        <v>5914</v>
      </c>
      <c r="Q18" s="450">
        <f t="shared" si="4"/>
        <v>40</v>
      </c>
      <c r="R18" s="441">
        <f>'Tab.1. bilans_Polska'!D294</f>
        <v>18</v>
      </c>
      <c r="S18" s="443">
        <f>'Tab.1. bilans_Polska'!D295</f>
        <v>0</v>
      </c>
      <c r="T18" s="442">
        <f>'Tab.1. bilans_Polska'!D296</f>
        <v>22</v>
      </c>
      <c r="U18" s="450">
        <f t="shared" si="5"/>
        <v>26</v>
      </c>
      <c r="V18" s="472">
        <f>'Tab.1. bilans_Polska'!D299</f>
        <v>26</v>
      </c>
      <c r="W18" s="441">
        <f>'Tab.1. bilans_Polska'!D300</f>
        <v>0</v>
      </c>
      <c r="X18" s="442">
        <f>'Tab.1. bilans_Polska'!D301</f>
        <v>0</v>
      </c>
      <c r="Y18" s="484">
        <f t="shared" si="6"/>
        <v>14</v>
      </c>
      <c r="Z18" s="459">
        <f t="shared" si="7"/>
        <v>5928</v>
      </c>
      <c r="AA18" s="462">
        <v>5</v>
      </c>
      <c r="AB18" s="439" t="s">
        <v>240</v>
      </c>
      <c r="AC18" s="481">
        <f>'Tab.1. bilans_Polska'!E291</f>
        <v>273</v>
      </c>
      <c r="AD18" s="450">
        <f t="shared" si="8"/>
        <v>8</v>
      </c>
      <c r="AE18" s="441">
        <f>'Tab.1. bilans_Polska'!E294</f>
        <v>8</v>
      </c>
      <c r="AF18" s="443">
        <f>'Tab.1. bilans_Polska'!E295</f>
        <v>0</v>
      </c>
      <c r="AG18" s="442">
        <f>'Tab.1. bilans_Polska'!E296</f>
        <v>0</v>
      </c>
      <c r="AH18" s="450">
        <f t="shared" si="9"/>
        <v>9</v>
      </c>
      <c r="AI18" s="472">
        <f>'Tab.1. bilans_Polska'!E299</f>
        <v>0</v>
      </c>
      <c r="AJ18" s="441">
        <f>'Tab.1. bilans_Polska'!E300</f>
        <v>0</v>
      </c>
      <c r="AK18" s="442">
        <f>'Tab.1. bilans_Polska'!E301</f>
        <v>9</v>
      </c>
      <c r="AL18" s="484">
        <f t="shared" si="10"/>
        <v>-1</v>
      </c>
      <c r="AM18" s="459">
        <f t="shared" si="11"/>
        <v>272</v>
      </c>
      <c r="AN18" s="462">
        <v>5</v>
      </c>
      <c r="AO18" s="439" t="s">
        <v>240</v>
      </c>
      <c r="AP18" s="489">
        <f t="shared" si="12"/>
        <v>53</v>
      </c>
      <c r="AQ18" s="450">
        <f t="shared" si="13"/>
        <v>0</v>
      </c>
      <c r="AR18" s="441">
        <f>'Tab.1. bilans_Polska'!C311</f>
        <v>0</v>
      </c>
      <c r="AS18" s="443">
        <f>'Tab.1. bilans_Polska'!C312</f>
        <v>0</v>
      </c>
      <c r="AT18" s="442">
        <f>'Tab.1. bilans_Polska'!C313</f>
        <v>0</v>
      </c>
      <c r="AU18" s="450">
        <f t="shared" si="14"/>
        <v>53</v>
      </c>
      <c r="AV18" s="472">
        <f>'Tab.1. bilans_Polska'!C316</f>
        <v>0</v>
      </c>
      <c r="AW18" s="441">
        <f>'Tab.1. bilans_Polska'!C317</f>
        <v>53</v>
      </c>
      <c r="AX18" s="444">
        <f>'Tab.1. bilans_Polska'!C318</f>
        <v>0</v>
      </c>
      <c r="AY18" s="462">
        <v>5</v>
      </c>
      <c r="AZ18" s="439" t="s">
        <v>240</v>
      </c>
      <c r="BA18" s="489">
        <f t="shared" si="15"/>
        <v>53</v>
      </c>
      <c r="BB18" s="450">
        <f t="shared" si="16"/>
        <v>0</v>
      </c>
      <c r="BC18" s="441">
        <f>'Tab.1. bilans_Polska'!D311</f>
        <v>0</v>
      </c>
      <c r="BD18" s="443">
        <f>'Tab.1. bilans_Polska'!D312</f>
        <v>0</v>
      </c>
      <c r="BE18" s="442">
        <f>'Tab.1. bilans_Polska'!D313</f>
        <v>0</v>
      </c>
      <c r="BF18" s="450">
        <f t="shared" si="17"/>
        <v>53</v>
      </c>
      <c r="BG18" s="472">
        <f>'Tab.1. bilans_Polska'!D316</f>
        <v>0</v>
      </c>
      <c r="BH18" s="441">
        <f>'Tab.1. bilans_Polska'!D317</f>
        <v>53</v>
      </c>
      <c r="BI18" s="444">
        <f>'Tab.1. bilans_Polska'!D318</f>
        <v>0</v>
      </c>
      <c r="BJ18" s="462">
        <v>5</v>
      </c>
      <c r="BK18" s="439" t="s">
        <v>240</v>
      </c>
      <c r="BL18" s="489">
        <f t="shared" si="18"/>
        <v>0</v>
      </c>
      <c r="BM18" s="450">
        <f t="shared" si="19"/>
        <v>0</v>
      </c>
      <c r="BN18" s="441">
        <f>'Tab.1. bilans_Polska'!E311</f>
        <v>0</v>
      </c>
      <c r="BO18" s="443">
        <f>'Tab.1. bilans_Polska'!E312</f>
        <v>0</v>
      </c>
      <c r="BP18" s="442">
        <f>'Tab.1. bilans_Polska'!E313</f>
        <v>0</v>
      </c>
      <c r="BQ18" s="450">
        <f t="shared" si="20"/>
        <v>0</v>
      </c>
      <c r="BR18" s="472">
        <f>'Tab.1. bilans_Polska'!E316</f>
        <v>0</v>
      </c>
      <c r="BS18" s="441">
        <f>'Tab.1. bilans_Polska'!E317</f>
        <v>0</v>
      </c>
      <c r="BT18" s="444">
        <f>'Tab.1. bilans_Polska'!E318</f>
        <v>0</v>
      </c>
    </row>
    <row r="19" spans="1:72" x14ac:dyDescent="0.2">
      <c r="A19" s="462">
        <v>6</v>
      </c>
      <c r="B19" s="439" t="s">
        <v>241</v>
      </c>
      <c r="C19" s="875">
        <f>'Tab.1. bilans_Polska'!C345</f>
        <v>7374</v>
      </c>
      <c r="D19" s="450">
        <f t="shared" si="0"/>
        <v>151</v>
      </c>
      <c r="E19" s="852">
        <f>'Tab.1. bilans_Polska'!C348</f>
        <v>8</v>
      </c>
      <c r="F19" s="861">
        <f>'Tab.1. bilans_Polska'!C349</f>
        <v>0</v>
      </c>
      <c r="G19" s="853">
        <f>'Tab.1. bilans_Polska'!C350</f>
        <v>143</v>
      </c>
      <c r="H19" s="450">
        <f t="shared" si="1"/>
        <v>113</v>
      </c>
      <c r="I19" s="878">
        <f>'Tab.1. bilans_Polska'!C353</f>
        <v>32</v>
      </c>
      <c r="J19" s="852">
        <f>'Tab.1. bilans_Polska'!C354</f>
        <v>50</v>
      </c>
      <c r="K19" s="853">
        <f>'Tab.1. bilans_Polska'!C355</f>
        <v>31</v>
      </c>
      <c r="L19" s="484">
        <f t="shared" si="2"/>
        <v>38</v>
      </c>
      <c r="M19" s="459">
        <f t="shared" si="3"/>
        <v>7412</v>
      </c>
      <c r="N19" s="462">
        <v>6</v>
      </c>
      <c r="O19" s="439" t="s">
        <v>241</v>
      </c>
      <c r="P19" s="481">
        <f>'Tab.1. bilans_Polska'!D345</f>
        <v>5846</v>
      </c>
      <c r="Q19" s="450">
        <f t="shared" si="4"/>
        <v>10</v>
      </c>
      <c r="R19" s="441">
        <f>'Tab.1. bilans_Polska'!D348</f>
        <v>8</v>
      </c>
      <c r="S19" s="443">
        <f>'Tab.1. bilans_Polska'!D349</f>
        <v>0</v>
      </c>
      <c r="T19" s="442">
        <f>'Tab.1. bilans_Polska'!D350</f>
        <v>2</v>
      </c>
      <c r="U19" s="450">
        <f t="shared" si="5"/>
        <v>63</v>
      </c>
      <c r="V19" s="472">
        <f>'Tab.1. bilans_Polska'!D353</f>
        <v>32</v>
      </c>
      <c r="W19" s="441">
        <f>'Tab.1. bilans_Polska'!D354</f>
        <v>0</v>
      </c>
      <c r="X19" s="442">
        <f>'Tab.1. bilans_Polska'!D355</f>
        <v>31</v>
      </c>
      <c r="Y19" s="484">
        <f t="shared" si="6"/>
        <v>-53</v>
      </c>
      <c r="Z19" s="459">
        <f t="shared" si="7"/>
        <v>5793</v>
      </c>
      <c r="AA19" s="462">
        <v>6</v>
      </c>
      <c r="AB19" s="439" t="s">
        <v>241</v>
      </c>
      <c r="AC19" s="481">
        <f>'Tab.1. bilans_Polska'!E345</f>
        <v>1528</v>
      </c>
      <c r="AD19" s="450">
        <f t="shared" si="8"/>
        <v>141</v>
      </c>
      <c r="AE19" s="441">
        <f>'Tab.1. bilans_Polska'!E348</f>
        <v>0</v>
      </c>
      <c r="AF19" s="443">
        <f>'Tab.1. bilans_Polska'!E349</f>
        <v>0</v>
      </c>
      <c r="AG19" s="442">
        <f>'Tab.1. bilans_Polska'!E350</f>
        <v>141</v>
      </c>
      <c r="AH19" s="450">
        <f t="shared" si="9"/>
        <v>50</v>
      </c>
      <c r="AI19" s="472">
        <f>'Tab.1. bilans_Polska'!E353</f>
        <v>0</v>
      </c>
      <c r="AJ19" s="441">
        <f>'Tab.1. bilans_Polska'!E354</f>
        <v>50</v>
      </c>
      <c r="AK19" s="442">
        <f>'Tab.1. bilans_Polska'!E355</f>
        <v>0</v>
      </c>
      <c r="AL19" s="484">
        <f t="shared" si="10"/>
        <v>91</v>
      </c>
      <c r="AM19" s="459">
        <f t="shared" si="11"/>
        <v>1619</v>
      </c>
      <c r="AN19" s="462">
        <v>6</v>
      </c>
      <c r="AO19" s="439" t="s">
        <v>241</v>
      </c>
      <c r="AP19" s="489">
        <f t="shared" si="12"/>
        <v>3</v>
      </c>
      <c r="AQ19" s="450">
        <f t="shared" si="13"/>
        <v>3</v>
      </c>
      <c r="AR19" s="441">
        <f>'Tab.1. bilans_Polska'!C365</f>
        <v>0</v>
      </c>
      <c r="AS19" s="443">
        <f>'Tab.1. bilans_Polska'!C366</f>
        <v>0</v>
      </c>
      <c r="AT19" s="442">
        <f>'Tab.1. bilans_Polska'!C367</f>
        <v>3</v>
      </c>
      <c r="AU19" s="450">
        <f t="shared" si="14"/>
        <v>0</v>
      </c>
      <c r="AV19" s="472">
        <f>'Tab.1. bilans_Polska'!C370</f>
        <v>0</v>
      </c>
      <c r="AW19" s="441">
        <f>'Tab.1. bilans_Polska'!C371</f>
        <v>0</v>
      </c>
      <c r="AX19" s="444">
        <f>'Tab.1. bilans_Polska'!C372</f>
        <v>0</v>
      </c>
      <c r="AY19" s="462">
        <v>6</v>
      </c>
      <c r="AZ19" s="439" t="s">
        <v>241</v>
      </c>
      <c r="BA19" s="489">
        <f t="shared" si="15"/>
        <v>3</v>
      </c>
      <c r="BB19" s="450">
        <f t="shared" si="16"/>
        <v>3</v>
      </c>
      <c r="BC19" s="441">
        <f>'Tab.1. bilans_Polska'!D365</f>
        <v>0</v>
      </c>
      <c r="BD19" s="443">
        <f>'Tab.1. bilans_Polska'!D366</f>
        <v>0</v>
      </c>
      <c r="BE19" s="442">
        <f>'Tab.1. bilans_Polska'!D367</f>
        <v>3</v>
      </c>
      <c r="BF19" s="450">
        <f t="shared" si="17"/>
        <v>0</v>
      </c>
      <c r="BG19" s="472">
        <f>'Tab.1. bilans_Polska'!D370</f>
        <v>0</v>
      </c>
      <c r="BH19" s="441">
        <f>'Tab.1. bilans_Polska'!D371</f>
        <v>0</v>
      </c>
      <c r="BI19" s="444">
        <f>'Tab.1. bilans_Polska'!D372</f>
        <v>0</v>
      </c>
      <c r="BJ19" s="462">
        <v>6</v>
      </c>
      <c r="BK19" s="439" t="s">
        <v>241</v>
      </c>
      <c r="BL19" s="489">
        <f t="shared" si="18"/>
        <v>0</v>
      </c>
      <c r="BM19" s="450">
        <f t="shared" si="19"/>
        <v>0</v>
      </c>
      <c r="BN19" s="441">
        <f>'Tab.1. bilans_Polska'!E365</f>
        <v>0</v>
      </c>
      <c r="BO19" s="443">
        <f>'Tab.1. bilans_Polska'!E366</f>
        <v>0</v>
      </c>
      <c r="BP19" s="442">
        <f>'Tab.1. bilans_Polska'!E367</f>
        <v>0</v>
      </c>
      <c r="BQ19" s="450">
        <f t="shared" si="20"/>
        <v>0</v>
      </c>
      <c r="BR19" s="472">
        <f>'Tab.1. bilans_Polska'!E370</f>
        <v>0</v>
      </c>
      <c r="BS19" s="441">
        <f>'Tab.1. bilans_Polska'!E371</f>
        <v>0</v>
      </c>
      <c r="BT19" s="444">
        <f>'Tab.1. bilans_Polska'!E372</f>
        <v>0</v>
      </c>
    </row>
    <row r="20" spans="1:72" x14ac:dyDescent="0.2">
      <c r="A20" s="462">
        <v>7</v>
      </c>
      <c r="B20" s="439" t="s">
        <v>242</v>
      </c>
      <c r="C20" s="875">
        <f>'Tab.1. bilans_Polska'!C399</f>
        <v>9092</v>
      </c>
      <c r="D20" s="450">
        <f t="shared" si="0"/>
        <v>110</v>
      </c>
      <c r="E20" s="852">
        <f>'Tab.1. bilans_Polska'!C402</f>
        <v>50</v>
      </c>
      <c r="F20" s="861">
        <f>'Tab.1. bilans_Polska'!C403</f>
        <v>58</v>
      </c>
      <c r="G20" s="853">
        <f>'Tab.1. bilans_Polska'!C404</f>
        <v>2</v>
      </c>
      <c r="H20" s="450">
        <f t="shared" si="1"/>
        <v>4</v>
      </c>
      <c r="I20" s="878">
        <f>'Tab.1. bilans_Polska'!C407</f>
        <v>2</v>
      </c>
      <c r="J20" s="852">
        <f>'Tab.1. bilans_Polska'!C408</f>
        <v>0</v>
      </c>
      <c r="K20" s="853">
        <f>'Tab.1. bilans_Polska'!C409</f>
        <v>2</v>
      </c>
      <c r="L20" s="484">
        <f t="shared" si="2"/>
        <v>106</v>
      </c>
      <c r="M20" s="459">
        <f t="shared" si="3"/>
        <v>9198</v>
      </c>
      <c r="N20" s="462">
        <v>7</v>
      </c>
      <c r="O20" s="439" t="s">
        <v>242</v>
      </c>
      <c r="P20" s="481">
        <f>'Tab.1. bilans_Polska'!D399</f>
        <v>7928</v>
      </c>
      <c r="Q20" s="450">
        <f t="shared" si="4"/>
        <v>92</v>
      </c>
      <c r="R20" s="441">
        <f>'Tab.1. bilans_Polska'!D402</f>
        <v>32</v>
      </c>
      <c r="S20" s="443">
        <f>'Tab.1. bilans_Polska'!D403</f>
        <v>58</v>
      </c>
      <c r="T20" s="442">
        <f>'Tab.1. bilans_Polska'!D404</f>
        <v>2</v>
      </c>
      <c r="U20" s="450">
        <f t="shared" si="5"/>
        <v>4</v>
      </c>
      <c r="V20" s="472">
        <f>'Tab.1. bilans_Polska'!D407</f>
        <v>2</v>
      </c>
      <c r="W20" s="441">
        <f>'Tab.1. bilans_Polska'!D408</f>
        <v>0</v>
      </c>
      <c r="X20" s="442">
        <f>'Tab.1. bilans_Polska'!D409</f>
        <v>2</v>
      </c>
      <c r="Y20" s="484">
        <f t="shared" si="6"/>
        <v>88</v>
      </c>
      <c r="Z20" s="459">
        <f t="shared" si="7"/>
        <v>8016</v>
      </c>
      <c r="AA20" s="462">
        <v>7</v>
      </c>
      <c r="AB20" s="439" t="s">
        <v>242</v>
      </c>
      <c r="AC20" s="481">
        <f>'Tab.1. bilans_Polska'!E399</f>
        <v>1164</v>
      </c>
      <c r="AD20" s="450">
        <f t="shared" si="8"/>
        <v>18</v>
      </c>
      <c r="AE20" s="441">
        <f>'Tab.1. bilans_Polska'!E402</f>
        <v>18</v>
      </c>
      <c r="AF20" s="443">
        <f>'Tab.1. bilans_Polska'!E403</f>
        <v>0</v>
      </c>
      <c r="AG20" s="442">
        <f>'Tab.1. bilans_Polska'!E404</f>
        <v>0</v>
      </c>
      <c r="AH20" s="450">
        <f t="shared" si="9"/>
        <v>0</v>
      </c>
      <c r="AI20" s="472">
        <f>'Tab.1. bilans_Polska'!E407</f>
        <v>0</v>
      </c>
      <c r="AJ20" s="441">
        <f>'Tab.1. bilans_Polska'!E408</f>
        <v>0</v>
      </c>
      <c r="AK20" s="442">
        <f>'Tab.1. bilans_Polska'!E409</f>
        <v>0</v>
      </c>
      <c r="AL20" s="484">
        <f t="shared" si="10"/>
        <v>18</v>
      </c>
      <c r="AM20" s="459">
        <f t="shared" si="11"/>
        <v>1182</v>
      </c>
      <c r="AN20" s="462">
        <v>7</v>
      </c>
      <c r="AO20" s="439" t="s">
        <v>242</v>
      </c>
      <c r="AP20" s="489">
        <f t="shared" si="12"/>
        <v>0</v>
      </c>
      <c r="AQ20" s="450">
        <f t="shared" si="13"/>
        <v>0</v>
      </c>
      <c r="AR20" s="441">
        <f>'Tab.1. bilans_Polska'!C419</f>
        <v>0</v>
      </c>
      <c r="AS20" s="443">
        <f>'Tab.1. bilans_Polska'!C420</f>
        <v>0</v>
      </c>
      <c r="AT20" s="442">
        <f>'Tab.1. bilans_Polska'!C421</f>
        <v>0</v>
      </c>
      <c r="AU20" s="450">
        <f t="shared" si="14"/>
        <v>0</v>
      </c>
      <c r="AV20" s="472">
        <f>'Tab.1. bilans_Polska'!C424</f>
        <v>0</v>
      </c>
      <c r="AW20" s="441">
        <f>'Tab.1. bilans_Polska'!C425</f>
        <v>0</v>
      </c>
      <c r="AX20" s="444">
        <f>'Tab.1. bilans_Polska'!C426</f>
        <v>0</v>
      </c>
      <c r="AY20" s="462">
        <v>7</v>
      </c>
      <c r="AZ20" s="439" t="s">
        <v>242</v>
      </c>
      <c r="BA20" s="489">
        <f t="shared" si="15"/>
        <v>0</v>
      </c>
      <c r="BB20" s="450">
        <f t="shared" si="16"/>
        <v>0</v>
      </c>
      <c r="BC20" s="441">
        <f>'Tab.1. bilans_Polska'!D419</f>
        <v>0</v>
      </c>
      <c r="BD20" s="443">
        <f>'Tab.1. bilans_Polska'!D420</f>
        <v>0</v>
      </c>
      <c r="BE20" s="442">
        <f>'Tab.1. bilans_Polska'!D421</f>
        <v>0</v>
      </c>
      <c r="BF20" s="450">
        <f t="shared" si="17"/>
        <v>0</v>
      </c>
      <c r="BG20" s="472">
        <f>'Tab.1. bilans_Polska'!D424</f>
        <v>0</v>
      </c>
      <c r="BH20" s="441">
        <f>'Tab.1. bilans_Polska'!D425</f>
        <v>0</v>
      </c>
      <c r="BI20" s="444">
        <f>'Tab.1. bilans_Polska'!D426</f>
        <v>0</v>
      </c>
      <c r="BJ20" s="462">
        <v>7</v>
      </c>
      <c r="BK20" s="439" t="s">
        <v>242</v>
      </c>
      <c r="BL20" s="489">
        <f t="shared" si="18"/>
        <v>0</v>
      </c>
      <c r="BM20" s="450">
        <f t="shared" si="19"/>
        <v>0</v>
      </c>
      <c r="BN20" s="441">
        <f>'Tab.1. bilans_Polska'!E419</f>
        <v>0</v>
      </c>
      <c r="BO20" s="443">
        <f>'Tab.1. bilans_Polska'!E420</f>
        <v>0</v>
      </c>
      <c r="BP20" s="442">
        <f>'Tab.1. bilans_Polska'!E421</f>
        <v>0</v>
      </c>
      <c r="BQ20" s="450">
        <f t="shared" si="20"/>
        <v>0</v>
      </c>
      <c r="BR20" s="472">
        <f>'Tab.1. bilans_Polska'!E424</f>
        <v>0</v>
      </c>
      <c r="BS20" s="441">
        <f>'Tab.1. bilans_Polska'!E425</f>
        <v>0</v>
      </c>
      <c r="BT20" s="444">
        <f>'Tab.1. bilans_Polska'!E426</f>
        <v>0</v>
      </c>
    </row>
    <row r="21" spans="1:72" x14ac:dyDescent="0.2">
      <c r="A21" s="462">
        <v>8</v>
      </c>
      <c r="B21" s="439" t="s">
        <v>243</v>
      </c>
      <c r="C21" s="875">
        <f>'Tab.1. bilans_Polska'!C453</f>
        <v>2794</v>
      </c>
      <c r="D21" s="450">
        <f t="shared" si="0"/>
        <v>116</v>
      </c>
      <c r="E21" s="852">
        <f>'Tab.1. bilans_Polska'!C456</f>
        <v>106</v>
      </c>
      <c r="F21" s="861">
        <f>'Tab.1. bilans_Polska'!C457</f>
        <v>10</v>
      </c>
      <c r="G21" s="853">
        <f>'Tab.1. bilans_Polska'!C458</f>
        <v>0</v>
      </c>
      <c r="H21" s="450">
        <f t="shared" si="1"/>
        <v>2</v>
      </c>
      <c r="I21" s="878">
        <f>'Tab.1. bilans_Polska'!C461</f>
        <v>0</v>
      </c>
      <c r="J21" s="852">
        <f>'Tab.1. bilans_Polska'!C462</f>
        <v>0</v>
      </c>
      <c r="K21" s="853">
        <f>'Tab.1. bilans_Polska'!C463</f>
        <v>2</v>
      </c>
      <c r="L21" s="484">
        <f t="shared" si="2"/>
        <v>114</v>
      </c>
      <c r="M21" s="459">
        <f t="shared" si="3"/>
        <v>2908</v>
      </c>
      <c r="N21" s="462">
        <v>8</v>
      </c>
      <c r="O21" s="439" t="s">
        <v>243</v>
      </c>
      <c r="P21" s="481">
        <f>'Tab.1. bilans_Polska'!D453</f>
        <v>1922</v>
      </c>
      <c r="Q21" s="450">
        <f t="shared" si="4"/>
        <v>106</v>
      </c>
      <c r="R21" s="441">
        <f>'Tab.1. bilans_Polska'!D456</f>
        <v>106</v>
      </c>
      <c r="S21" s="443">
        <f>'Tab.1. bilans_Polska'!D457</f>
        <v>0</v>
      </c>
      <c r="T21" s="442">
        <f>'Tab.1. bilans_Polska'!D458</f>
        <v>0</v>
      </c>
      <c r="U21" s="450">
        <f t="shared" si="5"/>
        <v>2</v>
      </c>
      <c r="V21" s="472">
        <f>'Tab.1. bilans_Polska'!D461</f>
        <v>0</v>
      </c>
      <c r="W21" s="441">
        <f>'Tab.1. bilans_Polska'!D462</f>
        <v>0</v>
      </c>
      <c r="X21" s="442">
        <f>'Tab.1. bilans_Polska'!D463</f>
        <v>2</v>
      </c>
      <c r="Y21" s="484">
        <f t="shared" si="6"/>
        <v>104</v>
      </c>
      <c r="Z21" s="459">
        <f t="shared" si="7"/>
        <v>2026</v>
      </c>
      <c r="AA21" s="462">
        <v>8</v>
      </c>
      <c r="AB21" s="439" t="s">
        <v>243</v>
      </c>
      <c r="AC21" s="481">
        <f>'Tab.1. bilans_Polska'!E453</f>
        <v>872</v>
      </c>
      <c r="AD21" s="450">
        <f t="shared" si="8"/>
        <v>10</v>
      </c>
      <c r="AE21" s="441">
        <f>'Tab.1. bilans_Polska'!E456</f>
        <v>0</v>
      </c>
      <c r="AF21" s="443">
        <f>'Tab.1. bilans_Polska'!E457</f>
        <v>10</v>
      </c>
      <c r="AG21" s="442">
        <f>'Tab.1. bilans_Polska'!E458</f>
        <v>0</v>
      </c>
      <c r="AH21" s="450">
        <f t="shared" si="9"/>
        <v>0</v>
      </c>
      <c r="AI21" s="472">
        <f>'Tab.1. bilans_Polska'!E461</f>
        <v>0</v>
      </c>
      <c r="AJ21" s="441">
        <f>'Tab.1. bilans_Polska'!E462</f>
        <v>0</v>
      </c>
      <c r="AK21" s="442">
        <f>'Tab.1. bilans_Polska'!E463</f>
        <v>0</v>
      </c>
      <c r="AL21" s="484">
        <f t="shared" si="10"/>
        <v>10</v>
      </c>
      <c r="AM21" s="459">
        <f t="shared" si="11"/>
        <v>882</v>
      </c>
      <c r="AN21" s="462">
        <v>8</v>
      </c>
      <c r="AO21" s="439" t="s">
        <v>243</v>
      </c>
      <c r="AP21" s="489">
        <f t="shared" si="12"/>
        <v>5</v>
      </c>
      <c r="AQ21" s="450">
        <f t="shared" si="13"/>
        <v>0</v>
      </c>
      <c r="AR21" s="441">
        <f>'Tab.1. bilans_Polska'!C473</f>
        <v>0</v>
      </c>
      <c r="AS21" s="443">
        <f>'Tab.1. bilans_Polska'!C474</f>
        <v>0</v>
      </c>
      <c r="AT21" s="442">
        <f>'Tab.1. bilans_Polska'!C475</f>
        <v>0</v>
      </c>
      <c r="AU21" s="450">
        <f t="shared" si="14"/>
        <v>5</v>
      </c>
      <c r="AV21" s="472">
        <f>'Tab.1. bilans_Polska'!C478</f>
        <v>0</v>
      </c>
      <c r="AW21" s="441">
        <f>'Tab.1. bilans_Polska'!C479</f>
        <v>5</v>
      </c>
      <c r="AX21" s="444">
        <f>'Tab.1. bilans_Polska'!C480</f>
        <v>0</v>
      </c>
      <c r="AY21" s="462">
        <v>8</v>
      </c>
      <c r="AZ21" s="439" t="s">
        <v>243</v>
      </c>
      <c r="BA21" s="489">
        <f t="shared" si="15"/>
        <v>0</v>
      </c>
      <c r="BB21" s="450">
        <f t="shared" si="16"/>
        <v>0</v>
      </c>
      <c r="BC21" s="441">
        <f>'Tab.1. bilans_Polska'!D473</f>
        <v>0</v>
      </c>
      <c r="BD21" s="443">
        <f>'Tab.1. bilans_Polska'!D474</f>
        <v>0</v>
      </c>
      <c r="BE21" s="442">
        <f>'Tab.1. bilans_Polska'!D475</f>
        <v>0</v>
      </c>
      <c r="BF21" s="450">
        <f t="shared" si="17"/>
        <v>0</v>
      </c>
      <c r="BG21" s="472">
        <f>'Tab.1. bilans_Polska'!D478</f>
        <v>0</v>
      </c>
      <c r="BH21" s="441">
        <f>'Tab.1. bilans_Polska'!D479</f>
        <v>0</v>
      </c>
      <c r="BI21" s="444">
        <f>'Tab.1. bilans_Polska'!D480</f>
        <v>0</v>
      </c>
      <c r="BJ21" s="462">
        <v>8</v>
      </c>
      <c r="BK21" s="439" t="s">
        <v>243</v>
      </c>
      <c r="BL21" s="489">
        <f t="shared" si="18"/>
        <v>5</v>
      </c>
      <c r="BM21" s="450">
        <f t="shared" si="19"/>
        <v>0</v>
      </c>
      <c r="BN21" s="441">
        <f>'Tab.1. bilans_Polska'!E473</f>
        <v>0</v>
      </c>
      <c r="BO21" s="443">
        <f>'Tab.1. bilans_Polska'!E474</f>
        <v>0</v>
      </c>
      <c r="BP21" s="442">
        <f>'Tab.1. bilans_Polska'!E475</f>
        <v>0</v>
      </c>
      <c r="BQ21" s="450">
        <f t="shared" si="20"/>
        <v>5</v>
      </c>
      <c r="BR21" s="472">
        <f>'Tab.1. bilans_Polska'!E478</f>
        <v>0</v>
      </c>
      <c r="BS21" s="441">
        <f>'Tab.1. bilans_Polska'!E479</f>
        <v>5</v>
      </c>
      <c r="BT21" s="444">
        <f>'Tab.1. bilans_Polska'!E480</f>
        <v>0</v>
      </c>
    </row>
    <row r="22" spans="1:72" x14ac:dyDescent="0.2">
      <c r="A22" s="462">
        <v>9</v>
      </c>
      <c r="B22" s="439" t="s">
        <v>244</v>
      </c>
      <c r="C22" s="875">
        <f>'Tab.1. bilans_Polska'!C507</f>
        <v>4524</v>
      </c>
      <c r="D22" s="450">
        <f t="shared" si="0"/>
        <v>79</v>
      </c>
      <c r="E22" s="852">
        <f>'Tab.1. bilans_Polska'!C510</f>
        <v>6</v>
      </c>
      <c r="F22" s="861">
        <f>'Tab.1. bilans_Polska'!C511</f>
        <v>60</v>
      </c>
      <c r="G22" s="853">
        <f>'Tab.1. bilans_Polska'!C512</f>
        <v>13</v>
      </c>
      <c r="H22" s="450">
        <f t="shared" si="1"/>
        <v>4</v>
      </c>
      <c r="I22" s="878">
        <f>'Tab.1. bilans_Polska'!C515</f>
        <v>3</v>
      </c>
      <c r="J22" s="852">
        <f>'Tab.1. bilans_Polska'!C516</f>
        <v>0</v>
      </c>
      <c r="K22" s="853">
        <f>'Tab.1. bilans_Polska'!C517</f>
        <v>1</v>
      </c>
      <c r="L22" s="484">
        <f t="shared" si="2"/>
        <v>75</v>
      </c>
      <c r="M22" s="459">
        <f t="shared" si="3"/>
        <v>4599</v>
      </c>
      <c r="N22" s="462">
        <v>9</v>
      </c>
      <c r="O22" s="439" t="s">
        <v>244</v>
      </c>
      <c r="P22" s="481">
        <f>'Tab.1. bilans_Polska'!D507</f>
        <v>3443</v>
      </c>
      <c r="Q22" s="450">
        <f t="shared" si="4"/>
        <v>58</v>
      </c>
      <c r="R22" s="441">
        <f>'Tab.1. bilans_Polska'!D510</f>
        <v>6</v>
      </c>
      <c r="S22" s="443">
        <f>'Tab.1. bilans_Polska'!D511</f>
        <v>45</v>
      </c>
      <c r="T22" s="442">
        <f>'Tab.1. bilans_Polska'!D512</f>
        <v>7</v>
      </c>
      <c r="U22" s="450">
        <f t="shared" si="5"/>
        <v>3</v>
      </c>
      <c r="V22" s="472">
        <f>'Tab.1. bilans_Polska'!D515</f>
        <v>3</v>
      </c>
      <c r="W22" s="441">
        <f>'Tab.1. bilans_Polska'!D516</f>
        <v>0</v>
      </c>
      <c r="X22" s="442">
        <f>'Tab.1. bilans_Polska'!D517</f>
        <v>0</v>
      </c>
      <c r="Y22" s="484">
        <f t="shared" si="6"/>
        <v>55</v>
      </c>
      <c r="Z22" s="459">
        <f t="shared" si="7"/>
        <v>3498</v>
      </c>
      <c r="AA22" s="462">
        <v>9</v>
      </c>
      <c r="AB22" s="439" t="s">
        <v>244</v>
      </c>
      <c r="AC22" s="481">
        <f>'Tab.1. bilans_Polska'!E507</f>
        <v>1081</v>
      </c>
      <c r="AD22" s="450">
        <f t="shared" si="8"/>
        <v>21</v>
      </c>
      <c r="AE22" s="441">
        <f>'Tab.1. bilans_Polska'!E510</f>
        <v>0</v>
      </c>
      <c r="AF22" s="443">
        <f>'Tab.1. bilans_Polska'!E511</f>
        <v>15</v>
      </c>
      <c r="AG22" s="442">
        <f>'Tab.1. bilans_Polska'!E512</f>
        <v>6</v>
      </c>
      <c r="AH22" s="450">
        <f t="shared" si="9"/>
        <v>1</v>
      </c>
      <c r="AI22" s="472">
        <f>'Tab.1. bilans_Polska'!E515</f>
        <v>0</v>
      </c>
      <c r="AJ22" s="441">
        <f>'Tab.1. bilans_Polska'!E516</f>
        <v>0</v>
      </c>
      <c r="AK22" s="442">
        <f>'Tab.1. bilans_Polska'!E517</f>
        <v>1</v>
      </c>
      <c r="AL22" s="484">
        <f t="shared" si="10"/>
        <v>20</v>
      </c>
      <c r="AM22" s="459">
        <f t="shared" si="11"/>
        <v>1101</v>
      </c>
      <c r="AN22" s="462">
        <v>9</v>
      </c>
      <c r="AO22" s="439" t="s">
        <v>244</v>
      </c>
      <c r="AP22" s="489">
        <f t="shared" si="12"/>
        <v>44</v>
      </c>
      <c r="AQ22" s="450">
        <f t="shared" si="13"/>
        <v>27</v>
      </c>
      <c r="AR22" s="441">
        <f>'Tab.1. bilans_Polska'!C527</f>
        <v>6</v>
      </c>
      <c r="AS22" s="443">
        <f>'Tab.1. bilans_Polska'!C528</f>
        <v>17</v>
      </c>
      <c r="AT22" s="442">
        <f>'Tab.1. bilans_Polska'!C529</f>
        <v>4</v>
      </c>
      <c r="AU22" s="450">
        <f t="shared" si="14"/>
        <v>17</v>
      </c>
      <c r="AV22" s="472">
        <f>'Tab.1. bilans_Polska'!C532</f>
        <v>7</v>
      </c>
      <c r="AW22" s="441">
        <f>'Tab.1. bilans_Polska'!C533</f>
        <v>10</v>
      </c>
      <c r="AX22" s="444">
        <f>'Tab.1. bilans_Polska'!C534</f>
        <v>0</v>
      </c>
      <c r="AY22" s="462">
        <v>9</v>
      </c>
      <c r="AZ22" s="439" t="s">
        <v>244</v>
      </c>
      <c r="BA22" s="489">
        <f t="shared" si="15"/>
        <v>33</v>
      </c>
      <c r="BB22" s="450">
        <f t="shared" si="16"/>
        <v>16</v>
      </c>
      <c r="BC22" s="441">
        <f>'Tab.1. bilans_Polska'!D527</f>
        <v>6</v>
      </c>
      <c r="BD22" s="443">
        <f>'Tab.1. bilans_Polska'!D528</f>
        <v>10</v>
      </c>
      <c r="BE22" s="442">
        <f>'Tab.1. bilans_Polska'!D529</f>
        <v>0</v>
      </c>
      <c r="BF22" s="450">
        <f t="shared" si="17"/>
        <v>17</v>
      </c>
      <c r="BG22" s="472">
        <f>'Tab.1. bilans_Polska'!D532</f>
        <v>7</v>
      </c>
      <c r="BH22" s="441">
        <f>'Tab.1. bilans_Polska'!D533</f>
        <v>10</v>
      </c>
      <c r="BI22" s="444">
        <f>'Tab.1. bilans_Polska'!D534</f>
        <v>0</v>
      </c>
      <c r="BJ22" s="462">
        <v>9</v>
      </c>
      <c r="BK22" s="439" t="s">
        <v>244</v>
      </c>
      <c r="BL22" s="489">
        <f t="shared" si="18"/>
        <v>11</v>
      </c>
      <c r="BM22" s="450">
        <f t="shared" si="19"/>
        <v>11</v>
      </c>
      <c r="BN22" s="441">
        <f>'Tab.1. bilans_Polska'!E527</f>
        <v>0</v>
      </c>
      <c r="BO22" s="443">
        <f>'Tab.1. bilans_Polska'!E528</f>
        <v>7</v>
      </c>
      <c r="BP22" s="442">
        <f>'Tab.1. bilans_Polska'!E529</f>
        <v>4</v>
      </c>
      <c r="BQ22" s="450">
        <f t="shared" si="20"/>
        <v>0</v>
      </c>
      <c r="BR22" s="472">
        <f>'Tab.1. bilans_Polska'!E532</f>
        <v>0</v>
      </c>
      <c r="BS22" s="441">
        <f>'Tab.1. bilans_Polska'!E533</f>
        <v>0</v>
      </c>
      <c r="BT22" s="444">
        <f>'Tab.1. bilans_Polska'!E534</f>
        <v>0</v>
      </c>
    </row>
    <row r="23" spans="1:72" x14ac:dyDescent="0.2">
      <c r="A23" s="463">
        <v>10</v>
      </c>
      <c r="B23" s="439" t="s">
        <v>245</v>
      </c>
      <c r="C23" s="875">
        <f>'Tab.1. bilans_Polska'!C561</f>
        <v>2287</v>
      </c>
      <c r="D23" s="450">
        <f t="shared" si="0"/>
        <v>8</v>
      </c>
      <c r="E23" s="852">
        <f>'Tab.1. bilans_Polska'!C564</f>
        <v>8</v>
      </c>
      <c r="F23" s="861">
        <f>'Tab.1. bilans_Polska'!C565</f>
        <v>0</v>
      </c>
      <c r="G23" s="853">
        <f>'Tab.1. bilans_Polska'!C566</f>
        <v>0</v>
      </c>
      <c r="H23" s="450">
        <f t="shared" si="1"/>
        <v>0</v>
      </c>
      <c r="I23" s="878">
        <f>'Tab.1. bilans_Polska'!C569</f>
        <v>0</v>
      </c>
      <c r="J23" s="852">
        <f>'Tab.1. bilans_Polska'!C570</f>
        <v>0</v>
      </c>
      <c r="K23" s="853">
        <f>'Tab.1. bilans_Polska'!C571</f>
        <v>0</v>
      </c>
      <c r="L23" s="484">
        <f t="shared" si="2"/>
        <v>8</v>
      </c>
      <c r="M23" s="459">
        <f t="shared" si="3"/>
        <v>2295</v>
      </c>
      <c r="N23" s="463">
        <v>10</v>
      </c>
      <c r="O23" s="439" t="s">
        <v>245</v>
      </c>
      <c r="P23" s="481">
        <f>'Tab.1. bilans_Polska'!D561</f>
        <v>1856</v>
      </c>
      <c r="Q23" s="450">
        <f t="shared" si="4"/>
        <v>6</v>
      </c>
      <c r="R23" s="441">
        <f>'Tab.1. bilans_Polska'!D564</f>
        <v>6</v>
      </c>
      <c r="S23" s="443">
        <f>'Tab.1. bilans_Polska'!D565</f>
        <v>0</v>
      </c>
      <c r="T23" s="442">
        <f>'Tab.1. bilans_Polska'!D566</f>
        <v>0</v>
      </c>
      <c r="U23" s="450">
        <f t="shared" si="5"/>
        <v>0</v>
      </c>
      <c r="V23" s="472">
        <f>'Tab.1. bilans_Polska'!D569</f>
        <v>0</v>
      </c>
      <c r="W23" s="441">
        <f>'Tab.1. bilans_Polska'!D570</f>
        <v>0</v>
      </c>
      <c r="X23" s="442">
        <f>'Tab.1. bilans_Polska'!D571</f>
        <v>0</v>
      </c>
      <c r="Y23" s="484">
        <f t="shared" si="6"/>
        <v>6</v>
      </c>
      <c r="Z23" s="459">
        <f t="shared" si="7"/>
        <v>1862</v>
      </c>
      <c r="AA23" s="463">
        <v>10</v>
      </c>
      <c r="AB23" s="439" t="s">
        <v>245</v>
      </c>
      <c r="AC23" s="481">
        <f>'Tab.1. bilans_Polska'!E561</f>
        <v>431</v>
      </c>
      <c r="AD23" s="450">
        <f t="shared" si="8"/>
        <v>2</v>
      </c>
      <c r="AE23" s="441">
        <f>'Tab.1. bilans_Polska'!E564</f>
        <v>2</v>
      </c>
      <c r="AF23" s="443">
        <f>'Tab.1. bilans_Polska'!E565</f>
        <v>0</v>
      </c>
      <c r="AG23" s="442">
        <f>'Tab.1. bilans_Polska'!E566</f>
        <v>0</v>
      </c>
      <c r="AH23" s="450">
        <f t="shared" si="9"/>
        <v>0</v>
      </c>
      <c r="AI23" s="472">
        <f>'Tab.1. bilans_Polska'!E569</f>
        <v>0</v>
      </c>
      <c r="AJ23" s="441">
        <f>'Tab.1. bilans_Polska'!E570</f>
        <v>0</v>
      </c>
      <c r="AK23" s="442">
        <f>'Tab.1. bilans_Polska'!E571</f>
        <v>0</v>
      </c>
      <c r="AL23" s="484">
        <f t="shared" si="10"/>
        <v>2</v>
      </c>
      <c r="AM23" s="459">
        <f t="shared" si="11"/>
        <v>433</v>
      </c>
      <c r="AN23" s="463">
        <v>10</v>
      </c>
      <c r="AO23" s="439" t="s">
        <v>245</v>
      </c>
      <c r="AP23" s="489">
        <f t="shared" si="12"/>
        <v>0</v>
      </c>
      <c r="AQ23" s="450">
        <f t="shared" si="13"/>
        <v>0</v>
      </c>
      <c r="AR23" s="441">
        <f>'Tab.1. bilans_Polska'!C581</f>
        <v>0</v>
      </c>
      <c r="AS23" s="443">
        <f>'Tab.1. bilans_Polska'!C582</f>
        <v>0</v>
      </c>
      <c r="AT23" s="442">
        <f>'Tab.1. bilans_Polska'!C583</f>
        <v>0</v>
      </c>
      <c r="AU23" s="450">
        <f t="shared" si="14"/>
        <v>0</v>
      </c>
      <c r="AV23" s="472">
        <f>'Tab.1. bilans_Polska'!C586</f>
        <v>0</v>
      </c>
      <c r="AW23" s="441">
        <f>'Tab.1. bilans_Polska'!C587</f>
        <v>0</v>
      </c>
      <c r="AX23" s="444">
        <f>'Tab.1. bilans_Polska'!C588</f>
        <v>0</v>
      </c>
      <c r="AY23" s="463">
        <v>10</v>
      </c>
      <c r="AZ23" s="439" t="s">
        <v>245</v>
      </c>
      <c r="BA23" s="489">
        <f t="shared" si="15"/>
        <v>0</v>
      </c>
      <c r="BB23" s="450">
        <f t="shared" si="16"/>
        <v>0</v>
      </c>
      <c r="BC23" s="441">
        <f>'Tab.1. bilans_Polska'!D581</f>
        <v>0</v>
      </c>
      <c r="BD23" s="443">
        <f>'Tab.1. bilans_Polska'!D582</f>
        <v>0</v>
      </c>
      <c r="BE23" s="442">
        <f>'Tab.1. bilans_Polska'!D583</f>
        <v>0</v>
      </c>
      <c r="BF23" s="450">
        <f t="shared" si="17"/>
        <v>0</v>
      </c>
      <c r="BG23" s="472">
        <f>'Tab.1. bilans_Polska'!D586</f>
        <v>0</v>
      </c>
      <c r="BH23" s="441">
        <f>'Tab.1. bilans_Polska'!D587</f>
        <v>0</v>
      </c>
      <c r="BI23" s="444">
        <f>'Tab.1. bilans_Polska'!D588</f>
        <v>0</v>
      </c>
      <c r="BJ23" s="463">
        <v>10</v>
      </c>
      <c r="BK23" s="439" t="s">
        <v>245</v>
      </c>
      <c r="BL23" s="489">
        <f t="shared" si="18"/>
        <v>0</v>
      </c>
      <c r="BM23" s="450">
        <f t="shared" si="19"/>
        <v>0</v>
      </c>
      <c r="BN23" s="441">
        <f>'Tab.1. bilans_Polska'!E581</f>
        <v>0</v>
      </c>
      <c r="BO23" s="443">
        <f>'Tab.1. bilans_Polska'!E582</f>
        <v>0</v>
      </c>
      <c r="BP23" s="442">
        <f>'Tab.1. bilans_Polska'!E583</f>
        <v>0</v>
      </c>
      <c r="BQ23" s="450">
        <f t="shared" si="20"/>
        <v>0</v>
      </c>
      <c r="BR23" s="472">
        <f>'Tab.1. bilans_Polska'!E586</f>
        <v>0</v>
      </c>
      <c r="BS23" s="441">
        <f>'Tab.1. bilans_Polska'!E587</f>
        <v>0</v>
      </c>
      <c r="BT23" s="444">
        <f>'Tab.1. bilans_Polska'!E588</f>
        <v>0</v>
      </c>
    </row>
    <row r="24" spans="1:72" x14ac:dyDescent="0.2">
      <c r="A24" s="463">
        <v>11</v>
      </c>
      <c r="B24" s="439" t="s">
        <v>246</v>
      </c>
      <c r="C24" s="875">
        <f>'Tab.1. bilans_Polska'!C615</f>
        <v>3822</v>
      </c>
      <c r="D24" s="450">
        <f t="shared" si="0"/>
        <v>29</v>
      </c>
      <c r="E24" s="852">
        <f>'Tab.1. bilans_Polska'!C618</f>
        <v>5</v>
      </c>
      <c r="F24" s="861">
        <f>'Tab.1. bilans_Polska'!C619</f>
        <v>0</v>
      </c>
      <c r="G24" s="853">
        <f>'Tab.1. bilans_Polska'!C620</f>
        <v>24</v>
      </c>
      <c r="H24" s="450">
        <f t="shared" si="1"/>
        <v>1</v>
      </c>
      <c r="I24" s="878">
        <f>'Tab.1. bilans_Polska'!C623</f>
        <v>0</v>
      </c>
      <c r="J24" s="852">
        <f>'Tab.1. bilans_Polska'!C624</f>
        <v>0</v>
      </c>
      <c r="K24" s="853">
        <f>'Tab.1. bilans_Polska'!C625</f>
        <v>1</v>
      </c>
      <c r="L24" s="484">
        <f t="shared" si="2"/>
        <v>28</v>
      </c>
      <c r="M24" s="459">
        <f t="shared" si="3"/>
        <v>3850</v>
      </c>
      <c r="N24" s="463">
        <v>11</v>
      </c>
      <c r="O24" s="439" t="s">
        <v>246</v>
      </c>
      <c r="P24" s="481">
        <f>'Tab.1. bilans_Polska'!D615</f>
        <v>3274</v>
      </c>
      <c r="Q24" s="450">
        <f t="shared" si="4"/>
        <v>29</v>
      </c>
      <c r="R24" s="441">
        <f>'Tab.1. bilans_Polska'!D618</f>
        <v>5</v>
      </c>
      <c r="S24" s="443">
        <f>'Tab.1. bilans_Polska'!D619</f>
        <v>0</v>
      </c>
      <c r="T24" s="442">
        <f>'Tab.1. bilans_Polska'!D620</f>
        <v>24</v>
      </c>
      <c r="U24" s="450">
        <f t="shared" si="5"/>
        <v>0</v>
      </c>
      <c r="V24" s="472">
        <f>'Tab.1. bilans_Polska'!D623</f>
        <v>0</v>
      </c>
      <c r="W24" s="441">
        <f>'Tab.1. bilans_Polska'!D624</f>
        <v>0</v>
      </c>
      <c r="X24" s="442">
        <f>'Tab.1. bilans_Polska'!D625</f>
        <v>0</v>
      </c>
      <c r="Y24" s="484">
        <f t="shared" si="6"/>
        <v>29</v>
      </c>
      <c r="Z24" s="459">
        <f t="shared" si="7"/>
        <v>3303</v>
      </c>
      <c r="AA24" s="463">
        <v>11</v>
      </c>
      <c r="AB24" s="439" t="s">
        <v>246</v>
      </c>
      <c r="AC24" s="481">
        <f>'Tab.1. bilans_Polska'!E615</f>
        <v>548</v>
      </c>
      <c r="AD24" s="450">
        <f t="shared" si="8"/>
        <v>0</v>
      </c>
      <c r="AE24" s="441">
        <f>'Tab.1. bilans_Polska'!E618</f>
        <v>0</v>
      </c>
      <c r="AF24" s="443">
        <f>'Tab.1. bilans_Polska'!E619</f>
        <v>0</v>
      </c>
      <c r="AG24" s="442">
        <f>'Tab.1. bilans_Polska'!E620</f>
        <v>0</v>
      </c>
      <c r="AH24" s="450">
        <f t="shared" si="9"/>
        <v>1</v>
      </c>
      <c r="AI24" s="472">
        <f>'Tab.1. bilans_Polska'!E623</f>
        <v>0</v>
      </c>
      <c r="AJ24" s="441">
        <f>'Tab.1. bilans_Polska'!E624</f>
        <v>0</v>
      </c>
      <c r="AK24" s="442">
        <f>'Tab.1. bilans_Polska'!E625</f>
        <v>1</v>
      </c>
      <c r="AL24" s="484">
        <f t="shared" si="10"/>
        <v>-1</v>
      </c>
      <c r="AM24" s="459">
        <f t="shared" si="11"/>
        <v>547</v>
      </c>
      <c r="AN24" s="463">
        <v>11</v>
      </c>
      <c r="AO24" s="439" t="s">
        <v>246</v>
      </c>
      <c r="AP24" s="489">
        <f t="shared" si="12"/>
        <v>9</v>
      </c>
      <c r="AQ24" s="450">
        <f t="shared" si="13"/>
        <v>5</v>
      </c>
      <c r="AR24" s="441">
        <f>'Tab.1. bilans_Polska'!C635</f>
        <v>5</v>
      </c>
      <c r="AS24" s="443">
        <f>'Tab.1. bilans_Polska'!C636</f>
        <v>0</v>
      </c>
      <c r="AT24" s="442">
        <f>'Tab.1. bilans_Polska'!C637</f>
        <v>0</v>
      </c>
      <c r="AU24" s="450">
        <f t="shared" si="14"/>
        <v>4</v>
      </c>
      <c r="AV24" s="472">
        <f>'Tab.1. bilans_Polska'!C640</f>
        <v>3</v>
      </c>
      <c r="AW24" s="441">
        <f>'Tab.1. bilans_Polska'!C641</f>
        <v>0</v>
      </c>
      <c r="AX24" s="444">
        <f>'Tab.1. bilans_Polska'!C642</f>
        <v>1</v>
      </c>
      <c r="AY24" s="463">
        <v>11</v>
      </c>
      <c r="AZ24" s="439" t="s">
        <v>246</v>
      </c>
      <c r="BA24" s="489">
        <f t="shared" si="15"/>
        <v>9</v>
      </c>
      <c r="BB24" s="450">
        <f t="shared" si="16"/>
        <v>5</v>
      </c>
      <c r="BC24" s="441">
        <f>'Tab.1. bilans_Polska'!D635</f>
        <v>5</v>
      </c>
      <c r="BD24" s="443">
        <f>'Tab.1. bilans_Polska'!D636</f>
        <v>0</v>
      </c>
      <c r="BE24" s="442">
        <f>'Tab.1. bilans_Polska'!D637</f>
        <v>0</v>
      </c>
      <c r="BF24" s="450">
        <f t="shared" si="17"/>
        <v>4</v>
      </c>
      <c r="BG24" s="472">
        <f>'Tab.1. bilans_Polska'!D640</f>
        <v>3</v>
      </c>
      <c r="BH24" s="441">
        <f>'Tab.1. bilans_Polska'!D641</f>
        <v>0</v>
      </c>
      <c r="BI24" s="444">
        <f>'Tab.1. bilans_Polska'!D642</f>
        <v>1</v>
      </c>
      <c r="BJ24" s="463">
        <v>11</v>
      </c>
      <c r="BK24" s="439" t="s">
        <v>246</v>
      </c>
      <c r="BL24" s="489">
        <f t="shared" si="18"/>
        <v>0</v>
      </c>
      <c r="BM24" s="450">
        <f t="shared" si="19"/>
        <v>0</v>
      </c>
      <c r="BN24" s="441">
        <f>'Tab.1. bilans_Polska'!E635</f>
        <v>0</v>
      </c>
      <c r="BO24" s="443">
        <f>'Tab.1. bilans_Polska'!E636</f>
        <v>0</v>
      </c>
      <c r="BP24" s="442">
        <f>'Tab.1. bilans_Polska'!E637</f>
        <v>0</v>
      </c>
      <c r="BQ24" s="450">
        <f t="shared" si="20"/>
        <v>0</v>
      </c>
      <c r="BR24" s="472">
        <f>'Tab.1. bilans_Polska'!E640</f>
        <v>0</v>
      </c>
      <c r="BS24" s="441">
        <f>'Tab.1. bilans_Polska'!E641</f>
        <v>0</v>
      </c>
      <c r="BT24" s="444">
        <f>'Tab.1. bilans_Polska'!E642</f>
        <v>0</v>
      </c>
    </row>
    <row r="25" spans="1:72" x14ac:dyDescent="0.2">
      <c r="A25" s="463">
        <v>12</v>
      </c>
      <c r="B25" s="439" t="s">
        <v>247</v>
      </c>
      <c r="C25" s="875">
        <f>'Tab.1. bilans_Polska'!C669</f>
        <v>7811</v>
      </c>
      <c r="D25" s="450">
        <f t="shared" si="0"/>
        <v>27</v>
      </c>
      <c r="E25" s="852">
        <f>'Tab.1. bilans_Polska'!C672</f>
        <v>10</v>
      </c>
      <c r="F25" s="861">
        <f>'Tab.1. bilans_Polska'!C673</f>
        <v>0</v>
      </c>
      <c r="G25" s="853">
        <f>'Tab.1. bilans_Polska'!C674</f>
        <v>17</v>
      </c>
      <c r="H25" s="450">
        <f t="shared" si="1"/>
        <v>18</v>
      </c>
      <c r="I25" s="878">
        <f>'Tab.1. bilans_Polska'!C677</f>
        <v>0</v>
      </c>
      <c r="J25" s="852">
        <f>'Tab.1. bilans_Polska'!C678</f>
        <v>16</v>
      </c>
      <c r="K25" s="853">
        <f>'Tab.1. bilans_Polska'!C679</f>
        <v>2</v>
      </c>
      <c r="L25" s="484">
        <f t="shared" si="2"/>
        <v>9</v>
      </c>
      <c r="M25" s="459">
        <f t="shared" si="3"/>
        <v>7820</v>
      </c>
      <c r="N25" s="463">
        <v>12</v>
      </c>
      <c r="O25" s="439" t="s">
        <v>247</v>
      </c>
      <c r="P25" s="481">
        <f>'Tab.1. bilans_Polska'!D669</f>
        <v>4909</v>
      </c>
      <c r="Q25" s="450">
        <f t="shared" si="4"/>
        <v>0</v>
      </c>
      <c r="R25" s="441">
        <f>'Tab.1. bilans_Polska'!D672</f>
        <v>0</v>
      </c>
      <c r="S25" s="443">
        <f>'Tab.1. bilans_Polska'!D673</f>
        <v>0</v>
      </c>
      <c r="T25" s="442">
        <f>'Tab.1. bilans_Polska'!D674</f>
        <v>0</v>
      </c>
      <c r="U25" s="450">
        <f t="shared" si="5"/>
        <v>18</v>
      </c>
      <c r="V25" s="472">
        <f>'Tab.1. bilans_Polska'!D677</f>
        <v>0</v>
      </c>
      <c r="W25" s="441">
        <f>'Tab.1. bilans_Polska'!D678</f>
        <v>16</v>
      </c>
      <c r="X25" s="442">
        <f>'Tab.1. bilans_Polska'!D679</f>
        <v>2</v>
      </c>
      <c r="Y25" s="484">
        <f t="shared" si="6"/>
        <v>-18</v>
      </c>
      <c r="Z25" s="459">
        <f t="shared" si="7"/>
        <v>4891</v>
      </c>
      <c r="AA25" s="463">
        <v>12</v>
      </c>
      <c r="AB25" s="439" t="s">
        <v>247</v>
      </c>
      <c r="AC25" s="481">
        <f>'Tab.1. bilans_Polska'!E669</f>
        <v>2902</v>
      </c>
      <c r="AD25" s="450">
        <f t="shared" si="8"/>
        <v>27</v>
      </c>
      <c r="AE25" s="441">
        <f>'Tab.1. bilans_Polska'!E672</f>
        <v>10</v>
      </c>
      <c r="AF25" s="443">
        <f>'Tab.1. bilans_Polska'!E673</f>
        <v>0</v>
      </c>
      <c r="AG25" s="442">
        <f>'Tab.1. bilans_Polska'!E674</f>
        <v>17</v>
      </c>
      <c r="AH25" s="450">
        <f t="shared" si="9"/>
        <v>0</v>
      </c>
      <c r="AI25" s="472">
        <f>'Tab.1. bilans_Polska'!E677</f>
        <v>0</v>
      </c>
      <c r="AJ25" s="441">
        <f>'Tab.1. bilans_Polska'!E678</f>
        <v>0</v>
      </c>
      <c r="AK25" s="442">
        <f>'Tab.1. bilans_Polska'!E679</f>
        <v>0</v>
      </c>
      <c r="AL25" s="484">
        <f t="shared" si="10"/>
        <v>27</v>
      </c>
      <c r="AM25" s="459">
        <f t="shared" si="11"/>
        <v>2929</v>
      </c>
      <c r="AN25" s="463">
        <v>12</v>
      </c>
      <c r="AO25" s="439" t="s">
        <v>247</v>
      </c>
      <c r="AP25" s="489">
        <f t="shared" si="12"/>
        <v>19</v>
      </c>
      <c r="AQ25" s="450">
        <f t="shared" si="13"/>
        <v>19</v>
      </c>
      <c r="AR25" s="441">
        <f>'Tab.1. bilans_Polska'!C689</f>
        <v>0</v>
      </c>
      <c r="AS25" s="443">
        <f>'Tab.1. bilans_Polska'!C690</f>
        <v>0</v>
      </c>
      <c r="AT25" s="442">
        <f>'Tab.1. bilans_Polska'!C691</f>
        <v>19</v>
      </c>
      <c r="AU25" s="450">
        <f t="shared" si="14"/>
        <v>0</v>
      </c>
      <c r="AV25" s="472">
        <f>'Tab.1. bilans_Polska'!C694</f>
        <v>0</v>
      </c>
      <c r="AW25" s="441">
        <f>'Tab.1. bilans_Polska'!C695</f>
        <v>0</v>
      </c>
      <c r="AX25" s="444">
        <f>'Tab.1. bilans_Polska'!C696</f>
        <v>0</v>
      </c>
      <c r="AY25" s="463">
        <v>12</v>
      </c>
      <c r="AZ25" s="439" t="s">
        <v>247</v>
      </c>
      <c r="BA25" s="489">
        <f t="shared" si="15"/>
        <v>0</v>
      </c>
      <c r="BB25" s="450">
        <f t="shared" si="16"/>
        <v>0</v>
      </c>
      <c r="BC25" s="441">
        <f>'Tab.1. bilans_Polska'!D689</f>
        <v>0</v>
      </c>
      <c r="BD25" s="443">
        <f>'Tab.1. bilans_Polska'!D690</f>
        <v>0</v>
      </c>
      <c r="BE25" s="442">
        <f>'Tab.1. bilans_Polska'!D691</f>
        <v>0</v>
      </c>
      <c r="BF25" s="450">
        <f t="shared" si="17"/>
        <v>0</v>
      </c>
      <c r="BG25" s="472">
        <f>'Tab.1. bilans_Polska'!D694</f>
        <v>0</v>
      </c>
      <c r="BH25" s="441">
        <f>'Tab.1. bilans_Polska'!D695</f>
        <v>0</v>
      </c>
      <c r="BI25" s="444">
        <f>'Tab.1. bilans_Polska'!D696</f>
        <v>0</v>
      </c>
      <c r="BJ25" s="463">
        <v>12</v>
      </c>
      <c r="BK25" s="439" t="s">
        <v>247</v>
      </c>
      <c r="BL25" s="489">
        <f t="shared" si="18"/>
        <v>19</v>
      </c>
      <c r="BM25" s="450">
        <f t="shared" si="19"/>
        <v>19</v>
      </c>
      <c r="BN25" s="441">
        <f>'Tab.1. bilans_Polska'!E689</f>
        <v>0</v>
      </c>
      <c r="BO25" s="443">
        <f>'Tab.1. bilans_Polska'!E690</f>
        <v>0</v>
      </c>
      <c r="BP25" s="442">
        <f>'Tab.1. bilans_Polska'!E691</f>
        <v>19</v>
      </c>
      <c r="BQ25" s="450">
        <f t="shared" si="20"/>
        <v>0</v>
      </c>
      <c r="BR25" s="472">
        <f>'Tab.1. bilans_Polska'!E694</f>
        <v>0</v>
      </c>
      <c r="BS25" s="441">
        <f>'Tab.1. bilans_Polska'!E695</f>
        <v>0</v>
      </c>
      <c r="BT25" s="444">
        <f>'Tab.1. bilans_Polska'!E696</f>
        <v>0</v>
      </c>
    </row>
    <row r="26" spans="1:72" x14ac:dyDescent="0.2">
      <c r="A26" s="463">
        <v>13</v>
      </c>
      <c r="B26" s="439" t="s">
        <v>248</v>
      </c>
      <c r="C26" s="875">
        <f>'Tab.1. bilans_Polska'!C723</f>
        <v>3233</v>
      </c>
      <c r="D26" s="450">
        <f t="shared" si="0"/>
        <v>46</v>
      </c>
      <c r="E26" s="852">
        <f>'Tab.1. bilans_Polska'!C726</f>
        <v>0</v>
      </c>
      <c r="F26" s="861">
        <f>'Tab.1. bilans_Polska'!C727</f>
        <v>0</v>
      </c>
      <c r="G26" s="853">
        <f>'Tab.1. bilans_Polska'!C728</f>
        <v>46</v>
      </c>
      <c r="H26" s="450">
        <f t="shared" si="1"/>
        <v>20</v>
      </c>
      <c r="I26" s="878">
        <f>'Tab.1. bilans_Polska'!C731</f>
        <v>0</v>
      </c>
      <c r="J26" s="852">
        <f>'Tab.1. bilans_Polska'!C732</f>
        <v>0</v>
      </c>
      <c r="K26" s="853">
        <f>'Tab.1. bilans_Polska'!C733</f>
        <v>20</v>
      </c>
      <c r="L26" s="484">
        <f t="shared" si="2"/>
        <v>26</v>
      </c>
      <c r="M26" s="459">
        <f t="shared" si="3"/>
        <v>3259</v>
      </c>
      <c r="N26" s="463">
        <v>13</v>
      </c>
      <c r="O26" s="439" t="s">
        <v>248</v>
      </c>
      <c r="P26" s="481">
        <f>'Tab.1. bilans_Polska'!D723</f>
        <v>2847</v>
      </c>
      <c r="Q26" s="450">
        <f t="shared" si="4"/>
        <v>0</v>
      </c>
      <c r="R26" s="441">
        <f>'Tab.1. bilans_Polska'!D726</f>
        <v>0</v>
      </c>
      <c r="S26" s="443">
        <f>'Tab.1. bilans_Polska'!D727</f>
        <v>0</v>
      </c>
      <c r="T26" s="442">
        <f>'Tab.1. bilans_Polska'!D728</f>
        <v>0</v>
      </c>
      <c r="U26" s="450">
        <f t="shared" si="5"/>
        <v>0</v>
      </c>
      <c r="V26" s="472">
        <f>'Tab.1. bilans_Polska'!D731</f>
        <v>0</v>
      </c>
      <c r="W26" s="441">
        <f>'Tab.1. bilans_Polska'!D732</f>
        <v>0</v>
      </c>
      <c r="X26" s="442">
        <f>'Tab.1. bilans_Polska'!D733</f>
        <v>0</v>
      </c>
      <c r="Y26" s="484">
        <f t="shared" si="6"/>
        <v>0</v>
      </c>
      <c r="Z26" s="459">
        <f t="shared" si="7"/>
        <v>2847</v>
      </c>
      <c r="AA26" s="463">
        <v>13</v>
      </c>
      <c r="AB26" s="439" t="s">
        <v>248</v>
      </c>
      <c r="AC26" s="481">
        <f>'Tab.1. bilans_Polska'!E723</f>
        <v>386</v>
      </c>
      <c r="AD26" s="450">
        <f t="shared" si="8"/>
        <v>46</v>
      </c>
      <c r="AE26" s="441">
        <f>'Tab.1. bilans_Polska'!E726</f>
        <v>0</v>
      </c>
      <c r="AF26" s="443">
        <f>'Tab.1. bilans_Polska'!E727</f>
        <v>0</v>
      </c>
      <c r="AG26" s="442">
        <f>'Tab.1. bilans_Polska'!E728</f>
        <v>46</v>
      </c>
      <c r="AH26" s="450">
        <f t="shared" si="9"/>
        <v>20</v>
      </c>
      <c r="AI26" s="472">
        <f>'Tab.1. bilans_Polska'!E731</f>
        <v>0</v>
      </c>
      <c r="AJ26" s="441">
        <f>'Tab.1. bilans_Polska'!E732</f>
        <v>0</v>
      </c>
      <c r="AK26" s="442">
        <f>'Tab.1. bilans_Polska'!E733</f>
        <v>20</v>
      </c>
      <c r="AL26" s="484">
        <f t="shared" si="10"/>
        <v>26</v>
      </c>
      <c r="AM26" s="459">
        <f t="shared" si="11"/>
        <v>412</v>
      </c>
      <c r="AN26" s="463">
        <v>13</v>
      </c>
      <c r="AO26" s="439" t="s">
        <v>248</v>
      </c>
      <c r="AP26" s="489">
        <f t="shared" si="12"/>
        <v>0</v>
      </c>
      <c r="AQ26" s="450">
        <f t="shared" si="13"/>
        <v>0</v>
      </c>
      <c r="AR26" s="441">
        <f>'Tab.1. bilans_Polska'!C743</f>
        <v>0</v>
      </c>
      <c r="AS26" s="443">
        <f>'Tab.1. bilans_Polska'!C744</f>
        <v>0</v>
      </c>
      <c r="AT26" s="442">
        <f>'Tab.1. bilans_Polska'!C745</f>
        <v>0</v>
      </c>
      <c r="AU26" s="450">
        <f t="shared" si="14"/>
        <v>0</v>
      </c>
      <c r="AV26" s="472">
        <f>'Tab.1. bilans_Polska'!C748</f>
        <v>0</v>
      </c>
      <c r="AW26" s="441">
        <f>'Tab.1. bilans_Polska'!C749</f>
        <v>0</v>
      </c>
      <c r="AX26" s="444">
        <f>'Tab.1. bilans_Polska'!C750</f>
        <v>0</v>
      </c>
      <c r="AY26" s="463">
        <v>13</v>
      </c>
      <c r="AZ26" s="439" t="s">
        <v>248</v>
      </c>
      <c r="BA26" s="489">
        <f t="shared" si="15"/>
        <v>0</v>
      </c>
      <c r="BB26" s="450">
        <f t="shared" si="16"/>
        <v>0</v>
      </c>
      <c r="BC26" s="441">
        <f>'Tab.1. bilans_Polska'!D743</f>
        <v>0</v>
      </c>
      <c r="BD26" s="443">
        <f>'Tab.1. bilans_Polska'!D744</f>
        <v>0</v>
      </c>
      <c r="BE26" s="442">
        <f>'Tab.1. bilans_Polska'!D745</f>
        <v>0</v>
      </c>
      <c r="BF26" s="450">
        <f t="shared" si="17"/>
        <v>0</v>
      </c>
      <c r="BG26" s="472">
        <f>'Tab.1. bilans_Polska'!D748</f>
        <v>0</v>
      </c>
      <c r="BH26" s="441">
        <f>'Tab.1. bilans_Polska'!D749</f>
        <v>0</v>
      </c>
      <c r="BI26" s="444">
        <f>'Tab.1. bilans_Polska'!D750</f>
        <v>0</v>
      </c>
      <c r="BJ26" s="463">
        <v>13</v>
      </c>
      <c r="BK26" s="439" t="s">
        <v>248</v>
      </c>
      <c r="BL26" s="489">
        <f t="shared" si="18"/>
        <v>0</v>
      </c>
      <c r="BM26" s="450">
        <f t="shared" si="19"/>
        <v>0</v>
      </c>
      <c r="BN26" s="441">
        <f>'Tab.1. bilans_Polska'!E743</f>
        <v>0</v>
      </c>
      <c r="BO26" s="443">
        <f>'Tab.1. bilans_Polska'!E744</f>
        <v>0</v>
      </c>
      <c r="BP26" s="442">
        <f>'Tab.1. bilans_Polska'!E745</f>
        <v>0</v>
      </c>
      <c r="BQ26" s="450">
        <f t="shared" si="20"/>
        <v>0</v>
      </c>
      <c r="BR26" s="472">
        <f>'Tab.1. bilans_Polska'!E748</f>
        <v>0</v>
      </c>
      <c r="BS26" s="441">
        <f>'Tab.1. bilans_Polska'!E749</f>
        <v>0</v>
      </c>
      <c r="BT26" s="444">
        <f>'Tab.1. bilans_Polska'!E750</f>
        <v>0</v>
      </c>
    </row>
    <row r="27" spans="1:72" x14ac:dyDescent="0.2">
      <c r="A27" s="463">
        <v>14</v>
      </c>
      <c r="B27" s="439" t="s">
        <v>249</v>
      </c>
      <c r="C27" s="875">
        <f>'Tab.1. bilans_Polska'!C777</f>
        <v>3576</v>
      </c>
      <c r="D27" s="450">
        <f t="shared" si="0"/>
        <v>3</v>
      </c>
      <c r="E27" s="852">
        <f>'Tab.1. bilans_Polska'!C780</f>
        <v>3</v>
      </c>
      <c r="F27" s="861">
        <f>'Tab.1. bilans_Polska'!C781</f>
        <v>0</v>
      </c>
      <c r="G27" s="853">
        <f>'Tab.1. bilans_Polska'!C782</f>
        <v>0</v>
      </c>
      <c r="H27" s="450">
        <f t="shared" si="1"/>
        <v>49</v>
      </c>
      <c r="I27" s="878">
        <f>'Tab.1. bilans_Polska'!C785</f>
        <v>0</v>
      </c>
      <c r="J27" s="852">
        <f>'Tab.1. bilans_Polska'!C786</f>
        <v>0</v>
      </c>
      <c r="K27" s="853">
        <f>'Tab.1. bilans_Polska'!C787</f>
        <v>49</v>
      </c>
      <c r="L27" s="484">
        <f t="shared" si="2"/>
        <v>-46</v>
      </c>
      <c r="M27" s="459">
        <f t="shared" si="3"/>
        <v>3530</v>
      </c>
      <c r="N27" s="463">
        <v>14</v>
      </c>
      <c r="O27" s="439" t="s">
        <v>249</v>
      </c>
      <c r="P27" s="481">
        <f>'Tab.1. bilans_Polska'!D777</f>
        <v>2923</v>
      </c>
      <c r="Q27" s="450">
        <f t="shared" si="4"/>
        <v>0</v>
      </c>
      <c r="R27" s="441">
        <f>'Tab.1. bilans_Polska'!D780</f>
        <v>0</v>
      </c>
      <c r="S27" s="443">
        <f>'Tab.1. bilans_Polska'!D781</f>
        <v>0</v>
      </c>
      <c r="T27" s="442">
        <f>'Tab.1. bilans_Polska'!D782</f>
        <v>0</v>
      </c>
      <c r="U27" s="450">
        <f t="shared" si="5"/>
        <v>0</v>
      </c>
      <c r="V27" s="472">
        <f>'Tab.1. bilans_Polska'!D785</f>
        <v>0</v>
      </c>
      <c r="W27" s="441">
        <f>'Tab.1. bilans_Polska'!D786</f>
        <v>0</v>
      </c>
      <c r="X27" s="442">
        <f>'Tab.1. bilans_Polska'!D787</f>
        <v>0</v>
      </c>
      <c r="Y27" s="484">
        <f t="shared" si="6"/>
        <v>0</v>
      </c>
      <c r="Z27" s="459">
        <f t="shared" si="7"/>
        <v>2923</v>
      </c>
      <c r="AA27" s="463">
        <v>14</v>
      </c>
      <c r="AB27" s="439" t="s">
        <v>249</v>
      </c>
      <c r="AC27" s="481">
        <f>'Tab.1. bilans_Polska'!E777</f>
        <v>653</v>
      </c>
      <c r="AD27" s="450">
        <f t="shared" si="8"/>
        <v>3</v>
      </c>
      <c r="AE27" s="441">
        <f>'Tab.1. bilans_Polska'!E780</f>
        <v>3</v>
      </c>
      <c r="AF27" s="443">
        <f>'Tab.1. bilans_Polska'!E781</f>
        <v>0</v>
      </c>
      <c r="AG27" s="442">
        <f>'Tab.1. bilans_Polska'!E782</f>
        <v>0</v>
      </c>
      <c r="AH27" s="450">
        <f t="shared" si="9"/>
        <v>49</v>
      </c>
      <c r="AI27" s="472">
        <f>'Tab.1. bilans_Polska'!E785</f>
        <v>0</v>
      </c>
      <c r="AJ27" s="441">
        <f>'Tab.1. bilans_Polska'!E786</f>
        <v>0</v>
      </c>
      <c r="AK27" s="442">
        <f>'Tab.1. bilans_Polska'!E787</f>
        <v>49</v>
      </c>
      <c r="AL27" s="484">
        <f t="shared" si="10"/>
        <v>-46</v>
      </c>
      <c r="AM27" s="459">
        <f t="shared" si="11"/>
        <v>607</v>
      </c>
      <c r="AN27" s="463">
        <v>14</v>
      </c>
      <c r="AO27" s="439" t="s">
        <v>249</v>
      </c>
      <c r="AP27" s="489">
        <f t="shared" si="12"/>
        <v>2</v>
      </c>
      <c r="AQ27" s="450">
        <f t="shared" si="13"/>
        <v>0</v>
      </c>
      <c r="AR27" s="441">
        <f>'Tab.1. bilans_Polska'!C797</f>
        <v>0</v>
      </c>
      <c r="AS27" s="443">
        <f>'Tab.1. bilans_Polska'!C798</f>
        <v>0</v>
      </c>
      <c r="AT27" s="442">
        <f>'Tab.1. bilans_Polska'!C799</f>
        <v>0</v>
      </c>
      <c r="AU27" s="450">
        <f t="shared" si="14"/>
        <v>2</v>
      </c>
      <c r="AV27" s="472">
        <f>'Tab.1. bilans_Polska'!C802</f>
        <v>2</v>
      </c>
      <c r="AW27" s="441">
        <f>'Tab.1. bilans_Polska'!C803</f>
        <v>0</v>
      </c>
      <c r="AX27" s="444">
        <f>'Tab.1. bilans_Polska'!C804</f>
        <v>0</v>
      </c>
      <c r="AY27" s="463">
        <v>14</v>
      </c>
      <c r="AZ27" s="439" t="s">
        <v>249</v>
      </c>
      <c r="BA27" s="489">
        <f t="shared" si="15"/>
        <v>2</v>
      </c>
      <c r="BB27" s="450">
        <f t="shared" si="16"/>
        <v>0</v>
      </c>
      <c r="BC27" s="441">
        <f>'Tab.1. bilans_Polska'!D797</f>
        <v>0</v>
      </c>
      <c r="BD27" s="443">
        <f>'Tab.1. bilans_Polska'!D798</f>
        <v>0</v>
      </c>
      <c r="BE27" s="442">
        <f>'Tab.1. bilans_Polska'!D799</f>
        <v>0</v>
      </c>
      <c r="BF27" s="450">
        <f t="shared" si="17"/>
        <v>2</v>
      </c>
      <c r="BG27" s="472">
        <f>'Tab.1. bilans_Polska'!D802</f>
        <v>2</v>
      </c>
      <c r="BH27" s="441">
        <f>'Tab.1. bilans_Polska'!D803</f>
        <v>0</v>
      </c>
      <c r="BI27" s="444">
        <f>'Tab.1. bilans_Polska'!D804</f>
        <v>0</v>
      </c>
      <c r="BJ27" s="463">
        <v>14</v>
      </c>
      <c r="BK27" s="439" t="s">
        <v>249</v>
      </c>
      <c r="BL27" s="489">
        <f t="shared" si="18"/>
        <v>0</v>
      </c>
      <c r="BM27" s="450">
        <f t="shared" si="19"/>
        <v>0</v>
      </c>
      <c r="BN27" s="441">
        <f>'Tab.1. bilans_Polska'!E797</f>
        <v>0</v>
      </c>
      <c r="BO27" s="443">
        <f>'Tab.1. bilans_Polska'!E798</f>
        <v>0</v>
      </c>
      <c r="BP27" s="442">
        <f>'Tab.1. bilans_Polska'!E799</f>
        <v>0</v>
      </c>
      <c r="BQ27" s="450">
        <f t="shared" si="20"/>
        <v>0</v>
      </c>
      <c r="BR27" s="472">
        <f>'Tab.1. bilans_Polska'!E802</f>
        <v>0</v>
      </c>
      <c r="BS27" s="441">
        <f>'Tab.1. bilans_Polska'!E803</f>
        <v>0</v>
      </c>
      <c r="BT27" s="444">
        <f>'Tab.1. bilans_Polska'!E804</f>
        <v>0</v>
      </c>
    </row>
    <row r="28" spans="1:72" x14ac:dyDescent="0.2">
      <c r="A28" s="463">
        <v>15</v>
      </c>
      <c r="B28" s="439" t="s">
        <v>250</v>
      </c>
      <c r="C28" s="875">
        <f>'Tab.1. bilans_Polska'!C831</f>
        <v>6286</v>
      </c>
      <c r="D28" s="450">
        <f t="shared" si="0"/>
        <v>19</v>
      </c>
      <c r="E28" s="852">
        <f>'Tab.1. bilans_Polska'!C834</f>
        <v>19</v>
      </c>
      <c r="F28" s="861">
        <f>'Tab.1. bilans_Polska'!C835</f>
        <v>0</v>
      </c>
      <c r="G28" s="853">
        <f>'Tab.1. bilans_Polska'!C836</f>
        <v>0</v>
      </c>
      <c r="H28" s="450">
        <f t="shared" si="1"/>
        <v>12</v>
      </c>
      <c r="I28" s="878">
        <f>'Tab.1. bilans_Polska'!C839</f>
        <v>0</v>
      </c>
      <c r="J28" s="852">
        <f>'Tab.1. bilans_Polska'!C840</f>
        <v>0</v>
      </c>
      <c r="K28" s="853">
        <f>'Tab.1. bilans_Polska'!C841</f>
        <v>12</v>
      </c>
      <c r="L28" s="484">
        <f t="shared" si="2"/>
        <v>7</v>
      </c>
      <c r="M28" s="459">
        <f t="shared" si="3"/>
        <v>6293</v>
      </c>
      <c r="N28" s="463">
        <v>15</v>
      </c>
      <c r="O28" s="439" t="s">
        <v>250</v>
      </c>
      <c r="P28" s="481">
        <f>'Tab.1. bilans_Polska'!D831</f>
        <v>5244</v>
      </c>
      <c r="Q28" s="450">
        <f t="shared" si="4"/>
        <v>19</v>
      </c>
      <c r="R28" s="441">
        <f>'Tab.1. bilans_Polska'!D834</f>
        <v>19</v>
      </c>
      <c r="S28" s="443">
        <f>'Tab.1. bilans_Polska'!D835</f>
        <v>0</v>
      </c>
      <c r="T28" s="442">
        <f>'Tab.1. bilans_Polska'!D836</f>
        <v>0</v>
      </c>
      <c r="U28" s="450">
        <f t="shared" si="5"/>
        <v>12</v>
      </c>
      <c r="V28" s="472">
        <f>'Tab.1. bilans_Polska'!D839</f>
        <v>0</v>
      </c>
      <c r="W28" s="441">
        <f>'Tab.1. bilans_Polska'!D840</f>
        <v>0</v>
      </c>
      <c r="X28" s="442">
        <f>'Tab.1. bilans_Polska'!D841</f>
        <v>12</v>
      </c>
      <c r="Y28" s="484">
        <f t="shared" si="6"/>
        <v>7</v>
      </c>
      <c r="Z28" s="459">
        <f t="shared" si="7"/>
        <v>5251</v>
      </c>
      <c r="AA28" s="463">
        <v>15</v>
      </c>
      <c r="AB28" s="439" t="s">
        <v>250</v>
      </c>
      <c r="AC28" s="481">
        <f>'Tab.1. bilans_Polska'!E831</f>
        <v>1042</v>
      </c>
      <c r="AD28" s="450">
        <f t="shared" si="8"/>
        <v>0</v>
      </c>
      <c r="AE28" s="441">
        <f>'Tab.1. bilans_Polska'!E834</f>
        <v>0</v>
      </c>
      <c r="AF28" s="443">
        <f>'Tab.1. bilans_Polska'!E835</f>
        <v>0</v>
      </c>
      <c r="AG28" s="442">
        <f>'Tab.1. bilans_Polska'!E836</f>
        <v>0</v>
      </c>
      <c r="AH28" s="450">
        <f t="shared" si="9"/>
        <v>0</v>
      </c>
      <c r="AI28" s="472">
        <f>'Tab.1. bilans_Polska'!E839</f>
        <v>0</v>
      </c>
      <c r="AJ28" s="441">
        <f>'Tab.1. bilans_Polska'!E840</f>
        <v>0</v>
      </c>
      <c r="AK28" s="442">
        <f>'Tab.1. bilans_Polska'!E841</f>
        <v>0</v>
      </c>
      <c r="AL28" s="484">
        <f t="shared" si="10"/>
        <v>0</v>
      </c>
      <c r="AM28" s="459">
        <f t="shared" si="11"/>
        <v>1042</v>
      </c>
      <c r="AN28" s="463">
        <v>15</v>
      </c>
      <c r="AO28" s="439" t="s">
        <v>250</v>
      </c>
      <c r="AP28" s="489">
        <f t="shared" si="12"/>
        <v>10</v>
      </c>
      <c r="AQ28" s="450">
        <f t="shared" si="13"/>
        <v>10</v>
      </c>
      <c r="AR28" s="441">
        <f>'Tab.1. bilans_Polska'!C851</f>
        <v>10</v>
      </c>
      <c r="AS28" s="443">
        <f>'Tab.1. bilans_Polska'!C852</f>
        <v>0</v>
      </c>
      <c r="AT28" s="442">
        <f>'Tab.1. bilans_Polska'!C853</f>
        <v>0</v>
      </c>
      <c r="AU28" s="450">
        <f t="shared" si="14"/>
        <v>0</v>
      </c>
      <c r="AV28" s="472">
        <f>'Tab.1. bilans_Polska'!C856</f>
        <v>0</v>
      </c>
      <c r="AW28" s="441">
        <f>'Tab.1. bilans_Polska'!C857</f>
        <v>0</v>
      </c>
      <c r="AX28" s="444">
        <f>'Tab.1. bilans_Polska'!C858</f>
        <v>0</v>
      </c>
      <c r="AY28" s="463">
        <v>15</v>
      </c>
      <c r="AZ28" s="439" t="s">
        <v>250</v>
      </c>
      <c r="BA28" s="489">
        <f t="shared" si="15"/>
        <v>10</v>
      </c>
      <c r="BB28" s="450">
        <f t="shared" si="16"/>
        <v>10</v>
      </c>
      <c r="BC28" s="441">
        <f>'Tab.1. bilans_Polska'!D851</f>
        <v>10</v>
      </c>
      <c r="BD28" s="443">
        <f>'Tab.1. bilans_Polska'!D852</f>
        <v>0</v>
      </c>
      <c r="BE28" s="442">
        <f>'Tab.1. bilans_Polska'!D853</f>
        <v>0</v>
      </c>
      <c r="BF28" s="450">
        <f t="shared" si="17"/>
        <v>0</v>
      </c>
      <c r="BG28" s="472">
        <f>'Tab.1. bilans_Polska'!D856</f>
        <v>0</v>
      </c>
      <c r="BH28" s="441">
        <f>'Tab.1. bilans_Polska'!D857</f>
        <v>0</v>
      </c>
      <c r="BI28" s="444">
        <f>'Tab.1. bilans_Polska'!D858</f>
        <v>0</v>
      </c>
      <c r="BJ28" s="463">
        <v>15</v>
      </c>
      <c r="BK28" s="439" t="s">
        <v>250</v>
      </c>
      <c r="BL28" s="489">
        <f t="shared" si="18"/>
        <v>0</v>
      </c>
      <c r="BM28" s="450">
        <f t="shared" si="19"/>
        <v>0</v>
      </c>
      <c r="BN28" s="441">
        <f>'Tab.1. bilans_Polska'!E851</f>
        <v>0</v>
      </c>
      <c r="BO28" s="443">
        <f>'Tab.1. bilans_Polska'!E852</f>
        <v>0</v>
      </c>
      <c r="BP28" s="442">
        <f>'Tab.1. bilans_Polska'!E853</f>
        <v>0</v>
      </c>
      <c r="BQ28" s="450">
        <f t="shared" si="20"/>
        <v>0</v>
      </c>
      <c r="BR28" s="472">
        <f>'Tab.1. bilans_Polska'!E856</f>
        <v>0</v>
      </c>
      <c r="BS28" s="441">
        <f>'Tab.1. bilans_Polska'!E857</f>
        <v>0</v>
      </c>
      <c r="BT28" s="444">
        <f>'Tab.1. bilans_Polska'!E858</f>
        <v>0</v>
      </c>
    </row>
    <row r="29" spans="1:72" ht="13.5" thickBot="1" x14ac:dyDescent="0.25">
      <c r="A29" s="463">
        <v>16</v>
      </c>
      <c r="B29" s="439" t="s">
        <v>251</v>
      </c>
      <c r="C29" s="875">
        <f>'Tab.1. bilans_Polska'!C885</f>
        <v>3743</v>
      </c>
      <c r="D29" s="450">
        <f t="shared" si="0"/>
        <v>2</v>
      </c>
      <c r="E29" s="852">
        <f>'Tab.1. bilans_Polska'!C888</f>
        <v>0</v>
      </c>
      <c r="F29" s="861">
        <f>'Tab.1. bilans_Polska'!C889</f>
        <v>0</v>
      </c>
      <c r="G29" s="853">
        <f>'Tab.1. bilans_Polska'!C890</f>
        <v>2</v>
      </c>
      <c r="H29" s="450">
        <f t="shared" si="1"/>
        <v>0</v>
      </c>
      <c r="I29" s="878">
        <f>'Tab.1. bilans_Polska'!C893</f>
        <v>0</v>
      </c>
      <c r="J29" s="852">
        <f>'Tab.1. bilans_Polska'!C894</f>
        <v>0</v>
      </c>
      <c r="K29" s="853">
        <f>'Tab.1. bilans_Polska'!C895</f>
        <v>0</v>
      </c>
      <c r="L29" s="484">
        <f t="shared" si="2"/>
        <v>2</v>
      </c>
      <c r="M29" s="459">
        <f t="shared" si="3"/>
        <v>3745</v>
      </c>
      <c r="N29" s="463">
        <v>16</v>
      </c>
      <c r="O29" s="439" t="s">
        <v>251</v>
      </c>
      <c r="P29" s="481">
        <f>'Tab.1. bilans_Polska'!D885</f>
        <v>3109</v>
      </c>
      <c r="Q29" s="450">
        <f t="shared" si="4"/>
        <v>0</v>
      </c>
      <c r="R29" s="441">
        <f>'Tab.1. bilans_Polska'!D888</f>
        <v>0</v>
      </c>
      <c r="S29" s="443">
        <f>'Tab.1. bilans_Polska'!D889</f>
        <v>0</v>
      </c>
      <c r="T29" s="442">
        <f>'Tab.1. bilans_Polska'!D890</f>
        <v>0</v>
      </c>
      <c r="U29" s="450">
        <f t="shared" si="5"/>
        <v>0</v>
      </c>
      <c r="V29" s="472">
        <f>'Tab.1. bilans_Polska'!D893</f>
        <v>0</v>
      </c>
      <c r="W29" s="441">
        <f>'Tab.1. bilans_Polska'!D894</f>
        <v>0</v>
      </c>
      <c r="X29" s="442">
        <f>'Tab.1. bilans_Polska'!D895</f>
        <v>0</v>
      </c>
      <c r="Y29" s="484">
        <f t="shared" si="6"/>
        <v>0</v>
      </c>
      <c r="Z29" s="459">
        <f t="shared" si="7"/>
        <v>3109</v>
      </c>
      <c r="AA29" s="463">
        <v>16</v>
      </c>
      <c r="AB29" s="439" t="s">
        <v>251</v>
      </c>
      <c r="AC29" s="481">
        <f>'Tab.1. bilans_Polska'!E885</f>
        <v>634</v>
      </c>
      <c r="AD29" s="450">
        <f t="shared" si="8"/>
        <v>2</v>
      </c>
      <c r="AE29" s="441">
        <f>'Tab.1. bilans_Polska'!E888</f>
        <v>0</v>
      </c>
      <c r="AF29" s="443">
        <f>'Tab.1. bilans_Polska'!E889</f>
        <v>0</v>
      </c>
      <c r="AG29" s="442">
        <f>'Tab.1. bilans_Polska'!E890</f>
        <v>2</v>
      </c>
      <c r="AH29" s="450">
        <f t="shared" si="9"/>
        <v>0</v>
      </c>
      <c r="AI29" s="472">
        <f>'Tab.1. bilans_Polska'!E893</f>
        <v>0</v>
      </c>
      <c r="AJ29" s="441">
        <f>'Tab.1. bilans_Polska'!E894</f>
        <v>0</v>
      </c>
      <c r="AK29" s="442">
        <f>'Tab.1. bilans_Polska'!E895</f>
        <v>0</v>
      </c>
      <c r="AL29" s="484">
        <f t="shared" si="10"/>
        <v>2</v>
      </c>
      <c r="AM29" s="459">
        <f t="shared" si="11"/>
        <v>636</v>
      </c>
      <c r="AN29" s="463">
        <v>16</v>
      </c>
      <c r="AO29" s="439" t="s">
        <v>251</v>
      </c>
      <c r="AP29" s="489">
        <f t="shared" si="12"/>
        <v>3</v>
      </c>
      <c r="AQ29" s="450">
        <f t="shared" si="13"/>
        <v>1</v>
      </c>
      <c r="AR29" s="441">
        <f>'Tab.1. bilans_Polska'!C905</f>
        <v>0</v>
      </c>
      <c r="AS29" s="443">
        <f>'Tab.1. bilans_Polska'!C906</f>
        <v>0</v>
      </c>
      <c r="AT29" s="442">
        <f>'Tab.1. bilans_Polska'!C907</f>
        <v>1</v>
      </c>
      <c r="AU29" s="450">
        <f t="shared" si="14"/>
        <v>2</v>
      </c>
      <c r="AV29" s="472">
        <f>'Tab.1. bilans_Polska'!C910</f>
        <v>0</v>
      </c>
      <c r="AW29" s="441">
        <f>'Tab.1. bilans_Polska'!C911</f>
        <v>0</v>
      </c>
      <c r="AX29" s="444">
        <f>'Tab.1. bilans_Polska'!C912</f>
        <v>2</v>
      </c>
      <c r="AY29" s="463">
        <v>16</v>
      </c>
      <c r="AZ29" s="439" t="s">
        <v>251</v>
      </c>
      <c r="BA29" s="489">
        <f t="shared" si="15"/>
        <v>0</v>
      </c>
      <c r="BB29" s="450">
        <f t="shared" si="16"/>
        <v>0</v>
      </c>
      <c r="BC29" s="441">
        <f>'Tab.1. bilans_Polska'!D905</f>
        <v>0</v>
      </c>
      <c r="BD29" s="443">
        <f>'Tab.1. bilans_Polska'!D906</f>
        <v>0</v>
      </c>
      <c r="BE29" s="442">
        <f>'Tab.1. bilans_Polska'!D907</f>
        <v>0</v>
      </c>
      <c r="BF29" s="450">
        <f t="shared" si="17"/>
        <v>0</v>
      </c>
      <c r="BG29" s="472">
        <f>'Tab.1. bilans_Polska'!D910</f>
        <v>0</v>
      </c>
      <c r="BH29" s="441">
        <f>'Tab.1. bilans_Polska'!D911</f>
        <v>0</v>
      </c>
      <c r="BI29" s="444">
        <f>'Tab.1. bilans_Polska'!D912</f>
        <v>0</v>
      </c>
      <c r="BJ29" s="463">
        <v>16</v>
      </c>
      <c r="BK29" s="439" t="s">
        <v>251</v>
      </c>
      <c r="BL29" s="489">
        <f t="shared" si="18"/>
        <v>3</v>
      </c>
      <c r="BM29" s="450">
        <f t="shared" si="19"/>
        <v>1</v>
      </c>
      <c r="BN29" s="441">
        <f>'Tab.1. bilans_Polska'!E905</f>
        <v>0</v>
      </c>
      <c r="BO29" s="443">
        <f>'Tab.1. bilans_Polska'!E906</f>
        <v>0</v>
      </c>
      <c r="BP29" s="442">
        <f>'Tab.1. bilans_Polska'!E907</f>
        <v>1</v>
      </c>
      <c r="BQ29" s="450">
        <f t="shared" si="20"/>
        <v>2</v>
      </c>
      <c r="BR29" s="472">
        <f>'Tab.1. bilans_Polska'!E910</f>
        <v>0</v>
      </c>
      <c r="BS29" s="441">
        <f>'Tab.1. bilans_Polska'!E911</f>
        <v>0</v>
      </c>
      <c r="BT29" s="444">
        <f>'Tab.1. bilans_Polska'!E912</f>
        <v>2</v>
      </c>
    </row>
    <row r="30" spans="1:72" ht="16.5" thickBot="1" x14ac:dyDescent="0.3">
      <c r="A30" s="445" t="s">
        <v>252</v>
      </c>
      <c r="B30" s="446"/>
      <c r="C30" s="474">
        <f>SUM(C14:C29)</f>
        <v>77093</v>
      </c>
      <c r="D30" s="475">
        <f t="shared" ref="D30:M30" si="21">SUM(D14:D29)</f>
        <v>676</v>
      </c>
      <c r="E30" s="476">
        <f t="shared" si="21"/>
        <v>275</v>
      </c>
      <c r="F30" s="477">
        <f t="shared" si="21"/>
        <v>128</v>
      </c>
      <c r="G30" s="478">
        <f t="shared" si="21"/>
        <v>273</v>
      </c>
      <c r="H30" s="475">
        <f t="shared" si="21"/>
        <v>401</v>
      </c>
      <c r="I30" s="479">
        <f t="shared" si="21"/>
        <v>83</v>
      </c>
      <c r="J30" s="476">
        <f t="shared" si="21"/>
        <v>66</v>
      </c>
      <c r="K30" s="478">
        <f t="shared" si="21"/>
        <v>252</v>
      </c>
      <c r="L30" s="479">
        <f t="shared" si="21"/>
        <v>275</v>
      </c>
      <c r="M30" s="480">
        <f t="shared" si="21"/>
        <v>77368</v>
      </c>
      <c r="N30" s="445" t="s">
        <v>252</v>
      </c>
      <c r="O30" s="446"/>
      <c r="P30" s="474">
        <f t="shared" ref="P30:Z30" si="22">SUM(P14:P29)</f>
        <v>63842</v>
      </c>
      <c r="Q30" s="475">
        <f t="shared" si="22"/>
        <v>389</v>
      </c>
      <c r="R30" s="476">
        <f t="shared" si="22"/>
        <v>229</v>
      </c>
      <c r="S30" s="477">
        <f t="shared" si="22"/>
        <v>103</v>
      </c>
      <c r="T30" s="478">
        <f t="shared" si="22"/>
        <v>57</v>
      </c>
      <c r="U30" s="475">
        <f t="shared" si="22"/>
        <v>271</v>
      </c>
      <c r="V30" s="479">
        <f t="shared" si="22"/>
        <v>83</v>
      </c>
      <c r="W30" s="476">
        <f t="shared" si="22"/>
        <v>16</v>
      </c>
      <c r="X30" s="478">
        <f t="shared" si="22"/>
        <v>172</v>
      </c>
      <c r="Y30" s="479">
        <f t="shared" si="22"/>
        <v>118</v>
      </c>
      <c r="Z30" s="480">
        <f t="shared" si="22"/>
        <v>63960</v>
      </c>
      <c r="AA30" s="445" t="s">
        <v>252</v>
      </c>
      <c r="AB30" s="446"/>
      <c r="AC30" s="474">
        <f t="shared" ref="AC30:AM30" si="23">SUM(AC14:AC29)</f>
        <v>13251</v>
      </c>
      <c r="AD30" s="475">
        <f t="shared" si="23"/>
        <v>287</v>
      </c>
      <c r="AE30" s="476">
        <f t="shared" si="23"/>
        <v>46</v>
      </c>
      <c r="AF30" s="477">
        <f t="shared" si="23"/>
        <v>25</v>
      </c>
      <c r="AG30" s="478">
        <f t="shared" si="23"/>
        <v>216</v>
      </c>
      <c r="AH30" s="475">
        <f t="shared" si="23"/>
        <v>130</v>
      </c>
      <c r="AI30" s="479">
        <f t="shared" si="23"/>
        <v>0</v>
      </c>
      <c r="AJ30" s="476">
        <f t="shared" si="23"/>
        <v>50</v>
      </c>
      <c r="AK30" s="478">
        <f t="shared" si="23"/>
        <v>80</v>
      </c>
      <c r="AL30" s="479">
        <f t="shared" si="23"/>
        <v>157</v>
      </c>
      <c r="AM30" s="480">
        <f t="shared" si="23"/>
        <v>13408</v>
      </c>
      <c r="AN30" s="445" t="s">
        <v>252</v>
      </c>
      <c r="AO30" s="446"/>
      <c r="AP30" s="474">
        <f t="shared" ref="AP30:AX30" si="24">SUM(AP14:AP29)</f>
        <v>199</v>
      </c>
      <c r="AQ30" s="475">
        <f t="shared" si="24"/>
        <v>103</v>
      </c>
      <c r="AR30" s="476">
        <f t="shared" si="24"/>
        <v>56</v>
      </c>
      <c r="AS30" s="477">
        <f t="shared" si="24"/>
        <v>17</v>
      </c>
      <c r="AT30" s="478">
        <f t="shared" si="24"/>
        <v>30</v>
      </c>
      <c r="AU30" s="475">
        <f t="shared" si="24"/>
        <v>96</v>
      </c>
      <c r="AV30" s="479">
        <f t="shared" si="24"/>
        <v>25</v>
      </c>
      <c r="AW30" s="476">
        <f t="shared" si="24"/>
        <v>68</v>
      </c>
      <c r="AX30" s="480">
        <f t="shared" si="24"/>
        <v>3</v>
      </c>
      <c r="AY30" s="445" t="s">
        <v>252</v>
      </c>
      <c r="AZ30" s="446"/>
      <c r="BA30" s="474">
        <f t="shared" ref="BA30:BI30" si="25">SUM(BA14:BA29)</f>
        <v>161</v>
      </c>
      <c r="BB30" s="475">
        <f t="shared" si="25"/>
        <v>72</v>
      </c>
      <c r="BC30" s="476">
        <f t="shared" si="25"/>
        <v>56</v>
      </c>
      <c r="BD30" s="477">
        <f t="shared" si="25"/>
        <v>10</v>
      </c>
      <c r="BE30" s="478">
        <f t="shared" si="25"/>
        <v>6</v>
      </c>
      <c r="BF30" s="475">
        <f t="shared" si="25"/>
        <v>89</v>
      </c>
      <c r="BG30" s="479">
        <f t="shared" si="25"/>
        <v>25</v>
      </c>
      <c r="BH30" s="476">
        <f t="shared" si="25"/>
        <v>63</v>
      </c>
      <c r="BI30" s="480">
        <f t="shared" si="25"/>
        <v>1</v>
      </c>
      <c r="BJ30" s="445" t="s">
        <v>252</v>
      </c>
      <c r="BK30" s="446"/>
      <c r="BL30" s="474">
        <f t="shared" ref="BL30:BT30" si="26">SUM(BL14:BL29)</f>
        <v>38</v>
      </c>
      <c r="BM30" s="475">
        <f t="shared" si="26"/>
        <v>31</v>
      </c>
      <c r="BN30" s="476">
        <f t="shared" si="26"/>
        <v>0</v>
      </c>
      <c r="BO30" s="477">
        <f t="shared" si="26"/>
        <v>7</v>
      </c>
      <c r="BP30" s="478">
        <f t="shared" si="26"/>
        <v>24</v>
      </c>
      <c r="BQ30" s="475">
        <f t="shared" si="26"/>
        <v>7</v>
      </c>
      <c r="BR30" s="479">
        <f t="shared" si="26"/>
        <v>0</v>
      </c>
      <c r="BS30" s="476">
        <f t="shared" si="26"/>
        <v>5</v>
      </c>
      <c r="BT30" s="480">
        <f t="shared" si="26"/>
        <v>2</v>
      </c>
    </row>
    <row r="31" spans="1:72" ht="13.5" thickTop="1" x14ac:dyDescent="0.2"/>
  </sheetData>
  <mergeCells count="90">
    <mergeCell ref="BO11:BO12"/>
    <mergeCell ref="BP11:BP12"/>
    <mergeCell ref="BQ11:BQ12"/>
    <mergeCell ref="BR11:BR12"/>
    <mergeCell ref="BS11:BS12"/>
    <mergeCell ref="BT11:BT12"/>
    <mergeCell ref="BB10:BE10"/>
    <mergeCell ref="BF10:BI10"/>
    <mergeCell ref="BH1:BI1"/>
    <mergeCell ref="AY6:BI6"/>
    <mergeCell ref="AY7:BI7"/>
    <mergeCell ref="AY8:BI8"/>
    <mergeCell ref="BF11:BF12"/>
    <mergeCell ref="BG11:BG12"/>
    <mergeCell ref="BS1:BT1"/>
    <mergeCell ref="BJ6:BT6"/>
    <mergeCell ref="BJ7:BT7"/>
    <mergeCell ref="BJ8:BT8"/>
    <mergeCell ref="BM10:BP10"/>
    <mergeCell ref="BQ10:BT10"/>
    <mergeCell ref="BM11:BM12"/>
    <mergeCell ref="BN11:BN12"/>
    <mergeCell ref="BH11:BH12"/>
    <mergeCell ref="BI11:BI12"/>
    <mergeCell ref="AS11:AS12"/>
    <mergeCell ref="AT11:AT12"/>
    <mergeCell ref="AU11:AU12"/>
    <mergeCell ref="AV11:AV12"/>
    <mergeCell ref="BB11:BB12"/>
    <mergeCell ref="BC11:BC12"/>
    <mergeCell ref="BD11:BD12"/>
    <mergeCell ref="BE11:BE12"/>
    <mergeCell ref="AW1:AX1"/>
    <mergeCell ref="AW11:AW12"/>
    <mergeCell ref="AX11:AX12"/>
    <mergeCell ref="AN6:AX6"/>
    <mergeCell ref="AN7:AX7"/>
    <mergeCell ref="AN8:AX8"/>
    <mergeCell ref="AQ10:AT10"/>
    <mergeCell ref="AU10:AX10"/>
    <mergeCell ref="AQ11:AQ12"/>
    <mergeCell ref="AR11:AR12"/>
    <mergeCell ref="AH11:AH12"/>
    <mergeCell ref="AI11:AI12"/>
    <mergeCell ref="AJ11:AJ12"/>
    <mergeCell ref="AK11:AK12"/>
    <mergeCell ref="AD11:AD12"/>
    <mergeCell ref="AE11:AE12"/>
    <mergeCell ref="AF11:AF12"/>
    <mergeCell ref="AG11:AG12"/>
    <mergeCell ref="X11:X12"/>
    <mergeCell ref="Y1:Z1"/>
    <mergeCell ref="AL1:AM1"/>
    <mergeCell ref="AA6:AM6"/>
    <mergeCell ref="AA7:AM7"/>
    <mergeCell ref="AA8:AM8"/>
    <mergeCell ref="AD10:AG10"/>
    <mergeCell ref="AH10:AK10"/>
    <mergeCell ref="AL10:AL12"/>
    <mergeCell ref="AM10:AM12"/>
    <mergeCell ref="T11:T12"/>
    <mergeCell ref="U11:U12"/>
    <mergeCell ref="V11:V12"/>
    <mergeCell ref="W11:W12"/>
    <mergeCell ref="N6:Z6"/>
    <mergeCell ref="N7:Z7"/>
    <mergeCell ref="N8:Z8"/>
    <mergeCell ref="Q10:T10"/>
    <mergeCell ref="U10:X10"/>
    <mergeCell ref="Y10:Y12"/>
    <mergeCell ref="Z10:Z12"/>
    <mergeCell ref="Q11:Q12"/>
    <mergeCell ref="R11:R12"/>
    <mergeCell ref="S11:S12"/>
    <mergeCell ref="D10:G10"/>
    <mergeCell ref="D11:D12"/>
    <mergeCell ref="E11:E12"/>
    <mergeCell ref="F11:F12"/>
    <mergeCell ref="G11:G12"/>
    <mergeCell ref="H10:K10"/>
    <mergeCell ref="L1:M1"/>
    <mergeCell ref="A6:M6"/>
    <mergeCell ref="A7:M7"/>
    <mergeCell ref="A8:M8"/>
    <mergeCell ref="L10:L12"/>
    <mergeCell ref="M10:M12"/>
    <mergeCell ref="H11:H12"/>
    <mergeCell ref="J11:J12"/>
    <mergeCell ref="K11:K12"/>
    <mergeCell ref="I11:I12"/>
  </mergeCells>
  <phoneticPr fontId="82" type="noConversion"/>
  <printOptions horizontalCentered="1" verticalCentered="1"/>
  <pageMargins left="0.19685039370078741" right="0.39370078740157483" top="0.98425196850393704" bottom="0.98425196850393704" header="0.51181102362204722" footer="0.51181102362204722"/>
  <pageSetup paperSize="9" scale="9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A1" s="1" t="s">
        <v>195</v>
      </c>
      <c r="B1" s="3"/>
      <c r="C1" s="4"/>
      <c r="D1" s="3"/>
      <c r="E1" s="3"/>
      <c r="F1" s="3"/>
      <c r="G1" s="413"/>
      <c r="H1" s="413"/>
      <c r="I1" s="413"/>
      <c r="J1" s="1603" t="s">
        <v>315</v>
      </c>
      <c r="K1" s="1603"/>
    </row>
    <row r="2" spans="1:12" x14ac:dyDescent="0.2">
      <c r="A2" s="3" t="s">
        <v>214</v>
      </c>
      <c r="B2" s="3"/>
      <c r="C2" s="3"/>
      <c r="D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604" t="s">
        <v>307</v>
      </c>
      <c r="B6" s="1604"/>
      <c r="C6" s="1604"/>
      <c r="D6" s="1604"/>
      <c r="E6" s="1604"/>
      <c r="F6" s="1604"/>
      <c r="G6" s="1604"/>
      <c r="H6" s="1604"/>
      <c r="I6" s="1604"/>
      <c r="J6" s="1604"/>
      <c r="K6" s="1604"/>
      <c r="L6" s="8"/>
    </row>
    <row r="7" spans="1:12" ht="15.75" x14ac:dyDescent="0.25">
      <c r="A7" s="1604" t="s">
        <v>321</v>
      </c>
      <c r="B7" s="1604"/>
      <c r="C7" s="1604"/>
      <c r="D7" s="1604"/>
      <c r="E7" s="1604"/>
      <c r="F7" s="1604"/>
      <c r="G7" s="1604"/>
      <c r="H7" s="1604"/>
      <c r="I7" s="1604"/>
      <c r="J7" s="1604"/>
      <c r="K7" s="1604"/>
      <c r="L7" s="8"/>
    </row>
    <row r="8" spans="1:12" ht="15.75" x14ac:dyDescent="0.25">
      <c r="A8" s="1691" t="str">
        <f>"wg FORM ODPŁATNOŚCI, wg stanu na dzień 31.XII."&amp;'Tab.1. bilans_Polska'!A2&amp;" r."</f>
        <v>wg FORM ODPŁATNOŚCI, wg stanu na dzień 31.XII.2011 r.</v>
      </c>
      <c r="B8" s="1690"/>
      <c r="C8" s="1690"/>
      <c r="D8" s="1690"/>
      <c r="E8" s="1690"/>
      <c r="F8" s="1690"/>
      <c r="G8" s="1690"/>
      <c r="H8" s="1690"/>
      <c r="I8" s="1690"/>
      <c r="J8" s="1690"/>
      <c r="K8" s="1690"/>
      <c r="L8" s="8"/>
    </row>
    <row r="10" spans="1:12" ht="13.5" thickBot="1" x14ac:dyDescent="0.25">
      <c r="A10" s="3"/>
      <c r="B10" s="3"/>
      <c r="C10" s="3"/>
      <c r="D10" s="3"/>
      <c r="E10" s="3"/>
      <c r="F10" s="3"/>
      <c r="G10" s="3"/>
      <c r="H10" s="3"/>
      <c r="I10" s="3"/>
      <c r="J10" s="3"/>
    </row>
    <row r="11" spans="1:12" ht="13.5" thickTop="1" x14ac:dyDescent="0.2">
      <c r="A11" s="5"/>
      <c r="B11" s="505"/>
      <c r="C11" s="511"/>
      <c r="D11" s="1773" t="s">
        <v>49</v>
      </c>
      <c r="E11" s="1774"/>
      <c r="F11" s="1774"/>
      <c r="G11" s="1784"/>
      <c r="H11" s="1774" t="s">
        <v>317</v>
      </c>
      <c r="I11" s="1774"/>
      <c r="J11" s="1774"/>
      <c r="K11" s="1775"/>
    </row>
    <row r="12" spans="1:12" ht="42" customHeight="1" x14ac:dyDescent="0.2">
      <c r="A12" s="542" t="s">
        <v>226</v>
      </c>
      <c r="B12" s="543" t="s">
        <v>227</v>
      </c>
      <c r="C12" s="532" t="s">
        <v>7</v>
      </c>
      <c r="D12" s="1779" t="s">
        <v>311</v>
      </c>
      <c r="E12" s="1780"/>
      <c r="F12" s="1781" t="s">
        <v>312</v>
      </c>
      <c r="G12" s="1782"/>
      <c r="H12" s="1783" t="s">
        <v>313</v>
      </c>
      <c r="I12" s="1780"/>
      <c r="J12" s="1781" t="s">
        <v>314</v>
      </c>
      <c r="K12" s="1785"/>
    </row>
    <row r="13" spans="1:12" ht="12.75" customHeight="1" x14ac:dyDescent="0.2">
      <c r="A13" s="415"/>
      <c r="B13" s="506"/>
      <c r="C13" s="512"/>
      <c r="D13" s="1760" t="s">
        <v>0</v>
      </c>
      <c r="E13" s="1748" t="s">
        <v>294</v>
      </c>
      <c r="F13" s="1749" t="s">
        <v>0</v>
      </c>
      <c r="G13" s="1786" t="s">
        <v>294</v>
      </c>
      <c r="H13" s="1777" t="s">
        <v>0</v>
      </c>
      <c r="I13" s="1748" t="s">
        <v>294</v>
      </c>
      <c r="J13" s="1749" t="s">
        <v>0</v>
      </c>
      <c r="K13" s="1757" t="s">
        <v>294</v>
      </c>
    </row>
    <row r="14" spans="1:12" x14ac:dyDescent="0.2">
      <c r="A14" s="417"/>
      <c r="B14" s="507"/>
      <c r="C14" s="513"/>
      <c r="D14" s="1760"/>
      <c r="E14" s="1749"/>
      <c r="F14" s="1749"/>
      <c r="G14" s="1787"/>
      <c r="H14" s="1777"/>
      <c r="I14" s="1749"/>
      <c r="J14" s="1749"/>
      <c r="K14" s="1758"/>
    </row>
    <row r="15" spans="1:12" ht="13.5" thickBot="1" x14ac:dyDescent="0.25">
      <c r="A15" s="425"/>
      <c r="B15" s="429">
        <v>0</v>
      </c>
      <c r="C15" s="464">
        <v>1</v>
      </c>
      <c r="D15" s="427">
        <v>2</v>
      </c>
      <c r="E15" s="428">
        <v>3</v>
      </c>
      <c r="F15" s="428">
        <v>4</v>
      </c>
      <c r="G15" s="429">
        <v>5</v>
      </c>
      <c r="H15" s="430">
        <v>6</v>
      </c>
      <c r="I15" s="428">
        <v>7</v>
      </c>
      <c r="J15" s="428">
        <v>8</v>
      </c>
      <c r="K15" s="431">
        <v>9</v>
      </c>
    </row>
    <row r="16" spans="1:12" ht="13.5" thickTop="1" x14ac:dyDescent="0.2">
      <c r="A16" s="461">
        <v>1</v>
      </c>
      <c r="B16" s="508" t="s">
        <v>236</v>
      </c>
      <c r="C16" s="494">
        <f>'Tab.3. Mieszkańcy_Polska '!H119</f>
        <v>2602</v>
      </c>
      <c r="D16" s="1218">
        <f>'Tab.3. Mieszkańcy_Polska '!H121</f>
        <v>2593</v>
      </c>
      <c r="E16" s="521">
        <f>D16*100/$C16</f>
        <v>99.65411222136818</v>
      </c>
      <c r="F16" s="1210">
        <f>'Tab.3. Mieszkańcy_Polska '!H127</f>
        <v>9</v>
      </c>
      <c r="G16" s="538">
        <f t="shared" ref="G16:G31" si="0">F16*100/$C16</f>
        <v>0.34588777863182169</v>
      </c>
      <c r="H16" s="1214">
        <f>'Tab.3. Mieszkańcy_Polska '!H128</f>
        <v>54</v>
      </c>
      <c r="I16" s="521">
        <f t="shared" ref="I16:I31" si="1">H16*100/$C16</f>
        <v>2.07532667179093</v>
      </c>
      <c r="J16" s="1210">
        <f>'Tab.3. Mieszkańcy_Polska '!H130</f>
        <v>0</v>
      </c>
      <c r="K16" s="524" t="str">
        <f>IF(J16&gt;0, ROUND(J16*100/$C16, 1), "")</f>
        <v/>
      </c>
    </row>
    <row r="17" spans="1:12" x14ac:dyDescent="0.2">
      <c r="A17" s="462">
        <v>2</v>
      </c>
      <c r="B17" s="509" t="s">
        <v>237</v>
      </c>
      <c r="C17" s="1219">
        <f>'Tab.3. Mieszkańcy_Polska '!H195</f>
        <v>1917</v>
      </c>
      <c r="D17" s="1220">
        <f>'Tab.3. Mieszkańcy_Polska '!H197</f>
        <v>1911</v>
      </c>
      <c r="E17" s="522">
        <f t="shared" ref="E17:E31" si="2">D17*100/C17</f>
        <v>99.687010954616582</v>
      </c>
      <c r="F17" s="1211">
        <f>'Tab.3. Mieszkańcy_Polska '!H203</f>
        <v>6</v>
      </c>
      <c r="G17" s="539">
        <f t="shared" si="0"/>
        <v>0.3129890453834116</v>
      </c>
      <c r="H17" s="1215">
        <f>'Tab.3. Mieszkańcy_Polska '!H204</f>
        <v>28</v>
      </c>
      <c r="I17" s="522">
        <f t="shared" si="1"/>
        <v>1.4606155451225873</v>
      </c>
      <c r="J17" s="1211">
        <f>'Tab.3. Mieszkańcy_Polska '!H206</f>
        <v>8</v>
      </c>
      <c r="K17" s="525">
        <f t="shared" ref="K17:K31" si="3">IF(J17&gt;0, ROUND(J17*100/$C17, 1), "")</f>
        <v>0.4</v>
      </c>
    </row>
    <row r="18" spans="1:12" x14ac:dyDescent="0.2">
      <c r="A18" s="462">
        <v>3</v>
      </c>
      <c r="B18" s="509" t="s">
        <v>238</v>
      </c>
      <c r="C18" s="1219">
        <f>'Tab.3. Mieszkańcy_Polska '!H271</f>
        <v>2231</v>
      </c>
      <c r="D18" s="1220">
        <f>'Tab.3. Mieszkańcy_Polska '!H273</f>
        <v>2203</v>
      </c>
      <c r="E18" s="522">
        <f t="shared" si="2"/>
        <v>98.744957418198112</v>
      </c>
      <c r="F18" s="1211">
        <f>'Tab.3. Mieszkańcy_Polska '!H279</f>
        <v>28</v>
      </c>
      <c r="G18" s="539">
        <f t="shared" si="0"/>
        <v>1.2550425818018827</v>
      </c>
      <c r="H18" s="1215">
        <f>'Tab.3. Mieszkańcy_Polska '!H280</f>
        <v>108</v>
      </c>
      <c r="I18" s="522">
        <f t="shared" si="1"/>
        <v>4.8408785298072612</v>
      </c>
      <c r="J18" s="1211">
        <f>'Tab.3. Mieszkańcy_Polska '!H282</f>
        <v>19</v>
      </c>
      <c r="K18" s="525">
        <f t="shared" si="3"/>
        <v>0.9</v>
      </c>
    </row>
    <row r="19" spans="1:12" x14ac:dyDescent="0.2">
      <c r="A19" s="462">
        <v>4</v>
      </c>
      <c r="B19" s="509" t="s">
        <v>239</v>
      </c>
      <c r="C19" s="1219">
        <f>'Tab.3. Mieszkańcy_Polska '!H347</f>
        <v>1142</v>
      </c>
      <c r="D19" s="1220">
        <f>'Tab.3. Mieszkańcy_Polska '!H349</f>
        <v>1142</v>
      </c>
      <c r="E19" s="522">
        <f t="shared" si="2"/>
        <v>100</v>
      </c>
      <c r="F19" s="1211">
        <f>'Tab.3. Mieszkańcy_Polska '!H355</f>
        <v>0</v>
      </c>
      <c r="G19" s="539">
        <f t="shared" si="0"/>
        <v>0</v>
      </c>
      <c r="H19" s="1215">
        <f>'Tab.3. Mieszkańcy_Polska '!H356</f>
        <v>36</v>
      </c>
      <c r="I19" s="522">
        <f t="shared" si="1"/>
        <v>3.1523642732049035</v>
      </c>
      <c r="J19" s="1211">
        <f>'Tab.3. Mieszkańcy_Polska '!H358</f>
        <v>0</v>
      </c>
      <c r="K19" s="525" t="str">
        <f t="shared" si="3"/>
        <v/>
      </c>
    </row>
    <row r="20" spans="1:12" x14ac:dyDescent="0.2">
      <c r="A20" s="462">
        <v>5</v>
      </c>
      <c r="B20" s="509" t="s">
        <v>240</v>
      </c>
      <c r="C20" s="1219">
        <f>'Tab.3. Mieszkańcy_Polska '!H423</f>
        <v>3027</v>
      </c>
      <c r="D20" s="1220">
        <f>'Tab.3. Mieszkańcy_Polska '!H425</f>
        <v>3023</v>
      </c>
      <c r="E20" s="522">
        <f t="shared" si="2"/>
        <v>99.86785596299967</v>
      </c>
      <c r="F20" s="1211">
        <f>'Tab.3. Mieszkańcy_Polska '!H431</f>
        <v>4</v>
      </c>
      <c r="G20" s="539">
        <f t="shared" si="0"/>
        <v>0.13214403700033037</v>
      </c>
      <c r="H20" s="1215">
        <f>'Tab.3. Mieszkańcy_Polska '!H432</f>
        <v>37</v>
      </c>
      <c r="I20" s="522">
        <f t="shared" si="1"/>
        <v>1.2223323422530559</v>
      </c>
      <c r="J20" s="1211">
        <f>'Tab.3. Mieszkańcy_Polska '!H434</f>
        <v>6</v>
      </c>
      <c r="K20" s="525">
        <f t="shared" si="3"/>
        <v>0.2</v>
      </c>
    </row>
    <row r="21" spans="1:12" x14ac:dyDescent="0.2">
      <c r="A21" s="462">
        <v>6</v>
      </c>
      <c r="B21" s="509" t="s">
        <v>241</v>
      </c>
      <c r="C21" s="1219">
        <f>'Tab.3. Mieszkańcy_Polska '!H499</f>
        <v>3321</v>
      </c>
      <c r="D21" s="1220">
        <f>'Tab.3. Mieszkańcy_Polska '!H501</f>
        <v>3313</v>
      </c>
      <c r="E21" s="522">
        <f t="shared" si="2"/>
        <v>99.759108702198134</v>
      </c>
      <c r="F21" s="1211">
        <f>'Tab.3. Mieszkańcy_Polska '!H507</f>
        <v>8</v>
      </c>
      <c r="G21" s="539">
        <f t="shared" si="0"/>
        <v>0.24089129780186691</v>
      </c>
      <c r="H21" s="1215">
        <f>'Tab.3. Mieszkańcy_Polska '!H508</f>
        <v>87</v>
      </c>
      <c r="I21" s="522">
        <f t="shared" si="1"/>
        <v>2.6196928635953025</v>
      </c>
      <c r="J21" s="1211">
        <f>'Tab.3. Mieszkańcy_Polska '!H510</f>
        <v>5</v>
      </c>
      <c r="K21" s="525">
        <f t="shared" si="3"/>
        <v>0.2</v>
      </c>
    </row>
    <row r="22" spans="1:12" x14ac:dyDescent="0.2">
      <c r="A22" s="462">
        <v>7</v>
      </c>
      <c r="B22" s="509" t="s">
        <v>242</v>
      </c>
      <c r="C22" s="1219">
        <f>'Tab.3. Mieszkańcy_Polska '!H575</f>
        <v>4506</v>
      </c>
      <c r="D22" s="1220">
        <f>'Tab.3. Mieszkańcy_Polska '!H577</f>
        <v>4484</v>
      </c>
      <c r="E22" s="522">
        <f t="shared" si="2"/>
        <v>99.511762094984462</v>
      </c>
      <c r="F22" s="1211">
        <f>'Tab.3. Mieszkańcy_Polska '!H583</f>
        <v>22</v>
      </c>
      <c r="G22" s="539">
        <f t="shared" si="0"/>
        <v>0.48823790501553482</v>
      </c>
      <c r="H22" s="1215">
        <f>'Tab.3. Mieszkańcy_Polska '!H584</f>
        <v>80</v>
      </c>
      <c r="I22" s="522">
        <f t="shared" si="1"/>
        <v>1.7754105636928539</v>
      </c>
      <c r="J22" s="1211">
        <f>'Tab.3. Mieszkańcy_Polska '!H586</f>
        <v>4</v>
      </c>
      <c r="K22" s="525">
        <f t="shared" si="3"/>
        <v>0.1</v>
      </c>
    </row>
    <row r="23" spans="1:12" x14ac:dyDescent="0.2">
      <c r="A23" s="462">
        <v>8</v>
      </c>
      <c r="B23" s="509" t="s">
        <v>243</v>
      </c>
      <c r="C23" s="1219">
        <f>'Tab.3. Mieszkańcy_Polska '!H651</f>
        <v>1027</v>
      </c>
      <c r="D23" s="1220">
        <f>'Tab.3. Mieszkańcy_Polska '!H653</f>
        <v>1026</v>
      </c>
      <c r="E23" s="522">
        <f t="shared" si="2"/>
        <v>99.902629016553064</v>
      </c>
      <c r="F23" s="1211">
        <f>'Tab.3. Mieszkańcy_Polska '!H659</f>
        <v>1</v>
      </c>
      <c r="G23" s="539">
        <f t="shared" si="0"/>
        <v>9.7370983446932818E-2</v>
      </c>
      <c r="H23" s="1215">
        <f>'Tab.3. Mieszkańcy_Polska '!H660</f>
        <v>20</v>
      </c>
      <c r="I23" s="522">
        <f t="shared" si="1"/>
        <v>1.9474196689386563</v>
      </c>
      <c r="J23" s="1211">
        <f>'Tab.3. Mieszkańcy_Polska '!H662</f>
        <v>0</v>
      </c>
      <c r="K23" s="525" t="str">
        <f t="shared" si="3"/>
        <v/>
      </c>
    </row>
    <row r="24" spans="1:12" x14ac:dyDescent="0.2">
      <c r="A24" s="462">
        <v>9</v>
      </c>
      <c r="B24" s="509" t="s">
        <v>244</v>
      </c>
      <c r="C24" s="1219">
        <f>'Tab.3. Mieszkańcy_Polska '!H727</f>
        <v>2019</v>
      </c>
      <c r="D24" s="1220">
        <f>'Tab.3. Mieszkańcy_Polska '!H729</f>
        <v>2016</v>
      </c>
      <c r="E24" s="522">
        <f t="shared" si="2"/>
        <v>99.851411589895989</v>
      </c>
      <c r="F24" s="1211">
        <f>'Tab.3. Mieszkańcy_Polska '!H735</f>
        <v>3</v>
      </c>
      <c r="G24" s="539">
        <f t="shared" si="0"/>
        <v>0.14858841010401189</v>
      </c>
      <c r="H24" s="1215">
        <f>'Tab.3. Mieszkańcy_Polska '!H736</f>
        <v>195</v>
      </c>
      <c r="I24" s="522">
        <f t="shared" si="1"/>
        <v>9.6582466567607721</v>
      </c>
      <c r="J24" s="1211">
        <f>'Tab.3. Mieszkańcy_Polska '!H738</f>
        <v>6</v>
      </c>
      <c r="K24" s="525">
        <f t="shared" si="3"/>
        <v>0.3</v>
      </c>
    </row>
    <row r="25" spans="1:12" x14ac:dyDescent="0.2">
      <c r="A25" s="463">
        <v>10</v>
      </c>
      <c r="B25" s="509" t="s">
        <v>245</v>
      </c>
      <c r="C25" s="1219">
        <f>'Tab.3. Mieszkańcy_Polska '!H803</f>
        <v>1039</v>
      </c>
      <c r="D25" s="1220">
        <f>'Tab.3. Mieszkańcy_Polska '!H805</f>
        <v>1038</v>
      </c>
      <c r="E25" s="522">
        <f t="shared" si="2"/>
        <v>99.903753609239658</v>
      </c>
      <c r="F25" s="1211">
        <f>'Tab.3. Mieszkańcy_Polska '!H811</f>
        <v>1</v>
      </c>
      <c r="G25" s="539">
        <f t="shared" si="0"/>
        <v>9.6246390760346481E-2</v>
      </c>
      <c r="H25" s="1215">
        <f>'Tab.3. Mieszkańcy_Polska '!H812</f>
        <v>9</v>
      </c>
      <c r="I25" s="522">
        <f t="shared" si="1"/>
        <v>0.86621751684311843</v>
      </c>
      <c r="J25" s="1211">
        <f>'Tab.3. Mieszkańcy_Polska '!H814</f>
        <v>0</v>
      </c>
      <c r="K25" s="525" t="str">
        <f t="shared" si="3"/>
        <v/>
      </c>
    </row>
    <row r="26" spans="1:12" x14ac:dyDescent="0.2">
      <c r="A26" s="463">
        <v>11</v>
      </c>
      <c r="B26" s="509" t="s">
        <v>246</v>
      </c>
      <c r="C26" s="1219">
        <f>'Tab.3. Mieszkańcy_Polska '!H879</f>
        <v>1867</v>
      </c>
      <c r="D26" s="1220">
        <f>'Tab.3. Mieszkańcy_Polska '!H881</f>
        <v>1866</v>
      </c>
      <c r="E26" s="522">
        <f t="shared" si="2"/>
        <v>99.946438136047135</v>
      </c>
      <c r="F26" s="1211">
        <f>'Tab.3. Mieszkańcy_Polska '!H887</f>
        <v>1</v>
      </c>
      <c r="G26" s="539">
        <f t="shared" si="0"/>
        <v>5.3561863952865559E-2</v>
      </c>
      <c r="H26" s="1215">
        <f>'Tab.3. Mieszkańcy_Polska '!H888</f>
        <v>49</v>
      </c>
      <c r="I26" s="522">
        <f t="shared" si="1"/>
        <v>2.6245313336904124</v>
      </c>
      <c r="J26" s="1211">
        <f>'Tab.3. Mieszkańcy_Polska '!H890</f>
        <v>0</v>
      </c>
      <c r="K26" s="525" t="str">
        <f t="shared" si="3"/>
        <v/>
      </c>
    </row>
    <row r="27" spans="1:12" x14ac:dyDescent="0.2">
      <c r="A27" s="463">
        <v>12</v>
      </c>
      <c r="B27" s="509" t="s">
        <v>247</v>
      </c>
      <c r="C27" s="1219">
        <f>'Tab.3. Mieszkańcy_Polska '!H955</f>
        <v>2359</v>
      </c>
      <c r="D27" s="1220">
        <f>'Tab.3. Mieszkańcy_Polska '!H957</f>
        <v>2355</v>
      </c>
      <c r="E27" s="522">
        <f t="shared" si="2"/>
        <v>99.830436625688847</v>
      </c>
      <c r="F27" s="1211">
        <f>'Tab.3. Mieszkańcy_Polska '!H963</f>
        <v>4</v>
      </c>
      <c r="G27" s="539">
        <f t="shared" si="0"/>
        <v>0.16956337431114879</v>
      </c>
      <c r="H27" s="1215">
        <f>'Tab.3. Mieszkańcy_Polska '!H964</f>
        <v>98</v>
      </c>
      <c r="I27" s="522">
        <f t="shared" si="1"/>
        <v>4.1543026706231458</v>
      </c>
      <c r="J27" s="1211">
        <f>'Tab.3. Mieszkańcy_Polska '!H966</f>
        <v>7</v>
      </c>
      <c r="K27" s="525">
        <f t="shared" si="3"/>
        <v>0.3</v>
      </c>
    </row>
    <row r="28" spans="1:12" x14ac:dyDescent="0.2">
      <c r="A28" s="463">
        <v>13</v>
      </c>
      <c r="B28" s="509" t="s">
        <v>248</v>
      </c>
      <c r="C28" s="1219">
        <f>'Tab.3. Mieszkańcy_Polska '!H1031</f>
        <v>1577</v>
      </c>
      <c r="D28" s="1220">
        <f>'Tab.3. Mieszkańcy_Polska '!H1033</f>
        <v>1572</v>
      </c>
      <c r="E28" s="522">
        <f t="shared" si="2"/>
        <v>99.682942295497782</v>
      </c>
      <c r="F28" s="1211">
        <f>'Tab.3. Mieszkańcy_Polska '!H1039</f>
        <v>5</v>
      </c>
      <c r="G28" s="539">
        <f t="shared" si="0"/>
        <v>0.31705770450221943</v>
      </c>
      <c r="H28" s="1215">
        <f>'Tab.3. Mieszkańcy_Polska '!H1040</f>
        <v>69</v>
      </c>
      <c r="I28" s="522">
        <f t="shared" si="1"/>
        <v>4.3753963221306273</v>
      </c>
      <c r="J28" s="1211">
        <f>'Tab.3. Mieszkańcy_Polska '!H1042</f>
        <v>0</v>
      </c>
      <c r="K28" s="525" t="str">
        <f t="shared" si="3"/>
        <v/>
      </c>
    </row>
    <row r="29" spans="1:12" x14ac:dyDescent="0.2">
      <c r="A29" s="463">
        <v>14</v>
      </c>
      <c r="B29" s="509" t="s">
        <v>249</v>
      </c>
      <c r="C29" s="1219">
        <f>'Tab.3. Mieszkańcy_Polska '!H1107</f>
        <v>1689</v>
      </c>
      <c r="D29" s="1220">
        <f>'Tab.3. Mieszkańcy_Polska '!H1109</f>
        <v>1677</v>
      </c>
      <c r="E29" s="522">
        <f t="shared" si="2"/>
        <v>99.289520426287751</v>
      </c>
      <c r="F29" s="1211">
        <f>'Tab.3. Mieszkańcy_Polska '!H1115</f>
        <v>12</v>
      </c>
      <c r="G29" s="539">
        <f t="shared" si="0"/>
        <v>0.71047957371225579</v>
      </c>
      <c r="H29" s="1215">
        <f>'Tab.3. Mieszkańcy_Polska '!H1116</f>
        <v>1</v>
      </c>
      <c r="I29" s="522">
        <f t="shared" si="1"/>
        <v>5.9206631142687982E-2</v>
      </c>
      <c r="J29" s="1211">
        <f>'Tab.3. Mieszkańcy_Polska '!H1118</f>
        <v>0</v>
      </c>
      <c r="K29" s="525" t="str">
        <f t="shared" si="3"/>
        <v/>
      </c>
    </row>
    <row r="30" spans="1:12" x14ac:dyDescent="0.2">
      <c r="A30" s="463">
        <v>15</v>
      </c>
      <c r="B30" s="509" t="s">
        <v>250</v>
      </c>
      <c r="C30" s="1219">
        <f>'Tab.3. Mieszkańcy_Polska '!H1183</f>
        <v>2644</v>
      </c>
      <c r="D30" s="1220">
        <f>'Tab.3. Mieszkańcy_Polska '!H1185</f>
        <v>2641</v>
      </c>
      <c r="E30" s="522">
        <f t="shared" si="2"/>
        <v>99.886535552193649</v>
      </c>
      <c r="F30" s="1211">
        <f>'Tab.3. Mieszkańcy_Polska '!H1191</f>
        <v>3</v>
      </c>
      <c r="G30" s="539">
        <f t="shared" si="0"/>
        <v>0.11346444780635401</v>
      </c>
      <c r="H30" s="1215">
        <f>'Tab.3. Mieszkańcy_Polska '!H1192</f>
        <v>38</v>
      </c>
      <c r="I30" s="522">
        <f t="shared" si="1"/>
        <v>1.4372163388804842</v>
      </c>
      <c r="J30" s="1211">
        <f>'Tab.3. Mieszkańcy_Polska '!H1194</f>
        <v>0</v>
      </c>
      <c r="K30" s="525" t="str">
        <f t="shared" si="3"/>
        <v/>
      </c>
    </row>
    <row r="31" spans="1:12" ht="13.5" thickBot="1" x14ac:dyDescent="0.25">
      <c r="A31" s="463">
        <v>16</v>
      </c>
      <c r="B31" s="510" t="s">
        <v>251</v>
      </c>
      <c r="C31" s="1219">
        <f>'Tab.3. Mieszkańcy_Polska '!H1259</f>
        <v>1682</v>
      </c>
      <c r="D31" s="1221">
        <f>'Tab.3. Mieszkańcy_Polska '!H1261</f>
        <v>1672</v>
      </c>
      <c r="E31" s="523">
        <f t="shared" si="2"/>
        <v>99.405469678953622</v>
      </c>
      <c r="F31" s="1212">
        <f>'Tab.3. Mieszkańcy_Polska '!H1267</f>
        <v>10</v>
      </c>
      <c r="G31" s="540">
        <f t="shared" si="0"/>
        <v>0.59453032104637338</v>
      </c>
      <c r="H31" s="1216">
        <f>'Tab.3. Mieszkańcy_Polska '!H1268</f>
        <v>125</v>
      </c>
      <c r="I31" s="523">
        <f t="shared" si="1"/>
        <v>7.4316290130796672</v>
      </c>
      <c r="J31" s="1212">
        <f>'Tab.3. Mieszkańcy_Polska '!H1270</f>
        <v>0</v>
      </c>
      <c r="K31" s="526" t="str">
        <f t="shared" si="3"/>
        <v/>
      </c>
    </row>
    <row r="32" spans="1:12" ht="16.5" thickBot="1" x14ac:dyDescent="0.3">
      <c r="A32" s="445" t="s">
        <v>252</v>
      </c>
      <c r="B32" s="446"/>
      <c r="C32" s="495">
        <f>SUM(C16:C31)</f>
        <v>34649</v>
      </c>
      <c r="D32" s="1222">
        <f>SUM(D16:D31)</f>
        <v>34532</v>
      </c>
      <c r="E32" s="528">
        <f>AVERAGE(E16:E31)</f>
        <v>99.682746517795152</v>
      </c>
      <c r="F32" s="1213">
        <f>SUM(F16:F31)</f>
        <v>117</v>
      </c>
      <c r="G32" s="541">
        <f>AVERAGE(G16:G31)</f>
        <v>0.31725348220483479</v>
      </c>
      <c r="H32" s="1217">
        <f>SUM(H16:H31)</f>
        <v>1034</v>
      </c>
      <c r="I32" s="528">
        <f>AVERAGE(I16:I31)</f>
        <v>3.1062991838472787</v>
      </c>
      <c r="J32" s="1213">
        <f>SUM(J16:J31)</f>
        <v>55</v>
      </c>
      <c r="K32" s="530">
        <f>AVERAGE(K16:K31)</f>
        <v>0.34285714285714286</v>
      </c>
      <c r="L32" s="533"/>
    </row>
    <row r="33" ht="13.5" thickTop="1" x14ac:dyDescent="0.2"/>
  </sheetData>
  <mergeCells count="18">
    <mergeCell ref="A8:K8"/>
    <mergeCell ref="A7:K7"/>
    <mergeCell ref="J13:J14"/>
    <mergeCell ref="D12:E12"/>
    <mergeCell ref="F12:G12"/>
    <mergeCell ref="H12:I12"/>
    <mergeCell ref="D11:G11"/>
    <mergeCell ref="H11:K11"/>
    <mergeCell ref="J1:K1"/>
    <mergeCell ref="J12:K12"/>
    <mergeCell ref="D13:D14"/>
    <mergeCell ref="E13:E14"/>
    <mergeCell ref="F13:F14"/>
    <mergeCell ref="G13:G14"/>
    <mergeCell ref="H13:H14"/>
    <mergeCell ref="I13:I14"/>
    <mergeCell ref="K13:K14"/>
    <mergeCell ref="A6:K6"/>
  </mergeCells>
  <phoneticPr fontId="82"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J16:J31 F16 H16:H31 J32 H32 I32 E32:G32 K32"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A1" s="1" t="s">
        <v>195</v>
      </c>
      <c r="B1" s="3"/>
      <c r="C1" s="4"/>
      <c r="D1" s="3"/>
      <c r="E1" s="3"/>
      <c r="F1" s="3"/>
      <c r="G1" s="413"/>
      <c r="H1" s="413"/>
      <c r="I1" s="413"/>
      <c r="J1" s="1603" t="s">
        <v>316</v>
      </c>
      <c r="K1" s="1603"/>
    </row>
    <row r="2" spans="1:12" x14ac:dyDescent="0.2">
      <c r="A2" s="3" t="s">
        <v>214</v>
      </c>
      <c r="B2" s="3"/>
      <c r="C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604" t="s">
        <v>492</v>
      </c>
      <c r="B6" s="1604"/>
      <c r="C6" s="1604"/>
      <c r="D6" s="1604"/>
      <c r="E6" s="1604"/>
      <c r="F6" s="1604"/>
      <c r="G6" s="1604"/>
      <c r="H6" s="1604"/>
      <c r="I6" s="1604"/>
      <c r="J6" s="1604"/>
      <c r="K6" s="1604"/>
      <c r="L6" s="8"/>
    </row>
    <row r="7" spans="1:12" ht="15.75" x14ac:dyDescent="0.25">
      <c r="A7" s="1604" t="s">
        <v>321</v>
      </c>
      <c r="B7" s="1604"/>
      <c r="C7" s="1604"/>
      <c r="D7" s="1604"/>
      <c r="E7" s="1604"/>
      <c r="F7" s="1604"/>
      <c r="G7" s="1604"/>
      <c r="H7" s="1604"/>
      <c r="I7" s="1604"/>
      <c r="J7" s="1604"/>
      <c r="K7" s="1604"/>
      <c r="L7" s="8"/>
    </row>
    <row r="8" spans="1:12" ht="15.75" x14ac:dyDescent="0.25">
      <c r="A8" s="1691" t="str">
        <f>"wg FORM ODPŁATNOŚCI, wg stanu na dzień 31.XII."&amp;'Tab.1. bilans_Polska'!A2&amp;" r."</f>
        <v>wg FORM ODPŁATNOŚCI, wg stanu na dzień 31.XII.2011 r.</v>
      </c>
      <c r="B8" s="1690"/>
      <c r="C8" s="1690"/>
      <c r="D8" s="1690"/>
      <c r="E8" s="1690"/>
      <c r="F8" s="1690"/>
      <c r="G8" s="1690"/>
      <c r="H8" s="1690"/>
      <c r="I8" s="1690"/>
      <c r="J8" s="1690"/>
      <c r="K8" s="1690"/>
      <c r="L8" s="8"/>
    </row>
    <row r="10" spans="1:12" ht="13.5" thickBot="1" x14ac:dyDescent="0.25">
      <c r="A10" s="3"/>
      <c r="B10" s="3"/>
      <c r="C10" s="3"/>
      <c r="D10" s="3"/>
      <c r="E10" s="3"/>
      <c r="F10" s="3"/>
      <c r="G10" s="3"/>
      <c r="H10" s="3"/>
      <c r="I10" s="3"/>
      <c r="J10" s="3"/>
    </row>
    <row r="11" spans="1:12" ht="13.5" thickTop="1" x14ac:dyDescent="0.2">
      <c r="A11" s="5"/>
      <c r="B11" s="505"/>
      <c r="C11" s="511"/>
      <c r="D11" s="1773" t="s">
        <v>49</v>
      </c>
      <c r="E11" s="1774"/>
      <c r="F11" s="1774"/>
      <c r="G11" s="1784"/>
      <c r="H11" s="1774" t="s">
        <v>318</v>
      </c>
      <c r="I11" s="1774"/>
      <c r="J11" s="1774"/>
      <c r="K11" s="1775"/>
    </row>
    <row r="12" spans="1:12" ht="42" customHeight="1" x14ac:dyDescent="0.2">
      <c r="A12" s="542" t="s">
        <v>226</v>
      </c>
      <c r="B12" s="543" t="s">
        <v>227</v>
      </c>
      <c r="C12" s="532" t="s">
        <v>7</v>
      </c>
      <c r="D12" s="1779" t="s">
        <v>311</v>
      </c>
      <c r="E12" s="1780"/>
      <c r="F12" s="1781" t="s">
        <v>312</v>
      </c>
      <c r="G12" s="1782"/>
      <c r="H12" s="1783" t="s">
        <v>313</v>
      </c>
      <c r="I12" s="1780"/>
      <c r="J12" s="1781" t="s">
        <v>314</v>
      </c>
      <c r="K12" s="1785"/>
    </row>
    <row r="13" spans="1:12" ht="12.75" customHeight="1" x14ac:dyDescent="0.2">
      <c r="A13" s="415"/>
      <c r="B13" s="506"/>
      <c r="C13" s="512"/>
      <c r="D13" s="1760" t="s">
        <v>0</v>
      </c>
      <c r="E13" s="1748" t="s">
        <v>294</v>
      </c>
      <c r="F13" s="1749" t="s">
        <v>0</v>
      </c>
      <c r="G13" s="1786" t="s">
        <v>294</v>
      </c>
      <c r="H13" s="1777" t="s">
        <v>0</v>
      </c>
      <c r="I13" s="1748" t="s">
        <v>294</v>
      </c>
      <c r="J13" s="1749" t="s">
        <v>0</v>
      </c>
      <c r="K13" s="1757" t="s">
        <v>294</v>
      </c>
    </row>
    <row r="14" spans="1:12" x14ac:dyDescent="0.2">
      <c r="A14" s="417"/>
      <c r="B14" s="507"/>
      <c r="C14" s="513"/>
      <c r="D14" s="1760"/>
      <c r="E14" s="1749"/>
      <c r="F14" s="1749"/>
      <c r="G14" s="1787"/>
      <c r="H14" s="1777"/>
      <c r="I14" s="1749"/>
      <c r="J14" s="1749"/>
      <c r="K14" s="1758"/>
    </row>
    <row r="15" spans="1:12" ht="13.5" thickBot="1" x14ac:dyDescent="0.25">
      <c r="A15" s="425"/>
      <c r="B15" s="429">
        <v>0</v>
      </c>
      <c r="C15" s="464">
        <v>1</v>
      </c>
      <c r="D15" s="427">
        <v>2</v>
      </c>
      <c r="E15" s="428">
        <v>3</v>
      </c>
      <c r="F15" s="428">
        <v>4</v>
      </c>
      <c r="G15" s="429">
        <v>5</v>
      </c>
      <c r="H15" s="430">
        <v>6</v>
      </c>
      <c r="I15" s="428">
        <v>7</v>
      </c>
      <c r="J15" s="428">
        <v>8</v>
      </c>
      <c r="K15" s="431">
        <v>9</v>
      </c>
    </row>
    <row r="16" spans="1:12" ht="13.5" thickTop="1" x14ac:dyDescent="0.2">
      <c r="A16" s="461">
        <v>1</v>
      </c>
      <c r="B16" s="508" t="s">
        <v>236</v>
      </c>
      <c r="C16" s="494">
        <f>'Tab.3. Mieszkańcy_Polska '!I119</f>
        <v>362</v>
      </c>
      <c r="D16" s="1218">
        <f>'Tab.3. Mieszkańcy_Polska '!I121</f>
        <v>325</v>
      </c>
      <c r="E16" s="521">
        <f>IF(D16&gt;0, ROUND(D16*100/$C16, 1), 1)</f>
        <v>89.8</v>
      </c>
      <c r="F16" s="1458">
        <f>'Tab.3. Mieszkańcy_Polska '!I127</f>
        <v>37</v>
      </c>
      <c r="G16" s="538">
        <f>IF(F16&gt;0, ROUND(F16*100/$C16, 1), "")</f>
        <v>10.199999999999999</v>
      </c>
      <c r="H16" s="1459">
        <f>'Tab.3. Mieszkańcy_Polska '!I128</f>
        <v>0</v>
      </c>
      <c r="I16" s="521" t="str">
        <f>IF(H16&gt;0, ROUND(H16*100/$C16, 1), "")</f>
        <v/>
      </c>
      <c r="J16" s="1458">
        <f>'Tab.3. Mieszkańcy_Polska '!I130</f>
        <v>0</v>
      </c>
      <c r="K16" s="524" t="str">
        <f>IF(J16&gt;0, ROUND(J16*100/$C16, 1), "")</f>
        <v/>
      </c>
    </row>
    <row r="17" spans="1:12" x14ac:dyDescent="0.2">
      <c r="A17" s="462">
        <v>2</v>
      </c>
      <c r="B17" s="509" t="s">
        <v>237</v>
      </c>
      <c r="C17" s="1219">
        <f>'Tab.3. Mieszkańcy_Polska '!I195</f>
        <v>264</v>
      </c>
      <c r="D17" s="1220">
        <f>'Tab.3. Mieszkańcy_Polska '!I197</f>
        <v>228</v>
      </c>
      <c r="E17" s="522">
        <f t="shared" ref="E17:E31" si="0">IF(D17&gt;0, ROUND(D17*100/$C17, 1), 1)</f>
        <v>86.4</v>
      </c>
      <c r="F17" s="1460">
        <f>'Tab.3. Mieszkańcy_Polska '!I203</f>
        <v>36</v>
      </c>
      <c r="G17" s="539">
        <f t="shared" ref="G17:G31" si="1">IF(F17&gt;0, ROUND(F17*100/$C17, 1), "")</f>
        <v>13.6</v>
      </c>
      <c r="H17" s="1461">
        <f>'Tab.3. Mieszkańcy_Polska '!I204</f>
        <v>0</v>
      </c>
      <c r="I17" s="522" t="str">
        <f t="shared" ref="I17:I31" si="2">IF(H17&gt;0, ROUND(H17*100/$C17, 1), "")</f>
        <v/>
      </c>
      <c r="J17" s="1460">
        <f>'Tab.3. Mieszkańcy_Polska '!I206</f>
        <v>8</v>
      </c>
      <c r="K17" s="525">
        <f t="shared" ref="K17:K31" si="3">IF(J17&gt;0, ROUND(J17*100/$C17, 1), "")</f>
        <v>3</v>
      </c>
    </row>
    <row r="18" spans="1:12" x14ac:dyDescent="0.2">
      <c r="A18" s="462">
        <v>3</v>
      </c>
      <c r="B18" s="509" t="s">
        <v>238</v>
      </c>
      <c r="C18" s="1219">
        <f>'Tab.3. Mieszkańcy_Polska '!I271</f>
        <v>196</v>
      </c>
      <c r="D18" s="1220">
        <f>'Tab.3. Mieszkańcy_Polska '!I273</f>
        <v>196</v>
      </c>
      <c r="E18" s="522">
        <f t="shared" si="0"/>
        <v>100</v>
      </c>
      <c r="F18" s="1460">
        <f>'Tab.3. Mieszkańcy_Polska '!I279</f>
        <v>0</v>
      </c>
      <c r="G18" s="539" t="str">
        <f t="shared" si="1"/>
        <v/>
      </c>
      <c r="H18" s="1461">
        <f>'Tab.3. Mieszkańcy_Polska '!I280</f>
        <v>0</v>
      </c>
      <c r="I18" s="522" t="str">
        <f t="shared" si="2"/>
        <v/>
      </c>
      <c r="J18" s="1460">
        <f>'Tab.3. Mieszkańcy_Polska '!I282</f>
        <v>0</v>
      </c>
      <c r="K18" s="525" t="str">
        <f t="shared" si="3"/>
        <v/>
      </c>
    </row>
    <row r="19" spans="1:12" x14ac:dyDescent="0.2">
      <c r="A19" s="462">
        <v>4</v>
      </c>
      <c r="B19" s="509" t="s">
        <v>239</v>
      </c>
      <c r="C19" s="1219">
        <f>'Tab.3. Mieszkańcy_Polska '!I347</f>
        <v>87</v>
      </c>
      <c r="D19" s="1220">
        <f>'Tab.3. Mieszkańcy_Polska '!I349</f>
        <v>83</v>
      </c>
      <c r="E19" s="522">
        <f t="shared" si="0"/>
        <v>95.4</v>
      </c>
      <c r="F19" s="1460">
        <f>'Tab.3. Mieszkańcy_Polska '!I355</f>
        <v>4</v>
      </c>
      <c r="G19" s="539">
        <f t="shared" si="1"/>
        <v>4.5999999999999996</v>
      </c>
      <c r="H19" s="1461">
        <f>'Tab.3. Mieszkańcy_Polska '!I356</f>
        <v>0</v>
      </c>
      <c r="I19" s="522" t="str">
        <f t="shared" si="2"/>
        <v/>
      </c>
      <c r="J19" s="1460">
        <f>'Tab.3. Mieszkańcy_Polska '!I358</f>
        <v>0</v>
      </c>
      <c r="K19" s="525" t="str">
        <f t="shared" si="3"/>
        <v/>
      </c>
    </row>
    <row r="20" spans="1:12" x14ac:dyDescent="0.2">
      <c r="A20" s="462">
        <v>5</v>
      </c>
      <c r="B20" s="509" t="s">
        <v>240</v>
      </c>
      <c r="C20" s="1219">
        <f>'Tab.3. Mieszkańcy_Polska '!I423</f>
        <v>155</v>
      </c>
      <c r="D20" s="1220">
        <f>'Tab.3. Mieszkańcy_Polska '!I425</f>
        <v>153</v>
      </c>
      <c r="E20" s="522">
        <f t="shared" si="0"/>
        <v>98.7</v>
      </c>
      <c r="F20" s="1460">
        <f>'Tab.3. Mieszkańcy_Polska '!I431</f>
        <v>2</v>
      </c>
      <c r="G20" s="539">
        <f t="shared" si="1"/>
        <v>1.3</v>
      </c>
      <c r="H20" s="1461">
        <f>'Tab.3. Mieszkańcy_Polska '!I432</f>
        <v>1</v>
      </c>
      <c r="I20" s="522">
        <f t="shared" si="2"/>
        <v>0.6</v>
      </c>
      <c r="J20" s="1460">
        <f>'Tab.3. Mieszkańcy_Polska '!I434</f>
        <v>0</v>
      </c>
      <c r="K20" s="525" t="str">
        <f t="shared" si="3"/>
        <v/>
      </c>
    </row>
    <row r="21" spans="1:12" x14ac:dyDescent="0.2">
      <c r="A21" s="462">
        <v>6</v>
      </c>
      <c r="B21" s="509" t="s">
        <v>241</v>
      </c>
      <c r="C21" s="1219">
        <f>'Tab.3. Mieszkańcy_Polska '!I499</f>
        <v>842</v>
      </c>
      <c r="D21" s="1220">
        <f>'Tab.3. Mieszkańcy_Polska '!I501</f>
        <v>828</v>
      </c>
      <c r="E21" s="522">
        <f t="shared" si="0"/>
        <v>98.3</v>
      </c>
      <c r="F21" s="1460">
        <f>'Tab.3. Mieszkańcy_Polska '!I507</f>
        <v>14</v>
      </c>
      <c r="G21" s="539">
        <f t="shared" si="1"/>
        <v>1.7</v>
      </c>
      <c r="H21" s="1461">
        <f>'Tab.3. Mieszkańcy_Polska '!I508</f>
        <v>5</v>
      </c>
      <c r="I21" s="522">
        <f t="shared" si="2"/>
        <v>0.6</v>
      </c>
      <c r="J21" s="1460">
        <f>'Tab.3. Mieszkańcy_Polska '!I510</f>
        <v>5</v>
      </c>
      <c r="K21" s="525">
        <f t="shared" si="3"/>
        <v>0.6</v>
      </c>
    </row>
    <row r="22" spans="1:12" x14ac:dyDescent="0.2">
      <c r="A22" s="462">
        <v>7</v>
      </c>
      <c r="B22" s="509" t="s">
        <v>242</v>
      </c>
      <c r="C22" s="1219">
        <f>'Tab.3. Mieszkańcy_Polska '!I575</f>
        <v>651</v>
      </c>
      <c r="D22" s="1220">
        <f>'Tab.3. Mieszkańcy_Polska '!I577</f>
        <v>645</v>
      </c>
      <c r="E22" s="522">
        <f t="shared" si="0"/>
        <v>99.1</v>
      </c>
      <c r="F22" s="1460">
        <f>'Tab.3. Mieszkańcy_Polska '!I583</f>
        <v>6</v>
      </c>
      <c r="G22" s="539">
        <f t="shared" si="1"/>
        <v>0.9</v>
      </c>
      <c r="H22" s="1461">
        <f>'Tab.3. Mieszkańcy_Polska '!I584</f>
        <v>0</v>
      </c>
      <c r="I22" s="522" t="str">
        <f t="shared" si="2"/>
        <v/>
      </c>
      <c r="J22" s="1460">
        <f>'Tab.3. Mieszkańcy_Polska '!I586</f>
        <v>0</v>
      </c>
      <c r="K22" s="525" t="str">
        <f t="shared" si="3"/>
        <v/>
      </c>
    </row>
    <row r="23" spans="1:12" x14ac:dyDescent="0.2">
      <c r="A23" s="462">
        <v>8</v>
      </c>
      <c r="B23" s="509" t="s">
        <v>243</v>
      </c>
      <c r="C23" s="1219">
        <f>'Tab.3. Mieszkańcy_Polska '!I651</f>
        <v>547</v>
      </c>
      <c r="D23" s="1220">
        <f>'Tab.3. Mieszkańcy_Polska '!I653</f>
        <v>523</v>
      </c>
      <c r="E23" s="522">
        <f t="shared" si="0"/>
        <v>95.6</v>
      </c>
      <c r="F23" s="1460">
        <f>'Tab.3. Mieszkańcy_Polska '!I659</f>
        <v>24</v>
      </c>
      <c r="G23" s="539">
        <f t="shared" si="1"/>
        <v>4.4000000000000004</v>
      </c>
      <c r="H23" s="1461">
        <f>'Tab.3. Mieszkańcy_Polska '!I660</f>
        <v>0</v>
      </c>
      <c r="I23" s="522" t="str">
        <f t="shared" si="2"/>
        <v/>
      </c>
      <c r="J23" s="1460">
        <f>'Tab.3. Mieszkańcy_Polska '!I662</f>
        <v>10</v>
      </c>
      <c r="K23" s="525">
        <f t="shared" si="3"/>
        <v>1.8</v>
      </c>
    </row>
    <row r="24" spans="1:12" x14ac:dyDescent="0.2">
      <c r="A24" s="462">
        <v>9</v>
      </c>
      <c r="B24" s="509" t="s">
        <v>244</v>
      </c>
      <c r="C24" s="1219">
        <f>'Tab.3. Mieszkańcy_Polska '!I727</f>
        <v>684</v>
      </c>
      <c r="D24" s="1220">
        <f>'Tab.3. Mieszkańcy_Polska '!I729</f>
        <v>658</v>
      </c>
      <c r="E24" s="522">
        <f t="shared" si="0"/>
        <v>96.2</v>
      </c>
      <c r="F24" s="1460">
        <f>'Tab.3. Mieszkańcy_Polska '!I735</f>
        <v>26</v>
      </c>
      <c r="G24" s="539">
        <f t="shared" si="1"/>
        <v>3.8</v>
      </c>
      <c r="H24" s="1461">
        <f>'Tab.3. Mieszkańcy_Polska '!I736</f>
        <v>1</v>
      </c>
      <c r="I24" s="522">
        <f t="shared" si="2"/>
        <v>0.1</v>
      </c>
      <c r="J24" s="1460">
        <f>'Tab.3. Mieszkańcy_Polska '!I738</f>
        <v>0</v>
      </c>
      <c r="K24" s="525" t="str">
        <f t="shared" si="3"/>
        <v/>
      </c>
    </row>
    <row r="25" spans="1:12" x14ac:dyDescent="0.2">
      <c r="A25" s="463">
        <v>10</v>
      </c>
      <c r="B25" s="509" t="s">
        <v>245</v>
      </c>
      <c r="C25" s="1219">
        <f>'Tab.3. Mieszkańcy_Polska '!I803</f>
        <v>297</v>
      </c>
      <c r="D25" s="1220">
        <f>'Tab.3. Mieszkańcy_Polska '!I805</f>
        <v>293</v>
      </c>
      <c r="E25" s="522">
        <f t="shared" si="0"/>
        <v>98.7</v>
      </c>
      <c r="F25" s="1460">
        <f>'Tab.3. Mieszkańcy_Polska '!I811</f>
        <v>4</v>
      </c>
      <c r="G25" s="539">
        <f t="shared" si="1"/>
        <v>1.3</v>
      </c>
      <c r="H25" s="1461">
        <f>'Tab.3. Mieszkańcy_Polska '!I812</f>
        <v>0</v>
      </c>
      <c r="I25" s="522" t="str">
        <f t="shared" si="2"/>
        <v/>
      </c>
      <c r="J25" s="1460">
        <f>'Tab.3. Mieszkańcy_Polska '!I814</f>
        <v>0</v>
      </c>
      <c r="K25" s="525" t="str">
        <f t="shared" si="3"/>
        <v/>
      </c>
    </row>
    <row r="26" spans="1:12" x14ac:dyDescent="0.2">
      <c r="A26" s="463">
        <v>11</v>
      </c>
      <c r="B26" s="509" t="s">
        <v>246</v>
      </c>
      <c r="C26" s="1219">
        <f>'Tab.3. Mieszkańcy_Polska '!I879</f>
        <v>352</v>
      </c>
      <c r="D26" s="1220">
        <f>'Tab.3. Mieszkańcy_Polska '!I881</f>
        <v>345</v>
      </c>
      <c r="E26" s="522">
        <f t="shared" si="0"/>
        <v>98</v>
      </c>
      <c r="F26" s="1460">
        <f>'Tab.3. Mieszkańcy_Polska '!I887</f>
        <v>7</v>
      </c>
      <c r="G26" s="539">
        <f t="shared" si="1"/>
        <v>2</v>
      </c>
      <c r="H26" s="1461">
        <f>'Tab.3. Mieszkańcy_Polska '!I888</f>
        <v>0</v>
      </c>
      <c r="I26" s="522" t="str">
        <f t="shared" si="2"/>
        <v/>
      </c>
      <c r="J26" s="1460">
        <f>'Tab.3. Mieszkańcy_Polska '!I890</f>
        <v>0</v>
      </c>
      <c r="K26" s="525" t="str">
        <f t="shared" si="3"/>
        <v/>
      </c>
    </row>
    <row r="27" spans="1:12" x14ac:dyDescent="0.2">
      <c r="A27" s="463">
        <v>12</v>
      </c>
      <c r="B27" s="509" t="s">
        <v>247</v>
      </c>
      <c r="C27" s="1219">
        <f>'Tab.3. Mieszkańcy_Polska '!I955</f>
        <v>1631</v>
      </c>
      <c r="D27" s="1220">
        <f>'Tab.3. Mieszkańcy_Polska '!I957</f>
        <v>1600</v>
      </c>
      <c r="E27" s="522">
        <f t="shared" si="0"/>
        <v>98.1</v>
      </c>
      <c r="F27" s="1460">
        <f>'Tab.3. Mieszkańcy_Polska '!I963</f>
        <v>31</v>
      </c>
      <c r="G27" s="539">
        <f t="shared" si="1"/>
        <v>1.9</v>
      </c>
      <c r="H27" s="1461">
        <f>'Tab.3. Mieszkańcy_Polska '!I964</f>
        <v>87</v>
      </c>
      <c r="I27" s="522">
        <f t="shared" si="2"/>
        <v>5.3</v>
      </c>
      <c r="J27" s="1460">
        <f>'Tab.3. Mieszkańcy_Polska '!I966</f>
        <v>0</v>
      </c>
      <c r="K27" s="525" t="str">
        <f t="shared" si="3"/>
        <v/>
      </c>
    </row>
    <row r="28" spans="1:12" x14ac:dyDescent="0.2">
      <c r="A28" s="463">
        <v>13</v>
      </c>
      <c r="B28" s="509" t="s">
        <v>248</v>
      </c>
      <c r="C28" s="1219">
        <f>'Tab.3. Mieszkańcy_Polska '!I1031</f>
        <v>154</v>
      </c>
      <c r="D28" s="1220">
        <f>'Tab.3. Mieszkańcy_Polska '!I1033</f>
        <v>154</v>
      </c>
      <c r="E28" s="522">
        <f t="shared" si="0"/>
        <v>100</v>
      </c>
      <c r="F28" s="1460">
        <f>'Tab.3. Mieszkańcy_Polska '!I1039</f>
        <v>0</v>
      </c>
      <c r="G28" s="539" t="str">
        <f t="shared" si="1"/>
        <v/>
      </c>
      <c r="H28" s="1461">
        <f>'Tab.3. Mieszkańcy_Polska '!I1040</f>
        <v>10</v>
      </c>
      <c r="I28" s="522">
        <f t="shared" si="2"/>
        <v>6.5</v>
      </c>
      <c r="J28" s="1460">
        <f>'Tab.3. Mieszkańcy_Polska '!I1042</f>
        <v>0</v>
      </c>
      <c r="K28" s="525" t="str">
        <f t="shared" si="3"/>
        <v/>
      </c>
    </row>
    <row r="29" spans="1:12" x14ac:dyDescent="0.2">
      <c r="A29" s="463">
        <v>14</v>
      </c>
      <c r="B29" s="509" t="s">
        <v>249</v>
      </c>
      <c r="C29" s="1219">
        <f>'Tab.3. Mieszkańcy_Polska '!I1107</f>
        <v>323</v>
      </c>
      <c r="D29" s="1220">
        <f>'Tab.3. Mieszkańcy_Polska '!I1109</f>
        <v>294</v>
      </c>
      <c r="E29" s="522">
        <f t="shared" si="0"/>
        <v>91</v>
      </c>
      <c r="F29" s="1460">
        <f>'Tab.3. Mieszkańcy_Polska '!I1115</f>
        <v>29</v>
      </c>
      <c r="G29" s="539">
        <f t="shared" si="1"/>
        <v>9</v>
      </c>
      <c r="H29" s="1461">
        <f>'Tab.3. Mieszkańcy_Polska '!I1116</f>
        <v>0</v>
      </c>
      <c r="I29" s="522" t="str">
        <f t="shared" si="2"/>
        <v/>
      </c>
      <c r="J29" s="1460">
        <f>'Tab.3. Mieszkańcy_Polska '!I1118</f>
        <v>0</v>
      </c>
      <c r="K29" s="525" t="str">
        <f t="shared" si="3"/>
        <v/>
      </c>
    </row>
    <row r="30" spans="1:12" x14ac:dyDescent="0.2">
      <c r="A30" s="463">
        <v>15</v>
      </c>
      <c r="B30" s="509" t="s">
        <v>250</v>
      </c>
      <c r="C30" s="1219">
        <f>'Tab.3. Mieszkańcy_Polska '!I1183</f>
        <v>504</v>
      </c>
      <c r="D30" s="1220">
        <f>'Tab.3. Mieszkańcy_Polska '!I1185</f>
        <v>487</v>
      </c>
      <c r="E30" s="522">
        <f t="shared" si="0"/>
        <v>96.6</v>
      </c>
      <c r="F30" s="1460">
        <f>'Tab.3. Mieszkańcy_Polska '!I1191</f>
        <v>17</v>
      </c>
      <c r="G30" s="539">
        <f t="shared" si="1"/>
        <v>3.4</v>
      </c>
      <c r="H30" s="1461">
        <f>'Tab.3. Mieszkańcy_Polska '!I1192</f>
        <v>0</v>
      </c>
      <c r="I30" s="522" t="str">
        <f t="shared" si="2"/>
        <v/>
      </c>
      <c r="J30" s="1460">
        <f>'Tab.3. Mieszkańcy_Polska '!I1194</f>
        <v>2</v>
      </c>
      <c r="K30" s="525">
        <f t="shared" si="3"/>
        <v>0.4</v>
      </c>
    </row>
    <row r="31" spans="1:12" ht="13.5" thickBot="1" x14ac:dyDescent="0.25">
      <c r="A31" s="463">
        <v>16</v>
      </c>
      <c r="B31" s="510" t="s">
        <v>251</v>
      </c>
      <c r="C31" s="1219">
        <f>'Tab.3. Mieszkańcy_Polska '!I1259</f>
        <v>313</v>
      </c>
      <c r="D31" s="1221">
        <f>'Tab.3. Mieszkańcy_Polska '!I1261</f>
        <v>313</v>
      </c>
      <c r="E31" s="523">
        <f t="shared" si="0"/>
        <v>100</v>
      </c>
      <c r="F31" s="1462">
        <f>'Tab.3. Mieszkańcy_Polska '!I1267</f>
        <v>0</v>
      </c>
      <c r="G31" s="540" t="str">
        <f t="shared" si="1"/>
        <v/>
      </c>
      <c r="H31" s="1463">
        <f>'Tab.3. Mieszkańcy_Polska '!I1268</f>
        <v>17</v>
      </c>
      <c r="I31" s="523">
        <f t="shared" si="2"/>
        <v>5.4</v>
      </c>
      <c r="J31" s="1462">
        <f>'Tab.3. Mieszkańcy_Polska '!I1270</f>
        <v>8</v>
      </c>
      <c r="K31" s="526">
        <f t="shared" si="3"/>
        <v>2.6</v>
      </c>
    </row>
    <row r="32" spans="1:12" ht="16.5" thickBot="1" x14ac:dyDescent="0.3">
      <c r="A32" s="445" t="s">
        <v>252</v>
      </c>
      <c r="B32" s="446"/>
      <c r="C32" s="495">
        <f>SUM(C16:C31)</f>
        <v>7362</v>
      </c>
      <c r="D32" s="1222">
        <f>SUM(D16:D31)</f>
        <v>7125</v>
      </c>
      <c r="E32" s="528">
        <f>AVERAGE(E16:E31)</f>
        <v>96.368750000000006</v>
      </c>
      <c r="F32" s="1213">
        <f>SUM(F16:F31)</f>
        <v>237</v>
      </c>
      <c r="G32" s="541">
        <f>AVERAGE(G16:G31)</f>
        <v>4.4692307692307685</v>
      </c>
      <c r="H32" s="1217">
        <f>SUM(H16:H31)</f>
        <v>121</v>
      </c>
      <c r="I32" s="528">
        <f>AVERAGE(I16:I31)</f>
        <v>3.0833333333333335</v>
      </c>
      <c r="J32" s="1213">
        <f>SUM(J16:J31)</f>
        <v>33</v>
      </c>
      <c r="K32" s="530">
        <f>AVERAGE(K16:K31)</f>
        <v>1.6800000000000002</v>
      </c>
      <c r="L32" s="533"/>
    </row>
    <row r="33" ht="13.5" thickTop="1" x14ac:dyDescent="0.2"/>
  </sheetData>
  <mergeCells count="18">
    <mergeCell ref="J1:K1"/>
    <mergeCell ref="J12:K12"/>
    <mergeCell ref="D13:D14"/>
    <mergeCell ref="E13:E14"/>
    <mergeCell ref="F13:F14"/>
    <mergeCell ref="G13:G14"/>
    <mergeCell ref="H13:H14"/>
    <mergeCell ref="I13:I14"/>
    <mergeCell ref="K13:K14"/>
    <mergeCell ref="A6:K6"/>
    <mergeCell ref="A8:K8"/>
    <mergeCell ref="A7:K7"/>
    <mergeCell ref="J13:J14"/>
    <mergeCell ref="D12:E12"/>
    <mergeCell ref="F12:G12"/>
    <mergeCell ref="H12:I12"/>
    <mergeCell ref="D11:G11"/>
    <mergeCell ref="H11:K11"/>
  </mergeCells>
  <phoneticPr fontId="82"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J16:J31 H16:H31 J32 H32 K32 E32:G32 I32"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workbookViewId="0"/>
  </sheetViews>
  <sheetFormatPr defaultRowHeight="12.75" x14ac:dyDescent="0.2"/>
  <cols>
    <col min="1" max="1" width="3.7109375" customWidth="1"/>
    <col min="2" max="2" width="24.5703125" bestFit="1" customWidth="1"/>
    <col min="3" max="12" width="10.7109375" customWidth="1"/>
    <col min="13" max="13" width="15.7109375" customWidth="1"/>
  </cols>
  <sheetData>
    <row r="1" spans="1:13" ht="15.75" x14ac:dyDescent="0.25">
      <c r="A1" s="1" t="s">
        <v>195</v>
      </c>
      <c r="B1" s="3"/>
      <c r="C1" s="4"/>
      <c r="D1" s="3"/>
      <c r="E1" s="3"/>
      <c r="F1" s="3"/>
      <c r="G1" s="413"/>
      <c r="H1" s="413"/>
      <c r="I1" s="413"/>
      <c r="J1" s="413"/>
      <c r="K1" s="1788" t="s">
        <v>319</v>
      </c>
      <c r="L1" s="1788"/>
      <c r="M1" s="504"/>
    </row>
    <row r="2" spans="1:13" x14ac:dyDescent="0.2">
      <c r="A2" s="3" t="s">
        <v>214</v>
      </c>
      <c r="B2" s="3"/>
      <c r="C2" s="3"/>
    </row>
    <row r="3" spans="1:13" x14ac:dyDescent="0.2">
      <c r="A3" s="3" t="s">
        <v>216</v>
      </c>
      <c r="B3" s="3"/>
      <c r="C3" s="3"/>
      <c r="D3" s="3"/>
      <c r="E3" s="3"/>
      <c r="F3" s="3"/>
      <c r="G3" s="3"/>
      <c r="H3" s="3"/>
      <c r="I3" s="3"/>
      <c r="J3" s="3"/>
      <c r="K3" s="3"/>
    </row>
    <row r="4" spans="1:13" x14ac:dyDescent="0.2">
      <c r="A4" s="3" t="s">
        <v>128</v>
      </c>
      <c r="B4" s="3"/>
      <c r="C4" s="3"/>
      <c r="D4" s="3"/>
      <c r="E4" s="3"/>
      <c r="F4" s="3"/>
      <c r="G4" s="3"/>
      <c r="H4" s="3"/>
      <c r="I4" s="3"/>
      <c r="J4" s="3"/>
      <c r="K4" s="3"/>
    </row>
    <row r="5" spans="1:13" x14ac:dyDescent="0.2">
      <c r="A5" s="3"/>
      <c r="B5" s="3"/>
      <c r="C5" s="3"/>
      <c r="D5" s="3"/>
      <c r="E5" s="3"/>
      <c r="F5" s="3"/>
      <c r="G5" s="3"/>
      <c r="H5" s="3"/>
      <c r="I5" s="3"/>
      <c r="J5" s="3"/>
      <c r="K5" s="3"/>
    </row>
    <row r="6" spans="1:13" ht="15.75" x14ac:dyDescent="0.25">
      <c r="A6" s="8"/>
      <c r="B6" s="945" t="s">
        <v>320</v>
      </c>
      <c r="C6" s="8"/>
      <c r="D6" s="8"/>
      <c r="E6" s="8"/>
      <c r="F6" s="8"/>
      <c r="G6" s="8"/>
      <c r="H6" s="8"/>
      <c r="I6" s="8"/>
      <c r="J6" s="8"/>
      <c r="K6" s="8"/>
      <c r="L6" s="8"/>
      <c r="M6" s="8"/>
    </row>
    <row r="7" spans="1:13" ht="15.75" x14ac:dyDescent="0.25">
      <c r="A7" s="1604" t="s">
        <v>486</v>
      </c>
      <c r="B7" s="1604"/>
      <c r="C7" s="1604"/>
      <c r="D7" s="1604"/>
      <c r="E7" s="1604"/>
      <c r="F7" s="1604"/>
      <c r="G7" s="1604"/>
      <c r="H7" s="1604"/>
      <c r="I7" s="1604"/>
      <c r="J7" s="1604"/>
      <c r="K7" s="1604"/>
      <c r="L7" s="1604"/>
      <c r="M7" s="8"/>
    </row>
    <row r="8" spans="1:13" ht="15.75" x14ac:dyDescent="0.25">
      <c r="A8" s="1604" t="s">
        <v>322</v>
      </c>
      <c r="B8" s="1604"/>
      <c r="C8" s="1604"/>
      <c r="D8" s="1604"/>
      <c r="E8" s="1604"/>
      <c r="F8" s="1604"/>
      <c r="G8" s="1604"/>
      <c r="H8" s="1604"/>
      <c r="I8" s="1604"/>
      <c r="J8" s="1604"/>
      <c r="K8" s="1604"/>
      <c r="L8" s="1604"/>
      <c r="M8" s="8"/>
    </row>
    <row r="9" spans="1:13" ht="15.75" x14ac:dyDescent="0.25">
      <c r="A9" s="1691" t="str">
        <f>"wg FORM ODPŁATNOŚCI, wg stanu na dzień 31.XII."&amp;'Tab.1. bilans_Polska'!A2&amp;" r."</f>
        <v>wg FORM ODPŁATNOŚCI, wg stanu na dzień 31.XII.2011 r.</v>
      </c>
      <c r="B9" s="1690"/>
      <c r="C9" s="1690"/>
      <c r="D9" s="1690"/>
      <c r="E9" s="1690"/>
      <c r="F9" s="1690"/>
      <c r="G9" s="1690"/>
      <c r="H9" s="1690"/>
      <c r="I9" s="1690"/>
      <c r="J9" s="1690"/>
      <c r="K9" s="1690"/>
      <c r="L9" s="1690"/>
    </row>
    <row r="10" spans="1:13" ht="13.5" thickBot="1" x14ac:dyDescent="0.25">
      <c r="A10" s="3"/>
      <c r="B10" s="3"/>
      <c r="C10" s="3"/>
      <c r="D10" s="3"/>
      <c r="E10" s="3"/>
      <c r="F10" s="3"/>
      <c r="G10" s="3"/>
      <c r="H10" s="3"/>
      <c r="I10" s="3"/>
      <c r="J10" s="3"/>
      <c r="K10" s="3"/>
    </row>
    <row r="11" spans="1:13" ht="13.5" thickTop="1" x14ac:dyDescent="0.2">
      <c r="A11" s="1692" t="s">
        <v>226</v>
      </c>
      <c r="B11" s="1802" t="s">
        <v>256</v>
      </c>
      <c r="C11" s="1797" t="s">
        <v>7</v>
      </c>
      <c r="D11" s="1773" t="s">
        <v>50</v>
      </c>
      <c r="E11" s="1774"/>
      <c r="F11" s="1774"/>
      <c r="G11" s="1774"/>
      <c r="H11" s="1774"/>
      <c r="I11" s="1774"/>
      <c r="J11" s="1774"/>
      <c r="K11" s="1774"/>
      <c r="L11" s="1775"/>
    </row>
    <row r="12" spans="1:13" x14ac:dyDescent="0.2">
      <c r="A12" s="1693"/>
      <c r="B12" s="1803"/>
      <c r="C12" s="1768"/>
      <c r="D12" s="1789" t="s">
        <v>323</v>
      </c>
      <c r="E12" s="1790"/>
      <c r="F12" s="1790"/>
      <c r="G12" s="1791"/>
      <c r="H12" s="1789" t="s">
        <v>324</v>
      </c>
      <c r="I12" s="1790"/>
      <c r="J12" s="1790"/>
      <c r="K12" s="1790"/>
      <c r="L12" s="1805"/>
    </row>
    <row r="13" spans="1:13" x14ac:dyDescent="0.2">
      <c r="A13" s="1693"/>
      <c r="B13" s="1803"/>
      <c r="C13" s="1768"/>
      <c r="D13" s="1793" t="s">
        <v>282</v>
      </c>
      <c r="E13" s="1792" t="s">
        <v>325</v>
      </c>
      <c r="F13" s="1790"/>
      <c r="G13" s="1791"/>
      <c r="H13" s="1793" t="s">
        <v>282</v>
      </c>
      <c r="I13" s="1798" t="s">
        <v>325</v>
      </c>
      <c r="J13" s="1799"/>
      <c r="K13" s="1799"/>
      <c r="L13" s="1800"/>
    </row>
    <row r="14" spans="1:13" ht="19.5" customHeight="1" x14ac:dyDescent="0.2">
      <c r="A14" s="1693"/>
      <c r="B14" s="1803"/>
      <c r="C14" s="1768"/>
      <c r="D14" s="1794"/>
      <c r="E14" s="1796" t="s">
        <v>186</v>
      </c>
      <c r="F14" s="1796" t="s">
        <v>187</v>
      </c>
      <c r="G14" s="1804" t="s">
        <v>326</v>
      </c>
      <c r="H14" s="1794"/>
      <c r="I14" s="1796" t="s">
        <v>186</v>
      </c>
      <c r="J14" s="1796" t="s">
        <v>187</v>
      </c>
      <c r="K14" s="1796" t="s">
        <v>326</v>
      </c>
      <c r="L14" s="1801" t="s">
        <v>153</v>
      </c>
    </row>
    <row r="15" spans="1:13" ht="19.5" customHeight="1" x14ac:dyDescent="0.2">
      <c r="A15" s="1694"/>
      <c r="B15" s="1616"/>
      <c r="C15" s="1769"/>
      <c r="D15" s="1795"/>
      <c r="E15" s="1796"/>
      <c r="F15" s="1796"/>
      <c r="G15" s="1804"/>
      <c r="H15" s="1795"/>
      <c r="I15" s="1796"/>
      <c r="J15" s="1796"/>
      <c r="K15" s="1796"/>
      <c r="L15" s="1801"/>
    </row>
    <row r="16" spans="1:13" ht="13.5" thickBot="1" x14ac:dyDescent="0.25">
      <c r="A16" s="425"/>
      <c r="B16" s="429">
        <v>0</v>
      </c>
      <c r="C16" s="464">
        <v>1</v>
      </c>
      <c r="D16" s="427">
        <v>2</v>
      </c>
      <c r="E16" s="428">
        <v>3</v>
      </c>
      <c r="F16" s="428">
        <v>4</v>
      </c>
      <c r="G16" s="429">
        <v>5</v>
      </c>
      <c r="H16" s="430">
        <v>6</v>
      </c>
      <c r="I16" s="428">
        <v>7</v>
      </c>
      <c r="J16" s="428">
        <v>8</v>
      </c>
      <c r="K16" s="428">
        <v>9</v>
      </c>
      <c r="L16" s="431">
        <v>10</v>
      </c>
    </row>
    <row r="17" spans="1:12" ht="13.5" thickTop="1" x14ac:dyDescent="0.2">
      <c r="A17" s="461">
        <v>1</v>
      </c>
      <c r="B17" s="508" t="s">
        <v>236</v>
      </c>
      <c r="C17" s="494">
        <f>'Tab.3. Mieszkańcy_Polska '!G132</f>
        <v>2510</v>
      </c>
      <c r="D17" s="1223">
        <f>'Tab.3. Mieszkańcy_Polska '!G134</f>
        <v>89</v>
      </c>
      <c r="E17" s="1224">
        <f>'Tab.3. Mieszkańcy_Polska '!G136</f>
        <v>36</v>
      </c>
      <c r="F17" s="1224">
        <f>'Tab.3. Mieszkańcy_Polska '!G137</f>
        <v>0</v>
      </c>
      <c r="G17" s="1225">
        <f>'Tab.3. Mieszkańcy_Polska '!G138</f>
        <v>53</v>
      </c>
      <c r="H17" s="1226">
        <f>'Tab.3. Mieszkańcy_Polska '!G139</f>
        <v>2421</v>
      </c>
      <c r="I17" s="1224">
        <f>'Tab.3. Mieszkańcy_Polska '!G141</f>
        <v>2143</v>
      </c>
      <c r="J17" s="1224">
        <f>'Tab.3. Mieszkańcy_Polska '!G142</f>
        <v>1</v>
      </c>
      <c r="K17" s="1224">
        <f>'Tab.3. Mieszkańcy_Polska '!G143</f>
        <v>225</v>
      </c>
      <c r="L17" s="1227">
        <f>'Tab.3. Mieszkańcy_Polska '!G144</f>
        <v>52</v>
      </c>
    </row>
    <row r="18" spans="1:12" x14ac:dyDescent="0.2">
      <c r="A18" s="462">
        <v>2</v>
      </c>
      <c r="B18" s="509" t="s">
        <v>237</v>
      </c>
      <c r="C18" s="1219">
        <f>'Tab.3. Mieszkańcy_Polska '!G208</f>
        <v>1702</v>
      </c>
      <c r="D18" s="1228">
        <f>'Tab.3. Mieszkańcy_Polska '!G210</f>
        <v>69</v>
      </c>
      <c r="E18" s="1229">
        <f>'Tab.3. Mieszkańcy_Polska '!G212</f>
        <v>22</v>
      </c>
      <c r="F18" s="1229">
        <f>'Tab.3. Mieszkańcy_Polska '!G213</f>
        <v>3</v>
      </c>
      <c r="G18" s="1230">
        <f>'Tab.3. Mieszkańcy_Polska '!G214</f>
        <v>44</v>
      </c>
      <c r="H18" s="1231">
        <f>'Tab.3. Mieszkańcy_Polska '!G215</f>
        <v>1633</v>
      </c>
      <c r="I18" s="1229">
        <f>'Tab.3. Mieszkańcy_Polska '!G217</f>
        <v>1443</v>
      </c>
      <c r="J18" s="1229">
        <f>'Tab.3. Mieszkańcy_Polska '!G218</f>
        <v>1</v>
      </c>
      <c r="K18" s="1229">
        <f>'Tab.3. Mieszkańcy_Polska '!G219</f>
        <v>103</v>
      </c>
      <c r="L18" s="1232">
        <f>'Tab.3. Mieszkańcy_Polska '!G220</f>
        <v>86</v>
      </c>
    </row>
    <row r="19" spans="1:12" x14ac:dyDescent="0.2">
      <c r="A19" s="462">
        <v>3</v>
      </c>
      <c r="B19" s="509" t="s">
        <v>238</v>
      </c>
      <c r="C19" s="1219">
        <f>'Tab.3. Mieszkańcy_Polska '!G284</f>
        <v>1895</v>
      </c>
      <c r="D19" s="1228">
        <f>'Tab.3. Mieszkańcy_Polska '!G286</f>
        <v>95</v>
      </c>
      <c r="E19" s="1229">
        <f>'Tab.3. Mieszkańcy_Polska '!G288</f>
        <v>30</v>
      </c>
      <c r="F19" s="1229">
        <f>'Tab.3. Mieszkańcy_Polska '!G289</f>
        <v>2</v>
      </c>
      <c r="G19" s="1230">
        <f>'Tab.3. Mieszkańcy_Polska '!G290</f>
        <v>63</v>
      </c>
      <c r="H19" s="1231">
        <f>'Tab.3. Mieszkańcy_Polska '!G291</f>
        <v>1800</v>
      </c>
      <c r="I19" s="1229">
        <f>'Tab.3. Mieszkańcy_Polska '!G293</f>
        <v>1661</v>
      </c>
      <c r="J19" s="1229">
        <f>'Tab.3. Mieszkańcy_Polska '!G294</f>
        <v>5</v>
      </c>
      <c r="K19" s="1229">
        <f>'Tab.3. Mieszkańcy_Polska '!G295</f>
        <v>112</v>
      </c>
      <c r="L19" s="1232">
        <f>'Tab.3. Mieszkańcy_Polska '!G296</f>
        <v>22</v>
      </c>
    </row>
    <row r="20" spans="1:12" x14ac:dyDescent="0.2">
      <c r="A20" s="462">
        <v>4</v>
      </c>
      <c r="B20" s="509" t="s">
        <v>239</v>
      </c>
      <c r="C20" s="1219">
        <f>'Tab.3. Mieszkańcy_Polska '!G360</f>
        <v>1104</v>
      </c>
      <c r="D20" s="1228">
        <f>'Tab.3. Mieszkańcy_Polska '!G362</f>
        <v>63</v>
      </c>
      <c r="E20" s="1229">
        <f>'Tab.3. Mieszkańcy_Polska '!G364</f>
        <v>16</v>
      </c>
      <c r="F20" s="1229">
        <f>'Tab.3. Mieszkańcy_Polska '!G365</f>
        <v>0</v>
      </c>
      <c r="G20" s="1230">
        <f>'Tab.3. Mieszkańcy_Polska '!G366</f>
        <v>47</v>
      </c>
      <c r="H20" s="1231">
        <f>'Tab.3. Mieszkańcy_Polska '!G367</f>
        <v>1041</v>
      </c>
      <c r="I20" s="1229">
        <f>'Tab.3. Mieszkańcy_Polska '!G369</f>
        <v>932</v>
      </c>
      <c r="J20" s="1229">
        <f>'Tab.3. Mieszkańcy_Polska '!G370</f>
        <v>1</v>
      </c>
      <c r="K20" s="1229">
        <f>'Tab.3. Mieszkańcy_Polska '!G371</f>
        <v>65</v>
      </c>
      <c r="L20" s="1232">
        <f>'Tab.3. Mieszkańcy_Polska '!G372</f>
        <v>43</v>
      </c>
    </row>
    <row r="21" spans="1:12" x14ac:dyDescent="0.2">
      <c r="A21" s="462">
        <v>5</v>
      </c>
      <c r="B21" s="509" t="s">
        <v>240</v>
      </c>
      <c r="C21" s="1219">
        <f>'Tab.3. Mieszkańcy_Polska '!G436</f>
        <v>2928</v>
      </c>
      <c r="D21" s="1228">
        <f>'Tab.3. Mieszkańcy_Polska '!G438</f>
        <v>114</v>
      </c>
      <c r="E21" s="1229">
        <f>'Tab.3. Mieszkańcy_Polska '!G440</f>
        <v>27</v>
      </c>
      <c r="F21" s="1229">
        <f>'Tab.3. Mieszkańcy_Polska '!G441</f>
        <v>1</v>
      </c>
      <c r="G21" s="1230">
        <f>'Tab.3. Mieszkańcy_Polska '!G442</f>
        <v>86</v>
      </c>
      <c r="H21" s="1231">
        <f>'Tab.3. Mieszkańcy_Polska '!G443</f>
        <v>2814</v>
      </c>
      <c r="I21" s="1229">
        <f>'Tab.3. Mieszkańcy_Polska '!G445</f>
        <v>2548</v>
      </c>
      <c r="J21" s="1229">
        <f>'Tab.3. Mieszkańcy_Polska '!G446</f>
        <v>3</v>
      </c>
      <c r="K21" s="1229">
        <f>'Tab.3. Mieszkańcy_Polska '!G447</f>
        <v>231</v>
      </c>
      <c r="L21" s="1232">
        <f>'Tab.3. Mieszkańcy_Polska '!G448</f>
        <v>32</v>
      </c>
    </row>
    <row r="22" spans="1:12" x14ac:dyDescent="0.2">
      <c r="A22" s="462">
        <v>6</v>
      </c>
      <c r="B22" s="509" t="s">
        <v>241</v>
      </c>
      <c r="C22" s="1219">
        <f>'Tab.3. Mieszkańcy_Polska '!G512</f>
        <v>3150</v>
      </c>
      <c r="D22" s="1228">
        <f>'Tab.3. Mieszkańcy_Polska '!G514</f>
        <v>103</v>
      </c>
      <c r="E22" s="1229">
        <f>'Tab.3. Mieszkańcy_Polska '!G516</f>
        <v>25</v>
      </c>
      <c r="F22" s="1229">
        <f>'Tab.3. Mieszkańcy_Polska '!G517</f>
        <v>1</v>
      </c>
      <c r="G22" s="1230">
        <f>'Tab.3. Mieszkańcy_Polska '!G518</f>
        <v>77</v>
      </c>
      <c r="H22" s="1231">
        <f>'Tab.3. Mieszkańcy_Polska '!G519</f>
        <v>3047</v>
      </c>
      <c r="I22" s="1229">
        <f>'Tab.3. Mieszkańcy_Polska '!G521</f>
        <v>2786</v>
      </c>
      <c r="J22" s="1229">
        <f>'Tab.3. Mieszkańcy_Polska '!G522</f>
        <v>12</v>
      </c>
      <c r="K22" s="1229">
        <f>'Tab.3. Mieszkańcy_Polska '!G523</f>
        <v>230</v>
      </c>
      <c r="L22" s="1232">
        <f>'Tab.3. Mieszkańcy_Polska '!G524</f>
        <v>19</v>
      </c>
    </row>
    <row r="23" spans="1:12" x14ac:dyDescent="0.2">
      <c r="A23" s="462">
        <v>7</v>
      </c>
      <c r="B23" s="509" t="s">
        <v>242</v>
      </c>
      <c r="C23" s="1219">
        <f>'Tab.3. Mieszkańcy_Polska '!G588</f>
        <v>3863</v>
      </c>
      <c r="D23" s="1228">
        <f>'Tab.3. Mieszkańcy_Polska '!G590</f>
        <v>157</v>
      </c>
      <c r="E23" s="1229">
        <f>'Tab.3. Mieszkańcy_Polska '!G592</f>
        <v>58</v>
      </c>
      <c r="F23" s="1229">
        <f>'Tab.3. Mieszkańcy_Polska '!G593</f>
        <v>6</v>
      </c>
      <c r="G23" s="1230">
        <f>'Tab.3. Mieszkańcy_Polska '!G594</f>
        <v>93</v>
      </c>
      <c r="H23" s="1231">
        <f>'Tab.3. Mieszkańcy_Polska '!G595</f>
        <v>3706</v>
      </c>
      <c r="I23" s="1229">
        <f>'Tab.3. Mieszkańcy_Polska '!G597</f>
        <v>3277</v>
      </c>
      <c r="J23" s="1229">
        <f>'Tab.3. Mieszkańcy_Polska '!G598</f>
        <v>11</v>
      </c>
      <c r="K23" s="1229">
        <f>'Tab.3. Mieszkańcy_Polska '!G599</f>
        <v>339</v>
      </c>
      <c r="L23" s="1232">
        <f>'Tab.3. Mieszkańcy_Polska '!G600</f>
        <v>79</v>
      </c>
    </row>
    <row r="24" spans="1:12" x14ac:dyDescent="0.2">
      <c r="A24" s="462">
        <v>8</v>
      </c>
      <c r="B24" s="509" t="s">
        <v>243</v>
      </c>
      <c r="C24" s="1219">
        <f>'Tab.3. Mieszkańcy_Polska '!G664</f>
        <v>1307</v>
      </c>
      <c r="D24" s="1228">
        <f>'Tab.3. Mieszkańcy_Polska '!G666</f>
        <v>134</v>
      </c>
      <c r="E24" s="1229">
        <f>'Tab.3. Mieszkańcy_Polska '!G668</f>
        <v>19</v>
      </c>
      <c r="F24" s="1229">
        <f>'Tab.3. Mieszkańcy_Polska '!G669</f>
        <v>6</v>
      </c>
      <c r="G24" s="1230">
        <f>'Tab.3. Mieszkańcy_Polska '!G670</f>
        <v>109</v>
      </c>
      <c r="H24" s="1231">
        <f>'Tab.3. Mieszkańcy_Polska '!G671</f>
        <v>1173</v>
      </c>
      <c r="I24" s="1229">
        <f>'Tab.3. Mieszkańcy_Polska '!G673</f>
        <v>1099</v>
      </c>
      <c r="J24" s="1229">
        <f>'Tab.3. Mieszkańcy_Polska '!G674</f>
        <v>4</v>
      </c>
      <c r="K24" s="1229">
        <f>'Tab.3. Mieszkańcy_Polska '!G675</f>
        <v>60</v>
      </c>
      <c r="L24" s="1232">
        <f>'Tab.3. Mieszkańcy_Polska '!G676</f>
        <v>10</v>
      </c>
    </row>
    <row r="25" spans="1:12" x14ac:dyDescent="0.2">
      <c r="A25" s="462">
        <v>9</v>
      </c>
      <c r="B25" s="509" t="s">
        <v>244</v>
      </c>
      <c r="C25" s="1219">
        <f>'Tab.3. Mieszkańcy_Polska '!G740</f>
        <v>1727</v>
      </c>
      <c r="D25" s="1228">
        <f>'Tab.3. Mieszkańcy_Polska '!G742</f>
        <v>114</v>
      </c>
      <c r="E25" s="1229">
        <f>'Tab.3. Mieszkańcy_Polska '!G744</f>
        <v>33</v>
      </c>
      <c r="F25" s="1229">
        <f>'Tab.3. Mieszkańcy_Polska '!G745</f>
        <v>1</v>
      </c>
      <c r="G25" s="1230">
        <f>'Tab.3. Mieszkańcy_Polska '!G746</f>
        <v>80</v>
      </c>
      <c r="H25" s="1231">
        <f>'Tab.3. Mieszkańcy_Polska '!G747</f>
        <v>1613</v>
      </c>
      <c r="I25" s="1229">
        <f>'Tab.3. Mieszkańcy_Polska '!G749</f>
        <v>1485</v>
      </c>
      <c r="J25" s="1229">
        <f>'Tab.3. Mieszkańcy_Polska '!G750</f>
        <v>3</v>
      </c>
      <c r="K25" s="1229">
        <f>'Tab.3. Mieszkańcy_Polska '!G751</f>
        <v>101</v>
      </c>
      <c r="L25" s="1232">
        <f>'Tab.3. Mieszkańcy_Polska '!G752</f>
        <v>24</v>
      </c>
    </row>
    <row r="26" spans="1:12" x14ac:dyDescent="0.2">
      <c r="A26" s="463">
        <v>10</v>
      </c>
      <c r="B26" s="509" t="s">
        <v>245</v>
      </c>
      <c r="C26" s="1219">
        <f>'Tab.3. Mieszkańcy_Polska '!G816</f>
        <v>948</v>
      </c>
      <c r="D26" s="1228">
        <f>'Tab.3. Mieszkańcy_Polska '!G818</f>
        <v>32</v>
      </c>
      <c r="E26" s="1229">
        <f>'Tab.3. Mieszkańcy_Polska '!G820</f>
        <v>4</v>
      </c>
      <c r="F26" s="1229">
        <f>'Tab.3. Mieszkańcy_Polska '!G821</f>
        <v>0</v>
      </c>
      <c r="G26" s="1230">
        <f>'Tab.3. Mieszkańcy_Polska '!G822</f>
        <v>28</v>
      </c>
      <c r="H26" s="1231">
        <f>'Tab.3. Mieszkańcy_Polska '!G823</f>
        <v>916</v>
      </c>
      <c r="I26" s="1229">
        <f>'Tab.3. Mieszkańcy_Polska '!G825</f>
        <v>839</v>
      </c>
      <c r="J26" s="1229">
        <f>'Tab.3. Mieszkańcy_Polska '!G826</f>
        <v>3</v>
      </c>
      <c r="K26" s="1229">
        <f>'Tab.3. Mieszkańcy_Polska '!G827</f>
        <v>38</v>
      </c>
      <c r="L26" s="1232">
        <f>'Tab.3. Mieszkańcy_Polska '!G828</f>
        <v>36</v>
      </c>
    </row>
    <row r="27" spans="1:12" x14ac:dyDescent="0.2">
      <c r="A27" s="463">
        <v>11</v>
      </c>
      <c r="B27" s="509" t="s">
        <v>246</v>
      </c>
      <c r="C27" s="1219">
        <f>'Tab.3. Mieszkańcy_Polska '!G892</f>
        <v>1632</v>
      </c>
      <c r="D27" s="1228">
        <f>'Tab.3. Mieszkańcy_Polska '!G894</f>
        <v>51</v>
      </c>
      <c r="E27" s="1229">
        <f>'Tab.3. Mieszkańcy_Polska '!G896</f>
        <v>12</v>
      </c>
      <c r="F27" s="1229">
        <f>'Tab.3. Mieszkańcy_Polska '!G897</f>
        <v>3</v>
      </c>
      <c r="G27" s="1230">
        <f>'Tab.3. Mieszkańcy_Polska '!G898</f>
        <v>36</v>
      </c>
      <c r="H27" s="1231">
        <f>'Tab.3. Mieszkańcy_Polska '!G899</f>
        <v>1581</v>
      </c>
      <c r="I27" s="1229">
        <f>'Tab.3. Mieszkańcy_Polska '!G901</f>
        <v>1453</v>
      </c>
      <c r="J27" s="1229">
        <f>'Tab.3. Mieszkańcy_Polska '!G902</f>
        <v>2</v>
      </c>
      <c r="K27" s="1229">
        <f>'Tab.3. Mieszkańcy_Polska '!G903</f>
        <v>89</v>
      </c>
      <c r="L27" s="1232">
        <f>'Tab.3. Mieszkańcy_Polska '!G904</f>
        <v>37</v>
      </c>
    </row>
    <row r="28" spans="1:12" x14ac:dyDescent="0.2">
      <c r="A28" s="463">
        <v>12</v>
      </c>
      <c r="B28" s="509" t="s">
        <v>247</v>
      </c>
      <c r="C28" s="1219">
        <f>'Tab.3. Mieszkańcy_Polska '!G968</f>
        <v>3793</v>
      </c>
      <c r="D28" s="1228">
        <f>'Tab.3. Mieszkańcy_Polska '!G970</f>
        <v>167</v>
      </c>
      <c r="E28" s="1229">
        <f>'Tab.3. Mieszkańcy_Polska '!G972</f>
        <v>75</v>
      </c>
      <c r="F28" s="1229">
        <f>'Tab.3. Mieszkańcy_Polska '!G973</f>
        <v>0</v>
      </c>
      <c r="G28" s="1230">
        <f>'Tab.3. Mieszkańcy_Polska '!G974</f>
        <v>92</v>
      </c>
      <c r="H28" s="1231">
        <f>'Tab.3. Mieszkańcy_Polska '!G975</f>
        <v>3626</v>
      </c>
      <c r="I28" s="1229">
        <f>'Tab.3. Mieszkańcy_Polska '!G977</f>
        <v>3279</v>
      </c>
      <c r="J28" s="1229">
        <f>'Tab.3. Mieszkańcy_Polska '!G978</f>
        <v>14</v>
      </c>
      <c r="K28" s="1229">
        <f>'Tab.3. Mieszkańcy_Polska '!G979</f>
        <v>277</v>
      </c>
      <c r="L28" s="1232">
        <f>'Tab.3. Mieszkańcy_Polska '!G980</f>
        <v>56</v>
      </c>
    </row>
    <row r="29" spans="1:12" x14ac:dyDescent="0.2">
      <c r="A29" s="463">
        <v>13</v>
      </c>
      <c r="B29" s="509" t="s">
        <v>248</v>
      </c>
      <c r="C29" s="1219">
        <f>'Tab.3. Mieszkańcy_Polska '!G1044</f>
        <v>1480</v>
      </c>
      <c r="D29" s="1228">
        <f>'Tab.3. Mieszkańcy_Polska '!G1046</f>
        <v>44</v>
      </c>
      <c r="E29" s="1229">
        <f>'Tab.3. Mieszkańcy_Polska '!G1048</f>
        <v>12</v>
      </c>
      <c r="F29" s="1229">
        <f>'Tab.3. Mieszkańcy_Polska '!G1049</f>
        <v>0</v>
      </c>
      <c r="G29" s="1230">
        <f>'Tab.3. Mieszkańcy_Polska '!G1050</f>
        <v>32</v>
      </c>
      <c r="H29" s="1231">
        <f>'Tab.3. Mieszkańcy_Polska '!G1051</f>
        <v>1436</v>
      </c>
      <c r="I29" s="1229">
        <f>'Tab.3. Mieszkańcy_Polska '!G1053</f>
        <v>1321</v>
      </c>
      <c r="J29" s="1229">
        <f>'Tab.3. Mieszkańcy_Polska '!G1054</f>
        <v>4</v>
      </c>
      <c r="K29" s="1229">
        <f>'Tab.3. Mieszkańcy_Polska '!G1055</f>
        <v>109</v>
      </c>
      <c r="L29" s="1232">
        <f>'Tab.3. Mieszkańcy_Polska '!G1056</f>
        <v>2</v>
      </c>
    </row>
    <row r="30" spans="1:12" x14ac:dyDescent="0.2">
      <c r="A30" s="463">
        <v>14</v>
      </c>
      <c r="B30" s="509" t="s">
        <v>249</v>
      </c>
      <c r="C30" s="1219">
        <f>'Tab.3. Mieszkańcy_Polska '!G1120</f>
        <v>1412</v>
      </c>
      <c r="D30" s="1228">
        <f>'Tab.3. Mieszkańcy_Polska '!G1122</f>
        <v>34</v>
      </c>
      <c r="E30" s="1229">
        <f>'Tab.3. Mieszkańcy_Polska '!G1124</f>
        <v>12</v>
      </c>
      <c r="F30" s="1229">
        <f>'Tab.3. Mieszkańcy_Polska '!G1125</f>
        <v>3</v>
      </c>
      <c r="G30" s="1230">
        <f>'Tab.3. Mieszkańcy_Polska '!G1126</f>
        <v>19</v>
      </c>
      <c r="H30" s="1231">
        <f>'Tab.3. Mieszkańcy_Polska '!G1127</f>
        <v>1378</v>
      </c>
      <c r="I30" s="1229">
        <f>'Tab.3. Mieszkańcy_Polska '!G1129</f>
        <v>1184</v>
      </c>
      <c r="J30" s="1229">
        <f>'Tab.3. Mieszkańcy_Polska '!G1130</f>
        <v>12</v>
      </c>
      <c r="K30" s="1229">
        <f>'Tab.3. Mieszkańcy_Polska '!G1131</f>
        <v>132</v>
      </c>
      <c r="L30" s="1232">
        <f>'Tab.3. Mieszkańcy_Polska '!G1132</f>
        <v>50</v>
      </c>
    </row>
    <row r="31" spans="1:12" x14ac:dyDescent="0.2">
      <c r="A31" s="463">
        <v>15</v>
      </c>
      <c r="B31" s="509" t="s">
        <v>250</v>
      </c>
      <c r="C31" s="1219">
        <f>'Tab.3. Mieszkańcy_Polska '!G1196</f>
        <v>3036</v>
      </c>
      <c r="D31" s="1228">
        <f>'Tab.3. Mieszkańcy_Polska '!G1198</f>
        <v>78</v>
      </c>
      <c r="E31" s="1229">
        <f>'Tab.3. Mieszkańcy_Polska '!G1200</f>
        <v>54</v>
      </c>
      <c r="F31" s="1229">
        <f>'Tab.3. Mieszkańcy_Polska '!G1201</f>
        <v>0</v>
      </c>
      <c r="G31" s="1230">
        <f>'Tab.3. Mieszkańcy_Polska '!G1202</f>
        <v>24</v>
      </c>
      <c r="H31" s="1231">
        <f>'Tab.3. Mieszkańcy_Polska '!G1203</f>
        <v>2958</v>
      </c>
      <c r="I31" s="1229">
        <f>'Tab.3. Mieszkańcy_Polska '!G1205</f>
        <v>2740</v>
      </c>
      <c r="J31" s="1229">
        <f>'Tab.3. Mieszkańcy_Polska '!G1206</f>
        <v>7</v>
      </c>
      <c r="K31" s="1229">
        <f>'Tab.3. Mieszkańcy_Polska '!G1207</f>
        <v>171</v>
      </c>
      <c r="L31" s="1232">
        <f>'Tab.3. Mieszkańcy_Polska '!G1208</f>
        <v>40</v>
      </c>
    </row>
    <row r="32" spans="1:12" ht="13.5" thickBot="1" x14ac:dyDescent="0.25">
      <c r="A32" s="463">
        <v>16</v>
      </c>
      <c r="B32" s="510" t="s">
        <v>251</v>
      </c>
      <c r="C32" s="1219">
        <f>'Tab.3. Mieszkańcy_Polska '!G1272</f>
        <v>1721</v>
      </c>
      <c r="D32" s="1233">
        <f>'Tab.3. Mieszkańcy_Polska '!G1274</f>
        <v>61</v>
      </c>
      <c r="E32" s="1234">
        <f>'Tab.3. Mieszkańcy_Polska '!G1276</f>
        <v>8</v>
      </c>
      <c r="F32" s="1234">
        <f>'Tab.3. Mieszkańcy_Polska '!G1277</f>
        <v>1</v>
      </c>
      <c r="G32" s="1235">
        <f>'Tab.3. Mieszkańcy_Polska '!G1278</f>
        <v>52</v>
      </c>
      <c r="H32" s="1236">
        <f>'Tab.3. Mieszkańcy_Polska '!G1279</f>
        <v>1660</v>
      </c>
      <c r="I32" s="1234">
        <f>'Tab.3. Mieszkańcy_Polska '!G1281</f>
        <v>1433</v>
      </c>
      <c r="J32" s="1234">
        <f>'Tab.3. Mieszkańcy_Polska '!G1282</f>
        <v>0</v>
      </c>
      <c r="K32" s="1234">
        <f>'Tab.3. Mieszkańcy_Polska '!G1283</f>
        <v>218</v>
      </c>
      <c r="L32" s="1237">
        <f>'Tab.3. Mieszkańcy_Polska '!G1284</f>
        <v>9</v>
      </c>
    </row>
    <row r="33" spans="1:12" ht="16.5" thickBot="1" x14ac:dyDescent="0.3">
      <c r="A33" s="445" t="s">
        <v>252</v>
      </c>
      <c r="B33" s="446"/>
      <c r="C33" s="1238">
        <f>SUM(C17:C32)</f>
        <v>34208</v>
      </c>
      <c r="D33" s="1239">
        <f>SUM(D17:D32)</f>
        <v>1405</v>
      </c>
      <c r="E33" s="1240">
        <f t="shared" ref="E33:L33" si="0">SUM(E17:E32)</f>
        <v>443</v>
      </c>
      <c r="F33" s="1240">
        <f t="shared" si="0"/>
        <v>27</v>
      </c>
      <c r="G33" s="1241">
        <f t="shared" si="0"/>
        <v>935</v>
      </c>
      <c r="H33" s="1242">
        <f t="shared" si="0"/>
        <v>32803</v>
      </c>
      <c r="I33" s="1240">
        <f t="shared" si="0"/>
        <v>29623</v>
      </c>
      <c r="J33" s="1240">
        <f t="shared" si="0"/>
        <v>83</v>
      </c>
      <c r="K33" s="1240">
        <f t="shared" si="0"/>
        <v>2500</v>
      </c>
      <c r="L33" s="1243">
        <f t="shared" si="0"/>
        <v>597</v>
      </c>
    </row>
    <row r="34" spans="1:12" ht="13.5" thickTop="1" x14ac:dyDescent="0.2"/>
  </sheetData>
  <mergeCells count="21">
    <mergeCell ref="H12:L12"/>
    <mergeCell ref="I14:I15"/>
    <mergeCell ref="I13:L13"/>
    <mergeCell ref="A7:L7"/>
    <mergeCell ref="L14:L15"/>
    <mergeCell ref="A9:L9"/>
    <mergeCell ref="F14:F15"/>
    <mergeCell ref="B11:B15"/>
    <mergeCell ref="H13:H15"/>
    <mergeCell ref="G14:G15"/>
    <mergeCell ref="E14:E15"/>
    <mergeCell ref="K1:L1"/>
    <mergeCell ref="D11:L11"/>
    <mergeCell ref="D12:G12"/>
    <mergeCell ref="E13:G13"/>
    <mergeCell ref="D13:D15"/>
    <mergeCell ref="K14:K15"/>
    <mergeCell ref="A8:L8"/>
    <mergeCell ref="C11:C15"/>
    <mergeCell ref="A11:A15"/>
    <mergeCell ref="J14:J15"/>
  </mergeCells>
  <phoneticPr fontId="82" type="noConversion"/>
  <printOptions horizontalCentered="1" verticalCentered="1"/>
  <pageMargins left="0.51181102362204722" right="0.3937007874015748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workbookViewId="0"/>
  </sheetViews>
  <sheetFormatPr defaultRowHeight="12.75" x14ac:dyDescent="0.2"/>
  <cols>
    <col min="1" max="1" width="3.7109375" customWidth="1"/>
    <col min="2" max="2" width="24.5703125" bestFit="1" customWidth="1"/>
    <col min="3" max="12" width="10.7109375" customWidth="1"/>
    <col min="13" max="13" width="15.7109375" customWidth="1"/>
  </cols>
  <sheetData>
    <row r="1" spans="1:13" ht="15.75" x14ac:dyDescent="0.25">
      <c r="A1" s="1" t="s">
        <v>195</v>
      </c>
      <c r="B1" s="3"/>
      <c r="C1" s="4"/>
      <c r="D1" s="3"/>
      <c r="E1" s="3"/>
      <c r="F1" s="3"/>
      <c r="G1" s="413"/>
      <c r="H1" s="413"/>
      <c r="I1" s="413"/>
      <c r="J1" s="413"/>
      <c r="K1" s="1788" t="s">
        <v>327</v>
      </c>
      <c r="L1" s="1788"/>
      <c r="M1" s="504"/>
    </row>
    <row r="2" spans="1:13" x14ac:dyDescent="0.2">
      <c r="A2" s="3" t="s">
        <v>214</v>
      </c>
      <c r="B2" s="3"/>
      <c r="C2" s="3"/>
    </row>
    <row r="3" spans="1:13" x14ac:dyDescent="0.2">
      <c r="A3" s="3" t="s">
        <v>216</v>
      </c>
      <c r="B3" s="3"/>
      <c r="C3" s="3"/>
      <c r="D3" s="3"/>
      <c r="E3" s="3"/>
      <c r="F3" s="3"/>
      <c r="G3" s="3"/>
      <c r="H3" s="3"/>
      <c r="I3" s="3"/>
      <c r="J3" s="3"/>
      <c r="K3" s="3"/>
    </row>
    <row r="4" spans="1:13" x14ac:dyDescent="0.2">
      <c r="A4" s="3" t="s">
        <v>128</v>
      </c>
      <c r="B4" s="3"/>
      <c r="C4" s="3"/>
      <c r="D4" s="3"/>
      <c r="E4" s="3"/>
      <c r="F4" s="3"/>
      <c r="G4" s="3"/>
      <c r="H4" s="3"/>
      <c r="I4" s="3"/>
      <c r="J4" s="3"/>
      <c r="K4" s="3"/>
    </row>
    <row r="5" spans="1:13" x14ac:dyDescent="0.2">
      <c r="A5" s="3"/>
      <c r="B5" s="3"/>
      <c r="C5" s="3"/>
      <c r="D5" s="3"/>
      <c r="E5" s="3"/>
      <c r="F5" s="3"/>
      <c r="G5" s="3"/>
      <c r="H5" s="3"/>
      <c r="I5" s="3"/>
      <c r="J5" s="3"/>
      <c r="K5" s="3"/>
    </row>
    <row r="6" spans="1:13" ht="15.75" x14ac:dyDescent="0.25">
      <c r="A6" s="8"/>
      <c r="B6" s="548"/>
      <c r="C6" s="8"/>
      <c r="D6" s="8"/>
      <c r="E6" s="8"/>
      <c r="F6" s="8"/>
      <c r="G6" s="8"/>
      <c r="H6" s="8"/>
      <c r="I6" s="8"/>
      <c r="J6" s="8"/>
      <c r="K6" s="8"/>
      <c r="L6" s="8"/>
      <c r="M6" s="8"/>
    </row>
    <row r="7" spans="1:13" ht="15.75" x14ac:dyDescent="0.25">
      <c r="A7" s="1604" t="s">
        <v>307</v>
      </c>
      <c r="B7" s="1604"/>
      <c r="C7" s="1604"/>
      <c r="D7" s="1604"/>
      <c r="E7" s="1604"/>
      <c r="F7" s="1604"/>
      <c r="G7" s="1604"/>
      <c r="H7" s="1604"/>
      <c r="I7" s="1604"/>
      <c r="J7" s="1604"/>
      <c r="K7" s="1604"/>
      <c r="L7" s="1604"/>
      <c r="M7" s="8"/>
    </row>
    <row r="8" spans="1:13" ht="15.75" x14ac:dyDescent="0.25">
      <c r="A8" s="1604" t="s">
        <v>322</v>
      </c>
      <c r="B8" s="1604"/>
      <c r="C8" s="1604"/>
      <c r="D8" s="1604"/>
      <c r="E8" s="1604"/>
      <c r="F8" s="1604"/>
      <c r="G8" s="1604"/>
      <c r="H8" s="1604"/>
      <c r="I8" s="1604"/>
      <c r="J8" s="1604"/>
      <c r="K8" s="1604"/>
      <c r="L8" s="1604"/>
      <c r="M8" s="8"/>
    </row>
    <row r="9" spans="1:13" ht="15.75" x14ac:dyDescent="0.25">
      <c r="A9" s="1691" t="str">
        <f>"wg FORM ODPŁATNOŚCI, wg stanu na dzień 31.XII."&amp;'Tab.1. bilans_Polska'!A2&amp;" r."</f>
        <v>wg FORM ODPŁATNOŚCI, wg stanu na dzień 31.XII.2011 r.</v>
      </c>
      <c r="B9" s="1690"/>
      <c r="C9" s="1690"/>
      <c r="D9" s="1690"/>
      <c r="E9" s="1690"/>
      <c r="F9" s="1690"/>
      <c r="G9" s="1690"/>
      <c r="H9" s="1690"/>
      <c r="I9" s="1690"/>
      <c r="J9" s="1690"/>
      <c r="K9" s="1690"/>
      <c r="L9" s="1690"/>
    </row>
    <row r="10" spans="1:13" ht="13.5" thickBot="1" x14ac:dyDescent="0.25">
      <c r="A10" s="3"/>
      <c r="B10" s="3"/>
      <c r="C10" s="3"/>
      <c r="D10" s="3"/>
      <c r="E10" s="3"/>
      <c r="F10" s="3"/>
      <c r="G10" s="3"/>
      <c r="H10" s="3"/>
      <c r="I10" s="3"/>
      <c r="J10" s="3"/>
      <c r="K10" s="3"/>
    </row>
    <row r="11" spans="1:13" ht="13.5" thickTop="1" x14ac:dyDescent="0.2">
      <c r="A11" s="1692" t="s">
        <v>226</v>
      </c>
      <c r="B11" s="1802" t="s">
        <v>256</v>
      </c>
      <c r="C11" s="1797" t="s">
        <v>7</v>
      </c>
      <c r="D11" s="1773" t="s">
        <v>50</v>
      </c>
      <c r="E11" s="1774"/>
      <c r="F11" s="1774"/>
      <c r="G11" s="1774"/>
      <c r="H11" s="1774"/>
      <c r="I11" s="1774"/>
      <c r="J11" s="1774"/>
      <c r="K11" s="1774"/>
      <c r="L11" s="1775"/>
    </row>
    <row r="12" spans="1:13" x14ac:dyDescent="0.2">
      <c r="A12" s="1693"/>
      <c r="B12" s="1803"/>
      <c r="C12" s="1768"/>
      <c r="D12" s="1789" t="s">
        <v>323</v>
      </c>
      <c r="E12" s="1790"/>
      <c r="F12" s="1790"/>
      <c r="G12" s="1791"/>
      <c r="H12" s="1789" t="s">
        <v>324</v>
      </c>
      <c r="I12" s="1790"/>
      <c r="J12" s="1790"/>
      <c r="K12" s="1790"/>
      <c r="L12" s="1805"/>
    </row>
    <row r="13" spans="1:13" x14ac:dyDescent="0.2">
      <c r="A13" s="1693"/>
      <c r="B13" s="1803"/>
      <c r="C13" s="1768"/>
      <c r="D13" s="1793" t="s">
        <v>282</v>
      </c>
      <c r="E13" s="1792" t="s">
        <v>325</v>
      </c>
      <c r="F13" s="1790"/>
      <c r="G13" s="1791"/>
      <c r="H13" s="1793" t="s">
        <v>282</v>
      </c>
      <c r="I13" s="1798" t="s">
        <v>325</v>
      </c>
      <c r="J13" s="1799"/>
      <c r="K13" s="1799"/>
      <c r="L13" s="1800"/>
    </row>
    <row r="14" spans="1:13" ht="19.5" customHeight="1" x14ac:dyDescent="0.2">
      <c r="A14" s="1693"/>
      <c r="B14" s="1803"/>
      <c r="C14" s="1768"/>
      <c r="D14" s="1794"/>
      <c r="E14" s="1796" t="s">
        <v>186</v>
      </c>
      <c r="F14" s="1796" t="s">
        <v>187</v>
      </c>
      <c r="G14" s="1804" t="s">
        <v>326</v>
      </c>
      <c r="H14" s="1794"/>
      <c r="I14" s="1796" t="s">
        <v>186</v>
      </c>
      <c r="J14" s="1796" t="s">
        <v>187</v>
      </c>
      <c r="K14" s="1796" t="s">
        <v>326</v>
      </c>
      <c r="L14" s="1801" t="s">
        <v>153</v>
      </c>
    </row>
    <row r="15" spans="1:13" ht="19.5" customHeight="1" x14ac:dyDescent="0.2">
      <c r="A15" s="1694"/>
      <c r="B15" s="1616"/>
      <c r="C15" s="1769"/>
      <c r="D15" s="1795"/>
      <c r="E15" s="1796"/>
      <c r="F15" s="1796"/>
      <c r="G15" s="1804"/>
      <c r="H15" s="1795"/>
      <c r="I15" s="1796"/>
      <c r="J15" s="1796"/>
      <c r="K15" s="1796"/>
      <c r="L15" s="1801"/>
    </row>
    <row r="16" spans="1:13" ht="13.5" thickBot="1" x14ac:dyDescent="0.25">
      <c r="A16" s="425"/>
      <c r="B16" s="429">
        <v>0</v>
      </c>
      <c r="C16" s="464">
        <v>1</v>
      </c>
      <c r="D16" s="427">
        <v>2</v>
      </c>
      <c r="E16" s="428">
        <v>3</v>
      </c>
      <c r="F16" s="428">
        <v>4</v>
      </c>
      <c r="G16" s="429">
        <v>5</v>
      </c>
      <c r="H16" s="430">
        <v>6</v>
      </c>
      <c r="I16" s="428">
        <v>7</v>
      </c>
      <c r="J16" s="428">
        <v>8</v>
      </c>
      <c r="K16" s="428">
        <v>9</v>
      </c>
      <c r="L16" s="431">
        <v>10</v>
      </c>
    </row>
    <row r="17" spans="1:12" ht="13.5" thickTop="1" x14ac:dyDescent="0.2">
      <c r="A17" s="461">
        <v>1</v>
      </c>
      <c r="B17" s="508" t="s">
        <v>236</v>
      </c>
      <c r="C17" s="494">
        <f>'Tab.3. Mieszkańcy_Polska '!H132</f>
        <v>2048</v>
      </c>
      <c r="D17" s="1223">
        <f>'Tab.3. Mieszkańcy_Polska '!H134</f>
        <v>65</v>
      </c>
      <c r="E17" s="1224">
        <f>'Tab.3. Mieszkańcy_Polska '!H136</f>
        <v>33</v>
      </c>
      <c r="F17" s="1224">
        <f>'Tab.3. Mieszkańcy_Polska '!H137</f>
        <v>0</v>
      </c>
      <c r="G17" s="1225">
        <f>'Tab.3. Mieszkańcy_Polska '!H138</f>
        <v>32</v>
      </c>
      <c r="H17" s="1226">
        <f>'Tab.3. Mieszkańcy_Polska '!H139</f>
        <v>1983</v>
      </c>
      <c r="I17" s="1224">
        <f>'Tab.3. Mieszkańcy_Polska '!H141</f>
        <v>1795</v>
      </c>
      <c r="J17" s="1224">
        <f>'Tab.3. Mieszkańcy_Polska '!H142</f>
        <v>1</v>
      </c>
      <c r="K17" s="1224">
        <f>'Tab.3. Mieszkańcy_Polska '!H143</f>
        <v>171</v>
      </c>
      <c r="L17" s="1227">
        <f>'Tab.3. Mieszkańcy_Polska '!H144</f>
        <v>16</v>
      </c>
    </row>
    <row r="18" spans="1:12" x14ac:dyDescent="0.2">
      <c r="A18" s="462">
        <v>2</v>
      </c>
      <c r="B18" s="509" t="s">
        <v>237</v>
      </c>
      <c r="C18" s="1219">
        <f>'Tab.3. Mieszkańcy_Polska '!H208</f>
        <v>1528</v>
      </c>
      <c r="D18" s="1228">
        <f>'Tab.3. Mieszkańcy_Polska '!H210</f>
        <v>66</v>
      </c>
      <c r="E18" s="1229">
        <f>'Tab.3. Mieszkańcy_Polska '!H212</f>
        <v>22</v>
      </c>
      <c r="F18" s="1229">
        <f>'Tab.3. Mieszkańcy_Polska '!H213</f>
        <v>3</v>
      </c>
      <c r="G18" s="1230">
        <f>'Tab.3. Mieszkańcy_Polska '!H214</f>
        <v>41</v>
      </c>
      <c r="H18" s="1231">
        <f>'Tab.3. Mieszkańcy_Polska '!H215</f>
        <v>1462</v>
      </c>
      <c r="I18" s="1229">
        <f>'Tab.3. Mieszkańcy_Polska '!H217</f>
        <v>1322</v>
      </c>
      <c r="J18" s="1229">
        <f>'Tab.3. Mieszkańcy_Polska '!H218</f>
        <v>0</v>
      </c>
      <c r="K18" s="1229">
        <f>'Tab.3. Mieszkańcy_Polska '!H219</f>
        <v>89</v>
      </c>
      <c r="L18" s="1232">
        <f>'Tab.3. Mieszkańcy_Polska '!H220</f>
        <v>51</v>
      </c>
    </row>
    <row r="19" spans="1:12" x14ac:dyDescent="0.2">
      <c r="A19" s="462">
        <v>3</v>
      </c>
      <c r="B19" s="509" t="s">
        <v>238</v>
      </c>
      <c r="C19" s="1219">
        <f>'Tab.3. Mieszkańcy_Polska '!H284</f>
        <v>1738</v>
      </c>
      <c r="D19" s="1228">
        <f>'Tab.3. Mieszkańcy_Polska '!H286</f>
        <v>61</v>
      </c>
      <c r="E19" s="1229">
        <f>'Tab.3. Mieszkańcy_Polska '!H288</f>
        <v>14</v>
      </c>
      <c r="F19" s="1229">
        <f>'Tab.3. Mieszkańcy_Polska '!H289</f>
        <v>2</v>
      </c>
      <c r="G19" s="1230">
        <f>'Tab.3. Mieszkańcy_Polska '!H290</f>
        <v>45</v>
      </c>
      <c r="H19" s="1231">
        <f>'Tab.3. Mieszkańcy_Polska '!H291</f>
        <v>1677</v>
      </c>
      <c r="I19" s="1229">
        <f>'Tab.3. Mieszkańcy_Polska '!H293</f>
        <v>1566</v>
      </c>
      <c r="J19" s="1229">
        <f>'Tab.3. Mieszkańcy_Polska '!H294</f>
        <v>2</v>
      </c>
      <c r="K19" s="1229">
        <f>'Tab.3. Mieszkańcy_Polska '!H295</f>
        <v>88</v>
      </c>
      <c r="L19" s="1232">
        <f>'Tab.3. Mieszkańcy_Polska '!H296</f>
        <v>21</v>
      </c>
    </row>
    <row r="20" spans="1:12" x14ac:dyDescent="0.2">
      <c r="A20" s="462">
        <v>4</v>
      </c>
      <c r="B20" s="509" t="s">
        <v>239</v>
      </c>
      <c r="C20" s="1219">
        <f>'Tab.3. Mieszkańcy_Polska '!H360</f>
        <v>1078</v>
      </c>
      <c r="D20" s="1228">
        <f>'Tab.3. Mieszkańcy_Polska '!H362</f>
        <v>62</v>
      </c>
      <c r="E20" s="1229">
        <f>'Tab.3. Mieszkańcy_Polska '!H364</f>
        <v>16</v>
      </c>
      <c r="F20" s="1229">
        <f>'Tab.3. Mieszkańcy_Polska '!H365</f>
        <v>0</v>
      </c>
      <c r="G20" s="1230">
        <f>'Tab.3. Mieszkańcy_Polska '!H366</f>
        <v>46</v>
      </c>
      <c r="H20" s="1231">
        <f>'Tab.3. Mieszkańcy_Polska '!H367</f>
        <v>1016</v>
      </c>
      <c r="I20" s="1229">
        <f>'Tab.3. Mieszkańcy_Polska '!H369</f>
        <v>912</v>
      </c>
      <c r="J20" s="1229">
        <f>'Tab.3. Mieszkańcy_Polska '!H370</f>
        <v>0</v>
      </c>
      <c r="K20" s="1229">
        <f>'Tab.3. Mieszkańcy_Polska '!H371</f>
        <v>65</v>
      </c>
      <c r="L20" s="1232">
        <f>'Tab.3. Mieszkańcy_Polska '!H372</f>
        <v>39</v>
      </c>
    </row>
    <row r="21" spans="1:12" x14ac:dyDescent="0.2">
      <c r="A21" s="462">
        <v>5</v>
      </c>
      <c r="B21" s="509" t="s">
        <v>240</v>
      </c>
      <c r="C21" s="1219">
        <f>'Tab.3. Mieszkańcy_Polska '!H436</f>
        <v>2810</v>
      </c>
      <c r="D21" s="1228">
        <f>'Tab.3. Mieszkańcy_Polska '!H438</f>
        <v>89</v>
      </c>
      <c r="E21" s="1229">
        <f>'Tab.3. Mieszkańcy_Polska '!H440</f>
        <v>23</v>
      </c>
      <c r="F21" s="1229">
        <f>'Tab.3. Mieszkańcy_Polska '!H441</f>
        <v>1</v>
      </c>
      <c r="G21" s="1230">
        <f>'Tab.3. Mieszkańcy_Polska '!H442</f>
        <v>65</v>
      </c>
      <c r="H21" s="1231">
        <f>'Tab.3. Mieszkańcy_Polska '!H443</f>
        <v>2721</v>
      </c>
      <c r="I21" s="1229">
        <f>'Tab.3. Mieszkańcy_Polska '!H445</f>
        <v>2467</v>
      </c>
      <c r="J21" s="1229">
        <f>'Tab.3. Mieszkańcy_Polska '!H446</f>
        <v>3</v>
      </c>
      <c r="K21" s="1229">
        <f>'Tab.3. Mieszkańcy_Polska '!H447</f>
        <v>225</v>
      </c>
      <c r="L21" s="1232">
        <f>'Tab.3. Mieszkańcy_Polska '!H448</f>
        <v>26</v>
      </c>
    </row>
    <row r="22" spans="1:12" x14ac:dyDescent="0.2">
      <c r="A22" s="462">
        <v>6</v>
      </c>
      <c r="B22" s="509" t="s">
        <v>241</v>
      </c>
      <c r="C22" s="1219">
        <f>'Tab.3. Mieszkańcy_Polska '!H512</f>
        <v>2442</v>
      </c>
      <c r="D22" s="1228">
        <f>'Tab.3. Mieszkańcy_Polska '!H514</f>
        <v>69</v>
      </c>
      <c r="E22" s="1229">
        <f>'Tab.3. Mieszkańcy_Polska '!H516</f>
        <v>25</v>
      </c>
      <c r="F22" s="1229">
        <f>'Tab.3. Mieszkańcy_Polska '!H517</f>
        <v>1</v>
      </c>
      <c r="G22" s="1230">
        <f>'Tab.3. Mieszkańcy_Polska '!H518</f>
        <v>43</v>
      </c>
      <c r="H22" s="1231">
        <f>'Tab.3. Mieszkańcy_Polska '!H519</f>
        <v>2373</v>
      </c>
      <c r="I22" s="1229">
        <f>'Tab.3. Mieszkańcy_Polska '!H521</f>
        <v>2213</v>
      </c>
      <c r="J22" s="1229">
        <f>'Tab.3. Mieszkańcy_Polska '!H522</f>
        <v>5</v>
      </c>
      <c r="K22" s="1229">
        <f>'Tab.3. Mieszkańcy_Polska '!H523</f>
        <v>153</v>
      </c>
      <c r="L22" s="1232">
        <f>'Tab.3. Mieszkańcy_Polska '!H524</f>
        <v>2</v>
      </c>
    </row>
    <row r="23" spans="1:12" x14ac:dyDescent="0.2">
      <c r="A23" s="462">
        <v>7</v>
      </c>
      <c r="B23" s="509" t="s">
        <v>242</v>
      </c>
      <c r="C23" s="1219">
        <f>'Tab.3. Mieszkańcy_Polska '!H588</f>
        <v>3376</v>
      </c>
      <c r="D23" s="1228">
        <f>'Tab.3. Mieszkańcy_Polska '!H590</f>
        <v>126</v>
      </c>
      <c r="E23" s="1229">
        <f>'Tab.3. Mieszkańcy_Polska '!H592</f>
        <v>52</v>
      </c>
      <c r="F23" s="1229">
        <f>'Tab.3. Mieszkańcy_Polska '!H593</f>
        <v>0</v>
      </c>
      <c r="G23" s="1230">
        <f>'Tab.3. Mieszkańcy_Polska '!H594</f>
        <v>74</v>
      </c>
      <c r="H23" s="1231">
        <f>'Tab.3. Mieszkańcy_Polska '!H595</f>
        <v>3250</v>
      </c>
      <c r="I23" s="1229">
        <f>'Tab.3. Mieszkańcy_Polska '!H597</f>
        <v>2926</v>
      </c>
      <c r="J23" s="1229">
        <f>'Tab.3. Mieszkańcy_Polska '!H598</f>
        <v>4</v>
      </c>
      <c r="K23" s="1229">
        <f>'Tab.3. Mieszkańcy_Polska '!H599</f>
        <v>295</v>
      </c>
      <c r="L23" s="1232">
        <f>'Tab.3. Mieszkańcy_Polska '!H600</f>
        <v>25</v>
      </c>
    </row>
    <row r="24" spans="1:12" x14ac:dyDescent="0.2">
      <c r="A24" s="462">
        <v>8</v>
      </c>
      <c r="B24" s="509" t="s">
        <v>243</v>
      </c>
      <c r="C24" s="1219">
        <f>'Tab.3. Mieszkańcy_Polska '!H664</f>
        <v>973</v>
      </c>
      <c r="D24" s="1228">
        <f>'Tab.3. Mieszkańcy_Polska '!H666</f>
        <v>55</v>
      </c>
      <c r="E24" s="1229">
        <f>'Tab.3. Mieszkańcy_Polska '!H668</f>
        <v>15</v>
      </c>
      <c r="F24" s="1229">
        <f>'Tab.3. Mieszkańcy_Polska '!H669</f>
        <v>1</v>
      </c>
      <c r="G24" s="1230">
        <f>'Tab.3. Mieszkańcy_Polska '!H670</f>
        <v>39</v>
      </c>
      <c r="H24" s="1231">
        <f>'Tab.3. Mieszkańcy_Polska '!H671</f>
        <v>918</v>
      </c>
      <c r="I24" s="1229">
        <f>'Tab.3. Mieszkańcy_Polska '!H673</f>
        <v>877</v>
      </c>
      <c r="J24" s="1229">
        <f>'Tab.3. Mieszkańcy_Polska '!H674</f>
        <v>0</v>
      </c>
      <c r="K24" s="1229">
        <f>'Tab.3. Mieszkańcy_Polska '!H675</f>
        <v>41</v>
      </c>
      <c r="L24" s="1232">
        <f>'Tab.3. Mieszkańcy_Polska '!H676</f>
        <v>0</v>
      </c>
    </row>
    <row r="25" spans="1:12" x14ac:dyDescent="0.2">
      <c r="A25" s="462">
        <v>9</v>
      </c>
      <c r="B25" s="509" t="s">
        <v>244</v>
      </c>
      <c r="C25" s="1219">
        <f>'Tab.3. Mieszkańcy_Polska '!H740</f>
        <v>1362</v>
      </c>
      <c r="D25" s="1228">
        <f>'Tab.3. Mieszkańcy_Polska '!H742</f>
        <v>74</v>
      </c>
      <c r="E25" s="1229">
        <f>'Tab.3. Mieszkańcy_Polska '!H744</f>
        <v>21</v>
      </c>
      <c r="F25" s="1229">
        <f>'Tab.3. Mieszkańcy_Polska '!H745</f>
        <v>0</v>
      </c>
      <c r="G25" s="1230">
        <f>'Tab.3. Mieszkańcy_Polska '!H746</f>
        <v>53</v>
      </c>
      <c r="H25" s="1231">
        <f>'Tab.3. Mieszkańcy_Polska '!H747</f>
        <v>1288</v>
      </c>
      <c r="I25" s="1229">
        <f>'Tab.3. Mieszkańcy_Polska '!H749</f>
        <v>1206</v>
      </c>
      <c r="J25" s="1229">
        <f>'Tab.3. Mieszkańcy_Polska '!H750</f>
        <v>0</v>
      </c>
      <c r="K25" s="1229">
        <f>'Tab.3. Mieszkańcy_Polska '!H751</f>
        <v>80</v>
      </c>
      <c r="L25" s="1232">
        <f>'Tab.3. Mieszkańcy_Polska '!H752</f>
        <v>2</v>
      </c>
    </row>
    <row r="26" spans="1:12" x14ac:dyDescent="0.2">
      <c r="A26" s="463">
        <v>10</v>
      </c>
      <c r="B26" s="509" t="s">
        <v>245</v>
      </c>
      <c r="C26" s="1219">
        <f>'Tab.3. Mieszkańcy_Polska '!H816</f>
        <v>811</v>
      </c>
      <c r="D26" s="1228">
        <f>'Tab.3. Mieszkańcy_Polska '!H818</f>
        <v>32</v>
      </c>
      <c r="E26" s="1229">
        <f>'Tab.3. Mieszkańcy_Polska '!H820</f>
        <v>4</v>
      </c>
      <c r="F26" s="1229">
        <f>'Tab.3. Mieszkańcy_Polska '!H821</f>
        <v>0</v>
      </c>
      <c r="G26" s="1230">
        <f>'Tab.3. Mieszkańcy_Polska '!H822</f>
        <v>28</v>
      </c>
      <c r="H26" s="1231">
        <f>'Tab.3. Mieszkańcy_Polska '!H823</f>
        <v>779</v>
      </c>
      <c r="I26" s="1229">
        <f>'Tab.3. Mieszkańcy_Polska '!H825</f>
        <v>724</v>
      </c>
      <c r="J26" s="1229">
        <f>'Tab.3. Mieszkańcy_Polska '!H826</f>
        <v>3</v>
      </c>
      <c r="K26" s="1229">
        <f>'Tab.3. Mieszkańcy_Polska '!H827</f>
        <v>36</v>
      </c>
      <c r="L26" s="1232">
        <f>'Tab.3. Mieszkańcy_Polska '!H828</f>
        <v>16</v>
      </c>
    </row>
    <row r="27" spans="1:12" x14ac:dyDescent="0.2">
      <c r="A27" s="463">
        <v>11</v>
      </c>
      <c r="B27" s="509" t="s">
        <v>246</v>
      </c>
      <c r="C27" s="1219">
        <f>'Tab.3. Mieszkańcy_Polska '!H892</f>
        <v>1441</v>
      </c>
      <c r="D27" s="1228">
        <f>'Tab.3. Mieszkańcy_Polska '!H894</f>
        <v>43</v>
      </c>
      <c r="E27" s="1229">
        <f>'Tab.3. Mieszkańcy_Polska '!H896</f>
        <v>10</v>
      </c>
      <c r="F27" s="1229">
        <f>'Tab.3. Mieszkańcy_Polska '!H897</f>
        <v>0</v>
      </c>
      <c r="G27" s="1230">
        <f>'Tab.3. Mieszkańcy_Polska '!H898</f>
        <v>33</v>
      </c>
      <c r="H27" s="1231">
        <f>'Tab.3. Mieszkańcy_Polska '!H899</f>
        <v>1398</v>
      </c>
      <c r="I27" s="1229">
        <f>'Tab.3. Mieszkańcy_Polska '!H901</f>
        <v>1296</v>
      </c>
      <c r="J27" s="1229">
        <f>'Tab.3. Mieszkańcy_Polska '!H902</f>
        <v>0</v>
      </c>
      <c r="K27" s="1229">
        <f>'Tab.3. Mieszkańcy_Polska '!H903</f>
        <v>83</v>
      </c>
      <c r="L27" s="1232">
        <f>'Tab.3. Mieszkańcy_Polska '!H904</f>
        <v>19</v>
      </c>
    </row>
    <row r="28" spans="1:12" x14ac:dyDescent="0.2">
      <c r="A28" s="463">
        <v>12</v>
      </c>
      <c r="B28" s="509" t="s">
        <v>247</v>
      </c>
      <c r="C28" s="1219">
        <f>'Tab.3. Mieszkańcy_Polska '!H968</f>
        <v>2517</v>
      </c>
      <c r="D28" s="1228">
        <f>'Tab.3. Mieszkańcy_Polska '!H970</f>
        <v>119</v>
      </c>
      <c r="E28" s="1229">
        <f>'Tab.3. Mieszkańcy_Polska '!H972</f>
        <v>60</v>
      </c>
      <c r="F28" s="1229">
        <f>'Tab.3. Mieszkańcy_Polska '!H973</f>
        <v>0</v>
      </c>
      <c r="G28" s="1230">
        <f>'Tab.3. Mieszkańcy_Polska '!H974</f>
        <v>59</v>
      </c>
      <c r="H28" s="1231">
        <f>'Tab.3. Mieszkańcy_Polska '!H975</f>
        <v>2398</v>
      </c>
      <c r="I28" s="1229">
        <f>'Tab.3. Mieszkańcy_Polska '!H977</f>
        <v>2209</v>
      </c>
      <c r="J28" s="1229">
        <f>'Tab.3. Mieszkańcy_Polska '!H978</f>
        <v>0</v>
      </c>
      <c r="K28" s="1229">
        <f>'Tab.3. Mieszkańcy_Polska '!H979</f>
        <v>178</v>
      </c>
      <c r="L28" s="1232">
        <f>'Tab.3. Mieszkańcy_Polska '!H980</f>
        <v>11</v>
      </c>
    </row>
    <row r="29" spans="1:12" x14ac:dyDescent="0.2">
      <c r="A29" s="463">
        <v>13</v>
      </c>
      <c r="B29" s="509" t="s">
        <v>248</v>
      </c>
      <c r="C29" s="1219">
        <f>'Tab.3. Mieszkańcy_Polska '!H1044</f>
        <v>1252</v>
      </c>
      <c r="D29" s="1228">
        <f>'Tab.3. Mieszkańcy_Polska '!H1046</f>
        <v>28</v>
      </c>
      <c r="E29" s="1229">
        <f>'Tab.3. Mieszkańcy_Polska '!H1048</f>
        <v>7</v>
      </c>
      <c r="F29" s="1229">
        <f>'Tab.3. Mieszkańcy_Polska '!H1049</f>
        <v>0</v>
      </c>
      <c r="G29" s="1230">
        <f>'Tab.3. Mieszkańcy_Polska '!H1050</f>
        <v>21</v>
      </c>
      <c r="H29" s="1231">
        <f>'Tab.3. Mieszkańcy_Polska '!H1051</f>
        <v>1224</v>
      </c>
      <c r="I29" s="1229">
        <f>'Tab.3. Mieszkańcy_Polska '!H1053</f>
        <v>1130</v>
      </c>
      <c r="J29" s="1229">
        <f>'Tab.3. Mieszkańcy_Polska '!H1054</f>
        <v>4</v>
      </c>
      <c r="K29" s="1229">
        <f>'Tab.3. Mieszkańcy_Polska '!H1055</f>
        <v>88</v>
      </c>
      <c r="L29" s="1232">
        <f>'Tab.3. Mieszkańcy_Polska '!H1056</f>
        <v>2</v>
      </c>
    </row>
    <row r="30" spans="1:12" x14ac:dyDescent="0.2">
      <c r="A30" s="463">
        <v>14</v>
      </c>
      <c r="B30" s="509" t="s">
        <v>249</v>
      </c>
      <c r="C30" s="1219">
        <f>'Tab.3. Mieszkańcy_Polska '!H1120</f>
        <v>1147</v>
      </c>
      <c r="D30" s="1228">
        <f>'Tab.3. Mieszkańcy_Polska '!H1122</f>
        <v>21</v>
      </c>
      <c r="E30" s="1229">
        <f>'Tab.3. Mieszkańcy_Polska '!H1124</f>
        <v>8</v>
      </c>
      <c r="F30" s="1229">
        <f>'Tab.3. Mieszkańcy_Polska '!H1125</f>
        <v>1</v>
      </c>
      <c r="G30" s="1230">
        <f>'Tab.3. Mieszkańcy_Polska '!H1126</f>
        <v>12</v>
      </c>
      <c r="H30" s="1231">
        <f>'Tab.3. Mieszkańcy_Polska '!H1127</f>
        <v>1126</v>
      </c>
      <c r="I30" s="1229">
        <f>'Tab.3. Mieszkańcy_Polska '!H1129</f>
        <v>992</v>
      </c>
      <c r="J30" s="1229">
        <f>'Tab.3. Mieszkańcy_Polska '!H1130</f>
        <v>8</v>
      </c>
      <c r="K30" s="1229">
        <f>'Tab.3. Mieszkańcy_Polska '!H1131</f>
        <v>113</v>
      </c>
      <c r="L30" s="1232">
        <f>'Tab.3. Mieszkańcy_Polska '!H1132</f>
        <v>13</v>
      </c>
    </row>
    <row r="31" spans="1:12" x14ac:dyDescent="0.2">
      <c r="A31" s="463">
        <v>15</v>
      </c>
      <c r="B31" s="509" t="s">
        <v>250</v>
      </c>
      <c r="C31" s="1219">
        <f>'Tab.3. Mieszkańcy_Polska '!H1196</f>
        <v>2536</v>
      </c>
      <c r="D31" s="1228">
        <f>'Tab.3. Mieszkańcy_Polska '!H1198</f>
        <v>42</v>
      </c>
      <c r="E31" s="1229">
        <f>'Tab.3. Mieszkańcy_Polska '!H1200</f>
        <v>21</v>
      </c>
      <c r="F31" s="1229">
        <f>'Tab.3. Mieszkańcy_Polska '!H1201</f>
        <v>0</v>
      </c>
      <c r="G31" s="1230">
        <f>'Tab.3. Mieszkańcy_Polska '!H1202</f>
        <v>21</v>
      </c>
      <c r="H31" s="1231">
        <f>'Tab.3. Mieszkańcy_Polska '!H1203</f>
        <v>2494</v>
      </c>
      <c r="I31" s="1229">
        <f>'Tab.3. Mieszkańcy_Polska '!H1205</f>
        <v>2335</v>
      </c>
      <c r="J31" s="1229">
        <f>'Tab.3. Mieszkańcy_Polska '!H1206</f>
        <v>0</v>
      </c>
      <c r="K31" s="1229">
        <f>'Tab.3. Mieszkańcy_Polska '!H1207</f>
        <v>149</v>
      </c>
      <c r="L31" s="1232">
        <f>'Tab.3. Mieszkańcy_Polska '!H1208</f>
        <v>10</v>
      </c>
    </row>
    <row r="32" spans="1:12" ht="13.5" thickBot="1" x14ac:dyDescent="0.25">
      <c r="A32" s="463">
        <v>16</v>
      </c>
      <c r="B32" s="510" t="s">
        <v>251</v>
      </c>
      <c r="C32" s="1219">
        <f>'Tab.3. Mieszkańcy_Polska '!H1272</f>
        <v>1401</v>
      </c>
      <c r="D32" s="1233">
        <f>'Tab.3. Mieszkańcy_Polska '!H1274</f>
        <v>49</v>
      </c>
      <c r="E32" s="1234">
        <f>'Tab.3. Mieszkańcy_Polska '!H1276</f>
        <v>6</v>
      </c>
      <c r="F32" s="1234">
        <f>'Tab.3. Mieszkańcy_Polska '!H1277</f>
        <v>1</v>
      </c>
      <c r="G32" s="1235">
        <f>'Tab.3. Mieszkańcy_Polska '!H1278</f>
        <v>42</v>
      </c>
      <c r="H32" s="1236">
        <f>'Tab.3. Mieszkańcy_Polska '!H1279</f>
        <v>1352</v>
      </c>
      <c r="I32" s="1234">
        <f>'Tab.3. Mieszkańcy_Polska '!H1281</f>
        <v>1199</v>
      </c>
      <c r="J32" s="1234">
        <f>'Tab.3. Mieszkańcy_Polska '!H1282</f>
        <v>0</v>
      </c>
      <c r="K32" s="1234">
        <f>'Tab.3. Mieszkańcy_Polska '!H1283</f>
        <v>148</v>
      </c>
      <c r="L32" s="1237">
        <f>'Tab.3. Mieszkańcy_Polska '!H1284</f>
        <v>5</v>
      </c>
    </row>
    <row r="33" spans="1:12" ht="16.5" thickBot="1" x14ac:dyDescent="0.3">
      <c r="A33" s="445" t="s">
        <v>252</v>
      </c>
      <c r="B33" s="446"/>
      <c r="C33" s="1238">
        <f t="shared" ref="C33:L33" si="0">SUM(C17:C32)</f>
        <v>28460</v>
      </c>
      <c r="D33" s="1239">
        <f t="shared" si="0"/>
        <v>1001</v>
      </c>
      <c r="E33" s="1240">
        <f t="shared" si="0"/>
        <v>337</v>
      </c>
      <c r="F33" s="1240">
        <f t="shared" si="0"/>
        <v>10</v>
      </c>
      <c r="G33" s="1241">
        <f t="shared" si="0"/>
        <v>654</v>
      </c>
      <c r="H33" s="1242">
        <f t="shared" si="0"/>
        <v>27459</v>
      </c>
      <c r="I33" s="1240">
        <f t="shared" si="0"/>
        <v>25169</v>
      </c>
      <c r="J33" s="1240">
        <f t="shared" si="0"/>
        <v>30</v>
      </c>
      <c r="K33" s="1240">
        <f t="shared" si="0"/>
        <v>2002</v>
      </c>
      <c r="L33" s="1243">
        <f t="shared" si="0"/>
        <v>258</v>
      </c>
    </row>
    <row r="34" spans="1:12" ht="13.5" thickTop="1" x14ac:dyDescent="0.2"/>
  </sheetData>
  <mergeCells count="21">
    <mergeCell ref="J14:J15"/>
    <mergeCell ref="E14:E15"/>
    <mergeCell ref="K1:L1"/>
    <mergeCell ref="D11:L11"/>
    <mergeCell ref="D12:G12"/>
    <mergeCell ref="E13:G13"/>
    <mergeCell ref="D13:D15"/>
    <mergeCell ref="K14:K15"/>
    <mergeCell ref="A8:L8"/>
    <mergeCell ref="C11:C15"/>
    <mergeCell ref="A11:A15"/>
    <mergeCell ref="H12:L12"/>
    <mergeCell ref="I14:I15"/>
    <mergeCell ref="I13:L13"/>
    <mergeCell ref="A7:L7"/>
    <mergeCell ref="L14:L15"/>
    <mergeCell ref="A9:L9"/>
    <mergeCell ref="F14:F15"/>
    <mergeCell ref="B11:B15"/>
    <mergeCell ref="H13:H15"/>
    <mergeCell ref="G14:G15"/>
  </mergeCells>
  <phoneticPr fontId="82" type="noConversion"/>
  <printOptions horizontalCentered="1" verticalCentered="1"/>
  <pageMargins left="0.51181102362204722" right="0.3937007874015748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workbookViewId="0"/>
  </sheetViews>
  <sheetFormatPr defaultRowHeight="12.75" x14ac:dyDescent="0.2"/>
  <cols>
    <col min="1" max="1" width="3.7109375" customWidth="1"/>
    <col min="2" max="2" width="24.5703125" bestFit="1" customWidth="1"/>
    <col min="3" max="12" width="10.7109375" customWidth="1"/>
    <col min="13" max="13" width="15.7109375" customWidth="1"/>
  </cols>
  <sheetData>
    <row r="1" spans="1:13" ht="15.75" x14ac:dyDescent="0.25">
      <c r="A1" s="1" t="s">
        <v>195</v>
      </c>
      <c r="B1" s="3"/>
      <c r="C1" s="4"/>
      <c r="D1" s="3"/>
      <c r="E1" s="3"/>
      <c r="F1" s="3"/>
      <c r="G1" s="413"/>
      <c r="H1" s="413"/>
      <c r="I1" s="413"/>
      <c r="J1" s="413"/>
      <c r="K1" s="1788" t="s">
        <v>328</v>
      </c>
      <c r="L1" s="1788"/>
      <c r="M1" s="504"/>
    </row>
    <row r="2" spans="1:13" x14ac:dyDescent="0.2">
      <c r="A2" s="3" t="s">
        <v>214</v>
      </c>
      <c r="B2" s="3"/>
      <c r="C2" s="3"/>
    </row>
    <row r="3" spans="1:13" x14ac:dyDescent="0.2">
      <c r="A3" s="3" t="s">
        <v>216</v>
      </c>
      <c r="B3" s="3"/>
      <c r="C3" s="3"/>
      <c r="D3" s="3"/>
      <c r="E3" s="3"/>
      <c r="F3" s="3"/>
      <c r="G3" s="3"/>
      <c r="H3" s="3"/>
      <c r="I3" s="3"/>
      <c r="J3" s="3"/>
      <c r="K3" s="3"/>
    </row>
    <row r="4" spans="1:13" x14ac:dyDescent="0.2">
      <c r="A4" s="3" t="s">
        <v>128</v>
      </c>
      <c r="B4" s="3"/>
      <c r="C4" s="3"/>
      <c r="D4" s="3"/>
      <c r="E4" s="3"/>
      <c r="F4" s="3"/>
      <c r="G4" s="3"/>
      <c r="H4" s="3"/>
      <c r="I4" s="3"/>
      <c r="J4" s="3"/>
      <c r="K4" s="3"/>
    </row>
    <row r="5" spans="1:13" x14ac:dyDescent="0.2">
      <c r="A5" s="3"/>
      <c r="B5" s="3"/>
      <c r="C5" s="3"/>
      <c r="D5" s="3"/>
      <c r="E5" s="3"/>
      <c r="F5" s="3"/>
      <c r="G5" s="3"/>
      <c r="H5" s="3"/>
      <c r="I5" s="3"/>
      <c r="J5" s="3"/>
      <c r="K5" s="3"/>
    </row>
    <row r="6" spans="1:13" ht="15.75" x14ac:dyDescent="0.25">
      <c r="A6" s="8"/>
      <c r="B6" s="548"/>
      <c r="C6" s="8"/>
      <c r="D6" s="8"/>
      <c r="E6" s="8"/>
      <c r="F6" s="8"/>
      <c r="G6" s="8"/>
      <c r="H6" s="8"/>
      <c r="I6" s="8"/>
      <c r="J6" s="8"/>
      <c r="K6" s="8"/>
      <c r="L6" s="8"/>
      <c r="M6" s="8"/>
    </row>
    <row r="7" spans="1:13" ht="15.75" x14ac:dyDescent="0.25">
      <c r="A7" s="1604" t="s">
        <v>492</v>
      </c>
      <c r="B7" s="1604"/>
      <c r="C7" s="1604"/>
      <c r="D7" s="1604"/>
      <c r="E7" s="1604"/>
      <c r="F7" s="1604"/>
      <c r="G7" s="1604"/>
      <c r="H7" s="1604"/>
      <c r="I7" s="1604"/>
      <c r="J7" s="1604"/>
      <c r="K7" s="1604"/>
      <c r="L7" s="1604"/>
      <c r="M7" s="8"/>
    </row>
    <row r="8" spans="1:13" ht="15.75" x14ac:dyDescent="0.25">
      <c r="A8" s="1604" t="s">
        <v>322</v>
      </c>
      <c r="B8" s="1604"/>
      <c r="C8" s="1604"/>
      <c r="D8" s="1604"/>
      <c r="E8" s="1604"/>
      <c r="F8" s="1604"/>
      <c r="G8" s="1604"/>
      <c r="H8" s="1604"/>
      <c r="I8" s="1604"/>
      <c r="J8" s="1604"/>
      <c r="K8" s="1604"/>
      <c r="L8" s="1604"/>
      <c r="M8" s="8"/>
    </row>
    <row r="9" spans="1:13" ht="15.75" x14ac:dyDescent="0.25">
      <c r="A9" s="1691" t="str">
        <f>"wg FORM ODPŁATNOŚCI, wg stanu na dzień 31.XII."&amp;'Tab.1. bilans_Polska'!A2&amp;" r."</f>
        <v>wg FORM ODPŁATNOŚCI, wg stanu na dzień 31.XII.2011 r.</v>
      </c>
      <c r="B9" s="1690"/>
      <c r="C9" s="1690"/>
      <c r="D9" s="1690"/>
      <c r="E9" s="1690"/>
      <c r="F9" s="1690"/>
      <c r="G9" s="1690"/>
      <c r="H9" s="1690"/>
      <c r="I9" s="1690"/>
      <c r="J9" s="1690"/>
      <c r="K9" s="1690"/>
      <c r="L9" s="1690"/>
    </row>
    <row r="10" spans="1:13" ht="13.5" thickBot="1" x14ac:dyDescent="0.25">
      <c r="A10" s="3"/>
      <c r="B10" s="3"/>
      <c r="C10" s="3"/>
      <c r="D10" s="3"/>
      <c r="E10" s="3"/>
      <c r="F10" s="3"/>
      <c r="G10" s="3"/>
      <c r="H10" s="3"/>
      <c r="I10" s="3"/>
      <c r="J10" s="3"/>
      <c r="K10" s="3"/>
    </row>
    <row r="11" spans="1:13" ht="13.5" thickTop="1" x14ac:dyDescent="0.2">
      <c r="A11" s="1692" t="s">
        <v>226</v>
      </c>
      <c r="B11" s="1802" t="s">
        <v>256</v>
      </c>
      <c r="C11" s="1797" t="s">
        <v>7</v>
      </c>
      <c r="D11" s="1773" t="s">
        <v>50</v>
      </c>
      <c r="E11" s="1774"/>
      <c r="F11" s="1774"/>
      <c r="G11" s="1774"/>
      <c r="H11" s="1774"/>
      <c r="I11" s="1774"/>
      <c r="J11" s="1774"/>
      <c r="K11" s="1774"/>
      <c r="L11" s="1775"/>
    </row>
    <row r="12" spans="1:13" x14ac:dyDescent="0.2">
      <c r="A12" s="1693"/>
      <c r="B12" s="1803"/>
      <c r="C12" s="1768"/>
      <c r="D12" s="1789" t="s">
        <v>323</v>
      </c>
      <c r="E12" s="1790"/>
      <c r="F12" s="1790"/>
      <c r="G12" s="1791"/>
      <c r="H12" s="1789" t="s">
        <v>324</v>
      </c>
      <c r="I12" s="1790"/>
      <c r="J12" s="1790"/>
      <c r="K12" s="1790"/>
      <c r="L12" s="1805"/>
    </row>
    <row r="13" spans="1:13" x14ac:dyDescent="0.2">
      <c r="A13" s="1693"/>
      <c r="B13" s="1803"/>
      <c r="C13" s="1768"/>
      <c r="D13" s="1793" t="s">
        <v>282</v>
      </c>
      <c r="E13" s="1792" t="s">
        <v>325</v>
      </c>
      <c r="F13" s="1790"/>
      <c r="G13" s="1791"/>
      <c r="H13" s="1793" t="s">
        <v>282</v>
      </c>
      <c r="I13" s="1798" t="s">
        <v>325</v>
      </c>
      <c r="J13" s="1799"/>
      <c r="K13" s="1799"/>
      <c r="L13" s="1800"/>
    </row>
    <row r="14" spans="1:13" ht="19.5" customHeight="1" x14ac:dyDescent="0.2">
      <c r="A14" s="1693"/>
      <c r="B14" s="1803"/>
      <c r="C14" s="1768"/>
      <c r="D14" s="1794"/>
      <c r="E14" s="1796" t="s">
        <v>186</v>
      </c>
      <c r="F14" s="1796" t="s">
        <v>187</v>
      </c>
      <c r="G14" s="1804" t="s">
        <v>326</v>
      </c>
      <c r="H14" s="1794"/>
      <c r="I14" s="1796" t="s">
        <v>186</v>
      </c>
      <c r="J14" s="1796" t="s">
        <v>187</v>
      </c>
      <c r="K14" s="1796" t="s">
        <v>326</v>
      </c>
      <c r="L14" s="1801" t="s">
        <v>153</v>
      </c>
    </row>
    <row r="15" spans="1:13" ht="19.5" customHeight="1" x14ac:dyDescent="0.2">
      <c r="A15" s="1694"/>
      <c r="B15" s="1616"/>
      <c r="C15" s="1769"/>
      <c r="D15" s="1795"/>
      <c r="E15" s="1796"/>
      <c r="F15" s="1796"/>
      <c r="G15" s="1804"/>
      <c r="H15" s="1795"/>
      <c r="I15" s="1796"/>
      <c r="J15" s="1796"/>
      <c r="K15" s="1796"/>
      <c r="L15" s="1801"/>
    </row>
    <row r="16" spans="1:13" ht="13.5" thickBot="1" x14ac:dyDescent="0.25">
      <c r="A16" s="425"/>
      <c r="B16" s="429">
        <v>0</v>
      </c>
      <c r="C16" s="464">
        <v>1</v>
      </c>
      <c r="D16" s="427">
        <v>2</v>
      </c>
      <c r="E16" s="428">
        <v>3</v>
      </c>
      <c r="F16" s="428">
        <v>4</v>
      </c>
      <c r="G16" s="429">
        <v>5</v>
      </c>
      <c r="H16" s="430">
        <v>6</v>
      </c>
      <c r="I16" s="428">
        <v>7</v>
      </c>
      <c r="J16" s="428">
        <v>8</v>
      </c>
      <c r="K16" s="428">
        <v>9</v>
      </c>
      <c r="L16" s="431">
        <v>10</v>
      </c>
    </row>
    <row r="17" spans="1:12" ht="13.5" thickTop="1" x14ac:dyDescent="0.2">
      <c r="A17" s="461">
        <v>1</v>
      </c>
      <c r="B17" s="508" t="s">
        <v>236</v>
      </c>
      <c r="C17" s="494">
        <f>'Tab.3. Mieszkańcy_Polska '!I132</f>
        <v>462</v>
      </c>
      <c r="D17" s="1223">
        <f>'Tab.3. Mieszkańcy_Polska '!I134</f>
        <v>24</v>
      </c>
      <c r="E17" s="1224">
        <f>'Tab.3. Mieszkańcy_Polska '!I136</f>
        <v>3</v>
      </c>
      <c r="F17" s="1224">
        <f>'Tab.3. Mieszkańcy_Polska '!I137</f>
        <v>0</v>
      </c>
      <c r="G17" s="1225">
        <f>'Tab.3. Mieszkańcy_Polska '!I138</f>
        <v>21</v>
      </c>
      <c r="H17" s="1226">
        <f>'Tab.3. Mieszkańcy_Polska '!I139</f>
        <v>438</v>
      </c>
      <c r="I17" s="1224">
        <f>'Tab.3. Mieszkańcy_Polska '!I141</f>
        <v>348</v>
      </c>
      <c r="J17" s="1224">
        <f>'Tab.3. Mieszkańcy_Polska '!I142</f>
        <v>0</v>
      </c>
      <c r="K17" s="1224">
        <f>'Tab.3. Mieszkańcy_Polska '!I143</f>
        <v>54</v>
      </c>
      <c r="L17" s="1227">
        <f>'Tab.3. Mieszkańcy_Polska '!I144</f>
        <v>36</v>
      </c>
    </row>
    <row r="18" spans="1:12" x14ac:dyDescent="0.2">
      <c r="A18" s="462">
        <v>2</v>
      </c>
      <c r="B18" s="509" t="s">
        <v>237</v>
      </c>
      <c r="C18" s="1219">
        <f>'Tab.3. Mieszkańcy_Polska '!I208</f>
        <v>174</v>
      </c>
      <c r="D18" s="1228">
        <f>'Tab.3. Mieszkańcy_Polska '!I210</f>
        <v>3</v>
      </c>
      <c r="E18" s="1229">
        <f>'Tab.3. Mieszkańcy_Polska '!I212</f>
        <v>0</v>
      </c>
      <c r="F18" s="1229">
        <f>'Tab.3. Mieszkańcy_Polska '!I213</f>
        <v>0</v>
      </c>
      <c r="G18" s="1230">
        <f>'Tab.3. Mieszkańcy_Polska '!I214</f>
        <v>3</v>
      </c>
      <c r="H18" s="1231">
        <f>'Tab.3. Mieszkańcy_Polska '!I215</f>
        <v>171</v>
      </c>
      <c r="I18" s="1229">
        <f>'Tab.3. Mieszkańcy_Polska '!I217</f>
        <v>121</v>
      </c>
      <c r="J18" s="1229">
        <f>'Tab.3. Mieszkańcy_Polska '!I218</f>
        <v>1</v>
      </c>
      <c r="K18" s="1229">
        <f>'Tab.3. Mieszkańcy_Polska '!I219</f>
        <v>14</v>
      </c>
      <c r="L18" s="1232">
        <f>'Tab.3. Mieszkańcy_Polska '!I220</f>
        <v>35</v>
      </c>
    </row>
    <row r="19" spans="1:12" x14ac:dyDescent="0.2">
      <c r="A19" s="462">
        <v>3</v>
      </c>
      <c r="B19" s="509" t="s">
        <v>238</v>
      </c>
      <c r="C19" s="1219">
        <f>'Tab.3. Mieszkańcy_Polska '!I284</f>
        <v>157</v>
      </c>
      <c r="D19" s="1228">
        <f>'Tab.3. Mieszkańcy_Polska '!I286</f>
        <v>34</v>
      </c>
      <c r="E19" s="1229">
        <f>'Tab.3. Mieszkańcy_Polska '!I288</f>
        <v>16</v>
      </c>
      <c r="F19" s="1229">
        <f>'Tab.3. Mieszkańcy_Polska '!I289</f>
        <v>0</v>
      </c>
      <c r="G19" s="1230">
        <f>'Tab.3. Mieszkańcy_Polska '!I290</f>
        <v>18</v>
      </c>
      <c r="H19" s="1231">
        <f>'Tab.3. Mieszkańcy_Polska '!I291</f>
        <v>123</v>
      </c>
      <c r="I19" s="1229">
        <f>'Tab.3. Mieszkańcy_Polska '!I293</f>
        <v>95</v>
      </c>
      <c r="J19" s="1229">
        <f>'Tab.3. Mieszkańcy_Polska '!I294</f>
        <v>3</v>
      </c>
      <c r="K19" s="1229">
        <f>'Tab.3. Mieszkańcy_Polska '!I295</f>
        <v>24</v>
      </c>
      <c r="L19" s="1232">
        <f>'Tab.3. Mieszkańcy_Polska '!I296</f>
        <v>1</v>
      </c>
    </row>
    <row r="20" spans="1:12" x14ac:dyDescent="0.2">
      <c r="A20" s="462">
        <v>4</v>
      </c>
      <c r="B20" s="509" t="s">
        <v>239</v>
      </c>
      <c r="C20" s="1219">
        <f>'Tab.3. Mieszkańcy_Polska '!I360</f>
        <v>26</v>
      </c>
      <c r="D20" s="1228">
        <f>'Tab.3. Mieszkańcy_Polska '!I362</f>
        <v>1</v>
      </c>
      <c r="E20" s="1229">
        <f>'Tab.3. Mieszkańcy_Polska '!I364</f>
        <v>0</v>
      </c>
      <c r="F20" s="1229">
        <f>'Tab.3. Mieszkańcy_Polska '!I365</f>
        <v>0</v>
      </c>
      <c r="G20" s="1230">
        <f>'Tab.3. Mieszkańcy_Polska '!I366</f>
        <v>1</v>
      </c>
      <c r="H20" s="1231">
        <f>'Tab.3. Mieszkańcy_Polska '!I367</f>
        <v>25</v>
      </c>
      <c r="I20" s="1229">
        <f>'Tab.3. Mieszkańcy_Polska '!I369</f>
        <v>20</v>
      </c>
      <c r="J20" s="1229">
        <f>'Tab.3. Mieszkańcy_Polska '!I370</f>
        <v>1</v>
      </c>
      <c r="K20" s="1229">
        <f>'Tab.3. Mieszkańcy_Polska '!I371</f>
        <v>0</v>
      </c>
      <c r="L20" s="1232">
        <f>'Tab.3. Mieszkańcy_Polska '!I372</f>
        <v>4</v>
      </c>
    </row>
    <row r="21" spans="1:12" x14ac:dyDescent="0.2">
      <c r="A21" s="462">
        <v>5</v>
      </c>
      <c r="B21" s="509" t="s">
        <v>240</v>
      </c>
      <c r="C21" s="1219">
        <f>'Tab.3. Mieszkańcy_Polska '!I436</f>
        <v>118</v>
      </c>
      <c r="D21" s="1228">
        <f>'Tab.3. Mieszkańcy_Polska '!I438</f>
        <v>25</v>
      </c>
      <c r="E21" s="1229">
        <f>'Tab.3. Mieszkańcy_Polska '!I440</f>
        <v>4</v>
      </c>
      <c r="F21" s="1229">
        <f>'Tab.3. Mieszkańcy_Polska '!I441</f>
        <v>0</v>
      </c>
      <c r="G21" s="1230">
        <f>'Tab.3. Mieszkańcy_Polska '!I442</f>
        <v>21</v>
      </c>
      <c r="H21" s="1231">
        <f>'Tab.3. Mieszkańcy_Polska '!I443</f>
        <v>93</v>
      </c>
      <c r="I21" s="1229">
        <f>'Tab.3. Mieszkańcy_Polska '!I445</f>
        <v>81</v>
      </c>
      <c r="J21" s="1229">
        <f>'Tab.3. Mieszkańcy_Polska '!I446</f>
        <v>0</v>
      </c>
      <c r="K21" s="1229">
        <f>'Tab.3. Mieszkańcy_Polska '!I447</f>
        <v>6</v>
      </c>
      <c r="L21" s="1232">
        <f>'Tab.3. Mieszkańcy_Polska '!I448</f>
        <v>6</v>
      </c>
    </row>
    <row r="22" spans="1:12" x14ac:dyDescent="0.2">
      <c r="A22" s="462">
        <v>6</v>
      </c>
      <c r="B22" s="509" t="s">
        <v>241</v>
      </c>
      <c r="C22" s="1219">
        <f>'Tab.3. Mieszkańcy_Polska '!I512</f>
        <v>708</v>
      </c>
      <c r="D22" s="1228">
        <f>'Tab.3. Mieszkańcy_Polska '!I514</f>
        <v>34</v>
      </c>
      <c r="E22" s="1229">
        <f>'Tab.3. Mieszkańcy_Polska '!I516</f>
        <v>0</v>
      </c>
      <c r="F22" s="1229">
        <f>'Tab.3. Mieszkańcy_Polska '!I517</f>
        <v>0</v>
      </c>
      <c r="G22" s="1230">
        <f>'Tab.3. Mieszkańcy_Polska '!I518</f>
        <v>34</v>
      </c>
      <c r="H22" s="1231">
        <f>'Tab.3. Mieszkańcy_Polska '!I519</f>
        <v>674</v>
      </c>
      <c r="I22" s="1229">
        <f>'Tab.3. Mieszkańcy_Polska '!I521</f>
        <v>573</v>
      </c>
      <c r="J22" s="1229">
        <f>'Tab.3. Mieszkańcy_Polska '!I522</f>
        <v>7</v>
      </c>
      <c r="K22" s="1229">
        <f>'Tab.3. Mieszkańcy_Polska '!I523</f>
        <v>77</v>
      </c>
      <c r="L22" s="1232">
        <f>'Tab.3. Mieszkańcy_Polska '!I524</f>
        <v>17</v>
      </c>
    </row>
    <row r="23" spans="1:12" x14ac:dyDescent="0.2">
      <c r="A23" s="462">
        <v>7</v>
      </c>
      <c r="B23" s="509" t="s">
        <v>242</v>
      </c>
      <c r="C23" s="1219">
        <f>'Tab.3. Mieszkańcy_Polska '!I588</f>
        <v>487</v>
      </c>
      <c r="D23" s="1228">
        <f>'Tab.3. Mieszkańcy_Polska '!I590</f>
        <v>31</v>
      </c>
      <c r="E23" s="1229">
        <f>'Tab.3. Mieszkańcy_Polska '!I592</f>
        <v>6</v>
      </c>
      <c r="F23" s="1229">
        <f>'Tab.3. Mieszkańcy_Polska '!I593</f>
        <v>6</v>
      </c>
      <c r="G23" s="1230">
        <f>'Tab.3. Mieszkańcy_Polska '!I594</f>
        <v>19</v>
      </c>
      <c r="H23" s="1231">
        <f>'Tab.3. Mieszkańcy_Polska '!I595</f>
        <v>456</v>
      </c>
      <c r="I23" s="1229">
        <f>'Tab.3. Mieszkańcy_Polska '!I597</f>
        <v>351</v>
      </c>
      <c r="J23" s="1229">
        <f>'Tab.3. Mieszkańcy_Polska '!I598</f>
        <v>7</v>
      </c>
      <c r="K23" s="1229">
        <f>'Tab.3. Mieszkańcy_Polska '!I599</f>
        <v>44</v>
      </c>
      <c r="L23" s="1232">
        <f>'Tab.3. Mieszkańcy_Polska '!I600</f>
        <v>54</v>
      </c>
    </row>
    <row r="24" spans="1:12" x14ac:dyDescent="0.2">
      <c r="A24" s="462">
        <v>8</v>
      </c>
      <c r="B24" s="509" t="s">
        <v>243</v>
      </c>
      <c r="C24" s="1219">
        <f>'Tab.3. Mieszkańcy_Polska '!I664</f>
        <v>334</v>
      </c>
      <c r="D24" s="1228">
        <f>'Tab.3. Mieszkańcy_Polska '!I666</f>
        <v>79</v>
      </c>
      <c r="E24" s="1229">
        <f>'Tab.3. Mieszkańcy_Polska '!I668</f>
        <v>4</v>
      </c>
      <c r="F24" s="1229">
        <f>'Tab.3. Mieszkańcy_Polska '!I669</f>
        <v>5</v>
      </c>
      <c r="G24" s="1230">
        <f>'Tab.3. Mieszkańcy_Polska '!I670</f>
        <v>70</v>
      </c>
      <c r="H24" s="1231">
        <f>'Tab.3. Mieszkańcy_Polska '!I671</f>
        <v>255</v>
      </c>
      <c r="I24" s="1229">
        <f>'Tab.3. Mieszkańcy_Polska '!I673</f>
        <v>222</v>
      </c>
      <c r="J24" s="1229">
        <f>'Tab.3. Mieszkańcy_Polska '!I674</f>
        <v>4</v>
      </c>
      <c r="K24" s="1229">
        <f>'Tab.3. Mieszkańcy_Polska '!I675</f>
        <v>19</v>
      </c>
      <c r="L24" s="1232">
        <f>'Tab.3. Mieszkańcy_Polska '!I676</f>
        <v>10</v>
      </c>
    </row>
    <row r="25" spans="1:12" x14ac:dyDescent="0.2">
      <c r="A25" s="462">
        <v>9</v>
      </c>
      <c r="B25" s="509" t="s">
        <v>244</v>
      </c>
      <c r="C25" s="1219">
        <f>'Tab.3. Mieszkańcy_Polska '!I740</f>
        <v>365</v>
      </c>
      <c r="D25" s="1228">
        <f>'Tab.3. Mieszkańcy_Polska '!I742</f>
        <v>40</v>
      </c>
      <c r="E25" s="1229">
        <f>'Tab.3. Mieszkańcy_Polska '!I744</f>
        <v>12</v>
      </c>
      <c r="F25" s="1229">
        <f>'Tab.3. Mieszkańcy_Polska '!I745</f>
        <v>1</v>
      </c>
      <c r="G25" s="1230">
        <f>'Tab.3. Mieszkańcy_Polska '!I746</f>
        <v>27</v>
      </c>
      <c r="H25" s="1231">
        <f>'Tab.3. Mieszkańcy_Polska '!I747</f>
        <v>325</v>
      </c>
      <c r="I25" s="1229">
        <f>'Tab.3. Mieszkańcy_Polska '!I749</f>
        <v>279</v>
      </c>
      <c r="J25" s="1229">
        <f>'Tab.3. Mieszkańcy_Polska '!I750</f>
        <v>3</v>
      </c>
      <c r="K25" s="1229">
        <f>'Tab.3. Mieszkańcy_Polska '!I751</f>
        <v>21</v>
      </c>
      <c r="L25" s="1232">
        <f>'Tab.3. Mieszkańcy_Polska '!I752</f>
        <v>22</v>
      </c>
    </row>
    <row r="26" spans="1:12" x14ac:dyDescent="0.2">
      <c r="A26" s="463">
        <v>10</v>
      </c>
      <c r="B26" s="509" t="s">
        <v>245</v>
      </c>
      <c r="C26" s="1219">
        <f>'Tab.3. Mieszkańcy_Polska '!I816</f>
        <v>137</v>
      </c>
      <c r="D26" s="1228">
        <f>'Tab.3. Mieszkańcy_Polska '!I818</f>
        <v>0</v>
      </c>
      <c r="E26" s="1229">
        <f>'Tab.3. Mieszkańcy_Polska '!I820</f>
        <v>0</v>
      </c>
      <c r="F26" s="1229">
        <f>'Tab.3. Mieszkańcy_Polska '!I821</f>
        <v>0</v>
      </c>
      <c r="G26" s="1230">
        <f>'Tab.3. Mieszkańcy_Polska '!I822</f>
        <v>0</v>
      </c>
      <c r="H26" s="1231">
        <f>'Tab.3. Mieszkańcy_Polska '!I823</f>
        <v>137</v>
      </c>
      <c r="I26" s="1229">
        <f>'Tab.3. Mieszkańcy_Polska '!I825</f>
        <v>115</v>
      </c>
      <c r="J26" s="1229">
        <f>'Tab.3. Mieszkańcy_Polska '!I826</f>
        <v>0</v>
      </c>
      <c r="K26" s="1229">
        <f>'Tab.3. Mieszkańcy_Polska '!I827</f>
        <v>2</v>
      </c>
      <c r="L26" s="1232">
        <f>'Tab.3. Mieszkańcy_Polska '!I828</f>
        <v>20</v>
      </c>
    </row>
    <row r="27" spans="1:12" x14ac:dyDescent="0.2">
      <c r="A27" s="463">
        <v>11</v>
      </c>
      <c r="B27" s="509" t="s">
        <v>246</v>
      </c>
      <c r="C27" s="1219">
        <f>'Tab.3. Mieszkańcy_Polska '!I892</f>
        <v>191</v>
      </c>
      <c r="D27" s="1228">
        <f>'Tab.3. Mieszkańcy_Polska '!I894</f>
        <v>8</v>
      </c>
      <c r="E27" s="1229">
        <f>'Tab.3. Mieszkańcy_Polska '!I896</f>
        <v>2</v>
      </c>
      <c r="F27" s="1229">
        <f>'Tab.3. Mieszkańcy_Polska '!I897</f>
        <v>3</v>
      </c>
      <c r="G27" s="1230">
        <f>'Tab.3. Mieszkańcy_Polska '!I898</f>
        <v>3</v>
      </c>
      <c r="H27" s="1231">
        <f>'Tab.3. Mieszkańcy_Polska '!I899</f>
        <v>183</v>
      </c>
      <c r="I27" s="1229">
        <f>'Tab.3. Mieszkańcy_Polska '!I901</f>
        <v>157</v>
      </c>
      <c r="J27" s="1229">
        <f>'Tab.3. Mieszkańcy_Polska '!I902</f>
        <v>2</v>
      </c>
      <c r="K27" s="1229">
        <f>'Tab.3. Mieszkańcy_Polska '!I903</f>
        <v>6</v>
      </c>
      <c r="L27" s="1232">
        <f>'Tab.3. Mieszkańcy_Polska '!I904</f>
        <v>18</v>
      </c>
    </row>
    <row r="28" spans="1:12" x14ac:dyDescent="0.2">
      <c r="A28" s="463">
        <v>12</v>
      </c>
      <c r="B28" s="509" t="s">
        <v>247</v>
      </c>
      <c r="C28" s="1219">
        <f>'Tab.3. Mieszkańcy_Polska '!I968</f>
        <v>1276</v>
      </c>
      <c r="D28" s="1228">
        <f>'Tab.3. Mieszkańcy_Polska '!I970</f>
        <v>48</v>
      </c>
      <c r="E28" s="1229">
        <f>'Tab.3. Mieszkańcy_Polska '!I972</f>
        <v>15</v>
      </c>
      <c r="F28" s="1229">
        <f>'Tab.3. Mieszkańcy_Polska '!I973</f>
        <v>0</v>
      </c>
      <c r="G28" s="1230">
        <f>'Tab.3. Mieszkańcy_Polska '!I974</f>
        <v>33</v>
      </c>
      <c r="H28" s="1231">
        <f>'Tab.3. Mieszkańcy_Polska '!I975</f>
        <v>1228</v>
      </c>
      <c r="I28" s="1229">
        <f>'Tab.3. Mieszkańcy_Polska '!I977</f>
        <v>1070</v>
      </c>
      <c r="J28" s="1229">
        <f>'Tab.3. Mieszkańcy_Polska '!I978</f>
        <v>14</v>
      </c>
      <c r="K28" s="1229">
        <f>'Tab.3. Mieszkańcy_Polska '!I979</f>
        <v>99</v>
      </c>
      <c r="L28" s="1232">
        <f>'Tab.3. Mieszkańcy_Polska '!I980</f>
        <v>45</v>
      </c>
    </row>
    <row r="29" spans="1:12" x14ac:dyDescent="0.2">
      <c r="A29" s="463">
        <v>13</v>
      </c>
      <c r="B29" s="509" t="s">
        <v>248</v>
      </c>
      <c r="C29" s="1219">
        <f>'Tab.3. Mieszkańcy_Polska '!I1044</f>
        <v>228</v>
      </c>
      <c r="D29" s="1228">
        <f>'Tab.3. Mieszkańcy_Polska '!I1046</f>
        <v>16</v>
      </c>
      <c r="E29" s="1229">
        <f>'Tab.3. Mieszkańcy_Polska '!I1048</f>
        <v>5</v>
      </c>
      <c r="F29" s="1229">
        <f>'Tab.3. Mieszkańcy_Polska '!I1049</f>
        <v>0</v>
      </c>
      <c r="G29" s="1230">
        <f>'Tab.3. Mieszkańcy_Polska '!I1050</f>
        <v>11</v>
      </c>
      <c r="H29" s="1231">
        <f>'Tab.3. Mieszkańcy_Polska '!I1051</f>
        <v>212</v>
      </c>
      <c r="I29" s="1229">
        <f>'Tab.3. Mieszkańcy_Polska '!I1053</f>
        <v>191</v>
      </c>
      <c r="J29" s="1229">
        <f>'Tab.3. Mieszkańcy_Polska '!I1054</f>
        <v>0</v>
      </c>
      <c r="K29" s="1229">
        <f>'Tab.3. Mieszkańcy_Polska '!I1055</f>
        <v>21</v>
      </c>
      <c r="L29" s="1232">
        <f>'Tab.3. Mieszkańcy_Polska '!I1056</f>
        <v>0</v>
      </c>
    </row>
    <row r="30" spans="1:12" x14ac:dyDescent="0.2">
      <c r="A30" s="463">
        <v>14</v>
      </c>
      <c r="B30" s="509" t="s">
        <v>249</v>
      </c>
      <c r="C30" s="1219">
        <f>'Tab.3. Mieszkańcy_Polska '!I1120</f>
        <v>265</v>
      </c>
      <c r="D30" s="1228">
        <f>'Tab.3. Mieszkańcy_Polska '!I1122</f>
        <v>13</v>
      </c>
      <c r="E30" s="1229">
        <f>'Tab.3. Mieszkańcy_Polska '!I1124</f>
        <v>4</v>
      </c>
      <c r="F30" s="1229">
        <f>'Tab.3. Mieszkańcy_Polska '!I1125</f>
        <v>2</v>
      </c>
      <c r="G30" s="1230">
        <f>'Tab.3. Mieszkańcy_Polska '!I1126</f>
        <v>7</v>
      </c>
      <c r="H30" s="1231">
        <f>'Tab.3. Mieszkańcy_Polska '!I1127</f>
        <v>252</v>
      </c>
      <c r="I30" s="1229">
        <f>'Tab.3. Mieszkańcy_Polska '!I1129</f>
        <v>192</v>
      </c>
      <c r="J30" s="1229">
        <f>'Tab.3. Mieszkańcy_Polska '!I1130</f>
        <v>4</v>
      </c>
      <c r="K30" s="1229">
        <f>'Tab.3. Mieszkańcy_Polska '!I1131</f>
        <v>19</v>
      </c>
      <c r="L30" s="1232">
        <f>'Tab.3. Mieszkańcy_Polska '!I1132</f>
        <v>37</v>
      </c>
    </row>
    <row r="31" spans="1:12" x14ac:dyDescent="0.2">
      <c r="A31" s="463">
        <v>15</v>
      </c>
      <c r="B31" s="509" t="s">
        <v>250</v>
      </c>
      <c r="C31" s="1219">
        <f>'Tab.3. Mieszkańcy_Polska '!I1196</f>
        <v>500</v>
      </c>
      <c r="D31" s="1228">
        <f>'Tab.3. Mieszkańcy_Polska '!I1198</f>
        <v>36</v>
      </c>
      <c r="E31" s="1229">
        <f>'Tab.3. Mieszkańcy_Polska '!I1200</f>
        <v>33</v>
      </c>
      <c r="F31" s="1229">
        <f>'Tab.3. Mieszkańcy_Polska '!I1201</f>
        <v>0</v>
      </c>
      <c r="G31" s="1230">
        <f>'Tab.3. Mieszkańcy_Polska '!I1202</f>
        <v>3</v>
      </c>
      <c r="H31" s="1231">
        <f>'Tab.3. Mieszkańcy_Polska '!I1203</f>
        <v>464</v>
      </c>
      <c r="I31" s="1229">
        <f>'Tab.3. Mieszkańcy_Polska '!I1205</f>
        <v>405</v>
      </c>
      <c r="J31" s="1229">
        <f>'Tab.3. Mieszkańcy_Polska '!I1206</f>
        <v>7</v>
      </c>
      <c r="K31" s="1229">
        <f>'Tab.3. Mieszkańcy_Polska '!I1207</f>
        <v>22</v>
      </c>
      <c r="L31" s="1232">
        <f>'Tab.3. Mieszkańcy_Polska '!I1208</f>
        <v>30</v>
      </c>
    </row>
    <row r="32" spans="1:12" ht="13.5" thickBot="1" x14ac:dyDescent="0.25">
      <c r="A32" s="463">
        <v>16</v>
      </c>
      <c r="B32" s="510" t="s">
        <v>251</v>
      </c>
      <c r="C32" s="1219">
        <f>'Tab.3. Mieszkańcy_Polska '!I1272</f>
        <v>320</v>
      </c>
      <c r="D32" s="1233">
        <f>'Tab.3. Mieszkańcy_Polska '!I1274</f>
        <v>12</v>
      </c>
      <c r="E32" s="1234">
        <f>'Tab.3. Mieszkańcy_Polska '!I1276</f>
        <v>2</v>
      </c>
      <c r="F32" s="1234">
        <f>'Tab.3. Mieszkańcy_Polska '!I1277</f>
        <v>0</v>
      </c>
      <c r="G32" s="1235">
        <f>'Tab.3. Mieszkańcy_Polska '!I1278</f>
        <v>10</v>
      </c>
      <c r="H32" s="1236">
        <f>'Tab.3. Mieszkańcy_Polska '!I1279</f>
        <v>308</v>
      </c>
      <c r="I32" s="1234">
        <f>'Tab.3. Mieszkańcy_Polska '!I1281</f>
        <v>234</v>
      </c>
      <c r="J32" s="1234">
        <f>'Tab.3. Mieszkańcy_Polska '!I1282</f>
        <v>0</v>
      </c>
      <c r="K32" s="1234">
        <f>'Tab.3. Mieszkańcy_Polska '!I1283</f>
        <v>70</v>
      </c>
      <c r="L32" s="1237">
        <f>'Tab.3. Mieszkańcy_Polska '!I1284</f>
        <v>4</v>
      </c>
    </row>
    <row r="33" spans="1:12" ht="16.5" thickBot="1" x14ac:dyDescent="0.3">
      <c r="A33" s="445" t="s">
        <v>252</v>
      </c>
      <c r="B33" s="446"/>
      <c r="C33" s="1238">
        <f t="shared" ref="C33:L33" si="0">SUM(C17:C32)</f>
        <v>5748</v>
      </c>
      <c r="D33" s="1239">
        <f t="shared" si="0"/>
        <v>404</v>
      </c>
      <c r="E33" s="1240">
        <f t="shared" si="0"/>
        <v>106</v>
      </c>
      <c r="F33" s="1240">
        <f t="shared" si="0"/>
        <v>17</v>
      </c>
      <c r="G33" s="1241">
        <f t="shared" si="0"/>
        <v>281</v>
      </c>
      <c r="H33" s="1242">
        <f t="shared" si="0"/>
        <v>5344</v>
      </c>
      <c r="I33" s="1240">
        <f t="shared" si="0"/>
        <v>4454</v>
      </c>
      <c r="J33" s="1240">
        <f t="shared" si="0"/>
        <v>53</v>
      </c>
      <c r="K33" s="1240">
        <f t="shared" si="0"/>
        <v>498</v>
      </c>
      <c r="L33" s="1243">
        <f t="shared" si="0"/>
        <v>339</v>
      </c>
    </row>
    <row r="34" spans="1:12" ht="13.5" thickTop="1" x14ac:dyDescent="0.2"/>
  </sheetData>
  <mergeCells count="21">
    <mergeCell ref="G14:G15"/>
    <mergeCell ref="A11:A15"/>
    <mergeCell ref="H12:L12"/>
    <mergeCell ref="I14:I15"/>
    <mergeCell ref="I13:L13"/>
    <mergeCell ref="A7:L7"/>
    <mergeCell ref="L14:L15"/>
    <mergeCell ref="A9:L9"/>
    <mergeCell ref="F14:F15"/>
    <mergeCell ref="B11:B15"/>
    <mergeCell ref="H13:H15"/>
    <mergeCell ref="J14:J15"/>
    <mergeCell ref="E14:E15"/>
    <mergeCell ref="K1:L1"/>
    <mergeCell ref="D11:L11"/>
    <mergeCell ref="D12:G12"/>
    <mergeCell ref="E13:G13"/>
    <mergeCell ref="D13:D15"/>
    <mergeCell ref="K14:K15"/>
    <mergeCell ref="A8:L8"/>
    <mergeCell ref="C11:C15"/>
  </mergeCells>
  <phoneticPr fontId="82" type="noConversion"/>
  <printOptions horizontalCentered="1" verticalCentered="1"/>
  <pageMargins left="0.51181102362204722" right="0.3937007874015748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heetViews>
  <sheetFormatPr defaultRowHeight="12.75" x14ac:dyDescent="0.2"/>
  <cols>
    <col min="1" max="1" width="3.7109375" customWidth="1"/>
    <col min="2" max="2" width="24.5703125" bestFit="1" customWidth="1"/>
    <col min="3" max="9" width="11.7109375" customWidth="1"/>
    <col min="10" max="10" width="15.7109375" customWidth="1"/>
  </cols>
  <sheetData>
    <row r="1" spans="1:10" ht="15.75" x14ac:dyDescent="0.25">
      <c r="A1" s="1" t="s">
        <v>195</v>
      </c>
      <c r="B1" s="3"/>
      <c r="C1" s="4"/>
      <c r="D1" s="3"/>
      <c r="E1" s="3"/>
      <c r="F1" s="3"/>
      <c r="G1" s="413"/>
      <c r="H1" s="1603" t="s">
        <v>329</v>
      </c>
      <c r="I1" s="1603"/>
    </row>
    <row r="2" spans="1:10" x14ac:dyDescent="0.2">
      <c r="A2" s="3" t="s">
        <v>214</v>
      </c>
      <c r="B2" s="3"/>
      <c r="C2" s="3"/>
    </row>
    <row r="3" spans="1:10" x14ac:dyDescent="0.2">
      <c r="A3" s="3" t="s">
        <v>216</v>
      </c>
      <c r="B3" s="3"/>
      <c r="C3" s="3"/>
      <c r="D3" s="3"/>
      <c r="E3" s="3"/>
      <c r="F3" s="3"/>
      <c r="G3" s="3"/>
      <c r="H3" s="3"/>
      <c r="I3" s="3"/>
    </row>
    <row r="4" spans="1:10" x14ac:dyDescent="0.2">
      <c r="A4" s="3" t="s">
        <v>128</v>
      </c>
      <c r="B4" s="3"/>
      <c r="C4" s="3"/>
      <c r="D4" s="3"/>
      <c r="E4" s="3"/>
      <c r="F4" s="3"/>
      <c r="G4" s="3"/>
      <c r="H4" s="3"/>
      <c r="I4" s="3"/>
    </row>
    <row r="5" spans="1:10" x14ac:dyDescent="0.2">
      <c r="A5" s="3"/>
      <c r="B5" s="3"/>
      <c r="C5" s="3"/>
      <c r="D5" s="3"/>
      <c r="E5" s="3"/>
      <c r="F5" s="3"/>
      <c r="G5" s="3"/>
      <c r="H5" s="3"/>
      <c r="I5" s="3"/>
    </row>
    <row r="6" spans="1:10" ht="15.75" x14ac:dyDescent="0.25">
      <c r="A6" s="1604" t="s">
        <v>486</v>
      </c>
      <c r="B6" s="1604"/>
      <c r="C6" s="1604"/>
      <c r="D6" s="1604"/>
      <c r="E6" s="1604"/>
      <c r="F6" s="1604"/>
      <c r="G6" s="1604"/>
      <c r="H6" s="1604"/>
      <c r="I6" s="1604"/>
      <c r="J6" s="8"/>
    </row>
    <row r="7" spans="1:10" ht="15.75" x14ac:dyDescent="0.25">
      <c r="A7" s="1604" t="s">
        <v>330</v>
      </c>
      <c r="B7" s="1604"/>
      <c r="C7" s="1604"/>
      <c r="D7" s="1604"/>
      <c r="E7" s="1604"/>
      <c r="F7" s="1604"/>
      <c r="G7" s="1604"/>
      <c r="H7" s="1604"/>
      <c r="I7" s="1604"/>
      <c r="J7" s="8"/>
    </row>
    <row r="8" spans="1:10" ht="15.75" x14ac:dyDescent="0.25">
      <c r="A8" s="1691" t="str">
        <f>"wg ŹRÓDEŁ DOCHODU, wg stanu na dzień 31.XII."&amp;'Tab.1. bilans_Polska'!A2&amp;" r."</f>
        <v>wg ŹRÓDEŁ DOCHODU, wg stanu na dzień 31.XII.2011 r.</v>
      </c>
      <c r="B8" s="1690"/>
      <c r="C8" s="1690"/>
      <c r="D8" s="1690"/>
      <c r="E8" s="1690"/>
      <c r="F8" s="1690"/>
      <c r="G8" s="1690"/>
      <c r="H8" s="1690"/>
      <c r="I8" s="1690"/>
      <c r="J8" s="8"/>
    </row>
    <row r="9" spans="1:10" ht="15.75" x14ac:dyDescent="0.25">
      <c r="A9" s="504"/>
      <c r="B9" s="504"/>
      <c r="C9" s="504"/>
      <c r="D9" s="504"/>
      <c r="E9" s="504"/>
      <c r="F9" s="504"/>
      <c r="G9" s="504"/>
      <c r="H9" s="504"/>
      <c r="I9" s="504"/>
    </row>
    <row r="10" spans="1:10" ht="13.5" thickBot="1" x14ac:dyDescent="0.25">
      <c r="A10" s="3"/>
      <c r="B10" s="3"/>
      <c r="C10" s="3"/>
      <c r="D10" s="3"/>
      <c r="E10" s="3"/>
      <c r="F10" s="3"/>
      <c r="G10" s="3"/>
      <c r="H10" s="3"/>
      <c r="I10" s="3"/>
    </row>
    <row r="11" spans="1:10" ht="13.5" thickTop="1" x14ac:dyDescent="0.2">
      <c r="A11" s="1692" t="s">
        <v>226</v>
      </c>
      <c r="B11" s="1695" t="s">
        <v>256</v>
      </c>
      <c r="C11" s="1797" t="s">
        <v>7</v>
      </c>
      <c r="D11" s="1773" t="s">
        <v>155</v>
      </c>
      <c r="E11" s="1774"/>
      <c r="F11" s="1774"/>
      <c r="G11" s="1774"/>
      <c r="H11" s="1774"/>
      <c r="I11" s="1775"/>
    </row>
    <row r="12" spans="1:10" ht="29.25" customHeight="1" x14ac:dyDescent="0.2">
      <c r="A12" s="1693"/>
      <c r="B12" s="1696"/>
      <c r="C12" s="1768"/>
      <c r="D12" s="1779" t="s">
        <v>178</v>
      </c>
      <c r="E12" s="1780"/>
      <c r="F12" s="1781" t="s">
        <v>151</v>
      </c>
      <c r="G12" s="1782"/>
      <c r="H12" s="1783" t="s">
        <v>152</v>
      </c>
      <c r="I12" s="1785"/>
    </row>
    <row r="13" spans="1:10" ht="12.75" customHeight="1" x14ac:dyDescent="0.2">
      <c r="A13" s="1693"/>
      <c r="B13" s="1696"/>
      <c r="C13" s="1768"/>
      <c r="D13" s="1760" t="s">
        <v>0</v>
      </c>
      <c r="E13" s="1748" t="s">
        <v>294</v>
      </c>
      <c r="F13" s="1749" t="s">
        <v>0</v>
      </c>
      <c r="G13" s="1786" t="s">
        <v>294</v>
      </c>
      <c r="H13" s="1777" t="s">
        <v>0</v>
      </c>
      <c r="I13" s="1757" t="s">
        <v>294</v>
      </c>
    </row>
    <row r="14" spans="1:10" x14ac:dyDescent="0.2">
      <c r="A14" s="1694"/>
      <c r="B14" s="1697"/>
      <c r="C14" s="1769"/>
      <c r="D14" s="1760"/>
      <c r="E14" s="1749"/>
      <c r="F14" s="1749"/>
      <c r="G14" s="1787"/>
      <c r="H14" s="1777"/>
      <c r="I14" s="1758"/>
    </row>
    <row r="15" spans="1:10" ht="13.5" thickBot="1" x14ac:dyDescent="0.25">
      <c r="A15" s="425"/>
      <c r="B15" s="429">
        <v>0</v>
      </c>
      <c r="C15" s="464">
        <v>1</v>
      </c>
      <c r="D15" s="427">
        <v>2</v>
      </c>
      <c r="E15" s="428">
        <v>3</v>
      </c>
      <c r="F15" s="428">
        <v>4</v>
      </c>
      <c r="G15" s="429">
        <v>5</v>
      </c>
      <c r="H15" s="430">
        <v>6</v>
      </c>
      <c r="I15" s="431">
        <v>7</v>
      </c>
    </row>
    <row r="16" spans="1:10" ht="13.5" thickTop="1" x14ac:dyDescent="0.2">
      <c r="A16" s="461">
        <v>1</v>
      </c>
      <c r="B16" s="508" t="s">
        <v>236</v>
      </c>
      <c r="C16" s="473">
        <f>'Tab.3. Mieszkańcy_Polska '!G145</f>
        <v>2457</v>
      </c>
      <c r="D16" s="515">
        <f>'Tab.3. Mieszkańcy_Polska '!G147</f>
        <v>2059</v>
      </c>
      <c r="E16" s="521">
        <f>ROUND(D16*100/$C16, 1)</f>
        <v>83.8</v>
      </c>
      <c r="F16" s="1464">
        <f>'Tab.3. Mieszkańcy_Polska '!G148</f>
        <v>337</v>
      </c>
      <c r="G16" s="538">
        <f t="shared" ref="G16:G31" si="0">F16*100/$C16</f>
        <v>13.715913715913716</v>
      </c>
      <c r="H16" s="1465">
        <f>'Tab.3. Mieszkańcy_Polska '!G149</f>
        <v>61</v>
      </c>
      <c r="I16" s="524">
        <f t="shared" ref="I16:I31" si="1">H16*100/$C16</f>
        <v>2.4827024827024826</v>
      </c>
    </row>
    <row r="17" spans="1:10" x14ac:dyDescent="0.2">
      <c r="A17" s="462">
        <v>2</v>
      </c>
      <c r="B17" s="509" t="s">
        <v>237</v>
      </c>
      <c r="C17" s="481">
        <f>'Tab.3. Mieszkańcy_Polska '!G221</f>
        <v>1612</v>
      </c>
      <c r="D17" s="516">
        <f>'Tab.3. Mieszkańcy_Polska '!G223</f>
        <v>1370</v>
      </c>
      <c r="E17" s="522">
        <f t="shared" ref="E17:E31" si="2">ROUND(D17*100/$C17, 1)</f>
        <v>85</v>
      </c>
      <c r="F17" s="1466">
        <f>'Tab.3. Mieszkańcy_Polska '!G224</f>
        <v>204</v>
      </c>
      <c r="G17" s="539">
        <f t="shared" si="0"/>
        <v>12.655086848635236</v>
      </c>
      <c r="H17" s="1467">
        <f>'Tab.3. Mieszkańcy_Polska '!G225</f>
        <v>38</v>
      </c>
      <c r="I17" s="525">
        <f t="shared" si="1"/>
        <v>2.3573200992555829</v>
      </c>
    </row>
    <row r="18" spans="1:10" x14ac:dyDescent="0.2">
      <c r="A18" s="462">
        <v>3</v>
      </c>
      <c r="B18" s="509" t="s">
        <v>238</v>
      </c>
      <c r="C18" s="481">
        <f>'Tab.3. Mieszkańcy_Polska '!G297</f>
        <v>1866</v>
      </c>
      <c r="D18" s="516">
        <f>'Tab.3. Mieszkańcy_Polska '!G299</f>
        <v>1587</v>
      </c>
      <c r="E18" s="522">
        <f t="shared" si="2"/>
        <v>85</v>
      </c>
      <c r="F18" s="1466">
        <f>'Tab.3. Mieszkańcy_Polska '!G300</f>
        <v>266</v>
      </c>
      <c r="G18" s="539">
        <f t="shared" si="0"/>
        <v>14.255091103965702</v>
      </c>
      <c r="H18" s="1467">
        <f>'Tab.3. Mieszkańcy_Polska '!G301</f>
        <v>13</v>
      </c>
      <c r="I18" s="525">
        <f t="shared" si="1"/>
        <v>0.69667738478027863</v>
      </c>
    </row>
    <row r="19" spans="1:10" x14ac:dyDescent="0.2">
      <c r="A19" s="462">
        <v>4</v>
      </c>
      <c r="B19" s="509" t="s">
        <v>239</v>
      </c>
      <c r="C19" s="481">
        <f>'Tab.3. Mieszkańcy_Polska '!G373</f>
        <v>1060</v>
      </c>
      <c r="D19" s="516">
        <f>'Tab.3. Mieszkańcy_Polska '!G375</f>
        <v>900</v>
      </c>
      <c r="E19" s="522">
        <f t="shared" si="2"/>
        <v>84.9</v>
      </c>
      <c r="F19" s="1466">
        <f>'Tab.3. Mieszkańcy_Polska '!G376</f>
        <v>146</v>
      </c>
      <c r="G19" s="539">
        <f t="shared" si="0"/>
        <v>13.773584905660377</v>
      </c>
      <c r="H19" s="1467">
        <f>'Tab.3. Mieszkańcy_Polska '!G377</f>
        <v>14</v>
      </c>
      <c r="I19" s="525">
        <f t="shared" si="1"/>
        <v>1.320754716981132</v>
      </c>
    </row>
    <row r="20" spans="1:10" x14ac:dyDescent="0.2">
      <c r="A20" s="462">
        <v>5</v>
      </c>
      <c r="B20" s="509" t="s">
        <v>240</v>
      </c>
      <c r="C20" s="481">
        <f>'Tab.3. Mieszkańcy_Polska '!G449</f>
        <v>2892</v>
      </c>
      <c r="D20" s="516">
        <f>'Tab.3. Mieszkańcy_Polska '!G451</f>
        <v>2406</v>
      </c>
      <c r="E20" s="522">
        <f t="shared" si="2"/>
        <v>83.2</v>
      </c>
      <c r="F20" s="1466">
        <f>'Tab.3. Mieszkańcy_Polska '!G452</f>
        <v>465</v>
      </c>
      <c r="G20" s="539">
        <f t="shared" si="0"/>
        <v>16.078838174273859</v>
      </c>
      <c r="H20" s="1467">
        <f>'Tab.3. Mieszkańcy_Polska '!G453</f>
        <v>21</v>
      </c>
      <c r="I20" s="525">
        <f t="shared" si="1"/>
        <v>0.72614107883817425</v>
      </c>
    </row>
    <row r="21" spans="1:10" x14ac:dyDescent="0.2">
      <c r="A21" s="462">
        <v>6</v>
      </c>
      <c r="B21" s="509" t="s">
        <v>241</v>
      </c>
      <c r="C21" s="481">
        <f>'Tab.3. Mieszkańcy_Polska '!G525</f>
        <v>3118</v>
      </c>
      <c r="D21" s="516">
        <f>'Tab.3. Mieszkańcy_Polska '!G527</f>
        <v>2724</v>
      </c>
      <c r="E21" s="522">
        <f t="shared" si="2"/>
        <v>87.4</v>
      </c>
      <c r="F21" s="1466">
        <f>'Tab.3. Mieszkańcy_Polska '!G528</f>
        <v>378</v>
      </c>
      <c r="G21" s="539">
        <f t="shared" si="0"/>
        <v>12.123155869146888</v>
      </c>
      <c r="H21" s="1467">
        <f>'Tab.3. Mieszkańcy_Polska '!G529</f>
        <v>16</v>
      </c>
      <c r="I21" s="525">
        <f t="shared" si="1"/>
        <v>0.51314945477870433</v>
      </c>
    </row>
    <row r="22" spans="1:10" x14ac:dyDescent="0.2">
      <c r="A22" s="462">
        <v>7</v>
      </c>
      <c r="B22" s="509" t="s">
        <v>242</v>
      </c>
      <c r="C22" s="481">
        <f>'Tab.3. Mieszkańcy_Polska '!G601</f>
        <v>3767</v>
      </c>
      <c r="D22" s="516">
        <f>'Tab.3. Mieszkańcy_Polska '!G603</f>
        <v>3091</v>
      </c>
      <c r="E22" s="522">
        <f t="shared" si="2"/>
        <v>82.1</v>
      </c>
      <c r="F22" s="1466">
        <f>'Tab.3. Mieszkańcy_Polska '!G604</f>
        <v>636</v>
      </c>
      <c r="G22" s="539">
        <f t="shared" si="0"/>
        <v>16.883461640562782</v>
      </c>
      <c r="H22" s="1467">
        <f>'Tab.3. Mieszkańcy_Polska '!G605</f>
        <v>40</v>
      </c>
      <c r="I22" s="525">
        <f t="shared" si="1"/>
        <v>1.0618529333687283</v>
      </c>
    </row>
    <row r="23" spans="1:10" x14ac:dyDescent="0.2">
      <c r="A23" s="462">
        <v>8</v>
      </c>
      <c r="B23" s="509" t="s">
        <v>243</v>
      </c>
      <c r="C23" s="481">
        <f>'Tab.3. Mieszkańcy_Polska '!G677</f>
        <v>1287</v>
      </c>
      <c r="D23" s="516">
        <f>'Tab.3. Mieszkańcy_Polska '!G679</f>
        <v>1100</v>
      </c>
      <c r="E23" s="522">
        <f t="shared" si="2"/>
        <v>85.5</v>
      </c>
      <c r="F23" s="1466">
        <f>'Tab.3. Mieszkańcy_Polska '!G680</f>
        <v>158</v>
      </c>
      <c r="G23" s="539">
        <f t="shared" si="0"/>
        <v>12.276612276612276</v>
      </c>
      <c r="H23" s="1467">
        <f>'Tab.3. Mieszkańcy_Polska '!G681</f>
        <v>29</v>
      </c>
      <c r="I23" s="525">
        <f t="shared" si="1"/>
        <v>2.2533022533022531</v>
      </c>
    </row>
    <row r="24" spans="1:10" x14ac:dyDescent="0.2">
      <c r="A24" s="462">
        <v>9</v>
      </c>
      <c r="B24" s="509" t="s">
        <v>244</v>
      </c>
      <c r="C24" s="481">
        <f>'Tab.3. Mieszkańcy_Polska '!G753</f>
        <v>1699</v>
      </c>
      <c r="D24" s="516">
        <f>'Tab.3. Mieszkańcy_Polska '!G755</f>
        <v>1435</v>
      </c>
      <c r="E24" s="522">
        <f t="shared" si="2"/>
        <v>84.5</v>
      </c>
      <c r="F24" s="1466">
        <f>'Tab.3. Mieszkańcy_Polska '!G756</f>
        <v>237</v>
      </c>
      <c r="G24" s="539">
        <f t="shared" si="0"/>
        <v>13.949381989405532</v>
      </c>
      <c r="H24" s="1467">
        <f>'Tab.3. Mieszkańcy_Polska '!G757</f>
        <v>27</v>
      </c>
      <c r="I24" s="525">
        <f t="shared" si="1"/>
        <v>1.5891701000588581</v>
      </c>
    </row>
    <row r="25" spans="1:10" x14ac:dyDescent="0.2">
      <c r="A25" s="463">
        <v>10</v>
      </c>
      <c r="B25" s="509" t="s">
        <v>245</v>
      </c>
      <c r="C25" s="481">
        <f>'Tab.3. Mieszkańcy_Polska '!G829</f>
        <v>909</v>
      </c>
      <c r="D25" s="516">
        <f>'Tab.3. Mieszkańcy_Polska '!G831</f>
        <v>727</v>
      </c>
      <c r="E25" s="522">
        <f t="shared" si="2"/>
        <v>80</v>
      </c>
      <c r="F25" s="1466">
        <f>'Tab.3. Mieszkańcy_Polska '!G832</f>
        <v>173</v>
      </c>
      <c r="G25" s="539">
        <f t="shared" si="0"/>
        <v>19.031903190319031</v>
      </c>
      <c r="H25" s="1467">
        <f>'Tab.3. Mieszkańcy_Polska '!G833</f>
        <v>9</v>
      </c>
      <c r="I25" s="525">
        <f t="shared" si="1"/>
        <v>0.99009900990099009</v>
      </c>
    </row>
    <row r="26" spans="1:10" x14ac:dyDescent="0.2">
      <c r="A26" s="463">
        <v>11</v>
      </c>
      <c r="B26" s="509" t="s">
        <v>246</v>
      </c>
      <c r="C26" s="481">
        <f>'Tab.3. Mieszkańcy_Polska '!G905</f>
        <v>1590</v>
      </c>
      <c r="D26" s="516">
        <f>'Tab.3. Mieszkańcy_Polska '!G907</f>
        <v>1287</v>
      </c>
      <c r="E26" s="522">
        <f t="shared" si="2"/>
        <v>80.900000000000006</v>
      </c>
      <c r="F26" s="1466">
        <f>'Tab.3. Mieszkańcy_Polska '!G908</f>
        <v>271</v>
      </c>
      <c r="G26" s="539">
        <f t="shared" si="0"/>
        <v>17.044025157232703</v>
      </c>
      <c r="H26" s="1467">
        <f>'Tab.3. Mieszkańcy_Polska '!G909</f>
        <v>32</v>
      </c>
      <c r="I26" s="525">
        <f t="shared" si="1"/>
        <v>2.0125786163522013</v>
      </c>
    </row>
    <row r="27" spans="1:10" x14ac:dyDescent="0.2">
      <c r="A27" s="463">
        <v>12</v>
      </c>
      <c r="B27" s="509" t="s">
        <v>247</v>
      </c>
      <c r="C27" s="481">
        <f>'Tab.3. Mieszkańcy_Polska '!G981</f>
        <v>3723</v>
      </c>
      <c r="D27" s="516">
        <f>'Tab.3. Mieszkańcy_Polska '!G983</f>
        <v>3191</v>
      </c>
      <c r="E27" s="522">
        <f t="shared" si="2"/>
        <v>85.7</v>
      </c>
      <c r="F27" s="1466">
        <f>'Tab.3. Mieszkańcy_Polska '!G984</f>
        <v>469</v>
      </c>
      <c r="G27" s="539">
        <f t="shared" si="0"/>
        <v>12.597367714208971</v>
      </c>
      <c r="H27" s="1467">
        <f>'Tab.3. Mieszkańcy_Polska '!G985</f>
        <v>63</v>
      </c>
      <c r="I27" s="525">
        <f t="shared" si="1"/>
        <v>1.6921837228041903</v>
      </c>
    </row>
    <row r="28" spans="1:10" x14ac:dyDescent="0.2">
      <c r="A28" s="463">
        <v>13</v>
      </c>
      <c r="B28" s="509" t="s">
        <v>248</v>
      </c>
      <c r="C28" s="481">
        <f>'Tab.3. Mieszkańcy_Polska '!G1057</f>
        <v>1474</v>
      </c>
      <c r="D28" s="516">
        <f>'Tab.3. Mieszkańcy_Polska '!G1059</f>
        <v>1228</v>
      </c>
      <c r="E28" s="522">
        <f t="shared" si="2"/>
        <v>83.3</v>
      </c>
      <c r="F28" s="1466">
        <f>'Tab.3. Mieszkańcy_Polska '!G1060</f>
        <v>231</v>
      </c>
      <c r="G28" s="539">
        <f t="shared" si="0"/>
        <v>15.671641791044776</v>
      </c>
      <c r="H28" s="1467">
        <f>'Tab.3. Mieszkańcy_Polska '!G1061</f>
        <v>15</v>
      </c>
      <c r="I28" s="525">
        <f t="shared" si="1"/>
        <v>1.0176390773405699</v>
      </c>
    </row>
    <row r="29" spans="1:10" x14ac:dyDescent="0.2">
      <c r="A29" s="463">
        <v>14</v>
      </c>
      <c r="B29" s="509" t="s">
        <v>249</v>
      </c>
      <c r="C29" s="481">
        <f>'Tab.3. Mieszkańcy_Polska '!G1133</f>
        <v>1347</v>
      </c>
      <c r="D29" s="516">
        <f>'Tab.3. Mieszkańcy_Polska '!G1135</f>
        <v>1172</v>
      </c>
      <c r="E29" s="522">
        <f t="shared" si="2"/>
        <v>87</v>
      </c>
      <c r="F29" s="1466">
        <f>'Tab.3. Mieszkańcy_Polska '!G1136</f>
        <v>171</v>
      </c>
      <c r="G29" s="539">
        <f t="shared" si="0"/>
        <v>12.694877505567929</v>
      </c>
      <c r="H29" s="1467">
        <f>'Tab.3. Mieszkańcy_Polska '!G1137</f>
        <v>4</v>
      </c>
      <c r="I29" s="525">
        <f t="shared" si="1"/>
        <v>0.29695619896065328</v>
      </c>
    </row>
    <row r="30" spans="1:10" x14ac:dyDescent="0.2">
      <c r="A30" s="463">
        <v>15</v>
      </c>
      <c r="B30" s="509" t="s">
        <v>250</v>
      </c>
      <c r="C30" s="481">
        <f>'Tab.3. Mieszkańcy_Polska '!G1209</f>
        <v>2989</v>
      </c>
      <c r="D30" s="516">
        <f>'Tab.3. Mieszkańcy_Polska '!G1211</f>
        <v>2558</v>
      </c>
      <c r="E30" s="522">
        <f t="shared" si="2"/>
        <v>85.6</v>
      </c>
      <c r="F30" s="1466">
        <f>'Tab.3. Mieszkańcy_Polska '!G1212</f>
        <v>386</v>
      </c>
      <c r="G30" s="539">
        <f t="shared" si="0"/>
        <v>12.914018066242891</v>
      </c>
      <c r="H30" s="1467">
        <f>'Tab.3. Mieszkańcy_Polska '!G1213</f>
        <v>45</v>
      </c>
      <c r="I30" s="525">
        <f t="shared" si="1"/>
        <v>1.5055202408832384</v>
      </c>
    </row>
    <row r="31" spans="1:10" ht="13.5" thickBot="1" x14ac:dyDescent="0.25">
      <c r="A31" s="463">
        <v>16</v>
      </c>
      <c r="B31" s="510" t="s">
        <v>251</v>
      </c>
      <c r="C31" s="481">
        <f>'Tab.3. Mieszkańcy_Polska '!G1285</f>
        <v>1711</v>
      </c>
      <c r="D31" s="517">
        <f>'Tab.3. Mieszkańcy_Polska '!G1287</f>
        <v>1404</v>
      </c>
      <c r="E31" s="523">
        <f t="shared" si="2"/>
        <v>82.1</v>
      </c>
      <c r="F31" s="1468">
        <f>'Tab.3. Mieszkańcy_Polska '!G1288</f>
        <v>292</v>
      </c>
      <c r="G31" s="540">
        <f t="shared" si="0"/>
        <v>17.066043249561659</v>
      </c>
      <c r="H31" s="1469">
        <f>'Tab.3. Mieszkańcy_Polska '!G1289</f>
        <v>15</v>
      </c>
      <c r="I31" s="526">
        <f t="shared" si="1"/>
        <v>0.87668030391583873</v>
      </c>
    </row>
    <row r="32" spans="1:10" ht="16.5" thickBot="1" x14ac:dyDescent="0.3">
      <c r="A32" s="445" t="s">
        <v>252</v>
      </c>
      <c r="B32" s="446"/>
      <c r="C32" s="514">
        <f>SUM(C16:C31)</f>
        <v>33501</v>
      </c>
      <c r="D32" s="527">
        <f>SUM(D16:D31)</f>
        <v>28239</v>
      </c>
      <c r="E32" s="528">
        <f>AVERAGE(E16:E31)</f>
        <v>84.125</v>
      </c>
      <c r="F32" s="529">
        <f>SUM(F16:F31)</f>
        <v>4820</v>
      </c>
      <c r="G32" s="541">
        <f>AVERAGE(G16:G31)</f>
        <v>14.545687699897147</v>
      </c>
      <c r="H32" s="537">
        <f>SUM(H16:H31)</f>
        <v>442</v>
      </c>
      <c r="I32" s="531">
        <f>AVERAGE(I16:I31)</f>
        <v>1.3370454796389926</v>
      </c>
      <c r="J32" s="533"/>
    </row>
    <row r="33" ht="13.5" thickTop="1" x14ac:dyDescent="0.2"/>
  </sheetData>
  <mergeCells count="17">
    <mergeCell ref="C11:C14"/>
    <mergeCell ref="A7:I7"/>
    <mergeCell ref="A8:I8"/>
    <mergeCell ref="D12:E12"/>
    <mergeCell ref="F12:G12"/>
    <mergeCell ref="H12:I12"/>
    <mergeCell ref="D11:I11"/>
    <mergeCell ref="H1:I1"/>
    <mergeCell ref="D13:D14"/>
    <mergeCell ref="E13:E14"/>
    <mergeCell ref="F13:F14"/>
    <mergeCell ref="G13:G14"/>
    <mergeCell ref="H13:H14"/>
    <mergeCell ref="I13:I14"/>
    <mergeCell ref="A6:I6"/>
    <mergeCell ref="A11:A14"/>
    <mergeCell ref="B11:B14"/>
  </mergeCells>
  <phoneticPr fontId="82"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H16:H31 E32 G32"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heetViews>
  <sheetFormatPr defaultRowHeight="12.75" x14ac:dyDescent="0.2"/>
  <cols>
    <col min="1" max="1" width="3.7109375" customWidth="1"/>
    <col min="2" max="2" width="24.5703125" bestFit="1" customWidth="1"/>
    <col min="3" max="9" width="11.7109375" customWidth="1"/>
    <col min="10" max="10" width="15.7109375" customWidth="1"/>
  </cols>
  <sheetData>
    <row r="1" spans="1:10" ht="15.75" x14ac:dyDescent="0.25">
      <c r="A1" s="1" t="s">
        <v>195</v>
      </c>
      <c r="B1" s="3"/>
      <c r="C1" s="4"/>
      <c r="D1" s="3"/>
      <c r="E1" s="3"/>
      <c r="F1" s="3"/>
      <c r="G1" s="413"/>
      <c r="H1" s="1603" t="s">
        <v>331</v>
      </c>
      <c r="I1" s="1603"/>
    </row>
    <row r="2" spans="1:10" x14ac:dyDescent="0.2">
      <c r="A2" s="3" t="s">
        <v>214</v>
      </c>
      <c r="B2" s="3"/>
      <c r="C2" s="3"/>
    </row>
    <row r="3" spans="1:10" x14ac:dyDescent="0.2">
      <c r="A3" s="3" t="s">
        <v>216</v>
      </c>
      <c r="B3" s="3"/>
      <c r="C3" s="3"/>
      <c r="D3" s="3"/>
      <c r="E3" s="3"/>
      <c r="F3" s="3"/>
      <c r="G3" s="3"/>
      <c r="H3" s="3"/>
      <c r="I3" s="3"/>
    </row>
    <row r="4" spans="1:10" x14ac:dyDescent="0.2">
      <c r="A4" s="3" t="s">
        <v>128</v>
      </c>
      <c r="B4" s="3"/>
      <c r="C4" s="3"/>
      <c r="D4" s="3"/>
      <c r="E4" s="3"/>
      <c r="F4" s="3"/>
      <c r="G4" s="3"/>
      <c r="H4" s="3"/>
      <c r="I4" s="3"/>
    </row>
    <row r="5" spans="1:10" x14ac:dyDescent="0.2">
      <c r="A5" s="3"/>
      <c r="B5" s="3"/>
      <c r="C5" s="3"/>
      <c r="D5" s="3"/>
      <c r="E5" s="3"/>
      <c r="F5" s="3"/>
      <c r="G5" s="3"/>
      <c r="H5" s="3"/>
      <c r="I5" s="3"/>
    </row>
    <row r="6" spans="1:10" ht="15.75" x14ac:dyDescent="0.25">
      <c r="A6" s="1604" t="s">
        <v>307</v>
      </c>
      <c r="B6" s="1604"/>
      <c r="C6" s="1604"/>
      <c r="D6" s="1604"/>
      <c r="E6" s="1604"/>
      <c r="F6" s="1604"/>
      <c r="G6" s="1604"/>
      <c r="H6" s="1604"/>
      <c r="I6" s="1604"/>
      <c r="J6" s="8"/>
    </row>
    <row r="7" spans="1:10" ht="15.75" x14ac:dyDescent="0.25">
      <c r="A7" s="1604" t="s">
        <v>330</v>
      </c>
      <c r="B7" s="1604"/>
      <c r="C7" s="1604"/>
      <c r="D7" s="1604"/>
      <c r="E7" s="1604"/>
      <c r="F7" s="1604"/>
      <c r="G7" s="1604"/>
      <c r="H7" s="1604"/>
      <c r="I7" s="1604"/>
      <c r="J7" s="8"/>
    </row>
    <row r="8" spans="1:10" ht="15.75" x14ac:dyDescent="0.25">
      <c r="A8" s="1691" t="str">
        <f>"wg ŹRÓDEŁ DOCHODU, wg stanu na dzień 31.XII."&amp;'Tab.1. bilans_Polska'!A2&amp;" r."</f>
        <v>wg ŹRÓDEŁ DOCHODU, wg stanu na dzień 31.XII.2011 r.</v>
      </c>
      <c r="B8" s="1690"/>
      <c r="C8" s="1690"/>
      <c r="D8" s="1690"/>
      <c r="E8" s="1690"/>
      <c r="F8" s="1690"/>
      <c r="G8" s="1690"/>
      <c r="H8" s="1690"/>
      <c r="I8" s="1690"/>
      <c r="J8" s="8"/>
    </row>
    <row r="9" spans="1:10" ht="15.75" x14ac:dyDescent="0.25">
      <c r="A9" s="504"/>
      <c r="B9" s="504"/>
      <c r="C9" s="504"/>
      <c r="D9" s="504"/>
      <c r="E9" s="504"/>
      <c r="F9" s="504"/>
      <c r="G9" s="504"/>
      <c r="H9" s="504"/>
      <c r="I9" s="504"/>
    </row>
    <row r="10" spans="1:10" ht="13.5" thickBot="1" x14ac:dyDescent="0.25">
      <c r="A10" s="3"/>
      <c r="B10" s="3"/>
      <c r="C10" s="3"/>
      <c r="D10" s="3"/>
      <c r="E10" s="3"/>
      <c r="F10" s="3"/>
      <c r="G10" s="3"/>
      <c r="H10" s="3"/>
      <c r="I10" s="3"/>
    </row>
    <row r="11" spans="1:10" ht="13.5" thickTop="1" x14ac:dyDescent="0.2">
      <c r="A11" s="1692" t="s">
        <v>226</v>
      </c>
      <c r="B11" s="1695" t="s">
        <v>256</v>
      </c>
      <c r="C11" s="1797" t="s">
        <v>7</v>
      </c>
      <c r="D11" s="1773" t="s">
        <v>155</v>
      </c>
      <c r="E11" s="1774"/>
      <c r="F11" s="1774"/>
      <c r="G11" s="1774"/>
      <c r="H11" s="1774"/>
      <c r="I11" s="1775"/>
    </row>
    <row r="12" spans="1:10" ht="29.25" customHeight="1" x14ac:dyDescent="0.2">
      <c r="A12" s="1693"/>
      <c r="B12" s="1696"/>
      <c r="C12" s="1768"/>
      <c r="D12" s="1779" t="s">
        <v>178</v>
      </c>
      <c r="E12" s="1780"/>
      <c r="F12" s="1781" t="s">
        <v>151</v>
      </c>
      <c r="G12" s="1782"/>
      <c r="H12" s="1783" t="s">
        <v>152</v>
      </c>
      <c r="I12" s="1785"/>
    </row>
    <row r="13" spans="1:10" ht="12.75" customHeight="1" x14ac:dyDescent="0.2">
      <c r="A13" s="1693"/>
      <c r="B13" s="1696"/>
      <c r="C13" s="1768"/>
      <c r="D13" s="1760" t="s">
        <v>0</v>
      </c>
      <c r="E13" s="1748" t="s">
        <v>294</v>
      </c>
      <c r="F13" s="1749" t="s">
        <v>0</v>
      </c>
      <c r="G13" s="1786" t="s">
        <v>294</v>
      </c>
      <c r="H13" s="1777" t="s">
        <v>0</v>
      </c>
      <c r="I13" s="1757" t="s">
        <v>294</v>
      </c>
    </row>
    <row r="14" spans="1:10" x14ac:dyDescent="0.2">
      <c r="A14" s="1694"/>
      <c r="B14" s="1697"/>
      <c r="C14" s="1769"/>
      <c r="D14" s="1760"/>
      <c r="E14" s="1749"/>
      <c r="F14" s="1749"/>
      <c r="G14" s="1787"/>
      <c r="H14" s="1777"/>
      <c r="I14" s="1758"/>
    </row>
    <row r="15" spans="1:10" ht="13.5" thickBot="1" x14ac:dyDescent="0.25">
      <c r="A15" s="425"/>
      <c r="B15" s="429">
        <v>0</v>
      </c>
      <c r="C15" s="464">
        <v>1</v>
      </c>
      <c r="D15" s="427">
        <v>2</v>
      </c>
      <c r="E15" s="428">
        <v>3</v>
      </c>
      <c r="F15" s="428">
        <v>4</v>
      </c>
      <c r="G15" s="429">
        <v>5</v>
      </c>
      <c r="H15" s="430">
        <v>6</v>
      </c>
      <c r="I15" s="431">
        <v>7</v>
      </c>
    </row>
    <row r="16" spans="1:10" ht="13.5" thickTop="1" x14ac:dyDescent="0.2">
      <c r="A16" s="461">
        <v>1</v>
      </c>
      <c r="B16" s="508" t="s">
        <v>236</v>
      </c>
      <c r="C16" s="473">
        <f>'Tab.3. Mieszkańcy_Polska '!H145</f>
        <v>2031</v>
      </c>
      <c r="D16" s="515">
        <f>'Tab.3. Mieszkańcy_Polska '!H147</f>
        <v>1694</v>
      </c>
      <c r="E16" s="521">
        <f>D16*100/$C16</f>
        <v>83.407188577055635</v>
      </c>
      <c r="F16" s="518">
        <f>'Tab.3. Mieszkańcy_Polska '!H148</f>
        <v>317</v>
      </c>
      <c r="G16" s="538">
        <f t="shared" ref="G16:G31" si="0">F16*100/$C16</f>
        <v>15.608074839980306</v>
      </c>
      <c r="H16" s="534">
        <f>'Tab.3. Mieszkańcy_Polska '!H149</f>
        <v>20</v>
      </c>
      <c r="I16" s="524">
        <f t="shared" ref="I16:I31" si="1">H16*100/$C16</f>
        <v>0.98473658296405708</v>
      </c>
    </row>
    <row r="17" spans="1:10" x14ac:dyDescent="0.2">
      <c r="A17" s="462">
        <v>2</v>
      </c>
      <c r="B17" s="509" t="s">
        <v>237</v>
      </c>
      <c r="C17" s="481">
        <f>'Tab.3. Mieszkańcy_Polska '!H221</f>
        <v>1474</v>
      </c>
      <c r="D17" s="516">
        <f>'Tab.3. Mieszkańcy_Polska '!H223</f>
        <v>1251</v>
      </c>
      <c r="E17" s="522">
        <f t="shared" ref="E17:E31" si="2">D17*100/C17</f>
        <v>84.871099050203526</v>
      </c>
      <c r="F17" s="519">
        <f>'Tab.3. Mieszkańcy_Polska '!H224</f>
        <v>191</v>
      </c>
      <c r="G17" s="539">
        <f t="shared" si="0"/>
        <v>12.957937584803256</v>
      </c>
      <c r="H17" s="535">
        <f>'Tab.3. Mieszkańcy_Polska '!H225</f>
        <v>32</v>
      </c>
      <c r="I17" s="525">
        <f t="shared" si="1"/>
        <v>2.1709633649932156</v>
      </c>
    </row>
    <row r="18" spans="1:10" x14ac:dyDescent="0.2">
      <c r="A18" s="462">
        <v>3</v>
      </c>
      <c r="B18" s="509" t="s">
        <v>238</v>
      </c>
      <c r="C18" s="481">
        <f>'Tab.3. Mieszkańcy_Polska '!H297</f>
        <v>1713</v>
      </c>
      <c r="D18" s="516">
        <f>'Tab.3. Mieszkańcy_Polska '!H299</f>
        <v>1438</v>
      </c>
      <c r="E18" s="522">
        <f t="shared" si="2"/>
        <v>83.946293053123171</v>
      </c>
      <c r="F18" s="519">
        <f>'Tab.3. Mieszkańcy_Polska '!H300</f>
        <v>262</v>
      </c>
      <c r="G18" s="539">
        <f t="shared" si="0"/>
        <v>15.294804436660829</v>
      </c>
      <c r="H18" s="535">
        <f>'Tab.3. Mieszkańcy_Polska '!H301</f>
        <v>13</v>
      </c>
      <c r="I18" s="525">
        <f t="shared" si="1"/>
        <v>0.75890251021599531</v>
      </c>
    </row>
    <row r="19" spans="1:10" x14ac:dyDescent="0.2">
      <c r="A19" s="462">
        <v>4</v>
      </c>
      <c r="B19" s="509" t="s">
        <v>239</v>
      </c>
      <c r="C19" s="481">
        <f>'Tab.3. Mieszkańcy_Polska '!H373</f>
        <v>1039</v>
      </c>
      <c r="D19" s="516">
        <f>'Tab.3. Mieszkańcy_Polska '!H375</f>
        <v>886</v>
      </c>
      <c r="E19" s="522">
        <f t="shared" si="2"/>
        <v>85.274302213666985</v>
      </c>
      <c r="F19" s="519">
        <f>'Tab.3. Mieszkańcy_Polska '!H376</f>
        <v>146</v>
      </c>
      <c r="G19" s="539">
        <f t="shared" si="0"/>
        <v>14.051973051010586</v>
      </c>
      <c r="H19" s="535">
        <f>'Tab.3. Mieszkańcy_Polska '!H377</f>
        <v>7</v>
      </c>
      <c r="I19" s="525">
        <f t="shared" si="1"/>
        <v>0.67372473532242538</v>
      </c>
    </row>
    <row r="20" spans="1:10" x14ac:dyDescent="0.2">
      <c r="A20" s="462">
        <v>5</v>
      </c>
      <c r="B20" s="509" t="s">
        <v>240</v>
      </c>
      <c r="C20" s="481">
        <f>'Tab.3. Mieszkańcy_Polska '!H449</f>
        <v>2780</v>
      </c>
      <c r="D20" s="516">
        <f>'Tab.3. Mieszkańcy_Polska '!H451</f>
        <v>2304</v>
      </c>
      <c r="E20" s="522">
        <f t="shared" si="2"/>
        <v>82.877697841726615</v>
      </c>
      <c r="F20" s="519">
        <f>'Tab.3. Mieszkańcy_Polska '!H452</f>
        <v>456</v>
      </c>
      <c r="G20" s="539">
        <f t="shared" si="0"/>
        <v>16.402877697841728</v>
      </c>
      <c r="H20" s="535">
        <f>'Tab.3. Mieszkańcy_Polska '!H453</f>
        <v>20</v>
      </c>
      <c r="I20" s="525">
        <f t="shared" si="1"/>
        <v>0.71942446043165464</v>
      </c>
    </row>
    <row r="21" spans="1:10" x14ac:dyDescent="0.2">
      <c r="A21" s="462">
        <v>6</v>
      </c>
      <c r="B21" s="509" t="s">
        <v>241</v>
      </c>
      <c r="C21" s="481">
        <f>'Tab.3. Mieszkańcy_Polska '!H525</f>
        <v>2434</v>
      </c>
      <c r="D21" s="516">
        <f>'Tab.3. Mieszkańcy_Polska '!H527</f>
        <v>2117</v>
      </c>
      <c r="E21" s="522">
        <f t="shared" si="2"/>
        <v>86.976170912078885</v>
      </c>
      <c r="F21" s="519">
        <f>'Tab.3. Mieszkańcy_Polska '!H528</f>
        <v>309</v>
      </c>
      <c r="G21" s="539">
        <f t="shared" si="0"/>
        <v>12.695152013147084</v>
      </c>
      <c r="H21" s="535">
        <f>'Tab.3. Mieszkańcy_Polska '!H529</f>
        <v>8</v>
      </c>
      <c r="I21" s="525">
        <f t="shared" si="1"/>
        <v>0.32867707477403452</v>
      </c>
    </row>
    <row r="22" spans="1:10" x14ac:dyDescent="0.2">
      <c r="A22" s="462">
        <v>7</v>
      </c>
      <c r="B22" s="509" t="s">
        <v>242</v>
      </c>
      <c r="C22" s="481">
        <f>'Tab.3. Mieszkańcy_Polska '!H601</f>
        <v>3347</v>
      </c>
      <c r="D22" s="516">
        <f>'Tab.3. Mieszkańcy_Polska '!H603</f>
        <v>2717</v>
      </c>
      <c r="E22" s="522">
        <f t="shared" si="2"/>
        <v>81.177173588288014</v>
      </c>
      <c r="F22" s="519">
        <f>'Tab.3. Mieszkańcy_Polska '!H604</f>
        <v>592</v>
      </c>
      <c r="G22" s="539">
        <f t="shared" si="0"/>
        <v>17.687481326561098</v>
      </c>
      <c r="H22" s="535">
        <f>'Tab.3. Mieszkańcy_Polska '!H605</f>
        <v>38</v>
      </c>
      <c r="I22" s="525">
        <f t="shared" si="1"/>
        <v>1.1353450851508813</v>
      </c>
    </row>
    <row r="23" spans="1:10" x14ac:dyDescent="0.2">
      <c r="A23" s="462">
        <v>8</v>
      </c>
      <c r="B23" s="509" t="s">
        <v>243</v>
      </c>
      <c r="C23" s="481">
        <f>'Tab.3. Mieszkańcy_Polska '!H677</f>
        <v>972</v>
      </c>
      <c r="D23" s="516">
        <f>'Tab.3. Mieszkańcy_Polska '!H679</f>
        <v>825</v>
      </c>
      <c r="E23" s="522">
        <f t="shared" si="2"/>
        <v>84.876543209876544</v>
      </c>
      <c r="F23" s="519">
        <f>'Tab.3. Mieszkańcy_Polska '!H680</f>
        <v>146</v>
      </c>
      <c r="G23" s="539">
        <f t="shared" si="0"/>
        <v>15.020576131687243</v>
      </c>
      <c r="H23" s="535">
        <f>'Tab.3. Mieszkańcy_Polska '!H681</f>
        <v>1</v>
      </c>
      <c r="I23" s="525">
        <f t="shared" si="1"/>
        <v>0.102880658436214</v>
      </c>
    </row>
    <row r="24" spans="1:10" x14ac:dyDescent="0.2">
      <c r="A24" s="462">
        <v>9</v>
      </c>
      <c r="B24" s="509" t="s">
        <v>244</v>
      </c>
      <c r="C24" s="481">
        <f>'Tab.3. Mieszkańcy_Polska '!H753</f>
        <v>1360</v>
      </c>
      <c r="D24" s="516">
        <f>'Tab.3. Mieszkańcy_Polska '!H755</f>
        <v>1140</v>
      </c>
      <c r="E24" s="522">
        <f t="shared" si="2"/>
        <v>83.82352941176471</v>
      </c>
      <c r="F24" s="519">
        <f>'Tab.3. Mieszkańcy_Polska '!H756</f>
        <v>218</v>
      </c>
      <c r="G24" s="539">
        <f t="shared" si="0"/>
        <v>16.029411764705884</v>
      </c>
      <c r="H24" s="535">
        <f>'Tab.3. Mieszkańcy_Polska '!H757</f>
        <v>2</v>
      </c>
      <c r="I24" s="525">
        <f t="shared" si="1"/>
        <v>0.14705882352941177</v>
      </c>
    </row>
    <row r="25" spans="1:10" x14ac:dyDescent="0.2">
      <c r="A25" s="463">
        <v>10</v>
      </c>
      <c r="B25" s="509" t="s">
        <v>245</v>
      </c>
      <c r="C25" s="481">
        <f>'Tab.3. Mieszkańcy_Polska '!H829</f>
        <v>792</v>
      </c>
      <c r="D25" s="516">
        <f>'Tab.3. Mieszkańcy_Polska '!H831</f>
        <v>634</v>
      </c>
      <c r="E25" s="522">
        <f t="shared" si="2"/>
        <v>80.050505050505052</v>
      </c>
      <c r="F25" s="519">
        <f>'Tab.3. Mieszkańcy_Polska '!H832</f>
        <v>153</v>
      </c>
      <c r="G25" s="539">
        <f t="shared" si="0"/>
        <v>19.318181818181817</v>
      </c>
      <c r="H25" s="535">
        <f>'Tab.3. Mieszkańcy_Polska '!H833</f>
        <v>5</v>
      </c>
      <c r="I25" s="525">
        <f t="shared" si="1"/>
        <v>0.63131313131313127</v>
      </c>
    </row>
    <row r="26" spans="1:10" x14ac:dyDescent="0.2">
      <c r="A26" s="463">
        <v>11</v>
      </c>
      <c r="B26" s="509" t="s">
        <v>246</v>
      </c>
      <c r="C26" s="481">
        <f>'Tab.3. Mieszkańcy_Polska '!H905</f>
        <v>1422</v>
      </c>
      <c r="D26" s="516">
        <f>'Tab.3. Mieszkańcy_Polska '!H907</f>
        <v>1162</v>
      </c>
      <c r="E26" s="522">
        <f t="shared" si="2"/>
        <v>81.715893108298175</v>
      </c>
      <c r="F26" s="519">
        <f>'Tab.3. Mieszkańcy_Polska '!H908</f>
        <v>251</v>
      </c>
      <c r="G26" s="539">
        <f t="shared" si="0"/>
        <v>17.651195499296765</v>
      </c>
      <c r="H26" s="535">
        <f>'Tab.3. Mieszkańcy_Polska '!H909</f>
        <v>9</v>
      </c>
      <c r="I26" s="525">
        <f t="shared" si="1"/>
        <v>0.63291139240506333</v>
      </c>
    </row>
    <row r="27" spans="1:10" x14ac:dyDescent="0.2">
      <c r="A27" s="463">
        <v>12</v>
      </c>
      <c r="B27" s="509" t="s">
        <v>247</v>
      </c>
      <c r="C27" s="481">
        <f>'Tab.3. Mieszkańcy_Polska '!H981</f>
        <v>2506</v>
      </c>
      <c r="D27" s="516">
        <f>'Tab.3. Mieszkańcy_Polska '!H983</f>
        <v>2139</v>
      </c>
      <c r="E27" s="522">
        <f t="shared" si="2"/>
        <v>85.355147645650433</v>
      </c>
      <c r="F27" s="519">
        <f>'Tab.3. Mieszkańcy_Polska '!H984</f>
        <v>346</v>
      </c>
      <c r="G27" s="539">
        <f t="shared" si="0"/>
        <v>13.806863527533919</v>
      </c>
      <c r="H27" s="535">
        <f>'Tab.3. Mieszkańcy_Polska '!H985</f>
        <v>21</v>
      </c>
      <c r="I27" s="525">
        <f t="shared" si="1"/>
        <v>0.83798882681564246</v>
      </c>
    </row>
    <row r="28" spans="1:10" x14ac:dyDescent="0.2">
      <c r="A28" s="463">
        <v>13</v>
      </c>
      <c r="B28" s="509" t="s">
        <v>248</v>
      </c>
      <c r="C28" s="481">
        <f>'Tab.3. Mieszkańcy_Polska '!H1057</f>
        <v>1246</v>
      </c>
      <c r="D28" s="516">
        <f>'Tab.3. Mieszkańcy_Polska '!H1059</f>
        <v>1027</v>
      </c>
      <c r="E28" s="522">
        <f t="shared" si="2"/>
        <v>82.423756019261631</v>
      </c>
      <c r="F28" s="519">
        <f>'Tab.3. Mieszkańcy_Polska '!H1060</f>
        <v>209</v>
      </c>
      <c r="G28" s="539">
        <f t="shared" si="0"/>
        <v>16.773675762439808</v>
      </c>
      <c r="H28" s="535">
        <f>'Tab.3. Mieszkańcy_Polska '!H1061</f>
        <v>10</v>
      </c>
      <c r="I28" s="525">
        <f t="shared" si="1"/>
        <v>0.8025682182985554</v>
      </c>
    </row>
    <row r="29" spans="1:10" x14ac:dyDescent="0.2">
      <c r="A29" s="463">
        <v>14</v>
      </c>
      <c r="B29" s="509" t="s">
        <v>249</v>
      </c>
      <c r="C29" s="481">
        <f>'Tab.3. Mieszkańcy_Polska '!H1133</f>
        <v>1125</v>
      </c>
      <c r="D29" s="516">
        <f>'Tab.3. Mieszkańcy_Polska '!H1135</f>
        <v>985</v>
      </c>
      <c r="E29" s="522">
        <f t="shared" si="2"/>
        <v>87.555555555555557</v>
      </c>
      <c r="F29" s="519">
        <f>'Tab.3. Mieszkańcy_Polska '!H1136</f>
        <v>139</v>
      </c>
      <c r="G29" s="539">
        <f t="shared" si="0"/>
        <v>12.355555555555556</v>
      </c>
      <c r="H29" s="535">
        <f>'Tab.3. Mieszkańcy_Polska '!H1137</f>
        <v>1</v>
      </c>
      <c r="I29" s="525">
        <f t="shared" si="1"/>
        <v>8.8888888888888892E-2</v>
      </c>
    </row>
    <row r="30" spans="1:10" x14ac:dyDescent="0.2">
      <c r="A30" s="463">
        <v>15</v>
      </c>
      <c r="B30" s="509" t="s">
        <v>250</v>
      </c>
      <c r="C30" s="481">
        <f>'Tab.3. Mieszkańcy_Polska '!H1209</f>
        <v>2526</v>
      </c>
      <c r="D30" s="516">
        <f>'Tab.3. Mieszkańcy_Polska '!H1211</f>
        <v>2147</v>
      </c>
      <c r="E30" s="522">
        <f t="shared" si="2"/>
        <v>84.996041171813147</v>
      </c>
      <c r="F30" s="519">
        <f>'Tab.3. Mieszkańcy_Polska '!H1212</f>
        <v>371</v>
      </c>
      <c r="G30" s="539">
        <f t="shared" si="0"/>
        <v>14.687252573238322</v>
      </c>
      <c r="H30" s="535">
        <f>'Tab.3. Mieszkańcy_Polska '!H1213</f>
        <v>8</v>
      </c>
      <c r="I30" s="525">
        <f t="shared" si="1"/>
        <v>0.31670625494853522</v>
      </c>
    </row>
    <row r="31" spans="1:10" ht="13.5" thickBot="1" x14ac:dyDescent="0.25">
      <c r="A31" s="463">
        <v>16</v>
      </c>
      <c r="B31" s="510" t="s">
        <v>251</v>
      </c>
      <c r="C31" s="481">
        <f>'Tab.3. Mieszkańcy_Polska '!H1285</f>
        <v>1395</v>
      </c>
      <c r="D31" s="517">
        <f>'Tab.3. Mieszkańcy_Polska '!H1287</f>
        <v>1149</v>
      </c>
      <c r="E31" s="523">
        <f t="shared" si="2"/>
        <v>82.365591397849457</v>
      </c>
      <c r="F31" s="520">
        <f>'Tab.3. Mieszkańcy_Polska '!H1288</f>
        <v>232</v>
      </c>
      <c r="G31" s="540">
        <f t="shared" si="0"/>
        <v>16.630824372759857</v>
      </c>
      <c r="H31" s="536">
        <f>'Tab.3. Mieszkańcy_Polska '!H1289</f>
        <v>14</v>
      </c>
      <c r="I31" s="526">
        <f t="shared" si="1"/>
        <v>1.0035842293906809</v>
      </c>
    </row>
    <row r="32" spans="1:10" ht="16.5" thickBot="1" x14ac:dyDescent="0.3">
      <c r="A32" s="445" t="s">
        <v>252</v>
      </c>
      <c r="B32" s="446"/>
      <c r="C32" s="514">
        <f>SUM(C16:C31)</f>
        <v>28162</v>
      </c>
      <c r="D32" s="527">
        <f>SUM(D16:D31)</f>
        <v>23615</v>
      </c>
      <c r="E32" s="528">
        <f>AVERAGE(E16:E31)</f>
        <v>83.855780487919844</v>
      </c>
      <c r="F32" s="529">
        <f>SUM(F16:F31)</f>
        <v>4338</v>
      </c>
      <c r="G32" s="541">
        <f>AVERAGE(G16:G31)</f>
        <v>15.435739872212752</v>
      </c>
      <c r="H32" s="537">
        <f>SUM(H16:H31)</f>
        <v>209</v>
      </c>
      <c r="I32" s="531">
        <f>AVERAGE(I16:I31)</f>
        <v>0.70847963986739926</v>
      </c>
      <c r="J32" s="533"/>
    </row>
    <row r="33" ht="13.5" thickTop="1" x14ac:dyDescent="0.2"/>
  </sheetData>
  <mergeCells count="17">
    <mergeCell ref="H1:I1"/>
    <mergeCell ref="D13:D14"/>
    <mergeCell ref="E13:E14"/>
    <mergeCell ref="F13:F14"/>
    <mergeCell ref="G13:G14"/>
    <mergeCell ref="H13:H14"/>
    <mergeCell ref="I13:I14"/>
    <mergeCell ref="A6:I6"/>
    <mergeCell ref="A11:A14"/>
    <mergeCell ref="B11:B14"/>
    <mergeCell ref="C11:C14"/>
    <mergeCell ref="A7:I7"/>
    <mergeCell ref="A8:I8"/>
    <mergeCell ref="D12:E12"/>
    <mergeCell ref="F12:G12"/>
    <mergeCell ref="H12:I12"/>
    <mergeCell ref="D11:I11"/>
  </mergeCells>
  <phoneticPr fontId="82"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G32:H32 H16:H31 E32:F32 F16"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heetViews>
  <sheetFormatPr defaultRowHeight="12.75" x14ac:dyDescent="0.2"/>
  <cols>
    <col min="1" max="1" width="3.7109375" customWidth="1"/>
    <col min="2" max="2" width="24.5703125" bestFit="1" customWidth="1"/>
    <col min="3" max="9" width="11.7109375" customWidth="1"/>
    <col min="10" max="10" width="15.7109375" customWidth="1"/>
  </cols>
  <sheetData>
    <row r="1" spans="1:10" ht="15.75" x14ac:dyDescent="0.25">
      <c r="A1" s="1" t="s">
        <v>195</v>
      </c>
      <c r="B1" s="3"/>
      <c r="C1" s="4"/>
      <c r="D1" s="3"/>
      <c r="E1" s="3"/>
      <c r="F1" s="3"/>
      <c r="G1" s="413"/>
      <c r="H1" s="1603" t="s">
        <v>332</v>
      </c>
      <c r="I1" s="1603"/>
    </row>
    <row r="2" spans="1:10" x14ac:dyDescent="0.2">
      <c r="A2" s="3" t="s">
        <v>214</v>
      </c>
      <c r="B2" s="3"/>
      <c r="C2" s="3"/>
    </row>
    <row r="3" spans="1:10" x14ac:dyDescent="0.2">
      <c r="A3" s="3" t="s">
        <v>216</v>
      </c>
      <c r="B3" s="3"/>
      <c r="C3" s="3"/>
      <c r="D3" s="3"/>
      <c r="E3" s="3"/>
      <c r="F3" s="3"/>
      <c r="G3" s="3"/>
      <c r="H3" s="3"/>
      <c r="I3" s="3"/>
    </row>
    <row r="4" spans="1:10" x14ac:dyDescent="0.2">
      <c r="A4" s="3" t="s">
        <v>128</v>
      </c>
      <c r="B4" s="3"/>
      <c r="C4" s="3"/>
      <c r="D4" s="3"/>
      <c r="E4" s="3"/>
      <c r="F4" s="3"/>
      <c r="G4" s="3"/>
      <c r="H4" s="3"/>
      <c r="I4" s="3"/>
    </row>
    <row r="5" spans="1:10" x14ac:dyDescent="0.2">
      <c r="A5" s="3"/>
      <c r="B5" s="3"/>
      <c r="C5" s="3"/>
      <c r="D5" s="3"/>
      <c r="E5" s="3"/>
      <c r="F5" s="3"/>
      <c r="G5" s="3"/>
      <c r="H5" s="3"/>
      <c r="I5" s="3"/>
    </row>
    <row r="6" spans="1:10" ht="15.75" x14ac:dyDescent="0.25">
      <c r="A6" s="1778" t="s">
        <v>492</v>
      </c>
      <c r="B6" s="1778"/>
      <c r="C6" s="1778"/>
      <c r="D6" s="1778"/>
      <c r="E6" s="1778"/>
      <c r="F6" s="1778"/>
      <c r="G6" s="1778"/>
      <c r="H6" s="1778"/>
      <c r="I6" s="1778"/>
      <c r="J6" s="8"/>
    </row>
    <row r="7" spans="1:10" ht="15.75" x14ac:dyDescent="0.25">
      <c r="A7" s="1604" t="s">
        <v>330</v>
      </c>
      <c r="B7" s="1604"/>
      <c r="C7" s="1604"/>
      <c r="D7" s="1604"/>
      <c r="E7" s="1604"/>
      <c r="F7" s="1604"/>
      <c r="G7" s="1604"/>
      <c r="H7" s="1604"/>
      <c r="I7" s="1604"/>
      <c r="J7" s="8"/>
    </row>
    <row r="8" spans="1:10" ht="15.75" x14ac:dyDescent="0.25">
      <c r="A8" s="1691" t="str">
        <f>"wg ŹRÓDEŁ DOCHODU, wg stanu na dzień 31.XII."&amp;'Tab.1. bilans_Polska'!A2&amp;" r."</f>
        <v>wg ŹRÓDEŁ DOCHODU, wg stanu na dzień 31.XII.2011 r.</v>
      </c>
      <c r="B8" s="1690"/>
      <c r="C8" s="1690"/>
      <c r="D8" s="1690"/>
      <c r="E8" s="1690"/>
      <c r="F8" s="1690"/>
      <c r="G8" s="1690"/>
      <c r="H8" s="1690"/>
      <c r="I8" s="1690"/>
      <c r="J8" s="8"/>
    </row>
    <row r="10" spans="1:10" ht="13.5" thickBot="1" x14ac:dyDescent="0.25">
      <c r="A10" s="3"/>
      <c r="B10" s="3"/>
      <c r="C10" s="3"/>
      <c r="D10" s="3"/>
      <c r="E10" s="3"/>
      <c r="F10" s="3"/>
      <c r="G10" s="3"/>
      <c r="H10" s="3"/>
      <c r="I10" s="3"/>
    </row>
    <row r="11" spans="1:10" ht="13.5" thickTop="1" x14ac:dyDescent="0.2">
      <c r="A11" s="1692" t="s">
        <v>226</v>
      </c>
      <c r="B11" s="1695" t="s">
        <v>256</v>
      </c>
      <c r="C11" s="1797" t="s">
        <v>7</v>
      </c>
      <c r="D11" s="1773" t="s">
        <v>155</v>
      </c>
      <c r="E11" s="1774"/>
      <c r="F11" s="1774"/>
      <c r="G11" s="1774"/>
      <c r="H11" s="1774"/>
      <c r="I11" s="1775"/>
    </row>
    <row r="12" spans="1:10" ht="29.25" customHeight="1" x14ac:dyDescent="0.2">
      <c r="A12" s="1693"/>
      <c r="B12" s="1696"/>
      <c r="C12" s="1768"/>
      <c r="D12" s="1779" t="s">
        <v>178</v>
      </c>
      <c r="E12" s="1780"/>
      <c r="F12" s="1781" t="s">
        <v>151</v>
      </c>
      <c r="G12" s="1782"/>
      <c r="H12" s="1783" t="s">
        <v>152</v>
      </c>
      <c r="I12" s="1785"/>
    </row>
    <row r="13" spans="1:10" ht="12.75" customHeight="1" x14ac:dyDescent="0.2">
      <c r="A13" s="1693"/>
      <c r="B13" s="1696"/>
      <c r="C13" s="1768"/>
      <c r="D13" s="1760" t="s">
        <v>0</v>
      </c>
      <c r="E13" s="1748" t="s">
        <v>294</v>
      </c>
      <c r="F13" s="1749" t="s">
        <v>0</v>
      </c>
      <c r="G13" s="1786" t="s">
        <v>294</v>
      </c>
      <c r="H13" s="1777" t="s">
        <v>0</v>
      </c>
      <c r="I13" s="1757" t="s">
        <v>294</v>
      </c>
    </row>
    <row r="14" spans="1:10" x14ac:dyDescent="0.2">
      <c r="A14" s="1694"/>
      <c r="B14" s="1697"/>
      <c r="C14" s="1769"/>
      <c r="D14" s="1760"/>
      <c r="E14" s="1749"/>
      <c r="F14" s="1749"/>
      <c r="G14" s="1787"/>
      <c r="H14" s="1777"/>
      <c r="I14" s="1758"/>
    </row>
    <row r="15" spans="1:10" ht="13.5" thickBot="1" x14ac:dyDescent="0.25">
      <c r="A15" s="425"/>
      <c r="B15" s="429">
        <v>0</v>
      </c>
      <c r="C15" s="464">
        <v>1</v>
      </c>
      <c r="D15" s="427">
        <v>2</v>
      </c>
      <c r="E15" s="428">
        <v>3</v>
      </c>
      <c r="F15" s="428">
        <v>4</v>
      </c>
      <c r="G15" s="429">
        <v>5</v>
      </c>
      <c r="H15" s="430">
        <v>6</v>
      </c>
      <c r="I15" s="431">
        <v>7</v>
      </c>
    </row>
    <row r="16" spans="1:10" ht="13.5" thickTop="1" x14ac:dyDescent="0.2">
      <c r="A16" s="461">
        <v>1</v>
      </c>
      <c r="B16" s="508" t="s">
        <v>236</v>
      </c>
      <c r="C16" s="494">
        <f>'Tab.3. Mieszkańcy_Polska '!I145</f>
        <v>426</v>
      </c>
      <c r="D16" s="1470">
        <f>'Tab.3. Mieszkańcy_Polska '!I147</f>
        <v>365</v>
      </c>
      <c r="E16" s="521">
        <f>IF(D16&gt;0, ROUND(D16*100/$C16, 1), "")</f>
        <v>85.7</v>
      </c>
      <c r="F16" s="1458">
        <f>'Tab.3. Mieszkańcy_Polska '!I148</f>
        <v>20</v>
      </c>
      <c r="G16" s="538">
        <f>IF(F16&gt;0, ROUND(F16*100/$C16, 1), "")</f>
        <v>4.7</v>
      </c>
      <c r="H16" s="1459">
        <f>'Tab.3. Mieszkańcy_Polska '!I149</f>
        <v>41</v>
      </c>
      <c r="I16" s="524">
        <f>IF(H16&gt;0, ROUND(H16*100/$C16, 1), "")</f>
        <v>9.6</v>
      </c>
    </row>
    <row r="17" spans="1:10" x14ac:dyDescent="0.2">
      <c r="A17" s="462">
        <v>2</v>
      </c>
      <c r="B17" s="509" t="s">
        <v>237</v>
      </c>
      <c r="C17" s="1219">
        <f>'Tab.3. Mieszkańcy_Polska '!I221</f>
        <v>138</v>
      </c>
      <c r="D17" s="1471">
        <f>'Tab.3. Mieszkańcy_Polska '!I223</f>
        <v>119</v>
      </c>
      <c r="E17" s="522">
        <f t="shared" ref="E17:E31" si="0">IF(D17&gt;0, ROUND(D17*100/$C17, 1), "")</f>
        <v>86.2</v>
      </c>
      <c r="F17" s="1460">
        <f>'Tab.3. Mieszkańcy_Polska '!I224</f>
        <v>13</v>
      </c>
      <c r="G17" s="539">
        <f t="shared" ref="G17:G31" si="1">IF(F17&gt;0, ROUND(F17*100/$C17, 1), "")</f>
        <v>9.4</v>
      </c>
      <c r="H17" s="1461">
        <f>'Tab.3. Mieszkańcy_Polska '!I225</f>
        <v>6</v>
      </c>
      <c r="I17" s="525">
        <f t="shared" ref="I17:I31" si="2">IF(H17&gt;0, ROUND(H17*100/$C17, 1), "")</f>
        <v>4.3</v>
      </c>
    </row>
    <row r="18" spans="1:10" x14ac:dyDescent="0.2">
      <c r="A18" s="462">
        <v>3</v>
      </c>
      <c r="B18" s="509" t="s">
        <v>238</v>
      </c>
      <c r="C18" s="1219">
        <f>'Tab.3. Mieszkańcy_Polska '!I297</f>
        <v>153</v>
      </c>
      <c r="D18" s="1471">
        <f>'Tab.3. Mieszkańcy_Polska '!I299</f>
        <v>149</v>
      </c>
      <c r="E18" s="522">
        <f t="shared" si="0"/>
        <v>97.4</v>
      </c>
      <c r="F18" s="1460">
        <f>'Tab.3. Mieszkańcy_Polska '!I300</f>
        <v>4</v>
      </c>
      <c r="G18" s="539">
        <f t="shared" si="1"/>
        <v>2.6</v>
      </c>
      <c r="H18" s="1461">
        <f>'Tab.3. Mieszkańcy_Polska '!I301</f>
        <v>0</v>
      </c>
      <c r="I18" s="525" t="str">
        <f t="shared" si="2"/>
        <v/>
      </c>
    </row>
    <row r="19" spans="1:10" x14ac:dyDescent="0.2">
      <c r="A19" s="462">
        <v>4</v>
      </c>
      <c r="B19" s="509" t="s">
        <v>239</v>
      </c>
      <c r="C19" s="1219">
        <f>'Tab.3. Mieszkańcy_Polska '!I373</f>
        <v>21</v>
      </c>
      <c r="D19" s="1471">
        <f>'Tab.3. Mieszkańcy_Polska '!I375</f>
        <v>14</v>
      </c>
      <c r="E19" s="522">
        <f t="shared" si="0"/>
        <v>66.7</v>
      </c>
      <c r="F19" s="1460">
        <f>'Tab.3. Mieszkańcy_Polska '!I376</f>
        <v>0</v>
      </c>
      <c r="G19" s="539" t="str">
        <f t="shared" si="1"/>
        <v/>
      </c>
      <c r="H19" s="1461">
        <f>'Tab.3. Mieszkańcy_Polska '!I377</f>
        <v>7</v>
      </c>
      <c r="I19" s="525">
        <f t="shared" si="2"/>
        <v>33.299999999999997</v>
      </c>
    </row>
    <row r="20" spans="1:10" x14ac:dyDescent="0.2">
      <c r="A20" s="462">
        <v>5</v>
      </c>
      <c r="B20" s="509" t="s">
        <v>240</v>
      </c>
      <c r="C20" s="1219">
        <f>'Tab.3. Mieszkańcy_Polska '!I449</f>
        <v>112</v>
      </c>
      <c r="D20" s="1471">
        <f>'Tab.3. Mieszkańcy_Polska '!I451</f>
        <v>102</v>
      </c>
      <c r="E20" s="522">
        <f t="shared" si="0"/>
        <v>91.1</v>
      </c>
      <c r="F20" s="1460">
        <f>'Tab.3. Mieszkańcy_Polska '!I452</f>
        <v>9</v>
      </c>
      <c r="G20" s="539">
        <f t="shared" si="1"/>
        <v>8</v>
      </c>
      <c r="H20" s="1461">
        <f>'Tab.3. Mieszkańcy_Polska '!I453</f>
        <v>1</v>
      </c>
      <c r="I20" s="525">
        <f t="shared" si="2"/>
        <v>0.9</v>
      </c>
    </row>
    <row r="21" spans="1:10" x14ac:dyDescent="0.2">
      <c r="A21" s="462">
        <v>6</v>
      </c>
      <c r="B21" s="509" t="s">
        <v>241</v>
      </c>
      <c r="C21" s="1219">
        <f>'Tab.3. Mieszkańcy_Polska '!I525</f>
        <v>684</v>
      </c>
      <c r="D21" s="1471">
        <f>'Tab.3. Mieszkańcy_Polska '!I527</f>
        <v>607</v>
      </c>
      <c r="E21" s="522">
        <f t="shared" si="0"/>
        <v>88.7</v>
      </c>
      <c r="F21" s="1460">
        <f>'Tab.3. Mieszkańcy_Polska '!I528</f>
        <v>69</v>
      </c>
      <c r="G21" s="539">
        <f t="shared" si="1"/>
        <v>10.1</v>
      </c>
      <c r="H21" s="1461">
        <f>'Tab.3. Mieszkańcy_Polska '!I529</f>
        <v>8</v>
      </c>
      <c r="I21" s="525">
        <f t="shared" si="2"/>
        <v>1.2</v>
      </c>
    </row>
    <row r="22" spans="1:10" x14ac:dyDescent="0.2">
      <c r="A22" s="462">
        <v>7</v>
      </c>
      <c r="B22" s="509" t="s">
        <v>242</v>
      </c>
      <c r="C22" s="1219">
        <f>'Tab.3. Mieszkańcy_Polska '!I601</f>
        <v>420</v>
      </c>
      <c r="D22" s="1471">
        <f>'Tab.3. Mieszkańcy_Polska '!I603</f>
        <v>374</v>
      </c>
      <c r="E22" s="522">
        <f t="shared" si="0"/>
        <v>89</v>
      </c>
      <c r="F22" s="1460">
        <f>'Tab.3. Mieszkańcy_Polska '!I604</f>
        <v>44</v>
      </c>
      <c r="G22" s="539">
        <f t="shared" si="1"/>
        <v>10.5</v>
      </c>
      <c r="H22" s="1461">
        <f>'Tab.3. Mieszkańcy_Polska '!I605</f>
        <v>2</v>
      </c>
      <c r="I22" s="525">
        <f t="shared" si="2"/>
        <v>0.5</v>
      </c>
    </row>
    <row r="23" spans="1:10" x14ac:dyDescent="0.2">
      <c r="A23" s="462">
        <v>8</v>
      </c>
      <c r="B23" s="509" t="s">
        <v>243</v>
      </c>
      <c r="C23" s="1219">
        <f>'Tab.3. Mieszkańcy_Polska '!I677</f>
        <v>315</v>
      </c>
      <c r="D23" s="1471">
        <f>'Tab.3. Mieszkańcy_Polska '!I679</f>
        <v>275</v>
      </c>
      <c r="E23" s="522">
        <f t="shared" si="0"/>
        <v>87.3</v>
      </c>
      <c r="F23" s="1460">
        <f>'Tab.3. Mieszkańcy_Polska '!I680</f>
        <v>12</v>
      </c>
      <c r="G23" s="539">
        <f t="shared" si="1"/>
        <v>3.8</v>
      </c>
      <c r="H23" s="1461">
        <f>'Tab.3. Mieszkańcy_Polska '!I681</f>
        <v>28</v>
      </c>
      <c r="I23" s="525">
        <f t="shared" si="2"/>
        <v>8.9</v>
      </c>
    </row>
    <row r="24" spans="1:10" x14ac:dyDescent="0.2">
      <c r="A24" s="462">
        <v>9</v>
      </c>
      <c r="B24" s="509" t="s">
        <v>244</v>
      </c>
      <c r="C24" s="1219">
        <f>'Tab.3. Mieszkańcy_Polska '!I753</f>
        <v>339</v>
      </c>
      <c r="D24" s="1471">
        <f>'Tab.3. Mieszkańcy_Polska '!I755</f>
        <v>295</v>
      </c>
      <c r="E24" s="522">
        <f t="shared" si="0"/>
        <v>87</v>
      </c>
      <c r="F24" s="1460">
        <f>'Tab.3. Mieszkańcy_Polska '!I756</f>
        <v>19</v>
      </c>
      <c r="G24" s="539">
        <f t="shared" si="1"/>
        <v>5.6</v>
      </c>
      <c r="H24" s="1461">
        <f>'Tab.3. Mieszkańcy_Polska '!I757</f>
        <v>25</v>
      </c>
      <c r="I24" s="525">
        <f t="shared" si="2"/>
        <v>7.4</v>
      </c>
    </row>
    <row r="25" spans="1:10" x14ac:dyDescent="0.2">
      <c r="A25" s="463">
        <v>10</v>
      </c>
      <c r="B25" s="509" t="s">
        <v>245</v>
      </c>
      <c r="C25" s="1219">
        <f>'Tab.3. Mieszkańcy_Polska '!I829</f>
        <v>117</v>
      </c>
      <c r="D25" s="1471">
        <f>'Tab.3. Mieszkańcy_Polska '!I831</f>
        <v>93</v>
      </c>
      <c r="E25" s="522">
        <f t="shared" si="0"/>
        <v>79.5</v>
      </c>
      <c r="F25" s="1460">
        <f>'Tab.3. Mieszkańcy_Polska '!I832</f>
        <v>20</v>
      </c>
      <c r="G25" s="539">
        <f t="shared" si="1"/>
        <v>17.100000000000001</v>
      </c>
      <c r="H25" s="1461">
        <f>'Tab.3. Mieszkańcy_Polska '!I833</f>
        <v>4</v>
      </c>
      <c r="I25" s="525">
        <f t="shared" si="2"/>
        <v>3.4</v>
      </c>
    </row>
    <row r="26" spans="1:10" x14ac:dyDescent="0.2">
      <c r="A26" s="463">
        <v>11</v>
      </c>
      <c r="B26" s="509" t="s">
        <v>246</v>
      </c>
      <c r="C26" s="1219">
        <f>'Tab.3. Mieszkańcy_Polska '!I905</f>
        <v>168</v>
      </c>
      <c r="D26" s="1471">
        <f>'Tab.3. Mieszkańcy_Polska '!I907</f>
        <v>125</v>
      </c>
      <c r="E26" s="522">
        <f t="shared" si="0"/>
        <v>74.400000000000006</v>
      </c>
      <c r="F26" s="1460">
        <f>'Tab.3. Mieszkańcy_Polska '!I908</f>
        <v>20</v>
      </c>
      <c r="G26" s="539">
        <f t="shared" si="1"/>
        <v>11.9</v>
      </c>
      <c r="H26" s="1461">
        <f>'Tab.3. Mieszkańcy_Polska '!I909</f>
        <v>23</v>
      </c>
      <c r="I26" s="525">
        <f t="shared" si="2"/>
        <v>13.7</v>
      </c>
    </row>
    <row r="27" spans="1:10" x14ac:dyDescent="0.2">
      <c r="A27" s="463">
        <v>12</v>
      </c>
      <c r="B27" s="509" t="s">
        <v>247</v>
      </c>
      <c r="C27" s="1219">
        <f>'Tab.3. Mieszkańcy_Polska '!I981</f>
        <v>1217</v>
      </c>
      <c r="D27" s="1471">
        <f>'Tab.3. Mieszkańcy_Polska '!I983</f>
        <v>1052</v>
      </c>
      <c r="E27" s="522">
        <f t="shared" si="0"/>
        <v>86.4</v>
      </c>
      <c r="F27" s="1460">
        <f>'Tab.3. Mieszkańcy_Polska '!I984</f>
        <v>123</v>
      </c>
      <c r="G27" s="539">
        <f t="shared" si="1"/>
        <v>10.1</v>
      </c>
      <c r="H27" s="1461">
        <f>'Tab.3. Mieszkańcy_Polska '!I985</f>
        <v>42</v>
      </c>
      <c r="I27" s="525">
        <f t="shared" si="2"/>
        <v>3.5</v>
      </c>
    </row>
    <row r="28" spans="1:10" x14ac:dyDescent="0.2">
      <c r="A28" s="463">
        <v>13</v>
      </c>
      <c r="B28" s="509" t="s">
        <v>248</v>
      </c>
      <c r="C28" s="1219">
        <f>'Tab.3. Mieszkańcy_Polska '!I1057</f>
        <v>228</v>
      </c>
      <c r="D28" s="1471">
        <f>'Tab.3. Mieszkańcy_Polska '!I1059</f>
        <v>201</v>
      </c>
      <c r="E28" s="522">
        <f t="shared" si="0"/>
        <v>88.2</v>
      </c>
      <c r="F28" s="1460">
        <f>'Tab.3. Mieszkańcy_Polska '!I1060</f>
        <v>22</v>
      </c>
      <c r="G28" s="539">
        <f t="shared" si="1"/>
        <v>9.6</v>
      </c>
      <c r="H28" s="1461">
        <f>'Tab.3. Mieszkańcy_Polska '!I1061</f>
        <v>5</v>
      </c>
      <c r="I28" s="525">
        <f t="shared" si="2"/>
        <v>2.2000000000000002</v>
      </c>
    </row>
    <row r="29" spans="1:10" x14ac:dyDescent="0.2">
      <c r="A29" s="463">
        <v>14</v>
      </c>
      <c r="B29" s="509" t="s">
        <v>249</v>
      </c>
      <c r="C29" s="1219">
        <f>'Tab.3. Mieszkańcy_Polska '!I1133</f>
        <v>222</v>
      </c>
      <c r="D29" s="1471">
        <f>'Tab.3. Mieszkańcy_Polska '!I1135</f>
        <v>187</v>
      </c>
      <c r="E29" s="522">
        <f t="shared" si="0"/>
        <v>84.2</v>
      </c>
      <c r="F29" s="1460">
        <f>'Tab.3. Mieszkańcy_Polska '!I1136</f>
        <v>32</v>
      </c>
      <c r="G29" s="539">
        <f t="shared" si="1"/>
        <v>14.4</v>
      </c>
      <c r="H29" s="1461">
        <f>'Tab.3. Mieszkańcy_Polska '!I1137</f>
        <v>3</v>
      </c>
      <c r="I29" s="525">
        <f t="shared" si="2"/>
        <v>1.4</v>
      </c>
    </row>
    <row r="30" spans="1:10" x14ac:dyDescent="0.2">
      <c r="A30" s="463">
        <v>15</v>
      </c>
      <c r="B30" s="509" t="s">
        <v>250</v>
      </c>
      <c r="C30" s="1219">
        <f>'Tab.3. Mieszkańcy_Polska '!I1209</f>
        <v>463</v>
      </c>
      <c r="D30" s="1471">
        <f>'Tab.3. Mieszkańcy_Polska '!I1211</f>
        <v>411</v>
      </c>
      <c r="E30" s="522">
        <f t="shared" si="0"/>
        <v>88.8</v>
      </c>
      <c r="F30" s="1460">
        <f>'Tab.3. Mieszkańcy_Polska '!I1212</f>
        <v>15</v>
      </c>
      <c r="G30" s="539">
        <f t="shared" si="1"/>
        <v>3.2</v>
      </c>
      <c r="H30" s="1461">
        <f>'Tab.3. Mieszkańcy_Polska '!I1213</f>
        <v>37</v>
      </c>
      <c r="I30" s="525">
        <f t="shared" si="2"/>
        <v>8</v>
      </c>
    </row>
    <row r="31" spans="1:10" ht="13.5" thickBot="1" x14ac:dyDescent="0.25">
      <c r="A31" s="463">
        <v>16</v>
      </c>
      <c r="B31" s="510" t="s">
        <v>251</v>
      </c>
      <c r="C31" s="1219">
        <f>'Tab.3. Mieszkańcy_Polska '!I1285</f>
        <v>316</v>
      </c>
      <c r="D31" s="1472">
        <f>'Tab.3. Mieszkańcy_Polska '!I1287</f>
        <v>255</v>
      </c>
      <c r="E31" s="523">
        <f t="shared" si="0"/>
        <v>80.7</v>
      </c>
      <c r="F31" s="1462">
        <f>'Tab.3. Mieszkańcy_Polska '!I1288</f>
        <v>60</v>
      </c>
      <c r="G31" s="540">
        <f t="shared" si="1"/>
        <v>19</v>
      </c>
      <c r="H31" s="1463">
        <f>'Tab.3. Mieszkańcy_Polska '!I1289</f>
        <v>1</v>
      </c>
      <c r="I31" s="526">
        <f t="shared" si="2"/>
        <v>0.3</v>
      </c>
    </row>
    <row r="32" spans="1:10" ht="16.5" thickBot="1" x14ac:dyDescent="0.3">
      <c r="A32" s="445" t="s">
        <v>252</v>
      </c>
      <c r="B32" s="446"/>
      <c r="C32" s="495">
        <f>SUM(C16:C31)</f>
        <v>5339</v>
      </c>
      <c r="D32" s="1222">
        <f>SUM(D16:D31)</f>
        <v>4624</v>
      </c>
      <c r="E32" s="528">
        <f>AVERAGE(E16:E31)</f>
        <v>85.081249999999997</v>
      </c>
      <c r="F32" s="1213">
        <f>SUM(F16:F31)</f>
        <v>482</v>
      </c>
      <c r="G32" s="541">
        <f>AVERAGE(G16:G31)</f>
        <v>9.3333333333333339</v>
      </c>
      <c r="H32" s="1217">
        <f>SUM(H16:H31)</f>
        <v>233</v>
      </c>
      <c r="I32" s="531">
        <f>AVERAGE(I16:I31)</f>
        <v>6.5733333333333341</v>
      </c>
      <c r="J32" s="533"/>
    </row>
    <row r="33" ht="13.5" thickTop="1" x14ac:dyDescent="0.2"/>
  </sheetData>
  <mergeCells count="17">
    <mergeCell ref="C11:C14"/>
    <mergeCell ref="A7:I7"/>
    <mergeCell ref="A8:I8"/>
    <mergeCell ref="D12:E12"/>
    <mergeCell ref="F12:G12"/>
    <mergeCell ref="H12:I12"/>
    <mergeCell ref="D11:I11"/>
    <mergeCell ref="H1:I1"/>
    <mergeCell ref="D13:D14"/>
    <mergeCell ref="E13:E14"/>
    <mergeCell ref="F13:F14"/>
    <mergeCell ref="G13:G14"/>
    <mergeCell ref="H13:H14"/>
    <mergeCell ref="I13:I14"/>
    <mergeCell ref="A6:I6"/>
    <mergeCell ref="A11:A14"/>
    <mergeCell ref="B11:B14"/>
  </mergeCells>
  <phoneticPr fontId="82" type="noConversion"/>
  <printOptions horizontalCentered="1" verticalCentered="1"/>
  <pageMargins left="0.39370078740157483" right="0.43307086614173229" top="0.98425196850393704" bottom="0.98425196850393704" header="0.51181102362204722" footer="0.51181102362204722"/>
  <pageSetup paperSize="9" orientation="landscape" r:id="rId1"/>
  <headerFooter alignWithMargins="0"/>
  <ignoredErrors>
    <ignoredError sqref="H16:H31 G32 H32 F16:F31" formula="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3"/>
  <sheetViews>
    <sheetView zoomScale="75" workbookViewId="0"/>
  </sheetViews>
  <sheetFormatPr defaultRowHeight="12.75" x14ac:dyDescent="0.2"/>
  <cols>
    <col min="2" max="2" width="55" customWidth="1"/>
    <col min="3" max="3" width="30.28515625" customWidth="1"/>
    <col min="4" max="4" width="30.7109375" customWidth="1"/>
    <col min="5" max="5" width="30.5703125" customWidth="1"/>
    <col min="6" max="6" width="11.7109375" customWidth="1"/>
    <col min="7" max="8" width="16.7109375" customWidth="1"/>
    <col min="9" max="9" width="11.7109375" customWidth="1"/>
    <col min="10" max="10" width="16.7109375" customWidth="1"/>
    <col min="11" max="11" width="15.7109375" customWidth="1"/>
    <col min="12" max="12" width="59.5703125" customWidth="1"/>
    <col min="13" max="13" width="26" bestFit="1" customWidth="1"/>
    <col min="14" max="14" width="23" bestFit="1" customWidth="1"/>
  </cols>
  <sheetData>
    <row r="1" spans="1:12" ht="26.25" x14ac:dyDescent="0.4">
      <c r="A1" s="267" t="s">
        <v>196</v>
      </c>
      <c r="B1" s="266" t="s">
        <v>195</v>
      </c>
    </row>
    <row r="2" spans="1:12" ht="18" x14ac:dyDescent="0.25">
      <c r="B2" s="11" t="s">
        <v>116</v>
      </c>
      <c r="E2" s="10" t="s">
        <v>57</v>
      </c>
    </row>
    <row r="3" spans="1:12" ht="18" x14ac:dyDescent="0.25">
      <c r="B3" s="14" t="s">
        <v>129</v>
      </c>
    </row>
    <row r="4" spans="1:12" ht="18" x14ac:dyDescent="0.25">
      <c r="B4" s="11" t="s">
        <v>128</v>
      </c>
    </row>
    <row r="9" spans="1:12" s="62" customFormat="1" ht="24.95" customHeight="1" x14ac:dyDescent="0.35">
      <c r="B9" s="1655" t="s">
        <v>60</v>
      </c>
      <c r="C9" s="1655"/>
      <c r="D9" s="1655"/>
      <c r="E9" s="1655"/>
      <c r="F9"/>
      <c r="I9"/>
      <c r="K9"/>
      <c r="L9"/>
    </row>
    <row r="10" spans="1:12" s="62" customFormat="1" ht="24.95" customHeight="1" x14ac:dyDescent="0.35">
      <c r="B10" s="1655" t="s">
        <v>62</v>
      </c>
      <c r="C10" s="1655"/>
      <c r="D10" s="1655"/>
      <c r="E10" s="1655"/>
      <c r="F10"/>
      <c r="I10"/>
      <c r="K10"/>
      <c r="L10"/>
    </row>
    <row r="11" spans="1:12" s="62" customFormat="1" ht="24.95" customHeight="1" x14ac:dyDescent="0.35">
      <c r="B11" s="1810" t="str">
        <f>"WEDŁUG  FORM  ZATRUDNIENIA  WG  STANU  NA  DZIEŃ  31. XII. "&amp;'Tab.1. bilans_Polska'!A2&amp;" r."</f>
        <v>WEDŁUG  FORM  ZATRUDNIENIA  WG  STANU  NA  DZIEŃ  31. XII. 2011 r.</v>
      </c>
      <c r="C11" s="1810"/>
      <c r="D11" s="1810"/>
      <c r="E11" s="1810"/>
      <c r="F11"/>
      <c r="I11"/>
      <c r="K11"/>
      <c r="L11"/>
    </row>
    <row r="13" spans="1:12" ht="13.5" thickBot="1" x14ac:dyDescent="0.25"/>
    <row r="14" spans="1:12" ht="18.75" thickTop="1" x14ac:dyDescent="0.25">
      <c r="B14" s="199"/>
      <c r="C14" s="204"/>
      <c r="D14" s="1808" t="s">
        <v>20</v>
      </c>
      <c r="E14" s="1809"/>
    </row>
    <row r="15" spans="1:12" ht="23.25" x14ac:dyDescent="0.35">
      <c r="B15" s="200" t="s">
        <v>21</v>
      </c>
      <c r="C15" s="205" t="s">
        <v>7</v>
      </c>
      <c r="D15" s="78" t="s">
        <v>22</v>
      </c>
      <c r="E15" s="83" t="s">
        <v>23</v>
      </c>
    </row>
    <row r="16" spans="1:12" ht="18" x14ac:dyDescent="0.25">
      <c r="B16" s="201"/>
      <c r="C16" s="82" t="s">
        <v>64</v>
      </c>
      <c r="D16" s="82" t="s">
        <v>25</v>
      </c>
      <c r="E16" s="83" t="s">
        <v>26</v>
      </c>
    </row>
    <row r="17" spans="1:14" ht="13.5" thickBot="1" x14ac:dyDescent="0.25">
      <c r="B17" s="61">
        <v>0</v>
      </c>
      <c r="C17" s="206">
        <v>1</v>
      </c>
      <c r="D17" s="206">
        <v>2</v>
      </c>
      <c r="E17" s="207">
        <v>3</v>
      </c>
    </row>
    <row r="18" spans="1:14" ht="39.950000000000003" customHeight="1" thickTop="1" x14ac:dyDescent="0.35">
      <c r="B18" s="202" t="s">
        <v>65</v>
      </c>
      <c r="C18" s="332">
        <f>C20+C24</f>
        <v>54334</v>
      </c>
      <c r="D18" s="332">
        <f>D20+D24</f>
        <v>44748</v>
      </c>
      <c r="E18" s="335">
        <f>E20+E24</f>
        <v>9586</v>
      </c>
    </row>
    <row r="19" spans="1:14" ht="18.75" thickBot="1" x14ac:dyDescent="0.3">
      <c r="B19" s="69" t="s">
        <v>49</v>
      </c>
      <c r="C19" s="336" t="str">
        <f>IF(C18=D18+E18,"","UWAGA!")</f>
        <v/>
      </c>
      <c r="D19" s="208"/>
      <c r="E19" s="71"/>
    </row>
    <row r="20" spans="1:14" ht="24.95" customHeight="1" thickTop="1" x14ac:dyDescent="0.25">
      <c r="B20" s="203" t="s">
        <v>66</v>
      </c>
      <c r="C20" s="333">
        <f>C22+C23</f>
        <v>53439</v>
      </c>
      <c r="D20" s="333">
        <f>D22+D23</f>
        <v>44169</v>
      </c>
      <c r="E20" s="334">
        <f>E22+E23</f>
        <v>9270</v>
      </c>
    </row>
    <row r="21" spans="1:14" ht="18" x14ac:dyDescent="0.25">
      <c r="B21" s="70" t="s">
        <v>34</v>
      </c>
      <c r="C21" s="209"/>
      <c r="D21" s="209"/>
      <c r="E21" s="210"/>
    </row>
    <row r="22" spans="1:14" ht="30" customHeight="1" x14ac:dyDescent="0.35">
      <c r="B22" s="69" t="s">
        <v>67</v>
      </c>
      <c r="C22" s="881">
        <f>D22+E22</f>
        <v>49137</v>
      </c>
      <c r="D22" s="337">
        <f t="shared" ref="D22:E24" si="0">D51+D80+D109+D138+D167+D196+D225+D254+D283+D312+D341+D370+D399+D428+D457+D486</f>
        <v>40947</v>
      </c>
      <c r="E22" s="338">
        <f t="shared" si="0"/>
        <v>8190</v>
      </c>
      <c r="F22" s="343"/>
      <c r="G22" s="884"/>
    </row>
    <row r="23" spans="1:14" ht="30" customHeight="1" thickBot="1" x14ac:dyDescent="0.4">
      <c r="B23" s="72" t="s">
        <v>68</v>
      </c>
      <c r="C23" s="882">
        <f>D23+E23</f>
        <v>4302</v>
      </c>
      <c r="D23" s="339">
        <f t="shared" si="0"/>
        <v>3222</v>
      </c>
      <c r="E23" s="340">
        <f t="shared" si="0"/>
        <v>1080</v>
      </c>
      <c r="G23" s="884"/>
    </row>
    <row r="24" spans="1:14" ht="37.5" customHeight="1" thickBot="1" x14ac:dyDescent="0.4">
      <c r="B24" s="73" t="s">
        <v>69</v>
      </c>
      <c r="C24" s="883">
        <f>D24+E24</f>
        <v>895</v>
      </c>
      <c r="D24" s="341">
        <f t="shared" si="0"/>
        <v>579</v>
      </c>
      <c r="E24" s="342">
        <f t="shared" si="0"/>
        <v>316</v>
      </c>
      <c r="G24" s="884"/>
    </row>
    <row r="25" spans="1:14" ht="12" customHeight="1" thickTop="1" x14ac:dyDescent="0.2"/>
    <row r="26" spans="1:14" ht="15.75" x14ac:dyDescent="0.25">
      <c r="B26" s="1"/>
      <c r="E26" s="8"/>
    </row>
    <row r="27" spans="1:14" ht="20.25" customHeight="1" x14ac:dyDescent="0.25">
      <c r="B27" s="1138" t="s">
        <v>123</v>
      </c>
      <c r="C27" s="1152"/>
      <c r="D27" s="1152"/>
      <c r="E27" s="1152"/>
      <c r="F27" s="27"/>
    </row>
    <row r="28" spans="1:14" ht="20.25" customHeight="1" x14ac:dyDescent="0.25">
      <c r="B28" s="1138" t="s">
        <v>132</v>
      </c>
      <c r="C28" s="1152"/>
      <c r="D28" s="1138" t="s">
        <v>145</v>
      </c>
      <c r="E28" s="1152"/>
      <c r="F28" s="27"/>
    </row>
    <row r="29" spans="1:14" s="27" customFormat="1" ht="17.25" customHeight="1" x14ac:dyDescent="0.25">
      <c r="B29" s="1138" t="s">
        <v>146</v>
      </c>
      <c r="C29" s="1152"/>
      <c r="D29" s="1152" t="s">
        <v>147</v>
      </c>
      <c r="E29" s="1152"/>
      <c r="J29" s="10"/>
      <c r="L29" s="11"/>
      <c r="N29" s="10"/>
    </row>
    <row r="30" spans="1:14" ht="24" customHeight="1" x14ac:dyDescent="0.25">
      <c r="B30" s="11"/>
      <c r="L30" s="11"/>
    </row>
    <row r="31" spans="1:14" ht="18" customHeight="1" x14ac:dyDescent="0.25">
      <c r="A31" s="331" t="s">
        <v>166</v>
      </c>
      <c r="B31" s="11" t="s">
        <v>116</v>
      </c>
      <c r="E31" s="10" t="s">
        <v>57</v>
      </c>
      <c r="L31" s="11"/>
    </row>
    <row r="32" spans="1:14" ht="18" customHeight="1" x14ac:dyDescent="0.25">
      <c r="B32" s="14" t="s">
        <v>129</v>
      </c>
      <c r="L32" s="11"/>
    </row>
    <row r="33" spans="1:5" s="9" customFormat="1" ht="30" customHeight="1" x14ac:dyDescent="0.25">
      <c r="A33"/>
      <c r="B33" s="11" t="s">
        <v>128</v>
      </c>
      <c r="C33"/>
      <c r="D33" s="1806" t="str">
        <f>'Tab.1. bilans_Polska'!E59</f>
        <v>Termin: 29 luty 2012 r.</v>
      </c>
      <c r="E33" s="1806"/>
    </row>
    <row r="34" spans="1:5" ht="18" x14ac:dyDescent="0.25">
      <c r="B34" s="11"/>
    </row>
    <row r="35" spans="1:5" ht="18" x14ac:dyDescent="0.25">
      <c r="B35" s="11" t="s">
        <v>130</v>
      </c>
    </row>
    <row r="36" spans="1:5" ht="15.75" x14ac:dyDescent="0.25">
      <c r="B36" s="1" t="s">
        <v>131</v>
      </c>
    </row>
    <row r="38" spans="1:5" ht="23.25" x14ac:dyDescent="0.35">
      <c r="A38" s="62"/>
      <c r="B38" s="1655" t="s">
        <v>60</v>
      </c>
      <c r="C38" s="1655"/>
      <c r="D38" s="1655"/>
      <c r="E38" s="1655"/>
    </row>
    <row r="39" spans="1:5" ht="23.25" x14ac:dyDescent="0.35">
      <c r="A39" s="62"/>
      <c r="B39" s="1655" t="s">
        <v>62</v>
      </c>
      <c r="C39" s="1655"/>
      <c r="D39" s="1655"/>
      <c r="E39" s="1655"/>
    </row>
    <row r="40" spans="1:5" ht="23.25" x14ac:dyDescent="0.35">
      <c r="A40" s="62"/>
      <c r="B40" s="1807" t="str">
        <f>$B$11</f>
        <v>WEDŁUG  FORM  ZATRUDNIENIA  WG  STANU  NA  DZIEŃ  31. XII. 2011 r.</v>
      </c>
      <c r="C40" s="1807"/>
      <c r="D40" s="1807"/>
      <c r="E40" s="1807"/>
    </row>
    <row r="42" spans="1:5" ht="13.5" thickBot="1" x14ac:dyDescent="0.25"/>
    <row r="43" spans="1:5" ht="18.75" thickTop="1" x14ac:dyDescent="0.25">
      <c r="B43" s="199"/>
      <c r="C43" s="204"/>
      <c r="D43" s="1808" t="s">
        <v>20</v>
      </c>
      <c r="E43" s="1809"/>
    </row>
    <row r="44" spans="1:5" ht="23.25" x14ac:dyDescent="0.35">
      <c r="B44" s="200" t="s">
        <v>21</v>
      </c>
      <c r="C44" s="205" t="s">
        <v>7</v>
      </c>
      <c r="D44" s="78" t="s">
        <v>22</v>
      </c>
      <c r="E44" s="83" t="s">
        <v>23</v>
      </c>
    </row>
    <row r="45" spans="1:5" ht="18" x14ac:dyDescent="0.25">
      <c r="B45" s="201"/>
      <c r="C45" s="82" t="s">
        <v>64</v>
      </c>
      <c r="D45" s="82" t="s">
        <v>25</v>
      </c>
      <c r="E45" s="83" t="s">
        <v>26</v>
      </c>
    </row>
    <row r="46" spans="1:5" ht="13.5" thickBot="1" x14ac:dyDescent="0.25">
      <c r="B46" s="61">
        <v>0</v>
      </c>
      <c r="C46" s="206">
        <v>1</v>
      </c>
      <c r="D46" s="206">
        <v>2</v>
      </c>
      <c r="E46" s="207">
        <v>3</v>
      </c>
    </row>
    <row r="47" spans="1:5" ht="24" thickTop="1" x14ac:dyDescent="0.35">
      <c r="B47" s="202" t="s">
        <v>65</v>
      </c>
      <c r="C47" s="332">
        <f>C49+C53</f>
        <v>3950</v>
      </c>
      <c r="D47" s="332">
        <f>D49+D53</f>
        <v>3328</v>
      </c>
      <c r="E47" s="335">
        <f>E49+E53</f>
        <v>622</v>
      </c>
    </row>
    <row r="48" spans="1:5" ht="18.75" thickBot="1" x14ac:dyDescent="0.3">
      <c r="B48" s="69" t="s">
        <v>49</v>
      </c>
      <c r="C48" s="336" t="str">
        <f>IF(C47=D47+E47,"","UWAGA!")</f>
        <v/>
      </c>
      <c r="D48" s="208"/>
      <c r="E48" s="71"/>
    </row>
    <row r="49" spans="1:7" ht="18.75" thickTop="1" x14ac:dyDescent="0.25">
      <c r="B49" s="203" t="s">
        <v>66</v>
      </c>
      <c r="C49" s="333">
        <f>C51+C52</f>
        <v>3901</v>
      </c>
      <c r="D49" s="333">
        <f>D51+D52</f>
        <v>3313</v>
      </c>
      <c r="E49" s="334">
        <f>E51+E52</f>
        <v>588</v>
      </c>
    </row>
    <row r="50" spans="1:7" ht="18" x14ac:dyDescent="0.25">
      <c r="B50" s="70" t="s">
        <v>34</v>
      </c>
      <c r="C50" s="209"/>
      <c r="D50" s="209"/>
      <c r="E50" s="210"/>
    </row>
    <row r="51" spans="1:7" ht="20.25" x14ac:dyDescent="0.3">
      <c r="B51" s="69" t="s">
        <v>67</v>
      </c>
      <c r="C51" s="881">
        <f>D51+E51</f>
        <v>3607</v>
      </c>
      <c r="D51" s="1329">
        <v>3118</v>
      </c>
      <c r="E51" s="1330">
        <v>489</v>
      </c>
      <c r="F51" s="344"/>
      <c r="G51" s="880"/>
    </row>
    <row r="52" spans="1:7" ht="21" thickBot="1" x14ac:dyDescent="0.35">
      <c r="B52" s="72" t="s">
        <v>68</v>
      </c>
      <c r="C52" s="882">
        <f>D52+E52</f>
        <v>294</v>
      </c>
      <c r="D52" s="1331">
        <v>195</v>
      </c>
      <c r="E52" s="1332">
        <v>99</v>
      </c>
      <c r="G52" s="880"/>
    </row>
    <row r="53" spans="1:7" ht="21" thickBot="1" x14ac:dyDescent="0.35">
      <c r="B53" s="73" t="s">
        <v>69</v>
      </c>
      <c r="C53" s="883">
        <f>D53+E53</f>
        <v>49</v>
      </c>
      <c r="D53" s="1333">
        <v>15</v>
      </c>
      <c r="E53" s="1334">
        <v>34</v>
      </c>
      <c r="G53" s="880"/>
    </row>
    <row r="54" spans="1:7" ht="13.5" thickTop="1" x14ac:dyDescent="0.2"/>
    <row r="55" spans="1:7" ht="15.75" x14ac:dyDescent="0.25">
      <c r="B55" s="1"/>
      <c r="E55" s="8"/>
    </row>
    <row r="56" spans="1:7" ht="18" x14ac:dyDescent="0.25">
      <c r="B56" s="11" t="s">
        <v>123</v>
      </c>
      <c r="C56" s="27"/>
      <c r="D56" s="27"/>
      <c r="E56" s="27"/>
    </row>
    <row r="57" spans="1:7" ht="18" x14ac:dyDescent="0.25">
      <c r="B57" s="11" t="s">
        <v>132</v>
      </c>
      <c r="C57" s="27"/>
      <c r="D57" s="11" t="s">
        <v>145</v>
      </c>
      <c r="E57" s="27"/>
    </row>
    <row r="58" spans="1:7" ht="18" x14ac:dyDescent="0.25">
      <c r="A58" s="27"/>
      <c r="B58" s="11" t="s">
        <v>146</v>
      </c>
      <c r="C58" s="27"/>
      <c r="D58" s="27" t="s">
        <v>147</v>
      </c>
      <c r="E58" s="27"/>
    </row>
    <row r="59" spans="1:7" ht="18" x14ac:dyDescent="0.25">
      <c r="B59" s="11"/>
    </row>
    <row r="60" spans="1:7" ht="26.25" x14ac:dyDescent="0.25">
      <c r="A60" s="331" t="s">
        <v>168</v>
      </c>
      <c r="B60" s="11" t="s">
        <v>116</v>
      </c>
      <c r="E60" s="10" t="s">
        <v>57</v>
      </c>
    </row>
    <row r="61" spans="1:7" ht="18" x14ac:dyDescent="0.25">
      <c r="B61" s="14" t="s">
        <v>129</v>
      </c>
    </row>
    <row r="62" spans="1:7" ht="18" x14ac:dyDescent="0.25">
      <c r="B62" s="11" t="s">
        <v>128</v>
      </c>
      <c r="D62" s="1806" t="str">
        <f>$D$33</f>
        <v>Termin: 29 luty 2012 r.</v>
      </c>
      <c r="E62" s="1806"/>
    </row>
    <row r="63" spans="1:7" ht="18" x14ac:dyDescent="0.25">
      <c r="B63" s="11"/>
    </row>
    <row r="64" spans="1:7" ht="18" x14ac:dyDescent="0.25">
      <c r="B64" s="11" t="s">
        <v>130</v>
      </c>
    </row>
    <row r="65" spans="1:5" ht="15.75" x14ac:dyDescent="0.25">
      <c r="B65" s="1" t="s">
        <v>131</v>
      </c>
    </row>
    <row r="67" spans="1:5" ht="23.25" x14ac:dyDescent="0.35">
      <c r="A67" s="62"/>
      <c r="B67" s="1655" t="s">
        <v>60</v>
      </c>
      <c r="C67" s="1655"/>
      <c r="D67" s="1655"/>
      <c r="E67" s="1655"/>
    </row>
    <row r="68" spans="1:5" ht="23.25" x14ac:dyDescent="0.35">
      <c r="A68" s="62"/>
      <c r="B68" s="1655" t="s">
        <v>62</v>
      </c>
      <c r="C68" s="1655"/>
      <c r="D68" s="1655"/>
      <c r="E68" s="1655"/>
    </row>
    <row r="69" spans="1:5" ht="23.25" x14ac:dyDescent="0.35">
      <c r="A69" s="62"/>
      <c r="B69" s="1807" t="str">
        <f>$B$11</f>
        <v>WEDŁUG  FORM  ZATRUDNIENIA  WG  STANU  NA  DZIEŃ  31. XII. 2011 r.</v>
      </c>
      <c r="C69" s="1807"/>
      <c r="D69" s="1807"/>
      <c r="E69" s="1807"/>
    </row>
    <row r="71" spans="1:5" ht="13.5" thickBot="1" x14ac:dyDescent="0.25"/>
    <row r="72" spans="1:5" ht="18.75" thickTop="1" x14ac:dyDescent="0.25">
      <c r="B72" s="199"/>
      <c r="C72" s="204"/>
      <c r="D72" s="1808" t="s">
        <v>20</v>
      </c>
      <c r="E72" s="1809"/>
    </row>
    <row r="73" spans="1:5" ht="23.25" x14ac:dyDescent="0.35">
      <c r="B73" s="200" t="s">
        <v>21</v>
      </c>
      <c r="C73" s="205" t="s">
        <v>7</v>
      </c>
      <c r="D73" s="78" t="s">
        <v>22</v>
      </c>
      <c r="E73" s="83" t="s">
        <v>23</v>
      </c>
    </row>
    <row r="74" spans="1:5" ht="18" x14ac:dyDescent="0.25">
      <c r="B74" s="201"/>
      <c r="C74" s="82" t="s">
        <v>64</v>
      </c>
      <c r="D74" s="82" t="s">
        <v>25</v>
      </c>
      <c r="E74" s="83" t="s">
        <v>26</v>
      </c>
    </row>
    <row r="75" spans="1:5" ht="13.5" thickBot="1" x14ac:dyDescent="0.25">
      <c r="B75" s="61">
        <v>0</v>
      </c>
      <c r="C75" s="206">
        <v>1</v>
      </c>
      <c r="D75" s="206">
        <v>2</v>
      </c>
      <c r="E75" s="207">
        <v>3</v>
      </c>
    </row>
    <row r="76" spans="1:5" ht="24" thickTop="1" x14ac:dyDescent="0.35">
      <c r="B76" s="202" t="s">
        <v>65</v>
      </c>
      <c r="C76" s="332">
        <f>C78+C82</f>
        <v>2745</v>
      </c>
      <c r="D76" s="332">
        <f>D78+D82</f>
        <v>2410</v>
      </c>
      <c r="E76" s="335">
        <f>E78+E82</f>
        <v>335</v>
      </c>
    </row>
    <row r="77" spans="1:5" ht="18.75" thickBot="1" x14ac:dyDescent="0.3">
      <c r="B77" s="69" t="s">
        <v>49</v>
      </c>
      <c r="C77" s="336" t="str">
        <f>IF(C76=D76+E76,"","UWAGA!")</f>
        <v/>
      </c>
      <c r="D77" s="208"/>
      <c r="E77" s="71"/>
    </row>
    <row r="78" spans="1:5" ht="18.75" thickTop="1" x14ac:dyDescent="0.25">
      <c r="B78" s="203" t="s">
        <v>66</v>
      </c>
      <c r="C78" s="333">
        <f>C80+C81</f>
        <v>2718</v>
      </c>
      <c r="D78" s="333">
        <f>D80+D81</f>
        <v>2389</v>
      </c>
      <c r="E78" s="334">
        <f>E80+E81</f>
        <v>329</v>
      </c>
    </row>
    <row r="79" spans="1:5" ht="18" x14ac:dyDescent="0.25">
      <c r="B79" s="70" t="s">
        <v>34</v>
      </c>
      <c r="C79" s="209"/>
      <c r="D79" s="209"/>
      <c r="E79" s="210"/>
    </row>
    <row r="80" spans="1:5" ht="18.75" x14ac:dyDescent="0.3">
      <c r="B80" s="69" t="s">
        <v>67</v>
      </c>
      <c r="C80" s="881">
        <f>D80+E80</f>
        <v>2543</v>
      </c>
      <c r="D80" s="1329">
        <v>2237</v>
      </c>
      <c r="E80" s="1330">
        <v>306</v>
      </c>
    </row>
    <row r="81" spans="1:5" ht="19.5" thickBot="1" x14ac:dyDescent="0.35">
      <c r="B81" s="72" t="s">
        <v>68</v>
      </c>
      <c r="C81" s="882">
        <f>D81+E81</f>
        <v>175</v>
      </c>
      <c r="D81" s="1331">
        <v>152</v>
      </c>
      <c r="E81" s="1332">
        <v>23</v>
      </c>
    </row>
    <row r="82" spans="1:5" ht="19.5" thickBot="1" x14ac:dyDescent="0.35">
      <c r="B82" s="73" t="s">
        <v>69</v>
      </c>
      <c r="C82" s="883">
        <f>D82+E82</f>
        <v>27</v>
      </c>
      <c r="D82" s="1333">
        <v>21</v>
      </c>
      <c r="E82" s="1334">
        <v>6</v>
      </c>
    </row>
    <row r="83" spans="1:5" ht="13.5" thickTop="1" x14ac:dyDescent="0.2"/>
    <row r="84" spans="1:5" ht="15.75" x14ac:dyDescent="0.25">
      <c r="B84" s="1"/>
      <c r="E84" s="8"/>
    </row>
    <row r="85" spans="1:5" ht="18" x14ac:dyDescent="0.25">
      <c r="B85" s="11" t="s">
        <v>123</v>
      </c>
      <c r="C85" s="27"/>
      <c r="D85" s="27"/>
      <c r="E85" s="27"/>
    </row>
    <row r="86" spans="1:5" ht="18" x14ac:dyDescent="0.25">
      <c r="B86" s="11" t="s">
        <v>132</v>
      </c>
      <c r="C86" s="27"/>
      <c r="D86" s="11" t="s">
        <v>145</v>
      </c>
      <c r="E86" s="27"/>
    </row>
    <row r="87" spans="1:5" ht="18" x14ac:dyDescent="0.25">
      <c r="A87" s="27"/>
      <c r="B87" s="11" t="s">
        <v>146</v>
      </c>
      <c r="C87" s="27"/>
      <c r="D87" s="27" t="s">
        <v>147</v>
      </c>
      <c r="E87" s="27"/>
    </row>
    <row r="88" spans="1:5" ht="18" x14ac:dyDescent="0.25">
      <c r="B88" s="11"/>
    </row>
    <row r="89" spans="1:5" ht="26.25" x14ac:dyDescent="0.25">
      <c r="A89" s="331" t="s">
        <v>170</v>
      </c>
      <c r="B89" s="11" t="s">
        <v>116</v>
      </c>
      <c r="E89" s="10" t="s">
        <v>57</v>
      </c>
    </row>
    <row r="90" spans="1:5" ht="18" x14ac:dyDescent="0.25">
      <c r="B90" s="14" t="s">
        <v>129</v>
      </c>
    </row>
    <row r="91" spans="1:5" ht="18" x14ac:dyDescent="0.25">
      <c r="B91" s="11" t="s">
        <v>128</v>
      </c>
      <c r="D91" s="1806" t="str">
        <f>$D$33</f>
        <v>Termin: 29 luty 2012 r.</v>
      </c>
      <c r="E91" s="1806"/>
    </row>
    <row r="92" spans="1:5" ht="18" x14ac:dyDescent="0.25">
      <c r="B92" s="11"/>
    </row>
    <row r="93" spans="1:5" ht="18" x14ac:dyDescent="0.25">
      <c r="B93" s="11" t="s">
        <v>130</v>
      </c>
    </row>
    <row r="94" spans="1:5" ht="15.75" x14ac:dyDescent="0.25">
      <c r="B94" s="1" t="s">
        <v>131</v>
      </c>
    </row>
    <row r="96" spans="1:5" ht="23.25" x14ac:dyDescent="0.35">
      <c r="A96" s="62"/>
      <c r="B96" s="1655" t="s">
        <v>60</v>
      </c>
      <c r="C96" s="1655"/>
      <c r="D96" s="1655"/>
      <c r="E96" s="1655"/>
    </row>
    <row r="97" spans="1:5" ht="23.25" x14ac:dyDescent="0.35">
      <c r="A97" s="62"/>
      <c r="B97" s="1655" t="s">
        <v>62</v>
      </c>
      <c r="C97" s="1655"/>
      <c r="D97" s="1655"/>
      <c r="E97" s="1655"/>
    </row>
    <row r="98" spans="1:5" ht="23.25" x14ac:dyDescent="0.35">
      <c r="A98" s="62"/>
      <c r="B98" s="1807" t="str">
        <f>$B$11</f>
        <v>WEDŁUG  FORM  ZATRUDNIENIA  WG  STANU  NA  DZIEŃ  31. XII. 2011 r.</v>
      </c>
      <c r="C98" s="1807"/>
      <c r="D98" s="1807"/>
      <c r="E98" s="1807"/>
    </row>
    <row r="100" spans="1:5" ht="13.5" thickBot="1" x14ac:dyDescent="0.25"/>
    <row r="101" spans="1:5" ht="18.75" thickTop="1" x14ac:dyDescent="0.25">
      <c r="B101" s="199"/>
      <c r="C101" s="204"/>
      <c r="D101" s="1808" t="s">
        <v>20</v>
      </c>
      <c r="E101" s="1809"/>
    </row>
    <row r="102" spans="1:5" ht="23.25" x14ac:dyDescent="0.35">
      <c r="B102" s="200" t="s">
        <v>21</v>
      </c>
      <c r="C102" s="205" t="s">
        <v>7</v>
      </c>
      <c r="D102" s="78" t="s">
        <v>22</v>
      </c>
      <c r="E102" s="83" t="s">
        <v>23</v>
      </c>
    </row>
    <row r="103" spans="1:5" ht="18" x14ac:dyDescent="0.25">
      <c r="B103" s="201"/>
      <c r="C103" s="82" t="s">
        <v>64</v>
      </c>
      <c r="D103" s="82" t="s">
        <v>25</v>
      </c>
      <c r="E103" s="83" t="s">
        <v>26</v>
      </c>
    </row>
    <row r="104" spans="1:5" ht="13.5" thickBot="1" x14ac:dyDescent="0.25">
      <c r="B104" s="61">
        <v>0</v>
      </c>
      <c r="C104" s="206">
        <v>1</v>
      </c>
      <c r="D104" s="206">
        <v>2</v>
      </c>
      <c r="E104" s="207">
        <v>3</v>
      </c>
    </row>
    <row r="105" spans="1:5" ht="24" thickTop="1" x14ac:dyDescent="0.35">
      <c r="B105" s="202" t="s">
        <v>65</v>
      </c>
      <c r="C105" s="332">
        <f>C107+C111</f>
        <v>3040</v>
      </c>
      <c r="D105" s="332">
        <f>D107+D111</f>
        <v>2770</v>
      </c>
      <c r="E105" s="335">
        <f>E107+E111</f>
        <v>270</v>
      </c>
    </row>
    <row r="106" spans="1:5" ht="18.75" thickBot="1" x14ac:dyDescent="0.3">
      <c r="B106" s="69" t="s">
        <v>49</v>
      </c>
      <c r="C106" s="336" t="str">
        <f>IF(C105=D105+E105,"","UWAGA!")</f>
        <v/>
      </c>
      <c r="D106" s="208"/>
      <c r="E106" s="71"/>
    </row>
    <row r="107" spans="1:5" ht="18.75" thickTop="1" x14ac:dyDescent="0.25">
      <c r="B107" s="203" t="s">
        <v>66</v>
      </c>
      <c r="C107" s="333">
        <f>C109+C110</f>
        <v>2993</v>
      </c>
      <c r="D107" s="333">
        <f>D109+D110</f>
        <v>2735</v>
      </c>
      <c r="E107" s="334">
        <f>E109+E110</f>
        <v>258</v>
      </c>
    </row>
    <row r="108" spans="1:5" ht="18" x14ac:dyDescent="0.25">
      <c r="B108" s="70" t="s">
        <v>34</v>
      </c>
      <c r="C108" s="209"/>
      <c r="D108" s="209"/>
      <c r="E108" s="210"/>
    </row>
    <row r="109" spans="1:5" ht="18.75" x14ac:dyDescent="0.3">
      <c r="B109" s="69" t="s">
        <v>67</v>
      </c>
      <c r="C109" s="881">
        <f>D109+E109</f>
        <v>2806</v>
      </c>
      <c r="D109" s="1329">
        <v>2587</v>
      </c>
      <c r="E109" s="1330">
        <v>219</v>
      </c>
    </row>
    <row r="110" spans="1:5" ht="19.5" thickBot="1" x14ac:dyDescent="0.35">
      <c r="B110" s="72" t="s">
        <v>68</v>
      </c>
      <c r="C110" s="882">
        <f>D110+E110</f>
        <v>187</v>
      </c>
      <c r="D110" s="1331">
        <v>148</v>
      </c>
      <c r="E110" s="1332">
        <v>39</v>
      </c>
    </row>
    <row r="111" spans="1:5" ht="19.5" thickBot="1" x14ac:dyDescent="0.35">
      <c r="B111" s="73" t="s">
        <v>69</v>
      </c>
      <c r="C111" s="883">
        <f>D111+E111</f>
        <v>47</v>
      </c>
      <c r="D111" s="1333">
        <v>35</v>
      </c>
      <c r="E111" s="1334">
        <v>12</v>
      </c>
    </row>
    <row r="112" spans="1:5" ht="13.5" thickTop="1" x14ac:dyDescent="0.2"/>
    <row r="113" spans="1:5" ht="15.75" x14ac:dyDescent="0.25">
      <c r="B113" s="1"/>
      <c r="E113" s="8"/>
    </row>
    <row r="114" spans="1:5" ht="18" x14ac:dyDescent="0.25">
      <c r="B114" s="11" t="s">
        <v>123</v>
      </c>
      <c r="C114" s="27"/>
      <c r="D114" s="27"/>
      <c r="E114" s="27"/>
    </row>
    <row r="115" spans="1:5" ht="18" x14ac:dyDescent="0.25">
      <c r="B115" s="11" t="s">
        <v>132</v>
      </c>
      <c r="C115" s="27"/>
      <c r="D115" s="11" t="s">
        <v>145</v>
      </c>
      <c r="E115" s="27"/>
    </row>
    <row r="116" spans="1:5" ht="18" x14ac:dyDescent="0.25">
      <c r="A116" s="27"/>
      <c r="B116" s="11" t="s">
        <v>146</v>
      </c>
      <c r="C116" s="27"/>
      <c r="D116" s="27" t="s">
        <v>147</v>
      </c>
      <c r="E116" s="27"/>
    </row>
    <row r="117" spans="1:5" ht="18" x14ac:dyDescent="0.25">
      <c r="B117" s="11"/>
    </row>
    <row r="118" spans="1:5" ht="26.25" x14ac:dyDescent="0.25">
      <c r="A118" s="331" t="s">
        <v>172</v>
      </c>
      <c r="B118" s="11" t="s">
        <v>116</v>
      </c>
      <c r="E118" s="10" t="s">
        <v>57</v>
      </c>
    </row>
    <row r="119" spans="1:5" ht="18" x14ac:dyDescent="0.25">
      <c r="B119" s="14" t="s">
        <v>129</v>
      </c>
    </row>
    <row r="120" spans="1:5" ht="18" x14ac:dyDescent="0.25">
      <c r="B120" s="11" t="s">
        <v>128</v>
      </c>
      <c r="D120" s="1806" t="str">
        <f>$D$33</f>
        <v>Termin: 29 luty 2012 r.</v>
      </c>
      <c r="E120" s="1806"/>
    </row>
    <row r="121" spans="1:5" ht="18" x14ac:dyDescent="0.25">
      <c r="B121" s="11"/>
    </row>
    <row r="122" spans="1:5" ht="18" x14ac:dyDescent="0.25">
      <c r="B122" s="11" t="s">
        <v>130</v>
      </c>
    </row>
    <row r="123" spans="1:5" ht="15.75" x14ac:dyDescent="0.25">
      <c r="B123" s="1" t="s">
        <v>131</v>
      </c>
    </row>
    <row r="125" spans="1:5" ht="23.25" x14ac:dyDescent="0.35">
      <c r="A125" s="62"/>
      <c r="B125" s="1655" t="s">
        <v>60</v>
      </c>
      <c r="C125" s="1655"/>
      <c r="D125" s="1655"/>
      <c r="E125" s="1655"/>
    </row>
    <row r="126" spans="1:5" ht="23.25" x14ac:dyDescent="0.35">
      <c r="A126" s="62"/>
      <c r="B126" s="1655" t="s">
        <v>62</v>
      </c>
      <c r="C126" s="1655"/>
      <c r="D126" s="1655"/>
      <c r="E126" s="1655"/>
    </row>
    <row r="127" spans="1:5" ht="23.25" x14ac:dyDescent="0.35">
      <c r="A127" s="62"/>
      <c r="B127" s="1807" t="str">
        <f>$B$11</f>
        <v>WEDŁUG  FORM  ZATRUDNIENIA  WG  STANU  NA  DZIEŃ  31. XII. 2011 r.</v>
      </c>
      <c r="C127" s="1807"/>
      <c r="D127" s="1807"/>
      <c r="E127" s="1807"/>
    </row>
    <row r="129" spans="2:5" ht="13.5" thickBot="1" x14ac:dyDescent="0.25"/>
    <row r="130" spans="2:5" ht="18.75" thickTop="1" x14ac:dyDescent="0.25">
      <c r="B130" s="199"/>
      <c r="C130" s="204"/>
      <c r="D130" s="1808" t="s">
        <v>20</v>
      </c>
      <c r="E130" s="1809"/>
    </row>
    <row r="131" spans="2:5" ht="23.25" x14ac:dyDescent="0.35">
      <c r="B131" s="200" t="s">
        <v>21</v>
      </c>
      <c r="C131" s="205" t="s">
        <v>7</v>
      </c>
      <c r="D131" s="78" t="s">
        <v>22</v>
      </c>
      <c r="E131" s="83" t="s">
        <v>23</v>
      </c>
    </row>
    <row r="132" spans="2:5" ht="18" x14ac:dyDescent="0.25">
      <c r="B132" s="201"/>
      <c r="C132" s="82" t="s">
        <v>64</v>
      </c>
      <c r="D132" s="82" t="s">
        <v>25</v>
      </c>
      <c r="E132" s="83" t="s">
        <v>26</v>
      </c>
    </row>
    <row r="133" spans="2:5" ht="13.5" thickBot="1" x14ac:dyDescent="0.25">
      <c r="B133" s="61">
        <v>0</v>
      </c>
      <c r="C133" s="206">
        <v>1</v>
      </c>
      <c r="D133" s="206">
        <v>2</v>
      </c>
      <c r="E133" s="207">
        <v>3</v>
      </c>
    </row>
    <row r="134" spans="2:5" ht="24" thickTop="1" x14ac:dyDescent="0.35">
      <c r="B134" s="202" t="s">
        <v>65</v>
      </c>
      <c r="C134" s="332">
        <f>C136+C140</f>
        <v>1720</v>
      </c>
      <c r="D134" s="332">
        <f>D136+D140</f>
        <v>1631</v>
      </c>
      <c r="E134" s="335">
        <f>E136+E140</f>
        <v>89</v>
      </c>
    </row>
    <row r="135" spans="2:5" ht="18.75" thickBot="1" x14ac:dyDescent="0.3">
      <c r="B135" s="69" t="s">
        <v>49</v>
      </c>
      <c r="C135" s="336" t="str">
        <f>IF(C134=D134+E134,"","UWAGA!")</f>
        <v/>
      </c>
      <c r="D135" s="208"/>
      <c r="E135" s="71"/>
    </row>
    <row r="136" spans="2:5" ht="18.75" thickTop="1" x14ac:dyDescent="0.25">
      <c r="B136" s="203" t="s">
        <v>66</v>
      </c>
      <c r="C136" s="333">
        <f>C138+C139</f>
        <v>1658</v>
      </c>
      <c r="D136" s="333">
        <f>D138+D139</f>
        <v>1571</v>
      </c>
      <c r="E136" s="334">
        <f>E138+E139</f>
        <v>87</v>
      </c>
    </row>
    <row r="137" spans="2:5" ht="18" x14ac:dyDescent="0.25">
      <c r="B137" s="70" t="s">
        <v>34</v>
      </c>
      <c r="C137" s="209"/>
      <c r="D137" s="209"/>
      <c r="E137" s="210"/>
    </row>
    <row r="138" spans="2:5" ht="18.75" x14ac:dyDescent="0.3">
      <c r="B138" s="69" t="s">
        <v>67</v>
      </c>
      <c r="C138" s="881">
        <f>D138+E138</f>
        <v>1541</v>
      </c>
      <c r="D138" s="1335">
        <v>1459</v>
      </c>
      <c r="E138" s="1336">
        <v>82</v>
      </c>
    </row>
    <row r="139" spans="2:5" ht="19.5" thickBot="1" x14ac:dyDescent="0.35">
      <c r="B139" s="72" t="s">
        <v>68</v>
      </c>
      <c r="C139" s="882">
        <f>D139+E139</f>
        <v>117</v>
      </c>
      <c r="D139" s="1337">
        <v>112</v>
      </c>
      <c r="E139" s="1338">
        <v>5</v>
      </c>
    </row>
    <row r="140" spans="2:5" ht="19.5" thickBot="1" x14ac:dyDescent="0.35">
      <c r="B140" s="73" t="s">
        <v>69</v>
      </c>
      <c r="C140" s="883">
        <f>D140+E140</f>
        <v>62</v>
      </c>
      <c r="D140" s="1339">
        <v>60</v>
      </c>
      <c r="E140" s="1340">
        <v>2</v>
      </c>
    </row>
    <row r="141" spans="2:5" ht="13.5" thickTop="1" x14ac:dyDescent="0.2"/>
    <row r="142" spans="2:5" ht="15.75" x14ac:dyDescent="0.25">
      <c r="B142" s="1"/>
      <c r="E142" s="8"/>
    </row>
    <row r="143" spans="2:5" ht="18" x14ac:dyDescent="0.25">
      <c r="B143" s="11" t="s">
        <v>123</v>
      </c>
      <c r="C143" s="27"/>
      <c r="D143" s="27"/>
      <c r="E143" s="27"/>
    </row>
    <row r="144" spans="2:5" ht="18" x14ac:dyDescent="0.25">
      <c r="B144" s="11" t="s">
        <v>132</v>
      </c>
      <c r="C144" s="27"/>
      <c r="D144" s="11" t="s">
        <v>145</v>
      </c>
      <c r="E144" s="27"/>
    </row>
    <row r="145" spans="1:5" ht="18" x14ac:dyDescent="0.25">
      <c r="A145" s="27"/>
      <c r="B145" s="11" t="s">
        <v>146</v>
      </c>
      <c r="C145" s="27"/>
      <c r="D145" s="27" t="s">
        <v>147</v>
      </c>
      <c r="E145" s="27"/>
    </row>
    <row r="146" spans="1:5" ht="18" x14ac:dyDescent="0.25">
      <c r="B146" s="11"/>
    </row>
    <row r="147" spans="1:5" ht="26.25" x14ac:dyDescent="0.25">
      <c r="A147" s="331" t="s">
        <v>197</v>
      </c>
      <c r="B147" s="11" t="s">
        <v>116</v>
      </c>
      <c r="E147" s="10" t="s">
        <v>57</v>
      </c>
    </row>
    <row r="148" spans="1:5" ht="18" x14ac:dyDescent="0.25">
      <c r="B148" s="14" t="s">
        <v>129</v>
      </c>
    </row>
    <row r="149" spans="1:5" ht="18" x14ac:dyDescent="0.25">
      <c r="B149" s="11" t="s">
        <v>128</v>
      </c>
      <c r="D149" s="1806" t="str">
        <f>$D$33</f>
        <v>Termin: 29 luty 2012 r.</v>
      </c>
      <c r="E149" s="1806"/>
    </row>
    <row r="150" spans="1:5" ht="18" x14ac:dyDescent="0.25">
      <c r="B150" s="11"/>
    </row>
    <row r="151" spans="1:5" ht="18" x14ac:dyDescent="0.25">
      <c r="B151" s="11" t="s">
        <v>130</v>
      </c>
    </row>
    <row r="152" spans="1:5" ht="15.75" x14ac:dyDescent="0.25">
      <c r="B152" s="1" t="s">
        <v>131</v>
      </c>
    </row>
    <row r="154" spans="1:5" ht="23.25" x14ac:dyDescent="0.35">
      <c r="A154" s="62"/>
      <c r="B154" s="1655" t="s">
        <v>60</v>
      </c>
      <c r="C154" s="1655"/>
      <c r="D154" s="1655"/>
      <c r="E154" s="1655"/>
    </row>
    <row r="155" spans="1:5" ht="23.25" x14ac:dyDescent="0.35">
      <c r="A155" s="62"/>
      <c r="B155" s="1655" t="s">
        <v>62</v>
      </c>
      <c r="C155" s="1655"/>
      <c r="D155" s="1655"/>
      <c r="E155" s="1655"/>
    </row>
    <row r="156" spans="1:5" ht="23.25" x14ac:dyDescent="0.35">
      <c r="A156" s="62"/>
      <c r="B156" s="1807" t="str">
        <f>$B$11</f>
        <v>WEDŁUG  FORM  ZATRUDNIENIA  WG  STANU  NA  DZIEŃ  31. XII. 2011 r.</v>
      </c>
      <c r="C156" s="1807"/>
      <c r="D156" s="1807"/>
      <c r="E156" s="1807"/>
    </row>
    <row r="158" spans="1:5" ht="13.5" thickBot="1" x14ac:dyDescent="0.25"/>
    <row r="159" spans="1:5" ht="18.75" thickTop="1" x14ac:dyDescent="0.25">
      <c r="B159" s="199"/>
      <c r="C159" s="204"/>
      <c r="D159" s="1808" t="s">
        <v>20</v>
      </c>
      <c r="E159" s="1809"/>
    </row>
    <row r="160" spans="1:5" ht="23.25" x14ac:dyDescent="0.35">
      <c r="B160" s="200" t="s">
        <v>21</v>
      </c>
      <c r="C160" s="205" t="s">
        <v>7</v>
      </c>
      <c r="D160" s="78" t="s">
        <v>22</v>
      </c>
      <c r="E160" s="83" t="s">
        <v>23</v>
      </c>
    </row>
    <row r="161" spans="1:5" ht="18" x14ac:dyDescent="0.25">
      <c r="B161" s="201"/>
      <c r="C161" s="82" t="s">
        <v>64</v>
      </c>
      <c r="D161" s="82" t="s">
        <v>25</v>
      </c>
      <c r="E161" s="83" t="s">
        <v>26</v>
      </c>
    </row>
    <row r="162" spans="1:5" ht="13.5" thickBot="1" x14ac:dyDescent="0.25">
      <c r="B162" s="61">
        <v>0</v>
      </c>
      <c r="C162" s="206">
        <v>1</v>
      </c>
      <c r="D162" s="206">
        <v>2</v>
      </c>
      <c r="E162" s="207">
        <v>3</v>
      </c>
    </row>
    <row r="163" spans="1:5" ht="24" thickTop="1" x14ac:dyDescent="0.35">
      <c r="B163" s="202" t="s">
        <v>65</v>
      </c>
      <c r="C163" s="332">
        <f>C165+C169</f>
        <v>4300</v>
      </c>
      <c r="D163" s="332">
        <f>D165+D169</f>
        <v>4074</v>
      </c>
      <c r="E163" s="335">
        <f>E165+E169</f>
        <v>226</v>
      </c>
    </row>
    <row r="164" spans="1:5" ht="18.75" thickBot="1" x14ac:dyDescent="0.3">
      <c r="B164" s="69" t="s">
        <v>49</v>
      </c>
      <c r="C164" s="336" t="str">
        <f>IF(C163=D163+E163,"","UWAGA!")</f>
        <v/>
      </c>
      <c r="D164" s="208"/>
      <c r="E164" s="71"/>
    </row>
    <row r="165" spans="1:5" ht="18.75" thickTop="1" x14ac:dyDescent="0.25">
      <c r="B165" s="203" t="s">
        <v>66</v>
      </c>
      <c r="C165" s="333">
        <f>C167+C168</f>
        <v>4241</v>
      </c>
      <c r="D165" s="333">
        <f>D167+D168</f>
        <v>4034</v>
      </c>
      <c r="E165" s="334">
        <f>E167+E168</f>
        <v>207</v>
      </c>
    </row>
    <row r="166" spans="1:5" ht="18" x14ac:dyDescent="0.25">
      <c r="B166" s="70" t="s">
        <v>34</v>
      </c>
      <c r="C166" s="209"/>
      <c r="D166" s="209"/>
      <c r="E166" s="210"/>
    </row>
    <row r="167" spans="1:5" ht="18.75" x14ac:dyDescent="0.3">
      <c r="B167" s="69" t="s">
        <v>67</v>
      </c>
      <c r="C167" s="881">
        <f>D167+E167</f>
        <v>3898</v>
      </c>
      <c r="D167" s="1329">
        <v>3718</v>
      </c>
      <c r="E167" s="1330">
        <v>180</v>
      </c>
    </row>
    <row r="168" spans="1:5" ht="19.5" thickBot="1" x14ac:dyDescent="0.35">
      <c r="B168" s="72" t="s">
        <v>68</v>
      </c>
      <c r="C168" s="882">
        <f>D168+E168</f>
        <v>343</v>
      </c>
      <c r="D168" s="1331">
        <v>316</v>
      </c>
      <c r="E168" s="1332">
        <v>27</v>
      </c>
    </row>
    <row r="169" spans="1:5" ht="19.5" thickBot="1" x14ac:dyDescent="0.35">
      <c r="B169" s="73" t="s">
        <v>69</v>
      </c>
      <c r="C169" s="883">
        <f>D169+E169</f>
        <v>59</v>
      </c>
      <c r="D169" s="1333">
        <v>40</v>
      </c>
      <c r="E169" s="1334">
        <v>19</v>
      </c>
    </row>
    <row r="170" spans="1:5" ht="13.5" thickTop="1" x14ac:dyDescent="0.2"/>
    <row r="171" spans="1:5" ht="15.75" x14ac:dyDescent="0.25">
      <c r="B171" s="1"/>
      <c r="E171" s="8"/>
    </row>
    <row r="172" spans="1:5" ht="18" x14ac:dyDescent="0.25">
      <c r="B172" s="11" t="s">
        <v>123</v>
      </c>
      <c r="C172" s="27"/>
      <c r="D172" s="27"/>
      <c r="E172" s="27"/>
    </row>
    <row r="173" spans="1:5" ht="18" x14ac:dyDescent="0.25">
      <c r="B173" s="11" t="s">
        <v>132</v>
      </c>
      <c r="C173" s="27"/>
      <c r="D173" s="11" t="s">
        <v>145</v>
      </c>
      <c r="E173" s="27"/>
    </row>
    <row r="174" spans="1:5" ht="18" x14ac:dyDescent="0.25">
      <c r="A174" s="27"/>
      <c r="B174" s="11" t="s">
        <v>146</v>
      </c>
      <c r="C174" s="27"/>
      <c r="D174" s="27" t="s">
        <v>147</v>
      </c>
      <c r="E174" s="27"/>
    </row>
    <row r="175" spans="1:5" ht="18" x14ac:dyDescent="0.25">
      <c r="B175" s="11"/>
    </row>
    <row r="176" spans="1:5" ht="26.25" x14ac:dyDescent="0.25">
      <c r="A176" s="331" t="s">
        <v>198</v>
      </c>
      <c r="B176" s="11" t="s">
        <v>116</v>
      </c>
      <c r="E176" s="10" t="s">
        <v>57</v>
      </c>
    </row>
    <row r="177" spans="1:5" ht="18" x14ac:dyDescent="0.25">
      <c r="B177" s="14" t="s">
        <v>129</v>
      </c>
    </row>
    <row r="178" spans="1:5" ht="18" x14ac:dyDescent="0.25">
      <c r="B178" s="11" t="s">
        <v>128</v>
      </c>
      <c r="D178" s="1806" t="str">
        <f>$D$33</f>
        <v>Termin: 29 luty 2012 r.</v>
      </c>
      <c r="E178" s="1806"/>
    </row>
    <row r="179" spans="1:5" ht="18" x14ac:dyDescent="0.25">
      <c r="B179" s="11"/>
    </row>
    <row r="180" spans="1:5" ht="18" x14ac:dyDescent="0.25">
      <c r="B180" s="11" t="s">
        <v>130</v>
      </c>
    </row>
    <row r="181" spans="1:5" ht="15.75" x14ac:dyDescent="0.25">
      <c r="B181" s="1" t="s">
        <v>131</v>
      </c>
    </row>
    <row r="183" spans="1:5" ht="23.25" x14ac:dyDescent="0.35">
      <c r="A183" s="62"/>
      <c r="B183" s="1655" t="s">
        <v>60</v>
      </c>
      <c r="C183" s="1655"/>
      <c r="D183" s="1655"/>
      <c r="E183" s="1655"/>
    </row>
    <row r="184" spans="1:5" ht="23.25" x14ac:dyDescent="0.35">
      <c r="A184" s="62"/>
      <c r="B184" s="1655" t="s">
        <v>62</v>
      </c>
      <c r="C184" s="1655"/>
      <c r="D184" s="1655"/>
      <c r="E184" s="1655"/>
    </row>
    <row r="185" spans="1:5" ht="23.25" x14ac:dyDescent="0.35">
      <c r="A185" s="62"/>
      <c r="B185" s="1807" t="str">
        <f>$B$11</f>
        <v>WEDŁUG  FORM  ZATRUDNIENIA  WG  STANU  NA  DZIEŃ  31. XII. 2011 r.</v>
      </c>
      <c r="C185" s="1807"/>
      <c r="D185" s="1807"/>
      <c r="E185" s="1807"/>
    </row>
    <row r="187" spans="1:5" ht="13.5" thickBot="1" x14ac:dyDescent="0.25"/>
    <row r="188" spans="1:5" ht="18.75" thickTop="1" x14ac:dyDescent="0.25">
      <c r="B188" s="199"/>
      <c r="C188" s="204"/>
      <c r="D188" s="1808" t="s">
        <v>20</v>
      </c>
      <c r="E188" s="1809"/>
    </row>
    <row r="189" spans="1:5" ht="23.25" x14ac:dyDescent="0.35">
      <c r="B189" s="200" t="s">
        <v>21</v>
      </c>
      <c r="C189" s="205" t="s">
        <v>7</v>
      </c>
      <c r="D189" s="78" t="s">
        <v>22</v>
      </c>
      <c r="E189" s="83" t="s">
        <v>23</v>
      </c>
    </row>
    <row r="190" spans="1:5" ht="18" x14ac:dyDescent="0.25">
      <c r="B190" s="201"/>
      <c r="C190" s="82" t="s">
        <v>64</v>
      </c>
      <c r="D190" s="82" t="s">
        <v>25</v>
      </c>
      <c r="E190" s="83" t="s">
        <v>26</v>
      </c>
    </row>
    <row r="191" spans="1:5" ht="13.5" thickBot="1" x14ac:dyDescent="0.25">
      <c r="B191" s="61">
        <v>0</v>
      </c>
      <c r="C191" s="206">
        <v>1</v>
      </c>
      <c r="D191" s="206">
        <v>2</v>
      </c>
      <c r="E191" s="207">
        <v>3</v>
      </c>
    </row>
    <row r="192" spans="1:5" ht="24" thickTop="1" x14ac:dyDescent="0.35">
      <c r="B192" s="202" t="s">
        <v>65</v>
      </c>
      <c r="C192" s="332">
        <f>C194+C198</f>
        <v>5643</v>
      </c>
      <c r="D192" s="332">
        <f>D194+D198</f>
        <v>4490</v>
      </c>
      <c r="E192" s="335">
        <f>E194+E198</f>
        <v>1153</v>
      </c>
    </row>
    <row r="193" spans="1:5" ht="18.75" thickBot="1" x14ac:dyDescent="0.3">
      <c r="B193" s="69" t="s">
        <v>49</v>
      </c>
      <c r="C193" s="336" t="str">
        <f>IF(C192=D192+E192,"","UWAGA!")</f>
        <v/>
      </c>
      <c r="D193" s="208"/>
      <c r="E193" s="71"/>
    </row>
    <row r="194" spans="1:5" ht="18.75" thickTop="1" x14ac:dyDescent="0.25">
      <c r="B194" s="203" t="s">
        <v>66</v>
      </c>
      <c r="C194" s="333">
        <f>C196+C197</f>
        <v>5547</v>
      </c>
      <c r="D194" s="333">
        <f>D196+D197</f>
        <v>4457</v>
      </c>
      <c r="E194" s="334">
        <f>E196+E197</f>
        <v>1090</v>
      </c>
    </row>
    <row r="195" spans="1:5" ht="18" x14ac:dyDescent="0.25">
      <c r="B195" s="70" t="s">
        <v>34</v>
      </c>
      <c r="C195" s="209"/>
      <c r="D195" s="209"/>
      <c r="E195" s="210"/>
    </row>
    <row r="196" spans="1:5" ht="18.75" x14ac:dyDescent="0.3">
      <c r="B196" s="69" t="s">
        <v>67</v>
      </c>
      <c r="C196" s="881">
        <f>D196+E196</f>
        <v>4956</v>
      </c>
      <c r="D196" s="1329">
        <v>4017</v>
      </c>
      <c r="E196" s="1330">
        <v>939</v>
      </c>
    </row>
    <row r="197" spans="1:5" ht="19.5" thickBot="1" x14ac:dyDescent="0.35">
      <c r="B197" s="72" t="s">
        <v>68</v>
      </c>
      <c r="C197" s="882">
        <f>D197+E197</f>
        <v>591</v>
      </c>
      <c r="D197" s="1331">
        <v>440</v>
      </c>
      <c r="E197" s="1332">
        <v>151</v>
      </c>
    </row>
    <row r="198" spans="1:5" ht="19.5" thickBot="1" x14ac:dyDescent="0.35">
      <c r="B198" s="73" t="s">
        <v>69</v>
      </c>
      <c r="C198" s="883">
        <f>D198+E198</f>
        <v>96</v>
      </c>
      <c r="D198" s="1333">
        <v>33</v>
      </c>
      <c r="E198" s="1334">
        <v>63</v>
      </c>
    </row>
    <row r="199" spans="1:5" ht="13.5" thickTop="1" x14ac:dyDescent="0.2"/>
    <row r="200" spans="1:5" ht="15.75" x14ac:dyDescent="0.25">
      <c r="B200" s="1"/>
      <c r="E200" s="8"/>
    </row>
    <row r="201" spans="1:5" ht="18" x14ac:dyDescent="0.25">
      <c r="B201" s="11" t="s">
        <v>123</v>
      </c>
      <c r="C201" s="27"/>
      <c r="D201" s="27"/>
      <c r="E201" s="27"/>
    </row>
    <row r="202" spans="1:5" ht="18" x14ac:dyDescent="0.25">
      <c r="B202" s="11" t="s">
        <v>132</v>
      </c>
      <c r="C202" s="27"/>
      <c r="D202" s="11" t="s">
        <v>145</v>
      </c>
      <c r="E202" s="27"/>
    </row>
    <row r="203" spans="1:5" ht="18" x14ac:dyDescent="0.25">
      <c r="A203" s="27"/>
      <c r="B203" s="11" t="s">
        <v>146</v>
      </c>
      <c r="C203" s="27"/>
      <c r="D203" s="27" t="s">
        <v>147</v>
      </c>
      <c r="E203" s="27"/>
    </row>
    <row r="204" spans="1:5" ht="18" x14ac:dyDescent="0.25">
      <c r="B204" s="11"/>
    </row>
    <row r="205" spans="1:5" ht="26.25" x14ac:dyDescent="0.25">
      <c r="A205" s="331" t="s">
        <v>199</v>
      </c>
      <c r="B205" s="11" t="s">
        <v>116</v>
      </c>
      <c r="E205" s="10" t="s">
        <v>57</v>
      </c>
    </row>
    <row r="206" spans="1:5" ht="18" x14ac:dyDescent="0.25">
      <c r="B206" s="14" t="s">
        <v>129</v>
      </c>
    </row>
    <row r="207" spans="1:5" ht="18" x14ac:dyDescent="0.25">
      <c r="B207" s="11" t="s">
        <v>128</v>
      </c>
      <c r="D207" s="1806" t="str">
        <f>$D$33</f>
        <v>Termin: 29 luty 2012 r.</v>
      </c>
      <c r="E207" s="1806"/>
    </row>
    <row r="208" spans="1:5" ht="18" x14ac:dyDescent="0.25">
      <c r="B208" s="11"/>
    </row>
    <row r="209" spans="1:5" ht="18" x14ac:dyDescent="0.25">
      <c r="B209" s="11" t="s">
        <v>130</v>
      </c>
    </row>
    <row r="210" spans="1:5" ht="15.75" x14ac:dyDescent="0.25">
      <c r="B210" s="1" t="s">
        <v>131</v>
      </c>
    </row>
    <row r="212" spans="1:5" ht="23.25" x14ac:dyDescent="0.35">
      <c r="A212" s="62"/>
      <c r="B212" s="1655" t="s">
        <v>60</v>
      </c>
      <c r="C212" s="1655"/>
      <c r="D212" s="1655"/>
      <c r="E212" s="1655"/>
    </row>
    <row r="213" spans="1:5" ht="23.25" x14ac:dyDescent="0.35">
      <c r="A213" s="62"/>
      <c r="B213" s="1655" t="s">
        <v>62</v>
      </c>
      <c r="C213" s="1655"/>
      <c r="D213" s="1655"/>
      <c r="E213" s="1655"/>
    </row>
    <row r="214" spans="1:5" ht="23.25" x14ac:dyDescent="0.35">
      <c r="A214" s="62"/>
      <c r="B214" s="1807" t="str">
        <f>$B$11</f>
        <v>WEDŁUG  FORM  ZATRUDNIENIA  WG  STANU  NA  DZIEŃ  31. XII. 2011 r.</v>
      </c>
      <c r="C214" s="1807"/>
      <c r="D214" s="1807"/>
      <c r="E214" s="1807"/>
    </row>
    <row r="216" spans="1:5" ht="13.5" thickBot="1" x14ac:dyDescent="0.25"/>
    <row r="217" spans="1:5" ht="18.75" thickTop="1" x14ac:dyDescent="0.25">
      <c r="B217" s="199"/>
      <c r="C217" s="204"/>
      <c r="D217" s="1808" t="s">
        <v>20</v>
      </c>
      <c r="E217" s="1809"/>
    </row>
    <row r="218" spans="1:5" ht="23.25" x14ac:dyDescent="0.35">
      <c r="B218" s="200" t="s">
        <v>21</v>
      </c>
      <c r="C218" s="205" t="s">
        <v>7</v>
      </c>
      <c r="D218" s="78" t="s">
        <v>22</v>
      </c>
      <c r="E218" s="83" t="s">
        <v>23</v>
      </c>
    </row>
    <row r="219" spans="1:5" ht="18" x14ac:dyDescent="0.25">
      <c r="B219" s="201"/>
      <c r="C219" s="82" t="s">
        <v>64</v>
      </c>
      <c r="D219" s="82" t="s">
        <v>25</v>
      </c>
      <c r="E219" s="83" t="s">
        <v>26</v>
      </c>
    </row>
    <row r="220" spans="1:5" ht="13.5" thickBot="1" x14ac:dyDescent="0.25">
      <c r="B220" s="61">
        <v>0</v>
      </c>
      <c r="C220" s="206">
        <v>1</v>
      </c>
      <c r="D220" s="206">
        <v>2</v>
      </c>
      <c r="E220" s="207">
        <v>3</v>
      </c>
    </row>
    <row r="221" spans="1:5" ht="24" thickTop="1" x14ac:dyDescent="0.35">
      <c r="B221" s="202" t="s">
        <v>65</v>
      </c>
      <c r="C221" s="332">
        <f>C223+C227</f>
        <v>6625</v>
      </c>
      <c r="D221" s="332">
        <f>D223+D227</f>
        <v>5766</v>
      </c>
      <c r="E221" s="335">
        <f>E223+E227</f>
        <v>859</v>
      </c>
    </row>
    <row r="222" spans="1:5" ht="18.75" thickBot="1" x14ac:dyDescent="0.3">
      <c r="B222" s="69" t="s">
        <v>49</v>
      </c>
      <c r="C222" s="336" t="str">
        <f>IF(C221=D221+E221,"","UWAGA!")</f>
        <v/>
      </c>
      <c r="D222" s="208"/>
      <c r="E222" s="71"/>
    </row>
    <row r="223" spans="1:5" ht="18.75" thickTop="1" x14ac:dyDescent="0.25">
      <c r="B223" s="203" t="s">
        <v>66</v>
      </c>
      <c r="C223" s="333">
        <f>C225+C226</f>
        <v>6529</v>
      </c>
      <c r="D223" s="333">
        <f>D225+D226</f>
        <v>5698</v>
      </c>
      <c r="E223" s="334">
        <f>E225+E226</f>
        <v>831</v>
      </c>
    </row>
    <row r="224" spans="1:5" ht="18" x14ac:dyDescent="0.25">
      <c r="B224" s="70" t="s">
        <v>34</v>
      </c>
      <c r="C224" s="209"/>
      <c r="D224" s="209"/>
      <c r="E224" s="210"/>
    </row>
    <row r="225" spans="1:5" ht="18.75" x14ac:dyDescent="0.3">
      <c r="B225" s="69" t="s">
        <v>67</v>
      </c>
      <c r="C225" s="881">
        <f>D225+E225</f>
        <v>5821</v>
      </c>
      <c r="D225" s="1329">
        <v>5074</v>
      </c>
      <c r="E225" s="1330">
        <v>747</v>
      </c>
    </row>
    <row r="226" spans="1:5" ht="19.5" thickBot="1" x14ac:dyDescent="0.35">
      <c r="B226" s="72" t="s">
        <v>68</v>
      </c>
      <c r="C226" s="882">
        <f>D226+E226</f>
        <v>708</v>
      </c>
      <c r="D226" s="1331">
        <v>624</v>
      </c>
      <c r="E226" s="1332">
        <v>84</v>
      </c>
    </row>
    <row r="227" spans="1:5" ht="19.5" thickBot="1" x14ac:dyDescent="0.35">
      <c r="B227" s="73" t="s">
        <v>69</v>
      </c>
      <c r="C227" s="883">
        <f>D227+E227</f>
        <v>96</v>
      </c>
      <c r="D227" s="1333">
        <v>68</v>
      </c>
      <c r="E227" s="1334">
        <v>28</v>
      </c>
    </row>
    <row r="228" spans="1:5" ht="13.5" thickTop="1" x14ac:dyDescent="0.2"/>
    <row r="229" spans="1:5" ht="15.75" x14ac:dyDescent="0.25">
      <c r="B229" s="1"/>
      <c r="E229" s="8"/>
    </row>
    <row r="230" spans="1:5" ht="18" x14ac:dyDescent="0.25">
      <c r="B230" s="11" t="s">
        <v>123</v>
      </c>
      <c r="C230" s="27"/>
      <c r="D230" s="27"/>
      <c r="E230" s="27"/>
    </row>
    <row r="231" spans="1:5" ht="18" x14ac:dyDescent="0.25">
      <c r="B231" s="11" t="s">
        <v>132</v>
      </c>
      <c r="C231" s="27"/>
      <c r="D231" s="11" t="s">
        <v>145</v>
      </c>
      <c r="E231" s="27"/>
    </row>
    <row r="232" spans="1:5" ht="18" x14ac:dyDescent="0.25">
      <c r="A232" s="27"/>
      <c r="B232" s="11" t="s">
        <v>146</v>
      </c>
      <c r="C232" s="27"/>
      <c r="D232" s="27" t="s">
        <v>147</v>
      </c>
      <c r="E232" s="27"/>
    </row>
    <row r="233" spans="1:5" ht="18" x14ac:dyDescent="0.25">
      <c r="B233" s="11"/>
    </row>
    <row r="234" spans="1:5" ht="26.25" x14ac:dyDescent="0.25">
      <c r="A234" s="331" t="s">
        <v>200</v>
      </c>
      <c r="B234" s="11" t="s">
        <v>116</v>
      </c>
      <c r="E234" s="10" t="s">
        <v>57</v>
      </c>
    </row>
    <row r="235" spans="1:5" ht="18" x14ac:dyDescent="0.25">
      <c r="B235" s="14" t="s">
        <v>129</v>
      </c>
    </row>
    <row r="236" spans="1:5" ht="18" x14ac:dyDescent="0.25">
      <c r="B236" s="11" t="s">
        <v>128</v>
      </c>
      <c r="D236" s="1806" t="str">
        <f>$D$33</f>
        <v>Termin: 29 luty 2012 r.</v>
      </c>
      <c r="E236" s="1806"/>
    </row>
    <row r="237" spans="1:5" ht="18" x14ac:dyDescent="0.25">
      <c r="B237" s="11"/>
    </row>
    <row r="238" spans="1:5" ht="18" x14ac:dyDescent="0.25">
      <c r="B238" s="11" t="s">
        <v>130</v>
      </c>
    </row>
    <row r="239" spans="1:5" ht="15.75" x14ac:dyDescent="0.25">
      <c r="B239" s="1" t="s">
        <v>131</v>
      </c>
    </row>
    <row r="241" spans="1:5" ht="23.25" x14ac:dyDescent="0.35">
      <c r="A241" s="62"/>
      <c r="B241" s="1655" t="s">
        <v>60</v>
      </c>
      <c r="C241" s="1655"/>
      <c r="D241" s="1655"/>
      <c r="E241" s="1655"/>
    </row>
    <row r="242" spans="1:5" ht="23.25" x14ac:dyDescent="0.35">
      <c r="A242" s="62"/>
      <c r="B242" s="1655" t="s">
        <v>62</v>
      </c>
      <c r="C242" s="1655"/>
      <c r="D242" s="1655"/>
      <c r="E242" s="1655"/>
    </row>
    <row r="243" spans="1:5" ht="23.25" x14ac:dyDescent="0.35">
      <c r="A243" s="62"/>
      <c r="B243" s="1807" t="str">
        <f>$B$11</f>
        <v>WEDŁUG  FORM  ZATRUDNIENIA  WG  STANU  NA  DZIEŃ  31. XII. 2011 r.</v>
      </c>
      <c r="C243" s="1807"/>
      <c r="D243" s="1807"/>
      <c r="E243" s="1807"/>
    </row>
    <row r="245" spans="1:5" ht="13.5" thickBot="1" x14ac:dyDescent="0.25"/>
    <row r="246" spans="1:5" ht="18.75" thickTop="1" x14ac:dyDescent="0.25">
      <c r="B246" s="199"/>
      <c r="C246" s="204"/>
      <c r="D246" s="1808" t="s">
        <v>20</v>
      </c>
      <c r="E246" s="1809"/>
    </row>
    <row r="247" spans="1:5" ht="23.25" x14ac:dyDescent="0.35">
      <c r="B247" s="200" t="s">
        <v>21</v>
      </c>
      <c r="C247" s="205" t="s">
        <v>7</v>
      </c>
      <c r="D247" s="78" t="s">
        <v>22</v>
      </c>
      <c r="E247" s="83" t="s">
        <v>23</v>
      </c>
    </row>
    <row r="248" spans="1:5" ht="18" x14ac:dyDescent="0.25">
      <c r="B248" s="201"/>
      <c r="C248" s="82" t="s">
        <v>64</v>
      </c>
      <c r="D248" s="82" t="s">
        <v>25</v>
      </c>
      <c r="E248" s="83" t="s">
        <v>26</v>
      </c>
    </row>
    <row r="249" spans="1:5" ht="13.5" thickBot="1" x14ac:dyDescent="0.25">
      <c r="B249" s="61">
        <v>0</v>
      </c>
      <c r="C249" s="206">
        <v>1</v>
      </c>
      <c r="D249" s="206">
        <v>2</v>
      </c>
      <c r="E249" s="207">
        <v>3</v>
      </c>
    </row>
    <row r="250" spans="1:5" ht="24" thickTop="1" x14ac:dyDescent="0.35">
      <c r="B250" s="202" t="s">
        <v>65</v>
      </c>
      <c r="C250" s="332">
        <f>C252+C256</f>
        <v>1821</v>
      </c>
      <c r="D250" s="332">
        <f>D252+D256</f>
        <v>1242</v>
      </c>
      <c r="E250" s="335">
        <f>E252+E256</f>
        <v>579</v>
      </c>
    </row>
    <row r="251" spans="1:5" ht="18.75" thickBot="1" x14ac:dyDescent="0.3">
      <c r="B251" s="69" t="s">
        <v>49</v>
      </c>
      <c r="C251" s="336" t="str">
        <f>IF(C250=D250+E250,"","UWAGA!")</f>
        <v/>
      </c>
      <c r="D251" s="208"/>
      <c r="E251" s="71"/>
    </row>
    <row r="252" spans="1:5" ht="18.75" thickTop="1" x14ac:dyDescent="0.25">
      <c r="B252" s="203" t="s">
        <v>66</v>
      </c>
      <c r="C252" s="333">
        <f>C254+C255</f>
        <v>1800</v>
      </c>
      <c r="D252" s="333">
        <f>D254+D255</f>
        <v>1231</v>
      </c>
      <c r="E252" s="334">
        <f>E254+E255</f>
        <v>569</v>
      </c>
    </row>
    <row r="253" spans="1:5" ht="18" x14ac:dyDescent="0.25">
      <c r="B253" s="70" t="s">
        <v>34</v>
      </c>
      <c r="C253" s="209"/>
      <c r="D253" s="209"/>
      <c r="E253" s="210"/>
    </row>
    <row r="254" spans="1:5" ht="18.75" x14ac:dyDescent="0.3">
      <c r="B254" s="69" t="s">
        <v>67</v>
      </c>
      <c r="C254" s="881">
        <f>D254+E254</f>
        <v>1658</v>
      </c>
      <c r="D254" s="1329">
        <v>1161</v>
      </c>
      <c r="E254" s="1330">
        <v>497</v>
      </c>
    </row>
    <row r="255" spans="1:5" ht="19.5" thickBot="1" x14ac:dyDescent="0.35">
      <c r="B255" s="72" t="s">
        <v>68</v>
      </c>
      <c r="C255" s="882">
        <f>D255+E255</f>
        <v>142</v>
      </c>
      <c r="D255" s="1331">
        <v>70</v>
      </c>
      <c r="E255" s="1332">
        <v>72</v>
      </c>
    </row>
    <row r="256" spans="1:5" ht="19.5" thickBot="1" x14ac:dyDescent="0.35">
      <c r="B256" s="73" t="s">
        <v>69</v>
      </c>
      <c r="C256" s="883">
        <f>D256+E256</f>
        <v>21</v>
      </c>
      <c r="D256" s="1333">
        <v>11</v>
      </c>
      <c r="E256" s="1334">
        <v>10</v>
      </c>
    </row>
    <row r="257" spans="1:5" ht="13.5" thickTop="1" x14ac:dyDescent="0.2"/>
    <row r="258" spans="1:5" ht="15.75" x14ac:dyDescent="0.25">
      <c r="B258" s="1"/>
      <c r="E258" s="8"/>
    </row>
    <row r="259" spans="1:5" ht="18" x14ac:dyDescent="0.25">
      <c r="B259" s="11" t="s">
        <v>123</v>
      </c>
      <c r="C259" s="27"/>
      <c r="D259" s="27"/>
      <c r="E259" s="27"/>
    </row>
    <row r="260" spans="1:5" ht="18" x14ac:dyDescent="0.25">
      <c r="B260" s="11" t="s">
        <v>132</v>
      </c>
      <c r="C260" s="27"/>
      <c r="D260" s="11" t="s">
        <v>145</v>
      </c>
      <c r="E260" s="27"/>
    </row>
    <row r="261" spans="1:5" ht="18" x14ac:dyDescent="0.25">
      <c r="A261" s="27"/>
      <c r="B261" s="11" t="s">
        <v>146</v>
      </c>
      <c r="C261" s="27"/>
      <c r="D261" s="27" t="s">
        <v>147</v>
      </c>
      <c r="E261" s="27"/>
    </row>
    <row r="262" spans="1:5" ht="18" x14ac:dyDescent="0.25">
      <c r="B262" s="11"/>
    </row>
    <row r="263" spans="1:5" ht="26.25" x14ac:dyDescent="0.25">
      <c r="A263" s="331" t="s">
        <v>201</v>
      </c>
      <c r="B263" s="11" t="s">
        <v>116</v>
      </c>
      <c r="E263" s="10" t="s">
        <v>57</v>
      </c>
    </row>
    <row r="264" spans="1:5" ht="18" x14ac:dyDescent="0.25">
      <c r="B264" s="14" t="s">
        <v>129</v>
      </c>
    </row>
    <row r="265" spans="1:5" ht="18" x14ac:dyDescent="0.25">
      <c r="B265" s="11" t="s">
        <v>128</v>
      </c>
      <c r="D265" s="1806" t="str">
        <f>$D$33</f>
        <v>Termin: 29 luty 2012 r.</v>
      </c>
      <c r="E265" s="1806"/>
    </row>
    <row r="266" spans="1:5" ht="18" x14ac:dyDescent="0.25">
      <c r="B266" s="11"/>
    </row>
    <row r="267" spans="1:5" ht="18" x14ac:dyDescent="0.25">
      <c r="B267" s="11" t="s">
        <v>130</v>
      </c>
    </row>
    <row r="268" spans="1:5" ht="15.75" x14ac:dyDescent="0.25">
      <c r="B268" s="1" t="s">
        <v>131</v>
      </c>
    </row>
    <row r="270" spans="1:5" ht="23.25" x14ac:dyDescent="0.35">
      <c r="A270" s="62"/>
      <c r="B270" s="1655" t="s">
        <v>60</v>
      </c>
      <c r="C270" s="1655"/>
      <c r="D270" s="1655"/>
      <c r="E270" s="1655"/>
    </row>
    <row r="271" spans="1:5" ht="23.25" x14ac:dyDescent="0.35">
      <c r="A271" s="62"/>
      <c r="B271" s="1655" t="s">
        <v>62</v>
      </c>
      <c r="C271" s="1655"/>
      <c r="D271" s="1655"/>
      <c r="E271" s="1655"/>
    </row>
    <row r="272" spans="1:5" ht="23.25" x14ac:dyDescent="0.35">
      <c r="A272" s="62"/>
      <c r="B272" s="1807" t="str">
        <f>$B$11</f>
        <v>WEDŁUG  FORM  ZATRUDNIENIA  WG  STANU  NA  DZIEŃ  31. XII. 2011 r.</v>
      </c>
      <c r="C272" s="1807"/>
      <c r="D272" s="1807"/>
      <c r="E272" s="1807"/>
    </row>
    <row r="274" spans="2:6" ht="13.5" thickBot="1" x14ac:dyDescent="0.25"/>
    <row r="275" spans="2:6" ht="18.75" thickTop="1" x14ac:dyDescent="0.25">
      <c r="B275" s="199"/>
      <c r="C275" s="204"/>
      <c r="D275" s="1808" t="s">
        <v>20</v>
      </c>
      <c r="E275" s="1809"/>
    </row>
    <row r="276" spans="2:6" ht="23.25" x14ac:dyDescent="0.35">
      <c r="B276" s="200" t="s">
        <v>21</v>
      </c>
      <c r="C276" s="205" t="s">
        <v>7</v>
      </c>
      <c r="D276" s="78" t="s">
        <v>22</v>
      </c>
      <c r="E276" s="83" t="s">
        <v>23</v>
      </c>
    </row>
    <row r="277" spans="2:6" ht="18" x14ac:dyDescent="0.25">
      <c r="B277" s="201"/>
      <c r="C277" s="82" t="s">
        <v>64</v>
      </c>
      <c r="D277" s="82" t="s">
        <v>25</v>
      </c>
      <c r="E277" s="83" t="s">
        <v>26</v>
      </c>
    </row>
    <row r="278" spans="2:6" ht="13.5" thickBot="1" x14ac:dyDescent="0.25">
      <c r="B278" s="61">
        <v>0</v>
      </c>
      <c r="C278" s="206">
        <v>1</v>
      </c>
      <c r="D278" s="206">
        <v>2</v>
      </c>
      <c r="E278" s="207">
        <v>3</v>
      </c>
    </row>
    <row r="279" spans="2:6" ht="24" thickTop="1" x14ac:dyDescent="0.35">
      <c r="B279" s="202" t="s">
        <v>65</v>
      </c>
      <c r="C279" s="1119">
        <f>C281+C285</f>
        <v>3192</v>
      </c>
      <c r="D279" s="332">
        <f>D281+D285</f>
        <v>2419</v>
      </c>
      <c r="E279" s="1121">
        <f>E281+E285</f>
        <v>773</v>
      </c>
    </row>
    <row r="280" spans="2:6" ht="18.75" thickBot="1" x14ac:dyDescent="0.3">
      <c r="B280" s="69" t="s">
        <v>49</v>
      </c>
      <c r="C280" s="336" t="str">
        <f>IF(C279=D279+E279,"","UWAGA!")</f>
        <v/>
      </c>
      <c r="D280" s="401" t="str">
        <f>IF(C280="UWAGA!", C279-(D279+E279), "")</f>
        <v/>
      </c>
      <c r="E280" s="71"/>
    </row>
    <row r="281" spans="2:6" ht="18.75" thickTop="1" x14ac:dyDescent="0.25">
      <c r="B281" s="203" t="s">
        <v>66</v>
      </c>
      <c r="C281" s="1118">
        <f>C283+C284</f>
        <v>3137</v>
      </c>
      <c r="D281" s="333">
        <f>D283+D284</f>
        <v>2389</v>
      </c>
      <c r="E281" s="1120">
        <f>E283+E284</f>
        <v>748</v>
      </c>
    </row>
    <row r="282" spans="2:6" ht="18" x14ac:dyDescent="0.25">
      <c r="B282" s="70" t="s">
        <v>34</v>
      </c>
      <c r="C282" s="209"/>
      <c r="D282" s="209"/>
      <c r="E282" s="210"/>
    </row>
    <row r="283" spans="2:6" ht="18.75" x14ac:dyDescent="0.3">
      <c r="B283" s="69" t="s">
        <v>67</v>
      </c>
      <c r="C283" s="1117">
        <f>D283+E283</f>
        <v>2953</v>
      </c>
      <c r="D283" s="1329">
        <v>2266</v>
      </c>
      <c r="E283" s="1330">
        <v>687</v>
      </c>
      <c r="F283" s="402"/>
    </row>
    <row r="284" spans="2:6" ht="19.5" thickBot="1" x14ac:dyDescent="0.35">
      <c r="B284" s="72" t="s">
        <v>68</v>
      </c>
      <c r="C284" s="882">
        <f>D284+E284</f>
        <v>184</v>
      </c>
      <c r="D284" s="1331">
        <v>123</v>
      </c>
      <c r="E284" s="1332">
        <v>61</v>
      </c>
      <c r="F284" s="403"/>
    </row>
    <row r="285" spans="2:6" ht="19.5" thickBot="1" x14ac:dyDescent="0.35">
      <c r="B285" s="73" t="s">
        <v>69</v>
      </c>
      <c r="C285" s="883">
        <f>D285+E285</f>
        <v>55</v>
      </c>
      <c r="D285" s="1341">
        <v>30</v>
      </c>
      <c r="E285" s="1342">
        <v>25</v>
      </c>
      <c r="F285" s="403"/>
    </row>
    <row r="286" spans="2:6" ht="13.5" thickTop="1" x14ac:dyDescent="0.2"/>
    <row r="287" spans="2:6" ht="15.75" x14ac:dyDescent="0.25">
      <c r="B287" s="1"/>
      <c r="E287" s="8"/>
    </row>
    <row r="288" spans="2:6" ht="18" x14ac:dyDescent="0.25">
      <c r="B288" s="11" t="s">
        <v>123</v>
      </c>
      <c r="C288" s="27"/>
      <c r="D288" s="27"/>
      <c r="E288" s="27"/>
    </row>
    <row r="289" spans="1:5" ht="18" x14ac:dyDescent="0.25">
      <c r="B289" s="11" t="s">
        <v>132</v>
      </c>
      <c r="C289" s="27"/>
      <c r="D289" s="11" t="s">
        <v>145</v>
      </c>
      <c r="E289" s="27"/>
    </row>
    <row r="290" spans="1:5" ht="18" x14ac:dyDescent="0.25">
      <c r="A290" s="27"/>
      <c r="B290" s="11" t="s">
        <v>146</v>
      </c>
      <c r="C290" s="27"/>
      <c r="D290" s="27" t="s">
        <v>147</v>
      </c>
      <c r="E290" s="27"/>
    </row>
    <row r="291" spans="1:5" ht="18" x14ac:dyDescent="0.25">
      <c r="B291" s="11"/>
    </row>
    <row r="292" spans="1:5" ht="26.25" x14ac:dyDescent="0.25">
      <c r="A292" s="331" t="s">
        <v>202</v>
      </c>
      <c r="B292" s="11" t="s">
        <v>116</v>
      </c>
      <c r="E292" s="10" t="s">
        <v>57</v>
      </c>
    </row>
    <row r="293" spans="1:5" ht="18" x14ac:dyDescent="0.25">
      <c r="B293" s="14" t="s">
        <v>129</v>
      </c>
    </row>
    <row r="294" spans="1:5" ht="18" x14ac:dyDescent="0.25">
      <c r="B294" s="11" t="s">
        <v>128</v>
      </c>
      <c r="D294" s="1806" t="str">
        <f>$D$33</f>
        <v>Termin: 29 luty 2012 r.</v>
      </c>
      <c r="E294" s="1806"/>
    </row>
    <row r="295" spans="1:5" ht="18" x14ac:dyDescent="0.25">
      <c r="B295" s="11"/>
    </row>
    <row r="296" spans="1:5" ht="18" x14ac:dyDescent="0.25">
      <c r="B296" s="11" t="s">
        <v>130</v>
      </c>
    </row>
    <row r="297" spans="1:5" ht="15.75" x14ac:dyDescent="0.25">
      <c r="B297" s="1" t="s">
        <v>131</v>
      </c>
    </row>
    <row r="299" spans="1:5" ht="23.25" x14ac:dyDescent="0.35">
      <c r="A299" s="62"/>
      <c r="B299" s="1655" t="s">
        <v>60</v>
      </c>
      <c r="C299" s="1655"/>
      <c r="D299" s="1655"/>
      <c r="E299" s="1655"/>
    </row>
    <row r="300" spans="1:5" ht="23.25" x14ac:dyDescent="0.35">
      <c r="A300" s="62"/>
      <c r="B300" s="1655" t="s">
        <v>62</v>
      </c>
      <c r="C300" s="1655"/>
      <c r="D300" s="1655"/>
      <c r="E300" s="1655"/>
    </row>
    <row r="301" spans="1:5" ht="23.25" x14ac:dyDescent="0.35">
      <c r="A301" s="62"/>
      <c r="B301" s="1807" t="str">
        <f>$B$11</f>
        <v>WEDŁUG  FORM  ZATRUDNIENIA  WG  STANU  NA  DZIEŃ  31. XII. 2011 r.</v>
      </c>
      <c r="C301" s="1807"/>
      <c r="D301" s="1807"/>
      <c r="E301" s="1807"/>
    </row>
    <row r="303" spans="1:5" ht="13.5" thickBot="1" x14ac:dyDescent="0.25"/>
    <row r="304" spans="1:5" ht="18.75" thickTop="1" x14ac:dyDescent="0.25">
      <c r="B304" s="199"/>
      <c r="C304" s="204"/>
      <c r="D304" s="1808" t="s">
        <v>20</v>
      </c>
      <c r="E304" s="1809"/>
    </row>
    <row r="305" spans="1:5" ht="23.25" x14ac:dyDescent="0.35">
      <c r="B305" s="200" t="s">
        <v>21</v>
      </c>
      <c r="C305" s="205" t="s">
        <v>7</v>
      </c>
      <c r="D305" s="78" t="s">
        <v>22</v>
      </c>
      <c r="E305" s="83" t="s">
        <v>23</v>
      </c>
    </row>
    <row r="306" spans="1:5" ht="18" x14ac:dyDescent="0.25">
      <c r="B306" s="201"/>
      <c r="C306" s="82" t="s">
        <v>64</v>
      </c>
      <c r="D306" s="82" t="s">
        <v>25</v>
      </c>
      <c r="E306" s="83" t="s">
        <v>26</v>
      </c>
    </row>
    <row r="307" spans="1:5" ht="13.5" thickBot="1" x14ac:dyDescent="0.25">
      <c r="B307" s="61">
        <v>0</v>
      </c>
      <c r="C307" s="206">
        <v>1</v>
      </c>
      <c r="D307" s="206">
        <v>2</v>
      </c>
      <c r="E307" s="207">
        <v>3</v>
      </c>
    </row>
    <row r="308" spans="1:5" ht="24" thickTop="1" x14ac:dyDescent="0.35">
      <c r="B308" s="202" t="s">
        <v>65</v>
      </c>
      <c r="C308" s="332">
        <f>C310+C314</f>
        <v>1691</v>
      </c>
      <c r="D308" s="332">
        <f>D310+D314</f>
        <v>1380</v>
      </c>
      <c r="E308" s="335">
        <f>E310+E314</f>
        <v>311</v>
      </c>
    </row>
    <row r="309" spans="1:5" ht="18.75" thickBot="1" x14ac:dyDescent="0.3">
      <c r="B309" s="69" t="s">
        <v>49</v>
      </c>
      <c r="C309" s="336" t="str">
        <f>IF(C308=D308+E308,"","UWAGA!")</f>
        <v/>
      </c>
      <c r="D309" s="208"/>
      <c r="E309" s="71"/>
    </row>
    <row r="310" spans="1:5" ht="18.75" thickTop="1" x14ac:dyDescent="0.25">
      <c r="B310" s="203" t="s">
        <v>66</v>
      </c>
      <c r="C310" s="333">
        <f>C312+C313</f>
        <v>1659</v>
      </c>
      <c r="D310" s="333">
        <f>D312+D313</f>
        <v>1351</v>
      </c>
      <c r="E310" s="334">
        <f>E312+E313</f>
        <v>308</v>
      </c>
    </row>
    <row r="311" spans="1:5" ht="18" x14ac:dyDescent="0.25">
      <c r="B311" s="70" t="s">
        <v>34</v>
      </c>
      <c r="C311" s="209"/>
      <c r="D311" s="209"/>
      <c r="E311" s="210"/>
    </row>
    <row r="312" spans="1:5" ht="18.75" x14ac:dyDescent="0.3">
      <c r="B312" s="69" t="s">
        <v>67</v>
      </c>
      <c r="C312" s="881">
        <f>D312+E312</f>
        <v>1535</v>
      </c>
      <c r="D312" s="1329">
        <v>1267</v>
      </c>
      <c r="E312" s="1330">
        <v>268</v>
      </c>
    </row>
    <row r="313" spans="1:5" ht="19.5" thickBot="1" x14ac:dyDescent="0.35">
      <c r="B313" s="72" t="s">
        <v>68</v>
      </c>
      <c r="C313" s="882">
        <f>D313+E313</f>
        <v>124</v>
      </c>
      <c r="D313" s="1331">
        <v>84</v>
      </c>
      <c r="E313" s="1332">
        <v>40</v>
      </c>
    </row>
    <row r="314" spans="1:5" ht="19.5" thickBot="1" x14ac:dyDescent="0.35">
      <c r="B314" s="73" t="s">
        <v>69</v>
      </c>
      <c r="C314" s="883">
        <f>D314+E314</f>
        <v>32</v>
      </c>
      <c r="D314" s="1333">
        <v>29</v>
      </c>
      <c r="E314" s="1334">
        <v>3</v>
      </c>
    </row>
    <row r="315" spans="1:5" ht="13.5" thickTop="1" x14ac:dyDescent="0.2"/>
    <row r="316" spans="1:5" ht="15.75" x14ac:dyDescent="0.25">
      <c r="B316" s="1"/>
      <c r="E316" s="8"/>
    </row>
    <row r="317" spans="1:5" ht="18" x14ac:dyDescent="0.25">
      <c r="B317" s="11" t="s">
        <v>123</v>
      </c>
      <c r="C317" s="27"/>
      <c r="D317" s="27"/>
      <c r="E317" s="27"/>
    </row>
    <row r="318" spans="1:5" ht="18" x14ac:dyDescent="0.25">
      <c r="B318" s="11" t="s">
        <v>132</v>
      </c>
      <c r="C318" s="27"/>
      <c r="D318" s="11" t="s">
        <v>145</v>
      </c>
      <c r="E318" s="27"/>
    </row>
    <row r="319" spans="1:5" ht="18" x14ac:dyDescent="0.25">
      <c r="A319" s="27"/>
      <c r="B319" s="11" t="s">
        <v>146</v>
      </c>
      <c r="C319" s="27"/>
      <c r="D319" s="27" t="s">
        <v>147</v>
      </c>
      <c r="E319" s="27"/>
    </row>
    <row r="320" spans="1:5" ht="18" x14ac:dyDescent="0.25">
      <c r="B320" s="11"/>
    </row>
    <row r="321" spans="1:5" ht="26.25" x14ac:dyDescent="0.25">
      <c r="A321" s="331" t="s">
        <v>203</v>
      </c>
      <c r="B321" s="11" t="s">
        <v>116</v>
      </c>
      <c r="E321" s="10" t="s">
        <v>57</v>
      </c>
    </row>
    <row r="322" spans="1:5" ht="18" x14ac:dyDescent="0.25">
      <c r="B322" s="14" t="s">
        <v>129</v>
      </c>
    </row>
    <row r="323" spans="1:5" ht="18" x14ac:dyDescent="0.25">
      <c r="B323" s="11" t="s">
        <v>128</v>
      </c>
      <c r="D323" s="1806" t="str">
        <f>$D$33</f>
        <v>Termin: 29 luty 2012 r.</v>
      </c>
      <c r="E323" s="1806"/>
    </row>
    <row r="324" spans="1:5" ht="18" x14ac:dyDescent="0.25">
      <c r="B324" s="11"/>
    </row>
    <row r="325" spans="1:5" ht="18" x14ac:dyDescent="0.25">
      <c r="B325" s="11" t="s">
        <v>130</v>
      </c>
    </row>
    <row r="326" spans="1:5" ht="15.75" x14ac:dyDescent="0.25">
      <c r="B326" s="1" t="s">
        <v>131</v>
      </c>
    </row>
    <row r="328" spans="1:5" ht="23.25" x14ac:dyDescent="0.35">
      <c r="A328" s="62"/>
      <c r="B328" s="1655" t="s">
        <v>60</v>
      </c>
      <c r="C328" s="1655"/>
      <c r="D328" s="1655"/>
      <c r="E328" s="1655"/>
    </row>
    <row r="329" spans="1:5" ht="23.25" x14ac:dyDescent="0.35">
      <c r="A329" s="62"/>
      <c r="B329" s="1655" t="s">
        <v>62</v>
      </c>
      <c r="C329" s="1655"/>
      <c r="D329" s="1655"/>
      <c r="E329" s="1655"/>
    </row>
    <row r="330" spans="1:5" ht="23.25" x14ac:dyDescent="0.35">
      <c r="A330" s="62"/>
      <c r="B330" s="1807" t="str">
        <f>$B$11</f>
        <v>WEDŁUG  FORM  ZATRUDNIENIA  WG  STANU  NA  DZIEŃ  31. XII. 2011 r.</v>
      </c>
      <c r="C330" s="1807"/>
      <c r="D330" s="1807"/>
      <c r="E330" s="1807"/>
    </row>
    <row r="332" spans="1:5" ht="13.5" thickBot="1" x14ac:dyDescent="0.25"/>
    <row r="333" spans="1:5" ht="18.75" thickTop="1" x14ac:dyDescent="0.25">
      <c r="B333" s="199"/>
      <c r="C333" s="204"/>
      <c r="D333" s="1808" t="s">
        <v>20</v>
      </c>
      <c r="E333" s="1809"/>
    </row>
    <row r="334" spans="1:5" ht="23.25" x14ac:dyDescent="0.35">
      <c r="B334" s="200" t="s">
        <v>21</v>
      </c>
      <c r="C334" s="205" t="s">
        <v>7</v>
      </c>
      <c r="D334" s="78" t="s">
        <v>22</v>
      </c>
      <c r="E334" s="83" t="s">
        <v>23</v>
      </c>
    </row>
    <row r="335" spans="1:5" ht="18" x14ac:dyDescent="0.25">
      <c r="B335" s="201"/>
      <c r="C335" s="82" t="s">
        <v>64</v>
      </c>
      <c r="D335" s="82" t="s">
        <v>25</v>
      </c>
      <c r="E335" s="83" t="s">
        <v>26</v>
      </c>
    </row>
    <row r="336" spans="1:5" ht="13.5" thickBot="1" x14ac:dyDescent="0.25">
      <c r="B336" s="61">
        <v>0</v>
      </c>
      <c r="C336" s="206">
        <v>1</v>
      </c>
      <c r="D336" s="206">
        <v>2</v>
      </c>
      <c r="E336" s="207">
        <v>3</v>
      </c>
    </row>
    <row r="337" spans="1:5" ht="24" thickTop="1" x14ac:dyDescent="0.35">
      <c r="B337" s="202" t="s">
        <v>65</v>
      </c>
      <c r="C337" s="332">
        <f>C339+C343</f>
        <v>2448</v>
      </c>
      <c r="D337" s="332">
        <f>D339+D343</f>
        <v>2069</v>
      </c>
      <c r="E337" s="335">
        <f>E339+E343</f>
        <v>379</v>
      </c>
    </row>
    <row r="338" spans="1:5" ht="18.75" thickBot="1" x14ac:dyDescent="0.3">
      <c r="B338" s="69" t="s">
        <v>49</v>
      </c>
      <c r="C338" s="336" t="str">
        <f>IF(C337=D337+E337,"","UWAGA!")</f>
        <v/>
      </c>
      <c r="D338" s="208"/>
      <c r="E338" s="71"/>
    </row>
    <row r="339" spans="1:5" ht="18.75" thickTop="1" x14ac:dyDescent="0.25">
      <c r="B339" s="203" t="s">
        <v>66</v>
      </c>
      <c r="C339" s="333">
        <f>C341+C342</f>
        <v>2411</v>
      </c>
      <c r="D339" s="333">
        <f>D341+D342</f>
        <v>2046</v>
      </c>
      <c r="E339" s="334">
        <f>E341+E342</f>
        <v>365</v>
      </c>
    </row>
    <row r="340" spans="1:5" ht="18" x14ac:dyDescent="0.25">
      <c r="B340" s="70" t="s">
        <v>34</v>
      </c>
      <c r="C340" s="209"/>
      <c r="D340" s="209"/>
      <c r="E340" s="210"/>
    </row>
    <row r="341" spans="1:5" ht="18.75" x14ac:dyDescent="0.3">
      <c r="B341" s="69" t="s">
        <v>67</v>
      </c>
      <c r="C341" s="881">
        <f>D341+E341</f>
        <v>2272</v>
      </c>
      <c r="D341" s="1329">
        <v>1926</v>
      </c>
      <c r="E341" s="1330">
        <v>346</v>
      </c>
    </row>
    <row r="342" spans="1:5" ht="19.5" thickBot="1" x14ac:dyDescent="0.35">
      <c r="B342" s="72" t="s">
        <v>68</v>
      </c>
      <c r="C342" s="882">
        <f>D342+E342</f>
        <v>139</v>
      </c>
      <c r="D342" s="1331">
        <v>120</v>
      </c>
      <c r="E342" s="1332">
        <v>19</v>
      </c>
    </row>
    <row r="343" spans="1:5" ht="19.5" thickBot="1" x14ac:dyDescent="0.35">
      <c r="B343" s="73" t="s">
        <v>69</v>
      </c>
      <c r="C343" s="883">
        <f>D343+E343</f>
        <v>37</v>
      </c>
      <c r="D343" s="1333">
        <v>23</v>
      </c>
      <c r="E343" s="1334">
        <v>14</v>
      </c>
    </row>
    <row r="344" spans="1:5" ht="13.5" thickTop="1" x14ac:dyDescent="0.2"/>
    <row r="345" spans="1:5" ht="15.75" x14ac:dyDescent="0.25">
      <c r="B345" s="1"/>
      <c r="E345" s="8"/>
    </row>
    <row r="346" spans="1:5" ht="18" x14ac:dyDescent="0.25">
      <c r="B346" s="11" t="s">
        <v>123</v>
      </c>
      <c r="C346" s="27"/>
      <c r="D346" s="27"/>
      <c r="E346" s="27"/>
    </row>
    <row r="347" spans="1:5" ht="18" x14ac:dyDescent="0.25">
      <c r="B347" s="11" t="s">
        <v>132</v>
      </c>
      <c r="C347" s="27"/>
      <c r="D347" s="11" t="s">
        <v>145</v>
      </c>
      <c r="E347" s="27"/>
    </row>
    <row r="348" spans="1:5" ht="18" x14ac:dyDescent="0.25">
      <c r="A348" s="27"/>
      <c r="B348" s="11" t="s">
        <v>146</v>
      </c>
      <c r="C348" s="27"/>
      <c r="D348" s="27" t="s">
        <v>147</v>
      </c>
      <c r="E348" s="27"/>
    </row>
    <row r="349" spans="1:5" ht="18" x14ac:dyDescent="0.25">
      <c r="B349" s="11"/>
    </row>
    <row r="350" spans="1:5" ht="26.25" x14ac:dyDescent="0.25">
      <c r="A350" s="331" t="s">
        <v>204</v>
      </c>
      <c r="B350" s="11" t="s">
        <v>116</v>
      </c>
      <c r="E350" s="10" t="s">
        <v>57</v>
      </c>
    </row>
    <row r="351" spans="1:5" ht="18" x14ac:dyDescent="0.25">
      <c r="B351" s="14" t="s">
        <v>129</v>
      </c>
    </row>
    <row r="352" spans="1:5" ht="18" x14ac:dyDescent="0.25">
      <c r="B352" s="11" t="s">
        <v>128</v>
      </c>
      <c r="D352" s="1806" t="str">
        <f>$D$33</f>
        <v>Termin: 29 luty 2012 r.</v>
      </c>
      <c r="E352" s="1806"/>
    </row>
    <row r="353" spans="1:5" ht="18" x14ac:dyDescent="0.25">
      <c r="B353" s="11"/>
    </row>
    <row r="354" spans="1:5" ht="18" x14ac:dyDescent="0.25">
      <c r="B354" s="11" t="s">
        <v>130</v>
      </c>
    </row>
    <row r="355" spans="1:5" ht="15.75" x14ac:dyDescent="0.25">
      <c r="B355" s="1" t="s">
        <v>131</v>
      </c>
    </row>
    <row r="357" spans="1:5" ht="23.25" x14ac:dyDescent="0.35">
      <c r="A357" s="62"/>
      <c r="B357" s="1655" t="s">
        <v>60</v>
      </c>
      <c r="C357" s="1655"/>
      <c r="D357" s="1655"/>
      <c r="E357" s="1655"/>
    </row>
    <row r="358" spans="1:5" ht="23.25" x14ac:dyDescent="0.35">
      <c r="A358" s="62"/>
      <c r="B358" s="1655" t="s">
        <v>62</v>
      </c>
      <c r="C358" s="1655"/>
      <c r="D358" s="1655"/>
      <c r="E358" s="1655"/>
    </row>
    <row r="359" spans="1:5" ht="23.25" x14ac:dyDescent="0.35">
      <c r="A359" s="62"/>
      <c r="B359" s="1807" t="str">
        <f>$B$11</f>
        <v>WEDŁUG  FORM  ZATRUDNIENIA  WG  STANU  NA  DZIEŃ  31. XII. 2011 r.</v>
      </c>
      <c r="C359" s="1807"/>
      <c r="D359" s="1807"/>
      <c r="E359" s="1807"/>
    </row>
    <row r="361" spans="1:5" ht="13.5" thickBot="1" x14ac:dyDescent="0.25"/>
    <row r="362" spans="1:5" ht="18.75" thickTop="1" x14ac:dyDescent="0.25">
      <c r="B362" s="199"/>
      <c r="C362" s="204"/>
      <c r="D362" s="1808" t="s">
        <v>20</v>
      </c>
      <c r="E362" s="1809"/>
    </row>
    <row r="363" spans="1:5" ht="23.25" x14ac:dyDescent="0.35">
      <c r="B363" s="200" t="s">
        <v>21</v>
      </c>
      <c r="C363" s="205" t="s">
        <v>7</v>
      </c>
      <c r="D363" s="78" t="s">
        <v>22</v>
      </c>
      <c r="E363" s="83" t="s">
        <v>23</v>
      </c>
    </row>
    <row r="364" spans="1:5" ht="18" x14ac:dyDescent="0.25">
      <c r="B364" s="201"/>
      <c r="C364" s="82" t="s">
        <v>64</v>
      </c>
      <c r="D364" s="82" t="s">
        <v>25</v>
      </c>
      <c r="E364" s="83" t="s">
        <v>26</v>
      </c>
    </row>
    <row r="365" spans="1:5" ht="13.5" thickBot="1" x14ac:dyDescent="0.25">
      <c r="B365" s="61">
        <v>0</v>
      </c>
      <c r="C365" s="206">
        <v>1</v>
      </c>
      <c r="D365" s="206">
        <v>2</v>
      </c>
      <c r="E365" s="207">
        <v>3</v>
      </c>
    </row>
    <row r="366" spans="1:5" ht="24" thickTop="1" x14ac:dyDescent="0.35">
      <c r="B366" s="202" t="s">
        <v>65</v>
      </c>
      <c r="C366" s="332">
        <f>C368+C372</f>
        <v>5472</v>
      </c>
      <c r="D366" s="332">
        <f>D368+D372</f>
        <v>3465</v>
      </c>
      <c r="E366" s="335">
        <f>E368+E372</f>
        <v>2007</v>
      </c>
    </row>
    <row r="367" spans="1:5" ht="18.75" thickBot="1" x14ac:dyDescent="0.3">
      <c r="B367" s="69" t="s">
        <v>49</v>
      </c>
      <c r="C367" s="336" t="str">
        <f>IF(C366=D366+E366,"","UWAGA!")</f>
        <v/>
      </c>
      <c r="D367" s="208"/>
      <c r="E367" s="71"/>
    </row>
    <row r="368" spans="1:5" ht="18.75" thickTop="1" x14ac:dyDescent="0.25">
      <c r="B368" s="203" t="s">
        <v>66</v>
      </c>
      <c r="C368" s="333">
        <f>C370+C371</f>
        <v>5406</v>
      </c>
      <c r="D368" s="333">
        <f>D370+D371</f>
        <v>3431</v>
      </c>
      <c r="E368" s="334">
        <f>E370+E371</f>
        <v>1975</v>
      </c>
    </row>
    <row r="369" spans="1:5" ht="18" x14ac:dyDescent="0.25">
      <c r="B369" s="70" t="s">
        <v>34</v>
      </c>
      <c r="C369" s="209"/>
      <c r="D369" s="209"/>
      <c r="E369" s="210"/>
    </row>
    <row r="370" spans="1:5" ht="18.75" x14ac:dyDescent="0.3">
      <c r="B370" s="69" t="s">
        <v>67</v>
      </c>
      <c r="C370" s="881">
        <f>D370+E370</f>
        <v>4828</v>
      </c>
      <c r="D370" s="1329">
        <v>3114</v>
      </c>
      <c r="E370" s="1330">
        <v>1714</v>
      </c>
    </row>
    <row r="371" spans="1:5" ht="19.5" thickBot="1" x14ac:dyDescent="0.35">
      <c r="B371" s="72" t="s">
        <v>68</v>
      </c>
      <c r="C371" s="882">
        <f>D371+E371</f>
        <v>578</v>
      </c>
      <c r="D371" s="1331">
        <v>317</v>
      </c>
      <c r="E371" s="1332">
        <v>261</v>
      </c>
    </row>
    <row r="372" spans="1:5" ht="19.5" thickBot="1" x14ac:dyDescent="0.35">
      <c r="B372" s="73" t="s">
        <v>69</v>
      </c>
      <c r="C372" s="883">
        <f>D372+E372</f>
        <v>66</v>
      </c>
      <c r="D372" s="1333">
        <v>34</v>
      </c>
      <c r="E372" s="1334">
        <v>32</v>
      </c>
    </row>
    <row r="373" spans="1:5" ht="13.5" thickTop="1" x14ac:dyDescent="0.2"/>
    <row r="374" spans="1:5" ht="15.75" x14ac:dyDescent="0.25">
      <c r="B374" s="1"/>
      <c r="E374" s="8"/>
    </row>
    <row r="375" spans="1:5" ht="18" x14ac:dyDescent="0.25">
      <c r="B375" s="11" t="s">
        <v>123</v>
      </c>
      <c r="C375" s="27"/>
      <c r="D375" s="27"/>
      <c r="E375" s="27"/>
    </row>
    <row r="376" spans="1:5" ht="18" x14ac:dyDescent="0.25">
      <c r="B376" s="11" t="s">
        <v>132</v>
      </c>
      <c r="C376" s="27"/>
      <c r="D376" s="11" t="s">
        <v>145</v>
      </c>
      <c r="E376" s="27"/>
    </row>
    <row r="377" spans="1:5" ht="18" x14ac:dyDescent="0.25">
      <c r="A377" s="27"/>
      <c r="B377" s="11" t="s">
        <v>146</v>
      </c>
      <c r="C377" s="27"/>
      <c r="D377" s="27" t="s">
        <v>147</v>
      </c>
      <c r="E377" s="27"/>
    </row>
    <row r="378" spans="1:5" ht="18" x14ac:dyDescent="0.25">
      <c r="B378" s="11"/>
    </row>
    <row r="379" spans="1:5" ht="26.25" x14ac:dyDescent="0.25">
      <c r="A379" s="331" t="s">
        <v>205</v>
      </c>
      <c r="B379" s="11" t="s">
        <v>116</v>
      </c>
      <c r="E379" s="10" t="s">
        <v>57</v>
      </c>
    </row>
    <row r="380" spans="1:5" ht="18" x14ac:dyDescent="0.25">
      <c r="B380" s="14" t="s">
        <v>129</v>
      </c>
    </row>
    <row r="381" spans="1:5" ht="18" x14ac:dyDescent="0.25">
      <c r="B381" s="11" t="s">
        <v>128</v>
      </c>
      <c r="D381" s="1806" t="str">
        <f>$D$33</f>
        <v>Termin: 29 luty 2012 r.</v>
      </c>
      <c r="E381" s="1806"/>
    </row>
    <row r="382" spans="1:5" ht="18" x14ac:dyDescent="0.25">
      <c r="B382" s="11"/>
    </row>
    <row r="383" spans="1:5" ht="18" x14ac:dyDescent="0.25">
      <c r="B383" s="11" t="s">
        <v>130</v>
      </c>
    </row>
    <row r="384" spans="1:5" ht="15.75" x14ac:dyDescent="0.25">
      <c r="B384" s="1" t="s">
        <v>131</v>
      </c>
    </row>
    <row r="386" spans="1:5" ht="23.25" x14ac:dyDescent="0.35">
      <c r="A386" s="62"/>
      <c r="B386" s="1655" t="s">
        <v>60</v>
      </c>
      <c r="C386" s="1655"/>
      <c r="D386" s="1655"/>
      <c r="E386" s="1655"/>
    </row>
    <row r="387" spans="1:5" ht="23.25" x14ac:dyDescent="0.35">
      <c r="A387" s="62"/>
      <c r="B387" s="1655" t="s">
        <v>62</v>
      </c>
      <c r="C387" s="1655"/>
      <c r="D387" s="1655"/>
      <c r="E387" s="1655"/>
    </row>
    <row r="388" spans="1:5" ht="23.25" x14ac:dyDescent="0.35">
      <c r="A388" s="62"/>
      <c r="B388" s="1807" t="str">
        <f>$B$11</f>
        <v>WEDŁUG  FORM  ZATRUDNIENIA  WG  STANU  NA  DZIEŃ  31. XII. 2011 r.</v>
      </c>
      <c r="C388" s="1807"/>
      <c r="D388" s="1807"/>
      <c r="E388" s="1807"/>
    </row>
    <row r="390" spans="1:5" ht="13.5" thickBot="1" x14ac:dyDescent="0.25"/>
    <row r="391" spans="1:5" ht="18.75" thickTop="1" x14ac:dyDescent="0.25">
      <c r="B391" s="199"/>
      <c r="C391" s="204"/>
      <c r="D391" s="1808" t="s">
        <v>20</v>
      </c>
      <c r="E391" s="1809"/>
    </row>
    <row r="392" spans="1:5" ht="23.25" x14ac:dyDescent="0.35">
      <c r="B392" s="200" t="s">
        <v>21</v>
      </c>
      <c r="C392" s="205" t="s">
        <v>7</v>
      </c>
      <c r="D392" s="78" t="s">
        <v>22</v>
      </c>
      <c r="E392" s="83" t="s">
        <v>23</v>
      </c>
    </row>
    <row r="393" spans="1:5" ht="18" x14ac:dyDescent="0.25">
      <c r="B393" s="201"/>
      <c r="C393" s="82" t="s">
        <v>64</v>
      </c>
      <c r="D393" s="82" t="s">
        <v>25</v>
      </c>
      <c r="E393" s="83" t="s">
        <v>26</v>
      </c>
    </row>
    <row r="394" spans="1:5" ht="13.5" thickBot="1" x14ac:dyDescent="0.25">
      <c r="B394" s="61">
        <v>0</v>
      </c>
      <c r="C394" s="206">
        <v>1</v>
      </c>
      <c r="D394" s="206">
        <v>2</v>
      </c>
      <c r="E394" s="207">
        <v>3</v>
      </c>
    </row>
    <row r="395" spans="1:5" ht="24" thickTop="1" x14ac:dyDescent="0.35">
      <c r="B395" s="202" t="s">
        <v>65</v>
      </c>
      <c r="C395" s="332">
        <f>C397+C401</f>
        <v>2202</v>
      </c>
      <c r="D395" s="332">
        <f>D397+D401</f>
        <v>1893</v>
      </c>
      <c r="E395" s="335">
        <f>E397+E401</f>
        <v>309</v>
      </c>
    </row>
    <row r="396" spans="1:5" ht="18.75" thickBot="1" x14ac:dyDescent="0.3">
      <c r="B396" s="69" t="s">
        <v>49</v>
      </c>
      <c r="C396" s="336" t="str">
        <f>IF(C395=D395+E395,"","UWAGA!")</f>
        <v/>
      </c>
      <c r="D396" s="208"/>
      <c r="E396" s="71"/>
    </row>
    <row r="397" spans="1:5" ht="18.75" thickTop="1" x14ac:dyDescent="0.25">
      <c r="B397" s="203" t="s">
        <v>66</v>
      </c>
      <c r="C397" s="333">
        <f>C399+C400</f>
        <v>2160</v>
      </c>
      <c r="D397" s="333">
        <f>D399+D400</f>
        <v>1867</v>
      </c>
      <c r="E397" s="334">
        <f>E399+E400</f>
        <v>293</v>
      </c>
    </row>
    <row r="398" spans="1:5" ht="18" x14ac:dyDescent="0.25">
      <c r="B398" s="70" t="s">
        <v>34</v>
      </c>
      <c r="C398" s="209"/>
      <c r="D398" s="209"/>
      <c r="E398" s="210"/>
    </row>
    <row r="399" spans="1:5" ht="18.75" x14ac:dyDescent="0.3">
      <c r="B399" s="69" t="s">
        <v>67</v>
      </c>
      <c r="C399" s="881">
        <f>D399+E399</f>
        <v>2052</v>
      </c>
      <c r="D399" s="1329">
        <v>1796</v>
      </c>
      <c r="E399" s="1330">
        <v>256</v>
      </c>
    </row>
    <row r="400" spans="1:5" ht="19.5" thickBot="1" x14ac:dyDescent="0.35">
      <c r="B400" s="72" t="s">
        <v>68</v>
      </c>
      <c r="C400" s="882">
        <f>D400+E400</f>
        <v>108</v>
      </c>
      <c r="D400" s="1331">
        <v>71</v>
      </c>
      <c r="E400" s="1332">
        <v>37</v>
      </c>
    </row>
    <row r="401" spans="1:5" ht="19.5" thickBot="1" x14ac:dyDescent="0.35">
      <c r="B401" s="73" t="s">
        <v>69</v>
      </c>
      <c r="C401" s="883">
        <f>D401+E401</f>
        <v>42</v>
      </c>
      <c r="D401" s="1333">
        <v>26</v>
      </c>
      <c r="E401" s="1334">
        <v>16</v>
      </c>
    </row>
    <row r="402" spans="1:5" ht="13.5" thickTop="1" x14ac:dyDescent="0.2"/>
    <row r="403" spans="1:5" ht="15.75" x14ac:dyDescent="0.25">
      <c r="B403" s="1"/>
      <c r="E403" s="8"/>
    </row>
    <row r="404" spans="1:5" ht="18" x14ac:dyDescent="0.25">
      <c r="B404" s="11" t="s">
        <v>123</v>
      </c>
      <c r="C404" s="27"/>
      <c r="D404" s="27"/>
      <c r="E404" s="27"/>
    </row>
    <row r="405" spans="1:5" ht="18" x14ac:dyDescent="0.25">
      <c r="B405" s="11" t="s">
        <v>132</v>
      </c>
      <c r="C405" s="27"/>
      <c r="D405" s="11" t="s">
        <v>145</v>
      </c>
      <c r="E405" s="27"/>
    </row>
    <row r="406" spans="1:5" ht="18" x14ac:dyDescent="0.25">
      <c r="A406" s="27"/>
      <c r="B406" s="11" t="s">
        <v>146</v>
      </c>
      <c r="C406" s="27"/>
      <c r="D406" s="27" t="s">
        <v>147</v>
      </c>
      <c r="E406" s="27"/>
    </row>
    <row r="407" spans="1:5" ht="18" x14ac:dyDescent="0.25">
      <c r="B407" s="11"/>
    </row>
    <row r="408" spans="1:5" ht="26.25" x14ac:dyDescent="0.25">
      <c r="A408" s="331" t="s">
        <v>206</v>
      </c>
      <c r="B408" s="11" t="s">
        <v>116</v>
      </c>
      <c r="E408" s="10" t="s">
        <v>57</v>
      </c>
    </row>
    <row r="409" spans="1:5" ht="18" x14ac:dyDescent="0.25">
      <c r="B409" s="14" t="s">
        <v>129</v>
      </c>
    </row>
    <row r="410" spans="1:5" ht="18" x14ac:dyDescent="0.25">
      <c r="B410" s="11" t="s">
        <v>128</v>
      </c>
      <c r="D410" s="1806" t="str">
        <f>$D$33</f>
        <v>Termin: 29 luty 2012 r.</v>
      </c>
      <c r="E410" s="1806"/>
    </row>
    <row r="411" spans="1:5" ht="18" x14ac:dyDescent="0.25">
      <c r="B411" s="11"/>
    </row>
    <row r="412" spans="1:5" ht="18" x14ac:dyDescent="0.25">
      <c r="B412" s="11" t="s">
        <v>130</v>
      </c>
    </row>
    <row r="413" spans="1:5" ht="15.75" x14ac:dyDescent="0.25">
      <c r="B413" s="1" t="s">
        <v>131</v>
      </c>
    </row>
    <row r="415" spans="1:5" ht="23.25" x14ac:dyDescent="0.35">
      <c r="A415" s="62"/>
      <c r="B415" s="1655" t="s">
        <v>60</v>
      </c>
      <c r="C415" s="1655"/>
      <c r="D415" s="1655"/>
      <c r="E415" s="1655"/>
    </row>
    <row r="416" spans="1:5" ht="23.25" x14ac:dyDescent="0.35">
      <c r="A416" s="62"/>
      <c r="B416" s="1655" t="s">
        <v>62</v>
      </c>
      <c r="C416" s="1655"/>
      <c r="D416" s="1655"/>
      <c r="E416" s="1655"/>
    </row>
    <row r="417" spans="1:5" ht="23.25" x14ac:dyDescent="0.35">
      <c r="A417" s="62"/>
      <c r="B417" s="1807" t="str">
        <f>$B$11</f>
        <v>WEDŁUG  FORM  ZATRUDNIENIA  WG  STANU  NA  DZIEŃ  31. XII. 2011 r.</v>
      </c>
      <c r="C417" s="1807"/>
      <c r="D417" s="1807"/>
      <c r="E417" s="1807"/>
    </row>
    <row r="419" spans="1:5" ht="13.5" thickBot="1" x14ac:dyDescent="0.25"/>
    <row r="420" spans="1:5" ht="18.75" thickTop="1" x14ac:dyDescent="0.25">
      <c r="B420" s="199"/>
      <c r="C420" s="204"/>
      <c r="D420" s="1808" t="s">
        <v>20</v>
      </c>
      <c r="E420" s="1809"/>
    </row>
    <row r="421" spans="1:5" ht="23.25" x14ac:dyDescent="0.35">
      <c r="B421" s="200" t="s">
        <v>21</v>
      </c>
      <c r="C421" s="205" t="s">
        <v>7</v>
      </c>
      <c r="D421" s="78" t="s">
        <v>22</v>
      </c>
      <c r="E421" s="83" t="s">
        <v>23</v>
      </c>
    </row>
    <row r="422" spans="1:5" ht="18" x14ac:dyDescent="0.25">
      <c r="B422" s="201"/>
      <c r="C422" s="82" t="s">
        <v>64</v>
      </c>
      <c r="D422" s="82" t="s">
        <v>25</v>
      </c>
      <c r="E422" s="83" t="s">
        <v>26</v>
      </c>
    </row>
    <row r="423" spans="1:5" ht="13.5" thickBot="1" x14ac:dyDescent="0.25">
      <c r="B423" s="61">
        <v>0</v>
      </c>
      <c r="C423" s="206">
        <v>1</v>
      </c>
      <c r="D423" s="206">
        <v>2</v>
      </c>
      <c r="E423" s="207">
        <v>3</v>
      </c>
    </row>
    <row r="424" spans="1:5" ht="24" thickTop="1" x14ac:dyDescent="0.35">
      <c r="B424" s="202" t="s">
        <v>65</v>
      </c>
      <c r="C424" s="332">
        <f>C426+C430</f>
        <v>2268</v>
      </c>
      <c r="D424" s="332">
        <f>D426+D430</f>
        <v>1840</v>
      </c>
      <c r="E424" s="335">
        <f>E426+E430</f>
        <v>428</v>
      </c>
    </row>
    <row r="425" spans="1:5" ht="18.75" thickBot="1" x14ac:dyDescent="0.3">
      <c r="B425" s="69" t="s">
        <v>49</v>
      </c>
      <c r="C425" s="336" t="str">
        <f>IF(C424=D424+E424,"","UWAGA!")</f>
        <v/>
      </c>
      <c r="D425" s="208"/>
      <c r="E425" s="71"/>
    </row>
    <row r="426" spans="1:5" ht="18.75" thickTop="1" x14ac:dyDescent="0.25">
      <c r="B426" s="203" t="s">
        <v>66</v>
      </c>
      <c r="C426" s="333">
        <f>C428+C429</f>
        <v>2221</v>
      </c>
      <c r="D426" s="333">
        <f>D428+D429</f>
        <v>1812</v>
      </c>
      <c r="E426" s="334">
        <f>E428+E429</f>
        <v>409</v>
      </c>
    </row>
    <row r="427" spans="1:5" ht="18" x14ac:dyDescent="0.25">
      <c r="B427" s="70" t="s">
        <v>34</v>
      </c>
      <c r="C427" s="209"/>
      <c r="D427" s="209"/>
      <c r="E427" s="210"/>
    </row>
    <row r="428" spans="1:5" ht="18.75" x14ac:dyDescent="0.3">
      <c r="B428" s="69" t="s">
        <v>67</v>
      </c>
      <c r="C428" s="881">
        <f>D428+E428</f>
        <v>2068</v>
      </c>
      <c r="D428" s="1329">
        <v>1712</v>
      </c>
      <c r="E428" s="1330">
        <v>356</v>
      </c>
    </row>
    <row r="429" spans="1:5" ht="19.5" thickBot="1" x14ac:dyDescent="0.35">
      <c r="B429" s="72" t="s">
        <v>68</v>
      </c>
      <c r="C429" s="882">
        <f>D429+E429</f>
        <v>153</v>
      </c>
      <c r="D429" s="1331">
        <v>100</v>
      </c>
      <c r="E429" s="1332">
        <v>53</v>
      </c>
    </row>
    <row r="430" spans="1:5" ht="19.5" thickBot="1" x14ac:dyDescent="0.35">
      <c r="B430" s="73" t="s">
        <v>69</v>
      </c>
      <c r="C430" s="883">
        <f>D430+E430</f>
        <v>47</v>
      </c>
      <c r="D430" s="1333">
        <v>28</v>
      </c>
      <c r="E430" s="1334">
        <v>19</v>
      </c>
    </row>
    <row r="431" spans="1:5" ht="13.5" thickTop="1" x14ac:dyDescent="0.2"/>
    <row r="432" spans="1:5" ht="15.75" x14ac:dyDescent="0.25">
      <c r="B432" s="1"/>
      <c r="E432" s="8"/>
    </row>
    <row r="433" spans="1:5" ht="18" x14ac:dyDescent="0.25">
      <c r="B433" s="11" t="s">
        <v>123</v>
      </c>
      <c r="C433" s="27"/>
      <c r="D433" s="27"/>
      <c r="E433" s="27"/>
    </row>
    <row r="434" spans="1:5" ht="18" x14ac:dyDescent="0.25">
      <c r="B434" s="11" t="s">
        <v>132</v>
      </c>
      <c r="C434" s="27"/>
      <c r="D434" s="11" t="s">
        <v>145</v>
      </c>
      <c r="E434" s="27"/>
    </row>
    <row r="435" spans="1:5" ht="18" x14ac:dyDescent="0.25">
      <c r="A435" s="27"/>
      <c r="B435" s="11" t="s">
        <v>146</v>
      </c>
      <c r="C435" s="27"/>
      <c r="D435" s="27" t="s">
        <v>147</v>
      </c>
      <c r="E435" s="27"/>
    </row>
    <row r="436" spans="1:5" ht="18" x14ac:dyDescent="0.25">
      <c r="B436" s="11"/>
    </row>
    <row r="437" spans="1:5" ht="26.25" x14ac:dyDescent="0.25">
      <c r="A437" s="331" t="s">
        <v>207</v>
      </c>
      <c r="B437" s="11" t="s">
        <v>116</v>
      </c>
      <c r="E437" s="10" t="s">
        <v>57</v>
      </c>
    </row>
    <row r="438" spans="1:5" ht="18" x14ac:dyDescent="0.25">
      <c r="B438" s="14" t="s">
        <v>129</v>
      </c>
    </row>
    <row r="439" spans="1:5" ht="18" x14ac:dyDescent="0.25">
      <c r="B439" s="11" t="s">
        <v>128</v>
      </c>
      <c r="D439" s="1806" t="str">
        <f>$D$33</f>
        <v>Termin: 29 luty 2012 r.</v>
      </c>
      <c r="E439" s="1806"/>
    </row>
    <row r="440" spans="1:5" ht="18" x14ac:dyDescent="0.25">
      <c r="B440" s="11"/>
    </row>
    <row r="441" spans="1:5" ht="18" x14ac:dyDescent="0.25">
      <c r="B441" s="11" t="s">
        <v>130</v>
      </c>
    </row>
    <row r="442" spans="1:5" ht="15.75" x14ac:dyDescent="0.25">
      <c r="B442" s="1" t="s">
        <v>131</v>
      </c>
    </row>
    <row r="444" spans="1:5" ht="23.25" x14ac:dyDescent="0.35">
      <c r="A444" s="62"/>
      <c r="B444" s="1655" t="s">
        <v>60</v>
      </c>
      <c r="C444" s="1655"/>
      <c r="D444" s="1655"/>
      <c r="E444" s="1655"/>
    </row>
    <row r="445" spans="1:5" ht="23.25" x14ac:dyDescent="0.35">
      <c r="A445" s="62"/>
      <c r="B445" s="1655" t="s">
        <v>62</v>
      </c>
      <c r="C445" s="1655"/>
      <c r="D445" s="1655"/>
      <c r="E445" s="1655"/>
    </row>
    <row r="446" spans="1:5" ht="23.25" x14ac:dyDescent="0.35">
      <c r="A446" s="62"/>
      <c r="B446" s="1807" t="str">
        <f>$B$11</f>
        <v>WEDŁUG  FORM  ZATRUDNIENIA  WG  STANU  NA  DZIEŃ  31. XII. 2011 r.</v>
      </c>
      <c r="C446" s="1807"/>
      <c r="D446" s="1807"/>
      <c r="E446" s="1807"/>
    </row>
    <row r="448" spans="1:5" ht="13.5" thickBot="1" x14ac:dyDescent="0.25"/>
    <row r="449" spans="1:5" ht="18.75" thickTop="1" x14ac:dyDescent="0.25">
      <c r="B449" s="199"/>
      <c r="C449" s="204"/>
      <c r="D449" s="1808" t="s">
        <v>20</v>
      </c>
      <c r="E449" s="1809"/>
    </row>
    <row r="450" spans="1:5" ht="23.25" x14ac:dyDescent="0.35">
      <c r="B450" s="200" t="s">
        <v>21</v>
      </c>
      <c r="C450" s="205" t="s">
        <v>7</v>
      </c>
      <c r="D450" s="78" t="s">
        <v>22</v>
      </c>
      <c r="E450" s="83" t="s">
        <v>23</v>
      </c>
    </row>
    <row r="451" spans="1:5" ht="18" x14ac:dyDescent="0.25">
      <c r="B451" s="201"/>
      <c r="C451" s="82" t="s">
        <v>64</v>
      </c>
      <c r="D451" s="82" t="s">
        <v>25</v>
      </c>
      <c r="E451" s="83" t="s">
        <v>26</v>
      </c>
    </row>
    <row r="452" spans="1:5" ht="13.5" thickBot="1" x14ac:dyDescent="0.25">
      <c r="B452" s="61">
        <v>0</v>
      </c>
      <c r="C452" s="206">
        <v>1</v>
      </c>
      <c r="D452" s="206">
        <v>2</v>
      </c>
      <c r="E452" s="207">
        <v>3</v>
      </c>
    </row>
    <row r="453" spans="1:5" ht="24" thickTop="1" x14ac:dyDescent="0.35">
      <c r="B453" s="202" t="s">
        <v>65</v>
      </c>
      <c r="C453" s="332">
        <f>C455+C459</f>
        <v>4606</v>
      </c>
      <c r="D453" s="332">
        <f>D455+D459</f>
        <v>3783</v>
      </c>
      <c r="E453" s="335">
        <f>E455+E459</f>
        <v>823</v>
      </c>
    </row>
    <row r="454" spans="1:5" ht="18.75" thickBot="1" x14ac:dyDescent="0.3">
      <c r="B454" s="69" t="s">
        <v>49</v>
      </c>
      <c r="C454" s="336" t="str">
        <f>IF(C453=D453+E453,"","UWAGA!")</f>
        <v/>
      </c>
      <c r="D454" s="208"/>
      <c r="E454" s="71"/>
    </row>
    <row r="455" spans="1:5" ht="18.75" thickTop="1" x14ac:dyDescent="0.25">
      <c r="B455" s="203" t="s">
        <v>66</v>
      </c>
      <c r="C455" s="333">
        <f>C457+C458</f>
        <v>4551</v>
      </c>
      <c r="D455" s="333">
        <f>D457+D458</f>
        <v>3745</v>
      </c>
      <c r="E455" s="334">
        <f>E457+E458</f>
        <v>806</v>
      </c>
    </row>
    <row r="456" spans="1:5" ht="18" x14ac:dyDescent="0.25">
      <c r="B456" s="70" t="s">
        <v>34</v>
      </c>
      <c r="C456" s="209"/>
      <c r="D456" s="209"/>
      <c r="E456" s="210"/>
    </row>
    <row r="457" spans="1:5" ht="18.75" x14ac:dyDescent="0.3">
      <c r="B457" s="69" t="s">
        <v>67</v>
      </c>
      <c r="C457" s="881">
        <f>D457+E457</f>
        <v>4187</v>
      </c>
      <c r="D457" s="1329">
        <v>3466</v>
      </c>
      <c r="E457" s="1330">
        <v>721</v>
      </c>
    </row>
    <row r="458" spans="1:5" ht="19.5" thickBot="1" x14ac:dyDescent="0.35">
      <c r="B458" s="72" t="s">
        <v>68</v>
      </c>
      <c r="C458" s="882">
        <f>D458+E458</f>
        <v>364</v>
      </c>
      <c r="D458" s="1331">
        <v>279</v>
      </c>
      <c r="E458" s="1332">
        <v>85</v>
      </c>
    </row>
    <row r="459" spans="1:5" ht="19.5" thickBot="1" x14ac:dyDescent="0.35">
      <c r="B459" s="73" t="s">
        <v>69</v>
      </c>
      <c r="C459" s="883">
        <f>D459+E459</f>
        <v>55</v>
      </c>
      <c r="D459" s="1333">
        <v>38</v>
      </c>
      <c r="E459" s="1334">
        <v>17</v>
      </c>
    </row>
    <row r="460" spans="1:5" ht="13.5" thickTop="1" x14ac:dyDescent="0.2"/>
    <row r="461" spans="1:5" ht="15.75" x14ac:dyDescent="0.25">
      <c r="B461" s="1"/>
      <c r="E461" s="8"/>
    </row>
    <row r="462" spans="1:5" ht="18" x14ac:dyDescent="0.25">
      <c r="B462" s="11" t="s">
        <v>123</v>
      </c>
      <c r="C462" s="27"/>
      <c r="D462" s="27"/>
      <c r="E462" s="27"/>
    </row>
    <row r="463" spans="1:5" ht="18" x14ac:dyDescent="0.25">
      <c r="B463" s="11" t="s">
        <v>132</v>
      </c>
      <c r="C463" s="27"/>
      <c r="D463" s="11" t="s">
        <v>145</v>
      </c>
      <c r="E463" s="27"/>
    </row>
    <row r="464" spans="1:5" ht="18" x14ac:dyDescent="0.25">
      <c r="A464" s="27"/>
      <c r="B464" s="11" t="s">
        <v>146</v>
      </c>
      <c r="C464" s="27"/>
      <c r="D464" s="27" t="s">
        <v>147</v>
      </c>
      <c r="E464" s="27"/>
    </row>
    <row r="465" spans="1:5" ht="18" x14ac:dyDescent="0.25">
      <c r="B465" s="11"/>
    </row>
    <row r="466" spans="1:5" ht="26.25" x14ac:dyDescent="0.25">
      <c r="A466" s="331" t="s">
        <v>208</v>
      </c>
      <c r="B466" s="11" t="s">
        <v>116</v>
      </c>
      <c r="E466" s="10" t="s">
        <v>57</v>
      </c>
    </row>
    <row r="467" spans="1:5" ht="18" x14ac:dyDescent="0.25">
      <c r="B467" s="14" t="s">
        <v>129</v>
      </c>
    </row>
    <row r="468" spans="1:5" ht="18" x14ac:dyDescent="0.25">
      <c r="B468" s="11" t="s">
        <v>128</v>
      </c>
      <c r="D468" s="1806" t="str">
        <f>$D$33</f>
        <v>Termin: 29 luty 2012 r.</v>
      </c>
      <c r="E468" s="1806"/>
    </row>
    <row r="469" spans="1:5" ht="18" x14ac:dyDescent="0.25">
      <c r="B469" s="11"/>
    </row>
    <row r="470" spans="1:5" ht="18" x14ac:dyDescent="0.25">
      <c r="B470" s="11" t="s">
        <v>130</v>
      </c>
    </row>
    <row r="471" spans="1:5" ht="15.75" x14ac:dyDescent="0.25">
      <c r="B471" s="1" t="s">
        <v>131</v>
      </c>
    </row>
    <row r="473" spans="1:5" ht="23.25" x14ac:dyDescent="0.35">
      <c r="A473" s="62"/>
      <c r="B473" s="1655" t="s">
        <v>60</v>
      </c>
      <c r="C473" s="1655"/>
      <c r="D473" s="1655"/>
      <c r="E473" s="1655"/>
    </row>
    <row r="474" spans="1:5" ht="23.25" x14ac:dyDescent="0.35">
      <c r="A474" s="62"/>
      <c r="B474" s="1655" t="s">
        <v>62</v>
      </c>
      <c r="C474" s="1655"/>
      <c r="D474" s="1655"/>
      <c r="E474" s="1655"/>
    </row>
    <row r="475" spans="1:5" ht="23.25" x14ac:dyDescent="0.35">
      <c r="A475" s="62"/>
      <c r="B475" s="1807" t="str">
        <f>$B$11</f>
        <v>WEDŁUG  FORM  ZATRUDNIENIA  WG  STANU  NA  DZIEŃ  31. XII. 2011 r.</v>
      </c>
      <c r="C475" s="1807"/>
      <c r="D475" s="1807"/>
      <c r="E475" s="1807"/>
    </row>
    <row r="477" spans="1:5" ht="13.5" thickBot="1" x14ac:dyDescent="0.25"/>
    <row r="478" spans="1:5" ht="18.75" thickTop="1" x14ac:dyDescent="0.25">
      <c r="B478" s="199"/>
      <c r="C478" s="204"/>
      <c r="D478" s="1808" t="s">
        <v>20</v>
      </c>
      <c r="E478" s="1809"/>
    </row>
    <row r="479" spans="1:5" ht="23.25" x14ac:dyDescent="0.35">
      <c r="B479" s="200" t="s">
        <v>21</v>
      </c>
      <c r="C479" s="205" t="s">
        <v>7</v>
      </c>
      <c r="D479" s="78" t="s">
        <v>22</v>
      </c>
      <c r="E479" s="83" t="s">
        <v>23</v>
      </c>
    </row>
    <row r="480" spans="1:5" ht="18" x14ac:dyDescent="0.25">
      <c r="B480" s="201"/>
      <c r="C480" s="82" t="s">
        <v>64</v>
      </c>
      <c r="D480" s="82" t="s">
        <v>25</v>
      </c>
      <c r="E480" s="83" t="s">
        <v>26</v>
      </c>
    </row>
    <row r="481" spans="1:5" ht="13.5" thickBot="1" x14ac:dyDescent="0.25">
      <c r="B481" s="61">
        <v>0</v>
      </c>
      <c r="C481" s="206">
        <v>1</v>
      </c>
      <c r="D481" s="206">
        <v>2</v>
      </c>
      <c r="E481" s="207">
        <v>3</v>
      </c>
    </row>
    <row r="482" spans="1:5" ht="24" thickTop="1" x14ac:dyDescent="0.35">
      <c r="B482" s="202" t="s">
        <v>65</v>
      </c>
      <c r="C482" s="332">
        <f>C484+C488</f>
        <v>2611</v>
      </c>
      <c r="D482" s="332">
        <f>D484+D488</f>
        <v>2188</v>
      </c>
      <c r="E482" s="335">
        <f>E484+E488</f>
        <v>423</v>
      </c>
    </row>
    <row r="483" spans="1:5" ht="18.75" thickBot="1" x14ac:dyDescent="0.3">
      <c r="B483" s="69" t="s">
        <v>49</v>
      </c>
      <c r="C483" s="336" t="str">
        <f>IF(C482=D482+E482,"","UWAGA!")</f>
        <v/>
      </c>
      <c r="D483" s="208"/>
      <c r="E483" s="71"/>
    </row>
    <row r="484" spans="1:5" ht="18.75" thickTop="1" x14ac:dyDescent="0.25">
      <c r="B484" s="203" t="s">
        <v>66</v>
      </c>
      <c r="C484" s="333">
        <f>C486+C487</f>
        <v>2507</v>
      </c>
      <c r="D484" s="333">
        <f>D486+D487</f>
        <v>2100</v>
      </c>
      <c r="E484" s="334">
        <f>E486+E487</f>
        <v>407</v>
      </c>
    </row>
    <row r="485" spans="1:5" ht="18" x14ac:dyDescent="0.25">
      <c r="B485" s="70" t="s">
        <v>34</v>
      </c>
      <c r="C485" s="209"/>
      <c r="D485" s="209"/>
      <c r="E485" s="210"/>
    </row>
    <row r="486" spans="1:5" ht="18.75" x14ac:dyDescent="0.3">
      <c r="B486" s="69" t="s">
        <v>67</v>
      </c>
      <c r="C486" s="881">
        <f>D486+E486</f>
        <v>2412</v>
      </c>
      <c r="D486" s="1329">
        <v>2029</v>
      </c>
      <c r="E486" s="1330">
        <v>383</v>
      </c>
    </row>
    <row r="487" spans="1:5" ht="19.5" thickBot="1" x14ac:dyDescent="0.35">
      <c r="B487" s="72" t="s">
        <v>68</v>
      </c>
      <c r="C487" s="882">
        <f>D487+E487</f>
        <v>95</v>
      </c>
      <c r="D487" s="1331">
        <v>71</v>
      </c>
      <c r="E487" s="1332">
        <v>24</v>
      </c>
    </row>
    <row r="488" spans="1:5" ht="19.5" thickBot="1" x14ac:dyDescent="0.35">
      <c r="B488" s="73" t="s">
        <v>69</v>
      </c>
      <c r="C488" s="883">
        <f>D488+E488</f>
        <v>104</v>
      </c>
      <c r="D488" s="1333">
        <v>88</v>
      </c>
      <c r="E488" s="1334">
        <v>16</v>
      </c>
    </row>
    <row r="489" spans="1:5" ht="13.5" thickTop="1" x14ac:dyDescent="0.2"/>
    <row r="490" spans="1:5" ht="15.75" x14ac:dyDescent="0.25">
      <c r="B490" s="1"/>
      <c r="E490" s="8"/>
    </row>
    <row r="491" spans="1:5" ht="18" x14ac:dyDescent="0.25">
      <c r="B491" s="11" t="s">
        <v>123</v>
      </c>
      <c r="C491" s="27"/>
      <c r="D491" s="27"/>
      <c r="E491" s="27"/>
    </row>
    <row r="492" spans="1:5" ht="18" x14ac:dyDescent="0.25">
      <c r="B492" s="11" t="s">
        <v>132</v>
      </c>
      <c r="C492" s="27"/>
      <c r="D492" s="11" t="s">
        <v>145</v>
      </c>
      <c r="E492" s="27"/>
    </row>
    <row r="493" spans="1:5" ht="18" x14ac:dyDescent="0.25">
      <c r="A493" s="27"/>
      <c r="B493" s="11" t="s">
        <v>146</v>
      </c>
      <c r="C493" s="27"/>
      <c r="D493" s="27" t="s">
        <v>147</v>
      </c>
      <c r="E493" s="27"/>
    </row>
  </sheetData>
  <mergeCells count="84">
    <mergeCell ref="D14:E14"/>
    <mergeCell ref="B9:E9"/>
    <mergeCell ref="B11:E11"/>
    <mergeCell ref="B10:E10"/>
    <mergeCell ref="D72:E72"/>
    <mergeCell ref="B38:E38"/>
    <mergeCell ref="B39:E39"/>
    <mergeCell ref="B40:E40"/>
    <mergeCell ref="D43:E43"/>
    <mergeCell ref="D62:E62"/>
    <mergeCell ref="B125:E125"/>
    <mergeCell ref="B126:E126"/>
    <mergeCell ref="B127:E127"/>
    <mergeCell ref="D130:E130"/>
    <mergeCell ref="B185:E185"/>
    <mergeCell ref="D188:E188"/>
    <mergeCell ref="B154:E154"/>
    <mergeCell ref="B155:E155"/>
    <mergeCell ref="B156:E156"/>
    <mergeCell ref="D159:E159"/>
    <mergeCell ref="B241:E241"/>
    <mergeCell ref="B242:E242"/>
    <mergeCell ref="B243:E243"/>
    <mergeCell ref="D246:E246"/>
    <mergeCell ref="B270:E270"/>
    <mergeCell ref="B271:E271"/>
    <mergeCell ref="B272:E272"/>
    <mergeCell ref="D275:E275"/>
    <mergeCell ref="B299:E299"/>
    <mergeCell ref="B300:E300"/>
    <mergeCell ref="B301:E301"/>
    <mergeCell ref="D304:E304"/>
    <mergeCell ref="B328:E328"/>
    <mergeCell ref="B329:E329"/>
    <mergeCell ref="B330:E330"/>
    <mergeCell ref="D333:E333"/>
    <mergeCell ref="D391:E391"/>
    <mergeCell ref="B357:E357"/>
    <mergeCell ref="B358:E358"/>
    <mergeCell ref="B359:E359"/>
    <mergeCell ref="D362:E362"/>
    <mergeCell ref="D381:E381"/>
    <mergeCell ref="D478:E478"/>
    <mergeCell ref="B444:E444"/>
    <mergeCell ref="B445:E445"/>
    <mergeCell ref="B446:E446"/>
    <mergeCell ref="D449:E449"/>
    <mergeCell ref="B473:E473"/>
    <mergeCell ref="B474:E474"/>
    <mergeCell ref="B475:E475"/>
    <mergeCell ref="B415:E415"/>
    <mergeCell ref="B416:E416"/>
    <mergeCell ref="B417:E417"/>
    <mergeCell ref="D420:E420"/>
    <mergeCell ref="D91:E91"/>
    <mergeCell ref="D120:E120"/>
    <mergeCell ref="D149:E149"/>
    <mergeCell ref="D178:E178"/>
    <mergeCell ref="D207:E207"/>
    <mergeCell ref="D236:E236"/>
    <mergeCell ref="D33:E33"/>
    <mergeCell ref="B96:E96"/>
    <mergeCell ref="B97:E97"/>
    <mergeCell ref="B98:E98"/>
    <mergeCell ref="D101:E101"/>
    <mergeCell ref="B67:E67"/>
    <mergeCell ref="B68:E68"/>
    <mergeCell ref="B69:E69"/>
    <mergeCell ref="B212:E212"/>
    <mergeCell ref="B213:E213"/>
    <mergeCell ref="B214:E214"/>
    <mergeCell ref="D217:E217"/>
    <mergeCell ref="B183:E183"/>
    <mergeCell ref="B184:E184"/>
    <mergeCell ref="D410:E410"/>
    <mergeCell ref="D439:E439"/>
    <mergeCell ref="D468:E468"/>
    <mergeCell ref="D265:E265"/>
    <mergeCell ref="D294:E294"/>
    <mergeCell ref="D323:E323"/>
    <mergeCell ref="D352:E352"/>
    <mergeCell ref="B386:E386"/>
    <mergeCell ref="B387:E387"/>
    <mergeCell ref="B388:E388"/>
  </mergeCells>
  <phoneticPr fontId="82" type="noConversion"/>
  <conditionalFormatting sqref="C19 C48 C77 C106 C135 C164 C193 C222 C251 C280 C309 C338 C367 C396 C425 C454 C483">
    <cfRule type="cellIs" dxfId="7" priority="1" stopIfTrue="1" operator="equal">
      <formula>"UWAGA!"</formula>
    </cfRule>
  </conditionalFormatting>
  <printOptions horizontalCentered="1"/>
  <pageMargins left="0.78740157480314965" right="0.6692913385826772" top="1.2204724409448819" bottom="0.15748031496062992" header="0.43307086614173229" footer="0"/>
  <pageSetup paperSize="9" scale="90" orientation="landscape" r:id="rId1"/>
  <headerFooter alignWithMargins="0"/>
  <ignoredErrors>
    <ignoredError sqref="A205 A176 A321 A408 A379 A234 A118 A466 A350 A263 A1 A292 A31 A60 A89 A437 A14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A1" s="1" t="s">
        <v>195</v>
      </c>
      <c r="B1" s="3"/>
      <c r="C1" s="4"/>
      <c r="D1" s="3"/>
      <c r="E1" s="3"/>
      <c r="F1" s="3"/>
      <c r="G1" s="413"/>
      <c r="H1" s="413"/>
      <c r="I1" s="413"/>
      <c r="J1" s="1603" t="s">
        <v>333</v>
      </c>
      <c r="K1" s="1603"/>
    </row>
    <row r="2" spans="1:12" x14ac:dyDescent="0.2">
      <c r="A2" s="3" t="s">
        <v>214</v>
      </c>
      <c r="B2" s="3"/>
      <c r="C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604" t="s">
        <v>485</v>
      </c>
      <c r="B6" s="1604"/>
      <c r="C6" s="1604"/>
      <c r="D6" s="1604"/>
      <c r="E6" s="1604"/>
      <c r="F6" s="1604"/>
      <c r="G6" s="1604"/>
      <c r="H6" s="1604"/>
      <c r="I6" s="1604"/>
      <c r="J6" s="1604"/>
      <c r="K6" s="1604"/>
      <c r="L6" s="8"/>
    </row>
    <row r="7" spans="1:12" ht="15.75" x14ac:dyDescent="0.25">
      <c r="A7" s="1691" t="str">
        <f>"WEDŁUG FORM ZATRUDNIENIA, wg stanu na dzień 31.XII."&amp;'Tab.1. bilans_Polska'!A2&amp;" r."</f>
        <v>WEDŁUG FORM ZATRUDNIENIA, wg stanu na dzień 31.XII.2011 r.</v>
      </c>
      <c r="B7" s="1690"/>
      <c r="C7" s="1690"/>
      <c r="D7" s="1690"/>
      <c r="E7" s="1690"/>
      <c r="F7" s="1690"/>
      <c r="G7" s="1690"/>
      <c r="H7" s="1690"/>
      <c r="I7" s="1690"/>
      <c r="J7" s="1690"/>
      <c r="K7" s="1690"/>
      <c r="L7" s="8"/>
    </row>
    <row r="8" spans="1:12" ht="15.75" x14ac:dyDescent="0.25">
      <c r="A8" s="1604" t="s">
        <v>7</v>
      </c>
      <c r="B8" s="1604"/>
      <c r="C8" s="1604"/>
      <c r="D8" s="1604"/>
      <c r="E8" s="1604"/>
      <c r="F8" s="1604"/>
      <c r="G8" s="1604"/>
      <c r="H8" s="1604"/>
      <c r="I8" s="1604"/>
      <c r="J8" s="1604"/>
      <c r="K8" s="1604"/>
      <c r="L8" s="8"/>
    </row>
    <row r="10" spans="1:12" ht="13.5" thickBot="1" x14ac:dyDescent="0.25">
      <c r="A10" s="3"/>
      <c r="B10" s="3"/>
      <c r="C10" s="3"/>
      <c r="D10" s="3"/>
      <c r="E10" s="3"/>
      <c r="F10" s="3"/>
      <c r="G10" s="3"/>
      <c r="H10" s="3"/>
      <c r="I10" s="3"/>
      <c r="J10" s="3"/>
    </row>
    <row r="11" spans="1:12" ht="13.5" thickTop="1" x14ac:dyDescent="0.2">
      <c r="A11" s="1692" t="s">
        <v>226</v>
      </c>
      <c r="B11" s="1813" t="s">
        <v>256</v>
      </c>
      <c r="C11" s="1767" t="s">
        <v>334</v>
      </c>
      <c r="D11" s="1774" t="s">
        <v>49</v>
      </c>
      <c r="E11" s="1774"/>
      <c r="F11" s="1774"/>
      <c r="G11" s="1774"/>
      <c r="H11" s="1774"/>
      <c r="I11" s="1774"/>
      <c r="J11" s="1774"/>
      <c r="K11" s="1775"/>
    </row>
    <row r="12" spans="1:12" x14ac:dyDescent="0.2">
      <c r="A12" s="1693"/>
      <c r="B12" s="1814"/>
      <c r="C12" s="1768"/>
      <c r="D12" s="1816" t="s">
        <v>335</v>
      </c>
      <c r="E12" s="1816"/>
      <c r="F12" s="1816"/>
      <c r="G12" s="1816"/>
      <c r="H12" s="1816"/>
      <c r="I12" s="1817"/>
      <c r="J12" s="1783" t="s">
        <v>340</v>
      </c>
      <c r="K12" s="1785"/>
    </row>
    <row r="13" spans="1:12" ht="12.75" customHeight="1" x14ac:dyDescent="0.2">
      <c r="A13" s="1693"/>
      <c r="B13" s="1814"/>
      <c r="C13" s="1768"/>
      <c r="D13" s="1793" t="s">
        <v>336</v>
      </c>
      <c r="E13" s="1820" t="s">
        <v>294</v>
      </c>
      <c r="F13" s="1811" t="s">
        <v>338</v>
      </c>
      <c r="G13" s="1777"/>
      <c r="H13" s="1771" t="s">
        <v>339</v>
      </c>
      <c r="I13" s="1812"/>
      <c r="J13" s="1793" t="s">
        <v>0</v>
      </c>
      <c r="K13" s="1818" t="s">
        <v>294</v>
      </c>
    </row>
    <row r="14" spans="1:12" x14ac:dyDescent="0.2">
      <c r="A14" s="1694"/>
      <c r="B14" s="1815"/>
      <c r="C14" s="1769"/>
      <c r="D14" s="1795"/>
      <c r="E14" s="1821"/>
      <c r="F14" s="553" t="s">
        <v>0</v>
      </c>
      <c r="G14" s="551" t="s">
        <v>337</v>
      </c>
      <c r="H14" s="552" t="s">
        <v>0</v>
      </c>
      <c r="I14" s="554" t="s">
        <v>337</v>
      </c>
      <c r="J14" s="1795"/>
      <c r="K14" s="1819"/>
    </row>
    <row r="15" spans="1:12" ht="13.5" thickBot="1" x14ac:dyDescent="0.25">
      <c r="A15" s="425"/>
      <c r="B15" s="429">
        <v>0</v>
      </c>
      <c r="C15" s="464">
        <v>1</v>
      </c>
      <c r="D15" s="427">
        <v>2</v>
      </c>
      <c r="E15" s="429">
        <v>3</v>
      </c>
      <c r="F15" s="430">
        <v>4</v>
      </c>
      <c r="G15" s="428">
        <v>5</v>
      </c>
      <c r="H15" s="428">
        <v>6</v>
      </c>
      <c r="I15" s="429">
        <v>7</v>
      </c>
      <c r="J15" s="430">
        <v>8</v>
      </c>
      <c r="K15" s="431">
        <v>9</v>
      </c>
    </row>
    <row r="16" spans="1:12" ht="13.5" thickTop="1" x14ac:dyDescent="0.2">
      <c r="A16" s="461">
        <v>1</v>
      </c>
      <c r="B16" s="508" t="s">
        <v>236</v>
      </c>
      <c r="C16" s="473">
        <f>'Tab.4. Losóbzatr_Polska'!C47</f>
        <v>3950</v>
      </c>
      <c r="D16" s="566">
        <f>F16+H16</f>
        <v>3901</v>
      </c>
      <c r="E16" s="557">
        <f>D16*100/$C16</f>
        <v>98.759493670886073</v>
      </c>
      <c r="F16" s="558">
        <f>'Tab.4. Losóbzatr_Polska'!C51</f>
        <v>3607</v>
      </c>
      <c r="G16" s="559">
        <f t="shared" ref="G16:G31" si="0">F16*100/$C16</f>
        <v>91.316455696202539</v>
      </c>
      <c r="H16" s="560">
        <f>'Tab.4. Losóbzatr_Polska'!C52</f>
        <v>294</v>
      </c>
      <c r="I16" s="557">
        <f t="shared" ref="I16:I31" si="1">H16*100/$C16</f>
        <v>7.443037974683544</v>
      </c>
      <c r="J16" s="534">
        <f>'Tab.4. Losóbzatr_Polska'!C53</f>
        <v>49</v>
      </c>
      <c r="K16" s="524">
        <f t="shared" ref="K16:K31" si="2">J16*100/$C16</f>
        <v>1.240506329113924</v>
      </c>
    </row>
    <row r="17" spans="1:12" x14ac:dyDescent="0.2">
      <c r="A17" s="462">
        <v>2</v>
      </c>
      <c r="B17" s="509" t="s">
        <v>237</v>
      </c>
      <c r="C17" s="481">
        <f>'Tab.4. Losóbzatr_Polska'!C76</f>
        <v>2745</v>
      </c>
      <c r="D17" s="567">
        <f t="shared" ref="D17:D31" si="3">F17+H17</f>
        <v>2718</v>
      </c>
      <c r="E17" s="539">
        <f t="shared" ref="E17:E31" si="4">D17*100/C17</f>
        <v>99.016393442622956</v>
      </c>
      <c r="F17" s="535">
        <f>'Tab.4. Losóbzatr_Polska'!C80</f>
        <v>2543</v>
      </c>
      <c r="G17" s="522">
        <f t="shared" si="0"/>
        <v>92.641165755919857</v>
      </c>
      <c r="H17" s="519">
        <f>'Tab.4. Losóbzatr_Polska'!C81</f>
        <v>175</v>
      </c>
      <c r="I17" s="539">
        <f t="shared" si="1"/>
        <v>6.3752276867030968</v>
      </c>
      <c r="J17" s="535">
        <f>'Tab.4. Losóbzatr_Polska'!C82</f>
        <v>27</v>
      </c>
      <c r="K17" s="525">
        <f t="shared" si="2"/>
        <v>0.98360655737704916</v>
      </c>
    </row>
    <row r="18" spans="1:12" x14ac:dyDescent="0.2">
      <c r="A18" s="462">
        <v>3</v>
      </c>
      <c r="B18" s="509" t="s">
        <v>238</v>
      </c>
      <c r="C18" s="481">
        <f>'Tab.4. Losóbzatr_Polska'!C105</f>
        <v>3040</v>
      </c>
      <c r="D18" s="567">
        <f t="shared" si="3"/>
        <v>2993</v>
      </c>
      <c r="E18" s="539">
        <f t="shared" si="4"/>
        <v>98.453947368421055</v>
      </c>
      <c r="F18" s="535">
        <f>'Tab.4. Losóbzatr_Polska'!C109</f>
        <v>2806</v>
      </c>
      <c r="G18" s="522">
        <f t="shared" si="0"/>
        <v>92.30263157894737</v>
      </c>
      <c r="H18" s="519">
        <f>'Tab.4. Losóbzatr_Polska'!C110</f>
        <v>187</v>
      </c>
      <c r="I18" s="539">
        <f t="shared" si="1"/>
        <v>6.1513157894736841</v>
      </c>
      <c r="J18" s="535">
        <f>'Tab.4. Losóbzatr_Polska'!C111</f>
        <v>47</v>
      </c>
      <c r="K18" s="525">
        <f t="shared" si="2"/>
        <v>1.5460526315789473</v>
      </c>
    </row>
    <row r="19" spans="1:12" x14ac:dyDescent="0.2">
      <c r="A19" s="462">
        <v>4</v>
      </c>
      <c r="B19" s="509" t="s">
        <v>239</v>
      </c>
      <c r="C19" s="481">
        <f>'Tab.4. Losóbzatr_Polska'!C134</f>
        <v>1720</v>
      </c>
      <c r="D19" s="567">
        <f t="shared" si="3"/>
        <v>1658</v>
      </c>
      <c r="E19" s="539">
        <f t="shared" si="4"/>
        <v>96.395348837209298</v>
      </c>
      <c r="F19" s="535">
        <f>'Tab.4. Losóbzatr_Polska'!C138</f>
        <v>1541</v>
      </c>
      <c r="G19" s="522">
        <f t="shared" si="0"/>
        <v>89.593023255813947</v>
      </c>
      <c r="H19" s="519">
        <f>'Tab.4. Losóbzatr_Polska'!C139</f>
        <v>117</v>
      </c>
      <c r="I19" s="539">
        <f t="shared" si="1"/>
        <v>6.8023255813953485</v>
      </c>
      <c r="J19" s="535">
        <f>'Tab.4. Losóbzatr_Polska'!C140</f>
        <v>62</v>
      </c>
      <c r="K19" s="525">
        <f t="shared" si="2"/>
        <v>3.6046511627906979</v>
      </c>
    </row>
    <row r="20" spans="1:12" x14ac:dyDescent="0.2">
      <c r="A20" s="462">
        <v>5</v>
      </c>
      <c r="B20" s="509" t="s">
        <v>240</v>
      </c>
      <c r="C20" s="481">
        <f>'Tab.4. Losóbzatr_Polska'!C163</f>
        <v>4300</v>
      </c>
      <c r="D20" s="567">
        <f t="shared" si="3"/>
        <v>4241</v>
      </c>
      <c r="E20" s="539">
        <f t="shared" si="4"/>
        <v>98.627906976744185</v>
      </c>
      <c r="F20" s="535">
        <f>'Tab.4. Losóbzatr_Polska'!C167</f>
        <v>3898</v>
      </c>
      <c r="G20" s="522">
        <f t="shared" si="0"/>
        <v>90.651162790697668</v>
      </c>
      <c r="H20" s="519">
        <f>'Tab.4. Losóbzatr_Polska'!C168</f>
        <v>343</v>
      </c>
      <c r="I20" s="539">
        <f t="shared" si="1"/>
        <v>7.9767441860465116</v>
      </c>
      <c r="J20" s="535">
        <f>'Tab.4. Losóbzatr_Polska'!C169</f>
        <v>59</v>
      </c>
      <c r="K20" s="525">
        <f t="shared" si="2"/>
        <v>1.3720930232558139</v>
      </c>
    </row>
    <row r="21" spans="1:12" x14ac:dyDescent="0.2">
      <c r="A21" s="462">
        <v>6</v>
      </c>
      <c r="B21" s="509" t="s">
        <v>241</v>
      </c>
      <c r="C21" s="481">
        <f>'Tab.4. Losóbzatr_Polska'!C192</f>
        <v>5643</v>
      </c>
      <c r="D21" s="567">
        <f t="shared" si="3"/>
        <v>5547</v>
      </c>
      <c r="E21" s="539">
        <f t="shared" si="4"/>
        <v>98.298777246145661</v>
      </c>
      <c r="F21" s="535">
        <f>'Tab.4. Losóbzatr_Polska'!C196</f>
        <v>4956</v>
      </c>
      <c r="G21" s="522">
        <f t="shared" si="0"/>
        <v>87.825624667729926</v>
      </c>
      <c r="H21" s="519">
        <f>'Tab.4. Losóbzatr_Polska'!C197</f>
        <v>591</v>
      </c>
      <c r="I21" s="539">
        <f t="shared" si="1"/>
        <v>10.473152578415736</v>
      </c>
      <c r="J21" s="535">
        <f>'Tab.4. Losóbzatr_Polska'!C198</f>
        <v>96</v>
      </c>
      <c r="K21" s="525">
        <f t="shared" si="2"/>
        <v>1.7012227538543327</v>
      </c>
    </row>
    <row r="22" spans="1:12" x14ac:dyDescent="0.2">
      <c r="A22" s="462">
        <v>7</v>
      </c>
      <c r="B22" s="509" t="s">
        <v>242</v>
      </c>
      <c r="C22" s="481">
        <f>'Tab.4. Losóbzatr_Polska'!C221</f>
        <v>6625</v>
      </c>
      <c r="D22" s="567">
        <f t="shared" si="3"/>
        <v>6529</v>
      </c>
      <c r="E22" s="539">
        <f t="shared" si="4"/>
        <v>98.550943396226415</v>
      </c>
      <c r="F22" s="535">
        <f>'Tab.4. Losóbzatr_Polska'!C225</f>
        <v>5821</v>
      </c>
      <c r="G22" s="522">
        <f t="shared" si="0"/>
        <v>87.864150943396226</v>
      </c>
      <c r="H22" s="519">
        <f>'Tab.4. Losóbzatr_Polska'!C226</f>
        <v>708</v>
      </c>
      <c r="I22" s="539">
        <f t="shared" si="1"/>
        <v>10.686792452830188</v>
      </c>
      <c r="J22" s="535">
        <f>'Tab.4. Losóbzatr_Polska'!C227</f>
        <v>96</v>
      </c>
      <c r="K22" s="525">
        <f t="shared" si="2"/>
        <v>1.4490566037735848</v>
      </c>
    </row>
    <row r="23" spans="1:12" x14ac:dyDescent="0.2">
      <c r="A23" s="462">
        <v>8</v>
      </c>
      <c r="B23" s="509" t="s">
        <v>243</v>
      </c>
      <c r="C23" s="481">
        <f>'Tab.4. Losóbzatr_Polska'!C250</f>
        <v>1821</v>
      </c>
      <c r="D23" s="567">
        <f t="shared" si="3"/>
        <v>1800</v>
      </c>
      <c r="E23" s="539">
        <f t="shared" si="4"/>
        <v>98.846787479406913</v>
      </c>
      <c r="F23" s="535">
        <f>'Tab.4. Losóbzatr_Polska'!C254</f>
        <v>1658</v>
      </c>
      <c r="G23" s="522">
        <f t="shared" si="0"/>
        <v>91.04887424492037</v>
      </c>
      <c r="H23" s="519">
        <f>'Tab.4. Losóbzatr_Polska'!C255</f>
        <v>142</v>
      </c>
      <c r="I23" s="539">
        <f t="shared" si="1"/>
        <v>7.7979132344865461</v>
      </c>
      <c r="J23" s="535">
        <f>'Tab.4. Losóbzatr_Polska'!C256</f>
        <v>21</v>
      </c>
      <c r="K23" s="525">
        <f t="shared" si="2"/>
        <v>1.1532125205930808</v>
      </c>
    </row>
    <row r="24" spans="1:12" x14ac:dyDescent="0.2">
      <c r="A24" s="462">
        <v>9</v>
      </c>
      <c r="B24" s="509" t="s">
        <v>244</v>
      </c>
      <c r="C24" s="481">
        <f>'Tab.4. Losóbzatr_Polska'!C279</f>
        <v>3192</v>
      </c>
      <c r="D24" s="567">
        <f t="shared" si="3"/>
        <v>3137</v>
      </c>
      <c r="E24" s="539">
        <f t="shared" si="4"/>
        <v>98.27694235588973</v>
      </c>
      <c r="F24" s="535">
        <f>'Tab.4. Losóbzatr_Polska'!C283</f>
        <v>2953</v>
      </c>
      <c r="G24" s="522">
        <f t="shared" si="0"/>
        <v>92.512531328320804</v>
      </c>
      <c r="H24" s="519">
        <f>'Tab.4. Losóbzatr_Polska'!C284</f>
        <v>184</v>
      </c>
      <c r="I24" s="539">
        <f t="shared" si="1"/>
        <v>5.7644110275689222</v>
      </c>
      <c r="J24" s="535">
        <f>'Tab.4. Losóbzatr_Polska'!C285</f>
        <v>55</v>
      </c>
      <c r="K24" s="525">
        <f t="shared" si="2"/>
        <v>1.7230576441102756</v>
      </c>
    </row>
    <row r="25" spans="1:12" x14ac:dyDescent="0.2">
      <c r="A25" s="463">
        <v>10</v>
      </c>
      <c r="B25" s="509" t="s">
        <v>245</v>
      </c>
      <c r="C25" s="481">
        <f>'Tab.4. Losóbzatr_Polska'!C308</f>
        <v>1691</v>
      </c>
      <c r="D25" s="567">
        <f t="shared" si="3"/>
        <v>1659</v>
      </c>
      <c r="E25" s="539">
        <f t="shared" si="4"/>
        <v>98.10762862211709</v>
      </c>
      <c r="F25" s="535">
        <f>'Tab.4. Losóbzatr_Polska'!C312</f>
        <v>1535</v>
      </c>
      <c r="G25" s="522">
        <f t="shared" si="0"/>
        <v>90.774689532820815</v>
      </c>
      <c r="H25" s="519">
        <f>'Tab.4. Losóbzatr_Polska'!C313</f>
        <v>124</v>
      </c>
      <c r="I25" s="539">
        <f t="shared" si="1"/>
        <v>7.332939089296274</v>
      </c>
      <c r="J25" s="535">
        <f>'Tab.4. Losóbzatr_Polska'!C314</f>
        <v>32</v>
      </c>
      <c r="K25" s="525">
        <f t="shared" si="2"/>
        <v>1.8923713778829094</v>
      </c>
    </row>
    <row r="26" spans="1:12" x14ac:dyDescent="0.2">
      <c r="A26" s="463">
        <v>11</v>
      </c>
      <c r="B26" s="509" t="s">
        <v>246</v>
      </c>
      <c r="C26" s="481">
        <f>'Tab.4. Losóbzatr_Polska'!C337</f>
        <v>2448</v>
      </c>
      <c r="D26" s="567">
        <f t="shared" si="3"/>
        <v>2411</v>
      </c>
      <c r="E26" s="539">
        <f t="shared" si="4"/>
        <v>98.488562091503269</v>
      </c>
      <c r="F26" s="535">
        <f>'Tab.4. Losóbzatr_Polska'!C341</f>
        <v>2272</v>
      </c>
      <c r="G26" s="522">
        <f t="shared" si="0"/>
        <v>92.810457516339866</v>
      </c>
      <c r="H26" s="519">
        <f>'Tab.4. Losóbzatr_Polska'!C342</f>
        <v>139</v>
      </c>
      <c r="I26" s="539">
        <f t="shared" si="1"/>
        <v>5.6781045751633989</v>
      </c>
      <c r="J26" s="535">
        <f>'Tab.4. Losóbzatr_Polska'!C343</f>
        <v>37</v>
      </c>
      <c r="K26" s="525">
        <f t="shared" si="2"/>
        <v>1.511437908496732</v>
      </c>
    </row>
    <row r="27" spans="1:12" x14ac:dyDescent="0.2">
      <c r="A27" s="463">
        <v>12</v>
      </c>
      <c r="B27" s="509" t="s">
        <v>247</v>
      </c>
      <c r="C27" s="481">
        <f>'Tab.4. Losóbzatr_Polska'!C366</f>
        <v>5472</v>
      </c>
      <c r="D27" s="567">
        <f t="shared" si="3"/>
        <v>5406</v>
      </c>
      <c r="E27" s="539">
        <f t="shared" si="4"/>
        <v>98.793859649122808</v>
      </c>
      <c r="F27" s="535">
        <f>'Tab.4. Losóbzatr_Polska'!C370</f>
        <v>4828</v>
      </c>
      <c r="G27" s="522">
        <f t="shared" si="0"/>
        <v>88.23099415204679</v>
      </c>
      <c r="H27" s="519">
        <f>'Tab.4. Losóbzatr_Polska'!C371</f>
        <v>578</v>
      </c>
      <c r="I27" s="539">
        <f t="shared" si="1"/>
        <v>10.562865497076023</v>
      </c>
      <c r="J27" s="535">
        <f>'Tab.4. Losóbzatr_Polska'!C372</f>
        <v>66</v>
      </c>
      <c r="K27" s="525">
        <f t="shared" si="2"/>
        <v>1.2061403508771931</v>
      </c>
    </row>
    <row r="28" spans="1:12" x14ac:dyDescent="0.2">
      <c r="A28" s="463">
        <v>13</v>
      </c>
      <c r="B28" s="509" t="s">
        <v>248</v>
      </c>
      <c r="C28" s="481">
        <f>'Tab.4. Losóbzatr_Polska'!C395</f>
        <v>2202</v>
      </c>
      <c r="D28" s="567">
        <f t="shared" si="3"/>
        <v>2160</v>
      </c>
      <c r="E28" s="539">
        <f t="shared" si="4"/>
        <v>98.09264305177112</v>
      </c>
      <c r="F28" s="535">
        <f>'Tab.4. Losóbzatr_Polska'!C399</f>
        <v>2052</v>
      </c>
      <c r="G28" s="522">
        <f t="shared" si="0"/>
        <v>93.188010899182558</v>
      </c>
      <c r="H28" s="519">
        <f>'Tab.4. Losóbzatr_Polska'!C400</f>
        <v>108</v>
      </c>
      <c r="I28" s="539">
        <f t="shared" si="1"/>
        <v>4.9046321525885554</v>
      </c>
      <c r="J28" s="535">
        <f>'Tab.4. Losóbzatr_Polska'!C401</f>
        <v>42</v>
      </c>
      <c r="K28" s="525">
        <f t="shared" si="2"/>
        <v>1.9073569482288828</v>
      </c>
    </row>
    <row r="29" spans="1:12" x14ac:dyDescent="0.2">
      <c r="A29" s="463">
        <v>14</v>
      </c>
      <c r="B29" s="509" t="s">
        <v>249</v>
      </c>
      <c r="C29" s="481">
        <f>'Tab.4. Losóbzatr_Polska'!C424</f>
        <v>2268</v>
      </c>
      <c r="D29" s="567">
        <f t="shared" si="3"/>
        <v>2221</v>
      </c>
      <c r="E29" s="539">
        <f t="shared" si="4"/>
        <v>97.927689594356266</v>
      </c>
      <c r="F29" s="535">
        <f>'Tab.4. Losóbzatr_Polska'!C428</f>
        <v>2068</v>
      </c>
      <c r="G29" s="522">
        <f t="shared" si="0"/>
        <v>91.181657848324519</v>
      </c>
      <c r="H29" s="519">
        <f>'Tab.4. Losóbzatr_Polska'!C429</f>
        <v>153</v>
      </c>
      <c r="I29" s="539">
        <f t="shared" si="1"/>
        <v>6.746031746031746</v>
      </c>
      <c r="J29" s="535">
        <f>'Tab.4. Losóbzatr_Polska'!C430</f>
        <v>47</v>
      </c>
      <c r="K29" s="525">
        <f t="shared" si="2"/>
        <v>2.0723104056437389</v>
      </c>
    </row>
    <row r="30" spans="1:12" x14ac:dyDescent="0.2">
      <c r="A30" s="463">
        <v>15</v>
      </c>
      <c r="B30" s="509" t="s">
        <v>250</v>
      </c>
      <c r="C30" s="481">
        <f>'Tab.4. Losóbzatr_Polska'!C453</f>
        <v>4606</v>
      </c>
      <c r="D30" s="567">
        <f t="shared" si="3"/>
        <v>4551</v>
      </c>
      <c r="E30" s="539">
        <f t="shared" si="4"/>
        <v>98.805905340859752</v>
      </c>
      <c r="F30" s="535">
        <f>'Tab.4. Losóbzatr_Polska'!C457</f>
        <v>4187</v>
      </c>
      <c r="G30" s="522">
        <f t="shared" si="0"/>
        <v>90.903169778549724</v>
      </c>
      <c r="H30" s="519">
        <f>'Tab.4. Losóbzatr_Polska'!C458</f>
        <v>364</v>
      </c>
      <c r="I30" s="539">
        <f t="shared" si="1"/>
        <v>7.9027355623100304</v>
      </c>
      <c r="J30" s="535">
        <f>'Tab.4. Losóbzatr_Polska'!C459</f>
        <v>55</v>
      </c>
      <c r="K30" s="525">
        <f t="shared" si="2"/>
        <v>1.1940946591402519</v>
      </c>
    </row>
    <row r="31" spans="1:12" ht="13.5" thickBot="1" x14ac:dyDescent="0.25">
      <c r="A31" s="463">
        <v>16</v>
      </c>
      <c r="B31" s="510" t="s">
        <v>251</v>
      </c>
      <c r="C31" s="555">
        <f>'Tab.4. Losóbzatr_Polska'!C482</f>
        <v>2611</v>
      </c>
      <c r="D31" s="568">
        <f t="shared" si="3"/>
        <v>2507</v>
      </c>
      <c r="E31" s="540">
        <f t="shared" si="4"/>
        <v>96.016851780926842</v>
      </c>
      <c r="F31" s="536">
        <f>'Tab.4. Losóbzatr_Polska'!C486</f>
        <v>2412</v>
      </c>
      <c r="G31" s="523">
        <f t="shared" si="0"/>
        <v>92.378399080811946</v>
      </c>
      <c r="H31" s="520">
        <f>'Tab.4. Losóbzatr_Polska'!C487</f>
        <v>95</v>
      </c>
      <c r="I31" s="540">
        <f t="shared" si="1"/>
        <v>3.6384527001148985</v>
      </c>
      <c r="J31" s="536">
        <f>'Tab.4. Losóbzatr_Polska'!C488</f>
        <v>104</v>
      </c>
      <c r="K31" s="526">
        <f t="shared" si="2"/>
        <v>3.983148219073152</v>
      </c>
    </row>
    <row r="32" spans="1:12" ht="16.5" thickBot="1" x14ac:dyDescent="0.3">
      <c r="A32" s="445" t="s">
        <v>252</v>
      </c>
      <c r="B32" s="446"/>
      <c r="C32" s="556">
        <f>SUM(C16:C31)</f>
        <v>54334</v>
      </c>
      <c r="D32" s="561">
        <f>SUM(D16:D31)</f>
        <v>53439</v>
      </c>
      <c r="E32" s="562">
        <f>AVERAGE(E16:E31)</f>
        <v>98.216230056513083</v>
      </c>
      <c r="F32" s="563">
        <f>SUM(F16:F31)</f>
        <v>49137</v>
      </c>
      <c r="G32" s="564">
        <f>AVERAGE(G16:G31)</f>
        <v>90.95143744187655</v>
      </c>
      <c r="H32" s="565">
        <f>SUM(H16:H31)</f>
        <v>4302</v>
      </c>
      <c r="I32" s="562">
        <f>AVERAGE(I16:I31)</f>
        <v>7.2647926146365318</v>
      </c>
      <c r="J32" s="537">
        <f>SUM(J16:J31)</f>
        <v>895</v>
      </c>
      <c r="K32" s="530">
        <f>AVERAGE(K16:K31)</f>
        <v>1.7837699434869101</v>
      </c>
      <c r="L32" s="533"/>
    </row>
    <row r="33" ht="13.5" thickTop="1" x14ac:dyDescent="0.2"/>
  </sheetData>
  <mergeCells count="16">
    <mergeCell ref="J1:K1"/>
    <mergeCell ref="A6:K6"/>
    <mergeCell ref="A7:K7"/>
    <mergeCell ref="A8:K8"/>
    <mergeCell ref="J12:K12"/>
    <mergeCell ref="D11:K11"/>
    <mergeCell ref="D12:I12"/>
    <mergeCell ref="A11:A14"/>
    <mergeCell ref="K13:K14"/>
    <mergeCell ref="E13:E14"/>
    <mergeCell ref="F13:G13"/>
    <mergeCell ref="H13:I13"/>
    <mergeCell ref="J13:J14"/>
    <mergeCell ref="B11:B14"/>
    <mergeCell ref="C11:C14"/>
    <mergeCell ref="D13:D14"/>
  </mergeCells>
  <phoneticPr fontId="82"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H16:J32 E32 G32 F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3"/>
  <sheetViews>
    <sheetView zoomScale="53" workbookViewId="0"/>
  </sheetViews>
  <sheetFormatPr defaultRowHeight="12.75" x14ac:dyDescent="0.2"/>
  <cols>
    <col min="1" max="1" width="5.85546875" bestFit="1" customWidth="1"/>
    <col min="2" max="2" width="66.140625" customWidth="1"/>
    <col min="3" max="3" width="4.7109375" bestFit="1" customWidth="1"/>
    <col min="4" max="15" width="21.7109375" customWidth="1"/>
  </cols>
  <sheetData>
    <row r="1" spans="1:15" ht="26.25" x14ac:dyDescent="0.4">
      <c r="A1" s="267" t="s">
        <v>196</v>
      </c>
      <c r="B1" s="266" t="s">
        <v>195</v>
      </c>
    </row>
    <row r="2" spans="1:15" ht="18" x14ac:dyDescent="0.25">
      <c r="N2" s="1675" t="s">
        <v>14</v>
      </c>
      <c r="O2" s="1675"/>
    </row>
    <row r="3" spans="1:15" ht="18" x14ac:dyDescent="0.25">
      <c r="B3" s="11" t="s">
        <v>116</v>
      </c>
      <c r="C3" s="3"/>
      <c r="D3" s="3"/>
      <c r="E3" s="3"/>
      <c r="F3" s="3"/>
      <c r="G3" s="3"/>
      <c r="H3" s="3"/>
      <c r="I3" s="3"/>
      <c r="J3" s="3"/>
      <c r="K3" s="11"/>
      <c r="L3" s="3"/>
      <c r="M3" s="3"/>
    </row>
    <row r="4" spans="1:15" ht="18" x14ac:dyDescent="0.25">
      <c r="B4" s="14" t="s">
        <v>129</v>
      </c>
      <c r="C4" s="29"/>
      <c r="D4" s="3"/>
      <c r="E4" s="3"/>
      <c r="F4" s="3"/>
      <c r="G4" s="3"/>
      <c r="H4" s="3"/>
      <c r="I4" s="3"/>
    </row>
    <row r="5" spans="1:15" ht="18" x14ac:dyDescent="0.25">
      <c r="B5" s="11" t="s">
        <v>128</v>
      </c>
      <c r="C5" s="3"/>
      <c r="D5" s="3"/>
      <c r="E5" s="3"/>
      <c r="F5" s="3"/>
      <c r="G5" s="3"/>
      <c r="H5" s="3"/>
      <c r="I5" s="3"/>
    </row>
    <row r="6" spans="1:15" ht="18" x14ac:dyDescent="0.25">
      <c r="B6" s="11"/>
      <c r="C6" s="3"/>
      <c r="D6" s="3"/>
      <c r="E6" s="3"/>
      <c r="F6" s="3"/>
      <c r="G6" s="3"/>
      <c r="H6" s="3"/>
      <c r="I6" s="3"/>
      <c r="J6" s="3"/>
      <c r="K6" s="3"/>
      <c r="L6" s="3"/>
      <c r="M6" s="3"/>
      <c r="N6" s="3"/>
    </row>
    <row r="7" spans="1:15" ht="18" x14ac:dyDescent="0.25">
      <c r="B7" s="1138" t="s">
        <v>195</v>
      </c>
      <c r="C7" s="3"/>
      <c r="D7" s="3"/>
      <c r="E7" s="3"/>
      <c r="F7" s="3"/>
      <c r="G7" s="3"/>
      <c r="H7" s="3"/>
      <c r="I7" s="3"/>
      <c r="J7" s="3"/>
      <c r="K7" s="3"/>
      <c r="L7" s="3"/>
      <c r="M7" s="3"/>
      <c r="N7" s="3"/>
    </row>
    <row r="8" spans="1:15" ht="15.75" x14ac:dyDescent="0.25">
      <c r="B8" s="1"/>
      <c r="C8" s="3"/>
      <c r="D8" s="3"/>
      <c r="E8" s="3"/>
      <c r="F8" s="3"/>
      <c r="G8" s="3"/>
      <c r="H8" s="3"/>
      <c r="I8" s="3"/>
      <c r="J8" s="3"/>
      <c r="K8" s="3"/>
      <c r="L8" s="3"/>
      <c r="M8" s="3"/>
      <c r="N8" s="3"/>
    </row>
    <row r="9" spans="1:15" ht="15.75" x14ac:dyDescent="0.25">
      <c r="B9" s="1"/>
      <c r="C9" s="3"/>
      <c r="D9" s="3"/>
      <c r="E9" s="3"/>
      <c r="F9" s="3"/>
      <c r="G9" s="3"/>
      <c r="H9" s="3"/>
      <c r="I9" s="3"/>
      <c r="J9" s="3"/>
      <c r="K9" s="1"/>
      <c r="L9" s="3"/>
      <c r="M9" s="3"/>
      <c r="N9" s="3"/>
    </row>
    <row r="10" spans="1:15" ht="23.25" x14ac:dyDescent="0.35">
      <c r="B10" s="1655" t="s">
        <v>36</v>
      </c>
      <c r="C10" s="1655"/>
      <c r="D10" s="1655"/>
      <c r="E10" s="1655"/>
      <c r="F10" s="1655"/>
      <c r="G10" s="1655"/>
      <c r="H10" s="1655"/>
      <c r="I10" s="1655"/>
      <c r="J10" s="1655"/>
      <c r="K10" s="1655"/>
      <c r="L10" s="1655"/>
      <c r="M10" s="1655"/>
      <c r="N10" s="1655"/>
      <c r="O10" s="1655"/>
    </row>
    <row r="11" spans="1:15" ht="23.25" x14ac:dyDescent="0.35">
      <c r="B11" s="1685" t="str">
        <f>"W  PODZIALE  NA  DOMY  SAMORZĄDÓW  POWIATOWYCH  I  PODMIOTÓW  NIEPUBLICZNYCH  WG  ST.  NA  DZIEŃ  31. XII. "&amp;'Tab.1. bilans_Polska'!A2&amp;" r."</f>
        <v>W  PODZIALE  NA  DOMY  SAMORZĄDÓW  POWIATOWYCH  I  PODMIOTÓW  NIEPUBLICZNYCH  WG  ST.  NA  DZIEŃ  31. XII. 2011 r.</v>
      </c>
      <c r="C11" s="1685"/>
      <c r="D11" s="1685"/>
      <c r="E11" s="1685"/>
      <c r="F11" s="1685"/>
      <c r="G11" s="1685"/>
      <c r="H11" s="1685"/>
      <c r="I11" s="1685"/>
      <c r="J11" s="1685"/>
      <c r="K11" s="1685"/>
      <c r="L11" s="1685"/>
      <c r="M11" s="1685"/>
      <c r="N11" s="1685"/>
      <c r="O11" s="1685"/>
    </row>
    <row r="12" spans="1:15" ht="23.25" x14ac:dyDescent="0.35">
      <c r="B12" s="28"/>
      <c r="C12" s="3"/>
      <c r="D12" s="3"/>
      <c r="E12" s="3"/>
      <c r="F12" s="3"/>
      <c r="G12" s="3"/>
      <c r="H12" s="3"/>
      <c r="I12" s="3"/>
      <c r="J12" s="3"/>
      <c r="K12" s="3"/>
      <c r="L12" s="3"/>
      <c r="M12" s="3"/>
      <c r="N12" s="3"/>
    </row>
    <row r="13" spans="1:15" ht="24" thickBot="1" x14ac:dyDescent="0.4">
      <c r="B13" s="30"/>
      <c r="C13" s="30"/>
      <c r="D13" s="939"/>
      <c r="E13" s="939"/>
      <c r="F13" s="939" t="str">
        <f>IF('Tab.1. bilans_Polska'!C33=F21, "", "t1w5k1="&amp;'Tab.1. bilans_Polska'!C33)</f>
        <v/>
      </c>
      <c r="G13" s="940"/>
      <c r="H13" s="940"/>
      <c r="I13" s="940"/>
      <c r="J13" s="939" t="str">
        <f>IF('Tab.1. bilans_Polska'!D33=J21, "", "t1w5k2="&amp;'Tab.1. bilans_Polska'!D33)</f>
        <v/>
      </c>
      <c r="K13" s="940"/>
      <c r="L13" s="940"/>
      <c r="M13" s="940"/>
      <c r="N13" s="942" t="str">
        <f>IF('Tab.1. bilans_Polska'!E33=N21,"","t1w5k3="&amp;'Tab.1. bilans_Polska'!E33)</f>
        <v/>
      </c>
      <c r="O13" s="941"/>
    </row>
    <row r="14" spans="1:15" ht="24" thickTop="1" x14ac:dyDescent="0.2">
      <c r="B14" s="1660" t="s">
        <v>38</v>
      </c>
      <c r="C14" s="1661"/>
      <c r="D14" s="1677" t="s">
        <v>3</v>
      </c>
      <c r="E14" s="1678"/>
      <c r="F14" s="1678"/>
      <c r="G14" s="1679"/>
      <c r="H14" s="1668" t="s">
        <v>37</v>
      </c>
      <c r="I14" s="1669"/>
      <c r="J14" s="1669"/>
      <c r="K14" s="1669"/>
      <c r="L14" s="1669"/>
      <c r="M14" s="1669"/>
      <c r="N14" s="1669"/>
      <c r="O14" s="1670"/>
    </row>
    <row r="15" spans="1:15" ht="15.75" customHeight="1" thickBot="1" x14ac:dyDescent="0.25">
      <c r="B15" s="1662"/>
      <c r="C15" s="1663"/>
      <c r="D15" s="1649" t="str">
        <f>UPPER("Domy 
zareje-
strowane")</f>
        <v>DOMY 
ZAREJE-
STROWANE</v>
      </c>
      <c r="E15" s="1646" t="s">
        <v>454</v>
      </c>
      <c r="F15" s="1646" t="s">
        <v>455</v>
      </c>
      <c r="G15" s="1666" t="s">
        <v>281</v>
      </c>
      <c r="H15" s="1671"/>
      <c r="I15" s="1672"/>
      <c r="J15" s="1672"/>
      <c r="K15" s="1672"/>
      <c r="L15" s="1672"/>
      <c r="M15" s="1672"/>
      <c r="N15" s="1672"/>
      <c r="O15" s="1673"/>
    </row>
    <row r="16" spans="1:15" ht="18" x14ac:dyDescent="0.2">
      <c r="B16" s="1662"/>
      <c r="C16" s="1663"/>
      <c r="D16" s="1650"/>
      <c r="E16" s="1647"/>
      <c r="F16" s="1647"/>
      <c r="G16" s="1667"/>
      <c r="H16" s="1656" t="s">
        <v>17</v>
      </c>
      <c r="I16" s="1656"/>
      <c r="J16" s="1656"/>
      <c r="K16" s="1657"/>
      <c r="L16" s="1658" t="s">
        <v>18</v>
      </c>
      <c r="M16" s="1656"/>
      <c r="N16" s="1656"/>
      <c r="O16" s="1659"/>
    </row>
    <row r="17" spans="2:24" ht="18" customHeight="1" x14ac:dyDescent="0.2">
      <c r="B17" s="1662"/>
      <c r="C17" s="1663"/>
      <c r="D17" s="1650"/>
      <c r="E17" s="1647"/>
      <c r="F17" s="1647"/>
      <c r="G17" s="1667"/>
      <c r="H17" s="1649" t="s">
        <v>460</v>
      </c>
      <c r="I17" s="1646" t="s">
        <v>456</v>
      </c>
      <c r="J17" s="1646" t="s">
        <v>393</v>
      </c>
      <c r="K17" s="1666" t="s">
        <v>457</v>
      </c>
      <c r="L17" s="1649" t="s">
        <v>460</v>
      </c>
      <c r="M17" s="1646" t="s">
        <v>456</v>
      </c>
      <c r="N17" s="1646" t="s">
        <v>393</v>
      </c>
      <c r="O17" s="1682" t="s">
        <v>457</v>
      </c>
    </row>
    <row r="18" spans="2:24" ht="18" customHeight="1" thickBot="1" x14ac:dyDescent="0.25">
      <c r="B18" s="1662"/>
      <c r="C18" s="1663"/>
      <c r="D18" s="1650"/>
      <c r="E18" s="1647"/>
      <c r="F18" s="1647"/>
      <c r="G18" s="1667"/>
      <c r="H18" s="1650"/>
      <c r="I18" s="1647"/>
      <c r="J18" s="1647"/>
      <c r="K18" s="1667"/>
      <c r="L18" s="1650"/>
      <c r="M18" s="1647"/>
      <c r="N18" s="1647"/>
      <c r="O18" s="1683"/>
    </row>
    <row r="19" spans="2:24" ht="18" customHeight="1" x14ac:dyDescent="0.2">
      <c r="B19" s="1664"/>
      <c r="C19" s="1665"/>
      <c r="D19" s="1073" t="s">
        <v>459</v>
      </c>
      <c r="E19" s="1074" t="s">
        <v>461</v>
      </c>
      <c r="F19" s="1071" t="s">
        <v>462</v>
      </c>
      <c r="G19" s="1072" t="s">
        <v>463</v>
      </c>
      <c r="H19" s="1651"/>
      <c r="I19" s="1648"/>
      <c r="J19" s="1648"/>
      <c r="K19" s="1674"/>
      <c r="L19" s="1651"/>
      <c r="M19" s="1648"/>
      <c r="N19" s="1648"/>
      <c r="O19" s="1684"/>
    </row>
    <row r="20" spans="2:24" ht="16.5" thickBot="1" x14ac:dyDescent="0.3">
      <c r="B20" s="1680">
        <v>0</v>
      </c>
      <c r="C20" s="1681"/>
      <c r="D20" s="48">
        <v>1</v>
      </c>
      <c r="E20" s="1056">
        <v>2</v>
      </c>
      <c r="F20" s="49">
        <v>3</v>
      </c>
      <c r="G20" s="50">
        <v>4</v>
      </c>
      <c r="H20" s="1075">
        <v>5</v>
      </c>
      <c r="I20" s="1056">
        <v>6</v>
      </c>
      <c r="J20" s="49">
        <v>7</v>
      </c>
      <c r="K20" s="50">
        <v>8</v>
      </c>
      <c r="L20" s="1075">
        <v>9</v>
      </c>
      <c r="M20" s="1056">
        <v>10</v>
      </c>
      <c r="N20" s="49">
        <v>11</v>
      </c>
      <c r="O20" s="51">
        <v>12</v>
      </c>
    </row>
    <row r="21" spans="2:24" ht="47.25" thickTop="1" x14ac:dyDescent="0.2">
      <c r="B21" s="946" t="s">
        <v>453</v>
      </c>
      <c r="C21" s="1652">
        <v>1</v>
      </c>
      <c r="D21" s="1066">
        <f>SUM(D23:D32)</f>
        <v>782</v>
      </c>
      <c r="E21" s="280">
        <f>I21+M21</f>
        <v>782</v>
      </c>
      <c r="F21" s="271">
        <f t="shared" ref="F21:O21" si="0">SUM(F23:F32)</f>
        <v>77368</v>
      </c>
      <c r="G21" s="272">
        <f t="shared" si="0"/>
        <v>76219</v>
      </c>
      <c r="H21" s="1076">
        <f t="shared" si="0"/>
        <v>580</v>
      </c>
      <c r="I21" s="279">
        <f t="shared" ref="H21:O30" si="1">I57+I93+I129+I165+I201+I237+I273+I309+I345+I381+I417+I453+I489+I525+I561+I597</f>
        <v>580</v>
      </c>
      <c r="J21" s="279">
        <f t="shared" si="0"/>
        <v>63960</v>
      </c>
      <c r="K21" s="280">
        <f t="shared" si="0"/>
        <v>63109</v>
      </c>
      <c r="L21" s="1076">
        <f t="shared" si="0"/>
        <v>202</v>
      </c>
      <c r="M21" s="1194">
        <f t="shared" ref="M21:M30" si="2">M57+M93+M129+M165+M201+M237+M273+M309+M345+M381+M417+M453+M489+M525+M561+M597</f>
        <v>202</v>
      </c>
      <c r="N21" s="279">
        <f t="shared" si="0"/>
        <v>13408</v>
      </c>
      <c r="O21" s="281">
        <f t="shared" si="0"/>
        <v>13110</v>
      </c>
    </row>
    <row r="22" spans="2:24" ht="13.5" thickBot="1" x14ac:dyDescent="0.25">
      <c r="B22" s="53" t="s">
        <v>46</v>
      </c>
      <c r="C22" s="1653"/>
      <c r="D22" s="1067" t="str">
        <f>IF(H21+L21=D21, "", "Uwaga!")</f>
        <v/>
      </c>
      <c r="E22" s="1102" t="str">
        <f>IF(D21=E21, "", "Uwaga!")</f>
        <v/>
      </c>
      <c r="F22" s="399" t="str">
        <f>IF(J21+N21=F21, "", "Uwaga!")</f>
        <v/>
      </c>
      <c r="G22" s="400" t="str">
        <f>IF(K21+O21=G21, "", "Uwaga!")</f>
        <v/>
      </c>
      <c r="H22" s="1077"/>
      <c r="I22" s="1102" t="str">
        <f>IF(H21=I21, "", "Uwaga!")</f>
        <v/>
      </c>
      <c r="J22" s="185"/>
      <c r="K22" s="54"/>
      <c r="L22" s="1077"/>
      <c r="M22" s="1102" t="str">
        <f>IF(L21=M21, "", "Uwaga!")</f>
        <v/>
      </c>
      <c r="N22" s="185"/>
      <c r="O22" s="55"/>
    </row>
    <row r="23" spans="2:24" ht="21.95" customHeight="1" thickTop="1" x14ac:dyDescent="0.2">
      <c r="B23" s="815" t="s">
        <v>432</v>
      </c>
      <c r="C23" s="816">
        <v>2</v>
      </c>
      <c r="D23" s="1063">
        <f t="shared" ref="D23:D28" si="3">H23+L23</f>
        <v>117</v>
      </c>
      <c r="E23" s="1057">
        <f>I23+M23</f>
        <v>119</v>
      </c>
      <c r="F23" s="273">
        <f t="shared" ref="F23:F28" si="4">J23+N23</f>
        <v>8591</v>
      </c>
      <c r="G23" s="274">
        <f t="shared" ref="G23:G28" si="5">K23+O23</f>
        <v>8353</v>
      </c>
      <c r="H23" s="1068">
        <f t="shared" si="1"/>
        <v>80</v>
      </c>
      <c r="I23" s="1060">
        <f t="shared" si="1"/>
        <v>81</v>
      </c>
      <c r="J23" s="1009">
        <f t="shared" si="1"/>
        <v>6639</v>
      </c>
      <c r="K23" s="1010">
        <f t="shared" si="1"/>
        <v>6477</v>
      </c>
      <c r="L23" s="1068">
        <f t="shared" si="1"/>
        <v>37</v>
      </c>
      <c r="M23" s="1060">
        <f t="shared" si="2"/>
        <v>38</v>
      </c>
      <c r="N23" s="1009">
        <f t="shared" si="1"/>
        <v>1952</v>
      </c>
      <c r="O23" s="1011">
        <f t="shared" si="1"/>
        <v>1876</v>
      </c>
    </row>
    <row r="24" spans="2:24" ht="21.95" customHeight="1" x14ac:dyDescent="0.2">
      <c r="B24" s="817" t="s">
        <v>433</v>
      </c>
      <c r="C24" s="818">
        <v>3</v>
      </c>
      <c r="D24" s="1064">
        <f t="shared" si="3"/>
        <v>156</v>
      </c>
      <c r="E24" s="1058">
        <f t="shared" ref="E24:E32" si="6">I24+M24</f>
        <v>160</v>
      </c>
      <c r="F24" s="275">
        <f t="shared" si="4"/>
        <v>15850</v>
      </c>
      <c r="G24" s="276">
        <f t="shared" si="5"/>
        <v>15497</v>
      </c>
      <c r="H24" s="1069">
        <f t="shared" si="1"/>
        <v>131</v>
      </c>
      <c r="I24" s="1061">
        <f t="shared" ref="I24:I30" si="7">I60+I96+I132+I168+I204+I240+I276+I312+I348+I384+I420+I456+I492+I528+I564+I600</f>
        <v>134</v>
      </c>
      <c r="J24" s="1012">
        <f t="shared" si="1"/>
        <v>14114</v>
      </c>
      <c r="K24" s="1013">
        <f t="shared" si="1"/>
        <v>13822</v>
      </c>
      <c r="L24" s="1069">
        <f t="shared" si="1"/>
        <v>25</v>
      </c>
      <c r="M24" s="1061">
        <f t="shared" si="2"/>
        <v>26</v>
      </c>
      <c r="N24" s="1012">
        <f t="shared" si="1"/>
        <v>1736</v>
      </c>
      <c r="O24" s="1014">
        <f t="shared" si="1"/>
        <v>1675</v>
      </c>
    </row>
    <row r="25" spans="2:24" ht="21.95" customHeight="1" x14ac:dyDescent="0.2">
      <c r="B25" s="817" t="s">
        <v>434</v>
      </c>
      <c r="C25" s="818">
        <v>4</v>
      </c>
      <c r="D25" s="1064">
        <f t="shared" si="3"/>
        <v>164</v>
      </c>
      <c r="E25" s="1058">
        <f t="shared" si="6"/>
        <v>177</v>
      </c>
      <c r="F25" s="275">
        <f t="shared" si="4"/>
        <v>20687</v>
      </c>
      <c r="G25" s="276">
        <f t="shared" si="5"/>
        <v>20595</v>
      </c>
      <c r="H25" s="1069">
        <f t="shared" si="1"/>
        <v>141</v>
      </c>
      <c r="I25" s="1061">
        <f t="shared" si="7"/>
        <v>154</v>
      </c>
      <c r="J25" s="1012">
        <f t="shared" si="1"/>
        <v>18781</v>
      </c>
      <c r="K25" s="1013">
        <f t="shared" si="1"/>
        <v>18709</v>
      </c>
      <c r="L25" s="1069">
        <f t="shared" si="1"/>
        <v>23</v>
      </c>
      <c r="M25" s="1061">
        <f t="shared" si="2"/>
        <v>23</v>
      </c>
      <c r="N25" s="1012">
        <f t="shared" si="1"/>
        <v>1906</v>
      </c>
      <c r="O25" s="1014">
        <f t="shared" si="1"/>
        <v>1886</v>
      </c>
    </row>
    <row r="26" spans="2:24" ht="21.95" customHeight="1" x14ac:dyDescent="0.2">
      <c r="B26" s="817" t="s">
        <v>435</v>
      </c>
      <c r="C26" s="818">
        <v>5</v>
      </c>
      <c r="D26" s="1064">
        <f t="shared" si="3"/>
        <v>134</v>
      </c>
      <c r="E26" s="1058">
        <f t="shared" si="6"/>
        <v>141</v>
      </c>
      <c r="F26" s="275">
        <f t="shared" si="4"/>
        <v>12318</v>
      </c>
      <c r="G26" s="276">
        <f t="shared" si="5"/>
        <v>12238</v>
      </c>
      <c r="H26" s="1069">
        <f t="shared" si="1"/>
        <v>103</v>
      </c>
      <c r="I26" s="1061">
        <f t="shared" si="7"/>
        <v>109</v>
      </c>
      <c r="J26" s="1012">
        <f t="shared" si="1"/>
        <v>10698</v>
      </c>
      <c r="K26" s="1013">
        <f t="shared" si="1"/>
        <v>10629</v>
      </c>
      <c r="L26" s="1069">
        <f t="shared" si="1"/>
        <v>31</v>
      </c>
      <c r="M26" s="1061">
        <f t="shared" si="2"/>
        <v>32</v>
      </c>
      <c r="N26" s="1012">
        <f t="shared" si="1"/>
        <v>1620</v>
      </c>
      <c r="O26" s="1014">
        <f t="shared" si="1"/>
        <v>1609</v>
      </c>
    </row>
    <row r="27" spans="2:24" ht="21.95" customHeight="1" x14ac:dyDescent="0.2">
      <c r="B27" s="817" t="s">
        <v>436</v>
      </c>
      <c r="C27" s="818">
        <v>6</v>
      </c>
      <c r="D27" s="1064">
        <f t="shared" si="3"/>
        <v>69</v>
      </c>
      <c r="E27" s="1058">
        <f t="shared" si="6"/>
        <v>72</v>
      </c>
      <c r="F27" s="275">
        <f t="shared" si="4"/>
        <v>5410</v>
      </c>
      <c r="G27" s="276">
        <f t="shared" si="5"/>
        <v>5344</v>
      </c>
      <c r="H27" s="1069">
        <f t="shared" si="1"/>
        <v>20</v>
      </c>
      <c r="I27" s="1061">
        <f t="shared" si="7"/>
        <v>22</v>
      </c>
      <c r="J27" s="1012">
        <f t="shared" si="1"/>
        <v>2058</v>
      </c>
      <c r="K27" s="1013">
        <f t="shared" si="1"/>
        <v>2037</v>
      </c>
      <c r="L27" s="1069">
        <f t="shared" si="1"/>
        <v>49</v>
      </c>
      <c r="M27" s="1061">
        <f t="shared" si="2"/>
        <v>50</v>
      </c>
      <c r="N27" s="1012">
        <f t="shared" si="1"/>
        <v>3352</v>
      </c>
      <c r="O27" s="1014">
        <f t="shared" si="1"/>
        <v>3307</v>
      </c>
    </row>
    <row r="28" spans="2:24" ht="21.95" customHeight="1" thickBot="1" x14ac:dyDescent="0.25">
      <c r="B28" s="819" t="s">
        <v>437</v>
      </c>
      <c r="C28" s="820">
        <v>7</v>
      </c>
      <c r="D28" s="1065">
        <f t="shared" si="3"/>
        <v>8</v>
      </c>
      <c r="E28" s="1059">
        <f t="shared" si="6"/>
        <v>10</v>
      </c>
      <c r="F28" s="277">
        <f t="shared" si="4"/>
        <v>901</v>
      </c>
      <c r="G28" s="278">
        <f t="shared" si="5"/>
        <v>891</v>
      </c>
      <c r="H28" s="1070">
        <f t="shared" si="1"/>
        <v>3</v>
      </c>
      <c r="I28" s="1062">
        <f t="shared" si="7"/>
        <v>4</v>
      </c>
      <c r="J28" s="1015">
        <f t="shared" si="1"/>
        <v>290</v>
      </c>
      <c r="K28" s="1016">
        <f t="shared" si="1"/>
        <v>288</v>
      </c>
      <c r="L28" s="1070">
        <f t="shared" si="1"/>
        <v>5</v>
      </c>
      <c r="M28" s="1062">
        <f t="shared" si="2"/>
        <v>6</v>
      </c>
      <c r="N28" s="1015">
        <f t="shared" si="1"/>
        <v>611</v>
      </c>
      <c r="O28" s="1017">
        <f t="shared" si="1"/>
        <v>603</v>
      </c>
    </row>
    <row r="29" spans="2:24" ht="48" customHeight="1" thickTop="1" x14ac:dyDescent="0.2">
      <c r="B29" s="821" t="s">
        <v>438</v>
      </c>
      <c r="C29" s="822">
        <v>8</v>
      </c>
      <c r="D29" s="827">
        <f>H29+L29</f>
        <v>75</v>
      </c>
      <c r="E29" s="827">
        <f t="shared" si="6"/>
        <v>76</v>
      </c>
      <c r="F29" s="828">
        <f t="shared" ref="F29:G32" si="8">J29+N29</f>
        <v>7437</v>
      </c>
      <c r="G29" s="829">
        <f t="shared" si="8"/>
        <v>7239</v>
      </c>
      <c r="H29" s="1018">
        <f t="shared" si="1"/>
        <v>58</v>
      </c>
      <c r="I29" s="1018">
        <f t="shared" si="7"/>
        <v>58</v>
      </c>
      <c r="J29" s="1019">
        <f t="shared" si="1"/>
        <v>6253</v>
      </c>
      <c r="K29" s="1020">
        <f t="shared" si="1"/>
        <v>6113</v>
      </c>
      <c r="L29" s="1018">
        <f t="shared" si="1"/>
        <v>17</v>
      </c>
      <c r="M29" s="1018">
        <f t="shared" si="2"/>
        <v>18</v>
      </c>
      <c r="N29" s="1019">
        <f t="shared" si="1"/>
        <v>1184</v>
      </c>
      <c r="O29" s="1021">
        <f t="shared" si="1"/>
        <v>1126</v>
      </c>
    </row>
    <row r="30" spans="2:24" ht="48" customHeight="1" x14ac:dyDescent="0.25">
      <c r="B30" s="823" t="s">
        <v>439</v>
      </c>
      <c r="C30" s="824">
        <v>9</v>
      </c>
      <c r="D30" s="830">
        <f>H30+L30</f>
        <v>9</v>
      </c>
      <c r="E30" s="830">
        <f t="shared" si="6"/>
        <v>11</v>
      </c>
      <c r="F30" s="275">
        <f t="shared" si="8"/>
        <v>1246</v>
      </c>
      <c r="G30" s="831">
        <f t="shared" si="8"/>
        <v>1246</v>
      </c>
      <c r="H30" s="1022">
        <f t="shared" si="1"/>
        <v>9</v>
      </c>
      <c r="I30" s="1022">
        <f t="shared" si="7"/>
        <v>11</v>
      </c>
      <c r="J30" s="1012">
        <f t="shared" si="1"/>
        <v>1246</v>
      </c>
      <c r="K30" s="1023">
        <f t="shared" si="1"/>
        <v>1246</v>
      </c>
      <c r="L30" s="1022">
        <f t="shared" si="1"/>
        <v>0</v>
      </c>
      <c r="M30" s="1022">
        <f t="shared" si="2"/>
        <v>0</v>
      </c>
      <c r="N30" s="1012">
        <f t="shared" si="1"/>
        <v>0</v>
      </c>
      <c r="O30" s="1024">
        <f t="shared" si="1"/>
        <v>0</v>
      </c>
      <c r="X30" s="807"/>
    </row>
    <row r="31" spans="2:24" ht="48" customHeight="1" x14ac:dyDescent="0.25">
      <c r="B31" s="823" t="s">
        <v>440</v>
      </c>
      <c r="C31" s="824">
        <v>10</v>
      </c>
      <c r="D31" s="830">
        <f>H31+L31</f>
        <v>14</v>
      </c>
      <c r="E31" s="830">
        <f t="shared" si="6"/>
        <v>14</v>
      </c>
      <c r="F31" s="275">
        <f t="shared" si="8"/>
        <v>1488</v>
      </c>
      <c r="G31" s="831">
        <f t="shared" si="8"/>
        <v>1381</v>
      </c>
      <c r="H31" s="1022">
        <f t="shared" ref="H31:O31" si="9">H67+H103+H139+H175+H211+H247+H283+H319+H355+H391+H427+H463+H499+H535+H571+H607</f>
        <v>12</v>
      </c>
      <c r="I31" s="1022">
        <f t="shared" si="9"/>
        <v>12</v>
      </c>
      <c r="J31" s="1012">
        <f t="shared" si="9"/>
        <v>1365</v>
      </c>
      <c r="K31" s="1023">
        <f t="shared" si="9"/>
        <v>1275</v>
      </c>
      <c r="L31" s="1022">
        <f t="shared" si="9"/>
        <v>2</v>
      </c>
      <c r="M31" s="1022">
        <f t="shared" si="9"/>
        <v>2</v>
      </c>
      <c r="N31" s="1012">
        <f t="shared" si="9"/>
        <v>123</v>
      </c>
      <c r="O31" s="1024">
        <f t="shared" si="9"/>
        <v>106</v>
      </c>
      <c r="X31" s="807"/>
    </row>
    <row r="32" spans="2:24" ht="48" customHeight="1" thickBot="1" x14ac:dyDescent="0.3">
      <c r="B32" s="825" t="s">
        <v>441</v>
      </c>
      <c r="C32" s="826">
        <v>11</v>
      </c>
      <c r="D32" s="832">
        <f>H32+L32</f>
        <v>36</v>
      </c>
      <c r="E32" s="832">
        <f t="shared" si="6"/>
        <v>36</v>
      </c>
      <c r="F32" s="277">
        <f t="shared" si="8"/>
        <v>3440</v>
      </c>
      <c r="G32" s="833">
        <f t="shared" si="8"/>
        <v>3435</v>
      </c>
      <c r="H32" s="1025">
        <f t="shared" ref="H32:O32" si="10">H68+H104+H140+H176+H212+H248+H284+H320+H356+H392+H428+H464+H500+H536+H572+H608</f>
        <v>23</v>
      </c>
      <c r="I32" s="1025">
        <f t="shared" si="10"/>
        <v>23</v>
      </c>
      <c r="J32" s="1015">
        <f t="shared" si="10"/>
        <v>2516</v>
      </c>
      <c r="K32" s="1026">
        <f t="shared" si="10"/>
        <v>2513</v>
      </c>
      <c r="L32" s="1025">
        <f t="shared" si="10"/>
        <v>13</v>
      </c>
      <c r="M32" s="1025">
        <f t="shared" si="10"/>
        <v>13</v>
      </c>
      <c r="N32" s="1015">
        <f t="shared" si="10"/>
        <v>924</v>
      </c>
      <c r="O32" s="1027">
        <f t="shared" si="10"/>
        <v>922</v>
      </c>
      <c r="X32" s="807"/>
    </row>
    <row r="33" spans="1:24" ht="21.95" customHeight="1" thickTop="1" x14ac:dyDescent="0.25">
      <c r="B33" s="264"/>
      <c r="C33" s="409"/>
      <c r="D33" s="410"/>
      <c r="E33" s="410"/>
      <c r="F33" s="410"/>
      <c r="G33" s="410"/>
      <c r="H33" s="410"/>
      <c r="I33" s="410"/>
      <c r="J33" s="410"/>
      <c r="K33" s="410"/>
      <c r="L33" s="410"/>
      <c r="M33" s="410"/>
      <c r="N33" s="410"/>
      <c r="X33" s="807"/>
    </row>
    <row r="34" spans="1:24" ht="21.95" customHeight="1" x14ac:dyDescent="0.25">
      <c r="B34" s="1138" t="s">
        <v>123</v>
      </c>
      <c r="C34" s="409"/>
      <c r="D34" s="410"/>
      <c r="E34" s="410"/>
      <c r="F34" s="410"/>
      <c r="G34" s="410"/>
      <c r="H34" s="410"/>
      <c r="I34" s="410"/>
      <c r="J34" s="410"/>
      <c r="K34" s="410"/>
      <c r="L34" s="1687" t="s">
        <v>442</v>
      </c>
      <c r="M34" s="1687"/>
      <c r="N34" s="1687"/>
      <c r="O34" s="1687"/>
      <c r="X34" s="807"/>
    </row>
    <row r="35" spans="1:24" ht="21.95" customHeight="1" x14ac:dyDescent="0.25">
      <c r="B35" s="1138" t="s">
        <v>124</v>
      </c>
      <c r="C35" s="409"/>
      <c r="D35" s="410"/>
      <c r="E35" s="410"/>
      <c r="F35" s="410"/>
      <c r="G35" s="410"/>
      <c r="H35" s="410"/>
      <c r="I35" s="410"/>
      <c r="J35" s="410"/>
      <c r="K35" s="410"/>
      <c r="L35" s="1686" t="s">
        <v>126</v>
      </c>
      <c r="M35" s="1686"/>
      <c r="N35" s="1686"/>
      <c r="O35" s="1686"/>
      <c r="X35" s="807"/>
    </row>
    <row r="36" spans="1:24" ht="21.95" customHeight="1" x14ac:dyDescent="0.25">
      <c r="B36" s="1138" t="s">
        <v>125</v>
      </c>
      <c r="L36" s="1145"/>
      <c r="M36" s="1145"/>
      <c r="N36" s="1145"/>
      <c r="O36" s="1145"/>
    </row>
    <row r="37" spans="1:24" ht="26.25" x14ac:dyDescent="0.4">
      <c r="A37" s="267" t="s">
        <v>166</v>
      </c>
      <c r="B37" s="11"/>
    </row>
    <row r="38" spans="1:24" ht="18" x14ac:dyDescent="0.25">
      <c r="N38" s="1675" t="s">
        <v>14</v>
      </c>
      <c r="O38" s="1675"/>
    </row>
    <row r="39" spans="1:24" ht="18" x14ac:dyDescent="0.25">
      <c r="B39" s="11" t="s">
        <v>116</v>
      </c>
      <c r="C39" s="3"/>
      <c r="D39" s="3"/>
      <c r="E39" s="3"/>
      <c r="F39" s="3"/>
      <c r="G39" s="3"/>
      <c r="H39" s="3"/>
      <c r="I39" s="3"/>
      <c r="J39" s="3"/>
      <c r="K39" s="11"/>
      <c r="L39" s="3"/>
      <c r="M39" s="3"/>
    </row>
    <row r="40" spans="1:24" ht="18" x14ac:dyDescent="0.25">
      <c r="B40" s="14" t="s">
        <v>129</v>
      </c>
      <c r="C40" s="29"/>
      <c r="D40" s="3"/>
      <c r="E40" s="3"/>
      <c r="F40" s="3"/>
      <c r="G40" s="3"/>
      <c r="H40" s="3"/>
      <c r="I40" s="3"/>
      <c r="N40" s="1676" t="str">
        <f>'Tab.1. bilans_Polska'!$E$59</f>
        <v>Termin: 29 luty 2012 r.</v>
      </c>
      <c r="O40" s="1676"/>
    </row>
    <row r="41" spans="1:24" ht="18" x14ac:dyDescent="0.25">
      <c r="B41" s="11" t="s">
        <v>128</v>
      </c>
      <c r="C41" s="3"/>
      <c r="D41" s="3"/>
      <c r="E41" s="3"/>
      <c r="F41" s="3"/>
      <c r="G41" s="3"/>
      <c r="H41" s="3"/>
      <c r="I41" s="3"/>
    </row>
    <row r="42" spans="1:24" ht="18" x14ac:dyDescent="0.25">
      <c r="B42" s="11"/>
      <c r="C42" s="3"/>
      <c r="D42" s="3"/>
      <c r="E42" s="3"/>
      <c r="F42" s="3"/>
      <c r="G42" s="3"/>
      <c r="H42" s="3"/>
      <c r="I42" s="3"/>
      <c r="J42" s="3"/>
      <c r="K42" s="3"/>
      <c r="L42" s="3"/>
      <c r="M42" s="3"/>
      <c r="N42" s="3"/>
    </row>
    <row r="43" spans="1:24" ht="18" x14ac:dyDescent="0.25">
      <c r="B43" s="11"/>
      <c r="C43" s="3"/>
      <c r="D43" s="3"/>
      <c r="E43" s="3"/>
      <c r="F43" s="3"/>
      <c r="G43" s="3"/>
      <c r="H43" s="3"/>
      <c r="I43" s="3"/>
      <c r="J43" s="3"/>
      <c r="K43" s="3"/>
      <c r="L43" s="3"/>
      <c r="M43" s="3"/>
      <c r="N43" s="3"/>
    </row>
    <row r="44" spans="1:24" ht="15.75" x14ac:dyDescent="0.25">
      <c r="B44" s="1"/>
      <c r="C44" s="3"/>
      <c r="D44" s="3"/>
      <c r="E44" s="3"/>
      <c r="F44" s="3"/>
      <c r="G44" s="3"/>
      <c r="H44" s="3"/>
      <c r="I44" s="3"/>
      <c r="J44" s="3"/>
      <c r="K44" s="3"/>
      <c r="L44" s="3"/>
      <c r="M44" s="3"/>
      <c r="N44" s="3"/>
    </row>
    <row r="45" spans="1:24" ht="15.75" x14ac:dyDescent="0.25">
      <c r="B45" s="1"/>
      <c r="C45" s="3"/>
      <c r="D45" s="3"/>
      <c r="E45" s="3"/>
      <c r="F45" s="3"/>
      <c r="G45" s="3"/>
      <c r="H45" s="3"/>
      <c r="I45" s="3"/>
      <c r="J45" s="3"/>
      <c r="K45" s="1"/>
      <c r="L45" s="3"/>
      <c r="M45" s="3"/>
      <c r="N45" s="3"/>
    </row>
    <row r="46" spans="1:24" ht="23.25" x14ac:dyDescent="0.35">
      <c r="B46" s="1655" t="s">
        <v>36</v>
      </c>
      <c r="C46" s="1655"/>
      <c r="D46" s="1655"/>
      <c r="E46" s="1655"/>
      <c r="F46" s="1655"/>
      <c r="G46" s="1655"/>
      <c r="H46" s="1655"/>
      <c r="I46" s="1655"/>
      <c r="J46" s="1655"/>
      <c r="K46" s="1655"/>
      <c r="L46" s="1655"/>
      <c r="M46" s="1655"/>
      <c r="N46" s="1655"/>
      <c r="O46" s="1655"/>
    </row>
    <row r="47" spans="1:24" ht="23.25" x14ac:dyDescent="0.35">
      <c r="B47" s="1645" t="str">
        <f>$B$11</f>
        <v>W  PODZIALE  NA  DOMY  SAMORZĄDÓW  POWIATOWYCH  I  PODMIOTÓW  NIEPUBLICZNYCH  WG  ST.  NA  DZIEŃ  31. XII. 2011 r.</v>
      </c>
      <c r="C47" s="1645"/>
      <c r="D47" s="1645"/>
      <c r="E47" s="1645"/>
      <c r="F47" s="1645"/>
      <c r="G47" s="1645"/>
      <c r="H47" s="1645"/>
      <c r="I47" s="1645"/>
      <c r="J47" s="1645"/>
      <c r="K47" s="1645"/>
      <c r="L47" s="1645"/>
      <c r="M47" s="1645"/>
      <c r="N47" s="1645"/>
      <c r="O47" s="1645"/>
    </row>
    <row r="48" spans="1:24" ht="23.25" x14ac:dyDescent="0.35">
      <c r="B48" s="28"/>
      <c r="C48" s="3"/>
      <c r="D48" s="3"/>
      <c r="E48" s="3"/>
      <c r="F48" s="3"/>
      <c r="G48" s="3"/>
      <c r="H48" s="3"/>
      <c r="I48" s="3"/>
      <c r="J48" s="3"/>
      <c r="K48" s="3"/>
      <c r="L48" s="3"/>
      <c r="M48" s="3"/>
      <c r="N48" s="3"/>
    </row>
    <row r="49" spans="2:15" ht="24" thickBot="1" x14ac:dyDescent="0.4">
      <c r="B49" s="30"/>
      <c r="C49" s="30"/>
      <c r="D49" s="939"/>
      <c r="E49" s="939"/>
      <c r="F49" s="939" t="str">
        <f>IF('Tab.1. bilans_Polska'!C88=F57, "", "t1w5k1="&amp;'Tab.1. bilans_Polska'!C88)</f>
        <v/>
      </c>
      <c r="G49" s="940"/>
      <c r="H49" s="940"/>
      <c r="I49" s="940"/>
      <c r="J49" s="939" t="str">
        <f>IF('Tab.1. bilans_Polska'!D88=J57, "", "t1w5k2="&amp;'Tab.1. bilans_Polska'!D88)</f>
        <v/>
      </c>
      <c r="K49" s="940"/>
      <c r="L49" s="940"/>
      <c r="M49" s="940"/>
      <c r="N49" s="942" t="str">
        <f>IF('Tab.1. bilans_Polska'!E88=N57,"","t1w5k3="&amp;'Tab.1. bilans_Polska'!E88)</f>
        <v/>
      </c>
      <c r="O49" s="941"/>
    </row>
    <row r="50" spans="2:15" ht="24" thickTop="1" x14ac:dyDescent="0.2">
      <c r="B50" s="1660" t="s">
        <v>38</v>
      </c>
      <c r="C50" s="1661"/>
      <c r="D50" s="1677" t="s">
        <v>3</v>
      </c>
      <c r="E50" s="1678"/>
      <c r="F50" s="1678"/>
      <c r="G50" s="1679"/>
      <c r="H50" s="1668" t="s">
        <v>37</v>
      </c>
      <c r="I50" s="1669"/>
      <c r="J50" s="1669"/>
      <c r="K50" s="1669"/>
      <c r="L50" s="1669"/>
      <c r="M50" s="1669"/>
      <c r="N50" s="1669"/>
      <c r="O50" s="1670"/>
    </row>
    <row r="51" spans="2:15" ht="18" customHeight="1" thickBot="1" x14ac:dyDescent="0.25">
      <c r="B51" s="1662"/>
      <c r="C51" s="1663"/>
      <c r="D51" s="1649" t="str">
        <f>UPPER("Domy 
zareje-
strowane")</f>
        <v>DOMY 
ZAREJE-
STROWANE</v>
      </c>
      <c r="E51" s="1646" t="s">
        <v>454</v>
      </c>
      <c r="F51" s="1646" t="s">
        <v>455</v>
      </c>
      <c r="G51" s="1666" t="s">
        <v>281</v>
      </c>
      <c r="H51" s="1671"/>
      <c r="I51" s="1672"/>
      <c r="J51" s="1672"/>
      <c r="K51" s="1672"/>
      <c r="L51" s="1672"/>
      <c r="M51" s="1672"/>
      <c r="N51" s="1672"/>
      <c r="O51" s="1673"/>
    </row>
    <row r="52" spans="2:15" ht="18" x14ac:dyDescent="0.2">
      <c r="B52" s="1662"/>
      <c r="C52" s="1663"/>
      <c r="D52" s="1650"/>
      <c r="E52" s="1647"/>
      <c r="F52" s="1647"/>
      <c r="G52" s="1667"/>
      <c r="H52" s="1656" t="s">
        <v>17</v>
      </c>
      <c r="I52" s="1656"/>
      <c r="J52" s="1656"/>
      <c r="K52" s="1657"/>
      <c r="L52" s="1658" t="s">
        <v>18</v>
      </c>
      <c r="M52" s="1656"/>
      <c r="N52" s="1656"/>
      <c r="O52" s="1659"/>
    </row>
    <row r="53" spans="2:15" ht="12.75" customHeight="1" x14ac:dyDescent="0.2">
      <c r="B53" s="1662"/>
      <c r="C53" s="1663"/>
      <c r="D53" s="1650"/>
      <c r="E53" s="1647"/>
      <c r="F53" s="1647"/>
      <c r="G53" s="1667"/>
      <c r="H53" s="1649" t="s">
        <v>460</v>
      </c>
      <c r="I53" s="1646" t="s">
        <v>456</v>
      </c>
      <c r="J53" s="1646" t="s">
        <v>393</v>
      </c>
      <c r="K53" s="1666" t="s">
        <v>457</v>
      </c>
      <c r="L53" s="1649" t="s">
        <v>460</v>
      </c>
      <c r="M53" s="1646" t="s">
        <v>456</v>
      </c>
      <c r="N53" s="1646" t="s">
        <v>393</v>
      </c>
      <c r="O53" s="1682" t="s">
        <v>457</v>
      </c>
    </row>
    <row r="54" spans="2:15" ht="13.5" customHeight="1" thickBot="1" x14ac:dyDescent="0.25">
      <c r="B54" s="1662"/>
      <c r="C54" s="1663"/>
      <c r="D54" s="1650"/>
      <c r="E54" s="1647"/>
      <c r="F54" s="1647"/>
      <c r="G54" s="1667"/>
      <c r="H54" s="1650"/>
      <c r="I54" s="1647"/>
      <c r="J54" s="1647"/>
      <c r="K54" s="1667"/>
      <c r="L54" s="1650"/>
      <c r="M54" s="1647"/>
      <c r="N54" s="1647"/>
      <c r="O54" s="1683"/>
    </row>
    <row r="55" spans="2:15" ht="15.75" customHeight="1" x14ac:dyDescent="0.2">
      <c r="B55" s="1664"/>
      <c r="C55" s="1665"/>
      <c r="D55" s="1073" t="s">
        <v>459</v>
      </c>
      <c r="E55" s="1074" t="s">
        <v>461</v>
      </c>
      <c r="F55" s="1071" t="s">
        <v>462</v>
      </c>
      <c r="G55" s="1072" t="s">
        <v>463</v>
      </c>
      <c r="H55" s="1651"/>
      <c r="I55" s="1648"/>
      <c r="J55" s="1648"/>
      <c r="K55" s="1674"/>
      <c r="L55" s="1651"/>
      <c r="M55" s="1648"/>
      <c r="N55" s="1648"/>
      <c r="O55" s="1684"/>
    </row>
    <row r="56" spans="2:15" ht="16.5" thickBot="1" x14ac:dyDescent="0.3">
      <c r="B56" s="1680">
        <v>0</v>
      </c>
      <c r="C56" s="1681"/>
      <c r="D56" s="48">
        <v>1</v>
      </c>
      <c r="E56" s="1056">
        <v>2</v>
      </c>
      <c r="F56" s="49">
        <v>3</v>
      </c>
      <c r="G56" s="50">
        <v>4</v>
      </c>
      <c r="H56" s="1075">
        <v>5</v>
      </c>
      <c r="I56" s="1056">
        <v>6</v>
      </c>
      <c r="J56" s="49">
        <v>7</v>
      </c>
      <c r="K56" s="50">
        <v>8</v>
      </c>
      <c r="L56" s="1075">
        <v>9</v>
      </c>
      <c r="M56" s="1056">
        <v>10</v>
      </c>
      <c r="N56" s="49">
        <v>11</v>
      </c>
      <c r="O56" s="51">
        <v>12</v>
      </c>
    </row>
    <row r="57" spans="2:15" ht="47.25" thickTop="1" x14ac:dyDescent="0.2">
      <c r="B57" s="814" t="s">
        <v>431</v>
      </c>
      <c r="C57" s="1652">
        <v>1</v>
      </c>
      <c r="D57" s="1066">
        <f>SUM(D59:D68)</f>
        <v>54</v>
      </c>
      <c r="E57" s="280">
        <f>I57+M57</f>
        <v>54</v>
      </c>
      <c r="F57" s="271">
        <f>SUM(F59:F68)</f>
        <v>5491</v>
      </c>
      <c r="G57" s="272">
        <f>SUM(G59:G68)</f>
        <v>5474</v>
      </c>
      <c r="H57" s="1076">
        <f t="shared" ref="H57:O57" si="11">SUM(H59:H68)</f>
        <v>39</v>
      </c>
      <c r="I57" s="1528">
        <v>39</v>
      </c>
      <c r="J57" s="279">
        <f t="shared" si="11"/>
        <v>4668</v>
      </c>
      <c r="K57" s="280">
        <f t="shared" si="11"/>
        <v>4650</v>
      </c>
      <c r="L57" s="1076">
        <f t="shared" si="11"/>
        <v>15</v>
      </c>
      <c r="M57" s="1529">
        <v>15</v>
      </c>
      <c r="N57" s="279">
        <f t="shared" si="11"/>
        <v>823</v>
      </c>
      <c r="O57" s="281">
        <f t="shared" si="11"/>
        <v>824</v>
      </c>
    </row>
    <row r="58" spans="2:15" ht="13.5" thickBot="1" x14ac:dyDescent="0.25">
      <c r="B58" s="53" t="s">
        <v>46</v>
      </c>
      <c r="C58" s="1653"/>
      <c r="D58" s="1067" t="str">
        <f>IF(H57+L57=D57, "", "Uwaga!")</f>
        <v/>
      </c>
      <c r="E58" s="1102" t="str">
        <f>IF(D57=E57, "", "Uwaga!")</f>
        <v/>
      </c>
      <c r="F58" s="399" t="str">
        <f>IF(J57+N57=F57, "", "Uwaga!")</f>
        <v/>
      </c>
      <c r="G58" s="400" t="str">
        <f>IF(K57+O57=G57, "", "Uwaga!")</f>
        <v/>
      </c>
      <c r="H58" s="1077"/>
      <c r="I58" s="1102" t="str">
        <f>IF(H57=I57, "", "Uwaga!")</f>
        <v/>
      </c>
      <c r="J58" s="185"/>
      <c r="K58" s="54"/>
      <c r="L58" s="1077"/>
      <c r="M58" s="1102" t="str">
        <f>IF(L57=M57, "", "Uwaga!")</f>
        <v/>
      </c>
      <c r="N58" s="185"/>
      <c r="O58" s="55"/>
    </row>
    <row r="59" spans="2:15" ht="21" thickTop="1" x14ac:dyDescent="0.2">
      <c r="B59" s="815" t="s">
        <v>432</v>
      </c>
      <c r="C59" s="816">
        <v>2</v>
      </c>
      <c r="D59" s="1063">
        <f t="shared" ref="D59:D64" si="12">H59+L59</f>
        <v>6</v>
      </c>
      <c r="E59" s="1201">
        <f>I59+M59</f>
        <v>6</v>
      </c>
      <c r="F59" s="273">
        <f t="shared" ref="F59:F64" si="13">J59+N59</f>
        <v>520</v>
      </c>
      <c r="G59" s="274">
        <f t="shared" ref="G59:G64" si="14">K59+O59</f>
        <v>518</v>
      </c>
      <c r="H59" s="1495">
        <v>4</v>
      </c>
      <c r="I59" s="1496">
        <v>4</v>
      </c>
      <c r="J59" s="1497">
        <v>380</v>
      </c>
      <c r="K59" s="1498">
        <v>379</v>
      </c>
      <c r="L59" s="1495">
        <v>2</v>
      </c>
      <c r="M59" s="1496">
        <v>2</v>
      </c>
      <c r="N59" s="1497">
        <v>140</v>
      </c>
      <c r="O59" s="1499">
        <v>139</v>
      </c>
    </row>
    <row r="60" spans="2:15" ht="20.25" x14ac:dyDescent="0.2">
      <c r="B60" s="817" t="s">
        <v>433</v>
      </c>
      <c r="C60" s="818">
        <v>3</v>
      </c>
      <c r="D60" s="1064">
        <f t="shared" si="12"/>
        <v>19</v>
      </c>
      <c r="E60" s="1058">
        <f t="shared" ref="E60:E68" si="15">I60+M60</f>
        <v>19</v>
      </c>
      <c r="F60" s="275">
        <f t="shared" si="13"/>
        <v>1982</v>
      </c>
      <c r="G60" s="276">
        <f t="shared" si="14"/>
        <v>1970</v>
      </c>
      <c r="H60" s="1500">
        <v>15</v>
      </c>
      <c r="I60" s="1501">
        <v>15</v>
      </c>
      <c r="J60" s="1502">
        <v>1770</v>
      </c>
      <c r="K60" s="1503">
        <v>1759</v>
      </c>
      <c r="L60" s="1500">
        <v>4</v>
      </c>
      <c r="M60" s="1501">
        <v>4</v>
      </c>
      <c r="N60" s="1502">
        <v>212</v>
      </c>
      <c r="O60" s="1504">
        <v>211</v>
      </c>
    </row>
    <row r="61" spans="2:15" ht="20.25" x14ac:dyDescent="0.2">
      <c r="B61" s="817" t="s">
        <v>434</v>
      </c>
      <c r="C61" s="818">
        <v>4</v>
      </c>
      <c r="D61" s="1064">
        <f t="shared" si="12"/>
        <v>6</v>
      </c>
      <c r="E61" s="1058">
        <f t="shared" si="15"/>
        <v>6</v>
      </c>
      <c r="F61" s="275">
        <f t="shared" si="13"/>
        <v>675</v>
      </c>
      <c r="G61" s="276">
        <f t="shared" si="14"/>
        <v>675</v>
      </c>
      <c r="H61" s="1500">
        <v>5</v>
      </c>
      <c r="I61" s="1501">
        <v>5</v>
      </c>
      <c r="J61" s="1502">
        <v>574</v>
      </c>
      <c r="K61" s="1503">
        <v>574</v>
      </c>
      <c r="L61" s="1500">
        <v>1</v>
      </c>
      <c r="M61" s="1501">
        <v>1</v>
      </c>
      <c r="N61" s="1502">
        <v>101</v>
      </c>
      <c r="O61" s="1504">
        <v>101</v>
      </c>
    </row>
    <row r="62" spans="2:15" ht="20.25" x14ac:dyDescent="0.2">
      <c r="B62" s="817" t="s">
        <v>435</v>
      </c>
      <c r="C62" s="818">
        <v>5</v>
      </c>
      <c r="D62" s="1064">
        <f t="shared" si="12"/>
        <v>13</v>
      </c>
      <c r="E62" s="1058">
        <f t="shared" si="15"/>
        <v>13</v>
      </c>
      <c r="F62" s="275">
        <f t="shared" si="13"/>
        <v>1518</v>
      </c>
      <c r="G62" s="276">
        <f t="shared" si="14"/>
        <v>1510</v>
      </c>
      <c r="H62" s="1500">
        <v>9</v>
      </c>
      <c r="I62" s="1501">
        <v>9</v>
      </c>
      <c r="J62" s="1502">
        <v>1418</v>
      </c>
      <c r="K62" s="1503">
        <v>1410</v>
      </c>
      <c r="L62" s="1500">
        <v>4</v>
      </c>
      <c r="M62" s="1501">
        <v>4</v>
      </c>
      <c r="N62" s="1502">
        <v>100</v>
      </c>
      <c r="O62" s="1504">
        <v>100</v>
      </c>
    </row>
    <row r="63" spans="2:15" ht="20.25" x14ac:dyDescent="0.2">
      <c r="B63" s="817" t="s">
        <v>436</v>
      </c>
      <c r="C63" s="818">
        <v>6</v>
      </c>
      <c r="D63" s="1064">
        <f t="shared" si="12"/>
        <v>7</v>
      </c>
      <c r="E63" s="1058">
        <f t="shared" si="15"/>
        <v>7</v>
      </c>
      <c r="F63" s="275">
        <f t="shared" si="13"/>
        <v>495</v>
      </c>
      <c r="G63" s="276">
        <f t="shared" si="14"/>
        <v>500</v>
      </c>
      <c r="H63" s="1500">
        <v>3</v>
      </c>
      <c r="I63" s="1501">
        <v>3</v>
      </c>
      <c r="J63" s="1502">
        <v>225</v>
      </c>
      <c r="K63" s="1503">
        <v>227</v>
      </c>
      <c r="L63" s="1500">
        <v>4</v>
      </c>
      <c r="M63" s="1501">
        <v>4</v>
      </c>
      <c r="N63" s="1502">
        <v>270</v>
      </c>
      <c r="O63" s="1504">
        <v>273</v>
      </c>
    </row>
    <row r="64" spans="2:15" ht="21" thickBot="1" x14ac:dyDescent="0.25">
      <c r="B64" s="819" t="s">
        <v>437</v>
      </c>
      <c r="C64" s="820">
        <v>7</v>
      </c>
      <c r="D64" s="1065">
        <f t="shared" si="12"/>
        <v>0</v>
      </c>
      <c r="E64" s="1059">
        <f t="shared" si="15"/>
        <v>0</v>
      </c>
      <c r="F64" s="277">
        <f t="shared" si="13"/>
        <v>0</v>
      </c>
      <c r="G64" s="278">
        <f t="shared" si="14"/>
        <v>0</v>
      </c>
      <c r="H64" s="1505">
        <v>0</v>
      </c>
      <c r="I64" s="1506">
        <v>0</v>
      </c>
      <c r="J64" s="1507">
        <v>0</v>
      </c>
      <c r="K64" s="1508">
        <v>0</v>
      </c>
      <c r="L64" s="1505">
        <v>0</v>
      </c>
      <c r="M64" s="1506">
        <v>0</v>
      </c>
      <c r="N64" s="1507">
        <v>0</v>
      </c>
      <c r="O64" s="1509">
        <v>0</v>
      </c>
    </row>
    <row r="65" spans="1:15" ht="32.25" thickTop="1" x14ac:dyDescent="0.2">
      <c r="B65" s="821" t="s">
        <v>438</v>
      </c>
      <c r="C65" s="822">
        <v>8</v>
      </c>
      <c r="D65" s="827">
        <f>H65+L65</f>
        <v>2</v>
      </c>
      <c r="E65" s="827">
        <f t="shared" si="15"/>
        <v>2</v>
      </c>
      <c r="F65" s="828">
        <f t="shared" ref="F65:G68" si="16">J65+N65</f>
        <v>199</v>
      </c>
      <c r="G65" s="829">
        <f t="shared" si="16"/>
        <v>199</v>
      </c>
      <c r="H65" s="1510">
        <v>2</v>
      </c>
      <c r="I65" s="1510">
        <v>2</v>
      </c>
      <c r="J65" s="1511">
        <v>199</v>
      </c>
      <c r="K65" s="1512">
        <v>199</v>
      </c>
      <c r="L65" s="1510">
        <v>0</v>
      </c>
      <c r="M65" s="1510">
        <v>0</v>
      </c>
      <c r="N65" s="1511">
        <v>0</v>
      </c>
      <c r="O65" s="1513">
        <v>0</v>
      </c>
    </row>
    <row r="66" spans="1:15" ht="31.5" x14ac:dyDescent="0.2">
      <c r="B66" s="823" t="s">
        <v>439</v>
      </c>
      <c r="C66" s="824">
        <v>9</v>
      </c>
      <c r="D66" s="830">
        <f>H66+L66</f>
        <v>0</v>
      </c>
      <c r="E66" s="830">
        <f t="shared" si="15"/>
        <v>0</v>
      </c>
      <c r="F66" s="275">
        <f t="shared" si="16"/>
        <v>0</v>
      </c>
      <c r="G66" s="831">
        <f t="shared" si="16"/>
        <v>0</v>
      </c>
      <c r="H66" s="1514">
        <v>0</v>
      </c>
      <c r="I66" s="1514">
        <v>0</v>
      </c>
      <c r="J66" s="1502">
        <v>0</v>
      </c>
      <c r="K66" s="1515">
        <v>0</v>
      </c>
      <c r="L66" s="1514">
        <v>0</v>
      </c>
      <c r="M66" s="1514">
        <v>0</v>
      </c>
      <c r="N66" s="1502">
        <v>0</v>
      </c>
      <c r="O66" s="1516">
        <v>0</v>
      </c>
    </row>
    <row r="67" spans="1:15" ht="31.5" x14ac:dyDescent="0.2">
      <c r="B67" s="823" t="s">
        <v>440</v>
      </c>
      <c r="C67" s="824">
        <v>10</v>
      </c>
      <c r="D67" s="830">
        <f>H67+L67</f>
        <v>0</v>
      </c>
      <c r="E67" s="830">
        <f t="shared" si="15"/>
        <v>0</v>
      </c>
      <c r="F67" s="275">
        <f t="shared" si="16"/>
        <v>0</v>
      </c>
      <c r="G67" s="831">
        <f t="shared" si="16"/>
        <v>0</v>
      </c>
      <c r="H67" s="1514">
        <v>0</v>
      </c>
      <c r="I67" s="1514">
        <v>0</v>
      </c>
      <c r="J67" s="1502">
        <v>0</v>
      </c>
      <c r="K67" s="1515">
        <v>0</v>
      </c>
      <c r="L67" s="1514">
        <v>0</v>
      </c>
      <c r="M67" s="1514">
        <v>0</v>
      </c>
      <c r="N67" s="1502">
        <v>0</v>
      </c>
      <c r="O67" s="1516">
        <v>0</v>
      </c>
    </row>
    <row r="68" spans="1:15" ht="48" thickBot="1" x14ac:dyDescent="0.25">
      <c r="B68" s="825" t="s">
        <v>441</v>
      </c>
      <c r="C68" s="826">
        <v>11</v>
      </c>
      <c r="D68" s="832">
        <f>H68+L68</f>
        <v>1</v>
      </c>
      <c r="E68" s="832">
        <f t="shared" si="15"/>
        <v>1</v>
      </c>
      <c r="F68" s="277">
        <f t="shared" si="16"/>
        <v>102</v>
      </c>
      <c r="G68" s="833">
        <f t="shared" si="16"/>
        <v>102</v>
      </c>
      <c r="H68" s="1517">
        <v>1</v>
      </c>
      <c r="I68" s="1517">
        <v>1</v>
      </c>
      <c r="J68" s="1507">
        <v>102</v>
      </c>
      <c r="K68" s="1518">
        <v>102</v>
      </c>
      <c r="L68" s="1517">
        <v>0</v>
      </c>
      <c r="M68" s="1517">
        <v>0</v>
      </c>
      <c r="N68" s="1507">
        <v>0</v>
      </c>
      <c r="O68" s="1519">
        <v>0</v>
      </c>
    </row>
    <row r="69" spans="1:15" ht="21" thickTop="1" x14ac:dyDescent="0.2">
      <c r="B69" s="264"/>
      <c r="C69" s="409"/>
      <c r="D69" s="410"/>
      <c r="E69" s="410"/>
      <c r="F69" s="410"/>
      <c r="G69" s="410"/>
      <c r="H69" s="410"/>
      <c r="I69" s="410"/>
      <c r="J69" s="410"/>
      <c r="K69" s="410"/>
      <c r="L69" s="410"/>
      <c r="M69" s="410"/>
      <c r="N69" s="410"/>
    </row>
    <row r="70" spans="1:15" ht="20.25" x14ac:dyDescent="0.25">
      <c r="B70" s="11" t="s">
        <v>123</v>
      </c>
      <c r="C70" s="409"/>
      <c r="D70" s="410"/>
      <c r="E70" s="410"/>
      <c r="F70" s="410"/>
      <c r="G70" s="410"/>
      <c r="H70" s="410"/>
      <c r="I70" s="410"/>
      <c r="J70" s="410"/>
      <c r="K70" s="410"/>
      <c r="L70" s="1654" t="s">
        <v>442</v>
      </c>
      <c r="M70" s="1654"/>
      <c r="N70" s="1654"/>
      <c r="O70" s="1654"/>
    </row>
    <row r="71" spans="1:15" ht="20.25" x14ac:dyDescent="0.25">
      <c r="B71" s="11" t="s">
        <v>124</v>
      </c>
      <c r="C71" s="409"/>
      <c r="D71" s="410"/>
      <c r="E71" s="410"/>
      <c r="F71" s="410"/>
      <c r="G71" s="410"/>
      <c r="H71" s="410"/>
      <c r="I71" s="410"/>
      <c r="J71" s="410"/>
      <c r="K71" s="410"/>
      <c r="L71" s="1604" t="s">
        <v>126</v>
      </c>
      <c r="M71" s="1604"/>
      <c r="N71" s="1604"/>
      <c r="O71" s="1604"/>
    </row>
    <row r="72" spans="1:15" ht="18" x14ac:dyDescent="0.25">
      <c r="B72" s="11" t="s">
        <v>125</v>
      </c>
    </row>
    <row r="74" spans="1:15" ht="26.25" x14ac:dyDescent="0.4">
      <c r="A74" s="267" t="s">
        <v>168</v>
      </c>
      <c r="N74" s="1675" t="s">
        <v>14</v>
      </c>
      <c r="O74" s="1675"/>
    </row>
    <row r="75" spans="1:15" ht="18" x14ac:dyDescent="0.25">
      <c r="B75" s="11" t="s">
        <v>116</v>
      </c>
      <c r="C75" s="3"/>
      <c r="D75" s="3"/>
      <c r="E75" s="3"/>
      <c r="F75" s="3"/>
      <c r="G75" s="3"/>
      <c r="H75" s="3"/>
      <c r="I75" s="3"/>
      <c r="J75" s="3"/>
      <c r="K75" s="11"/>
      <c r="L75" s="3"/>
      <c r="M75" s="3"/>
    </row>
    <row r="76" spans="1:15" ht="18" x14ac:dyDescent="0.25">
      <c r="B76" s="14" t="s">
        <v>129</v>
      </c>
      <c r="C76" s="29"/>
      <c r="D76" s="3"/>
      <c r="E76" s="3"/>
      <c r="F76" s="3"/>
      <c r="G76" s="3"/>
      <c r="H76" s="3"/>
      <c r="I76" s="3"/>
      <c r="N76" s="1676" t="str">
        <f>'Tab.1. bilans_Polska'!$E$59</f>
        <v>Termin: 29 luty 2012 r.</v>
      </c>
      <c r="O76" s="1676"/>
    </row>
    <row r="77" spans="1:15" ht="18" x14ac:dyDescent="0.25">
      <c r="B77" s="11" t="s">
        <v>128</v>
      </c>
      <c r="C77" s="3"/>
      <c r="D77" s="3"/>
      <c r="E77" s="3"/>
      <c r="F77" s="3"/>
      <c r="G77" s="3"/>
      <c r="H77" s="3"/>
      <c r="I77" s="3"/>
    </row>
    <row r="78" spans="1:15" ht="18" x14ac:dyDescent="0.25">
      <c r="B78" s="11"/>
      <c r="C78" s="3"/>
      <c r="D78" s="3"/>
      <c r="E78" s="3"/>
      <c r="F78" s="3"/>
      <c r="G78" s="3"/>
      <c r="H78" s="3"/>
      <c r="I78" s="3"/>
      <c r="J78" s="3"/>
      <c r="K78" s="3"/>
      <c r="L78" s="3"/>
      <c r="M78" s="3"/>
      <c r="N78" s="3"/>
    </row>
    <row r="79" spans="1:15" ht="18" x14ac:dyDescent="0.25">
      <c r="B79" s="11"/>
      <c r="C79" s="3"/>
      <c r="D79" s="3"/>
      <c r="E79" s="3"/>
      <c r="F79" s="3"/>
      <c r="G79" s="3"/>
      <c r="H79" s="3"/>
      <c r="I79" s="3"/>
      <c r="J79" s="3"/>
      <c r="K79" s="3"/>
      <c r="L79" s="3"/>
      <c r="M79" s="3"/>
      <c r="N79" s="3"/>
    </row>
    <row r="80" spans="1:15" ht="15.75" x14ac:dyDescent="0.25">
      <c r="B80" s="1"/>
      <c r="C80" s="3"/>
      <c r="D80" s="3"/>
      <c r="E80" s="3"/>
      <c r="F80" s="3"/>
      <c r="G80" s="3"/>
      <c r="H80" s="3"/>
      <c r="I80" s="3"/>
      <c r="J80" s="3"/>
      <c r="K80" s="3"/>
      <c r="L80" s="3"/>
      <c r="M80" s="3"/>
      <c r="N80" s="3"/>
    </row>
    <row r="81" spans="2:15" ht="15.75" x14ac:dyDescent="0.25">
      <c r="B81" s="1"/>
      <c r="C81" s="3"/>
      <c r="D81" s="3"/>
      <c r="E81" s="3"/>
      <c r="F81" s="3"/>
      <c r="G81" s="3"/>
      <c r="H81" s="3"/>
      <c r="I81" s="3"/>
      <c r="J81" s="3"/>
      <c r="K81" s="1"/>
      <c r="L81" s="3"/>
      <c r="M81" s="3"/>
      <c r="N81" s="3"/>
    </row>
    <row r="82" spans="2:15" ht="23.25" x14ac:dyDescent="0.35">
      <c r="B82" s="1655" t="s">
        <v>36</v>
      </c>
      <c r="C82" s="1655"/>
      <c r="D82" s="1655"/>
      <c r="E82" s="1655"/>
      <c r="F82" s="1655"/>
      <c r="G82" s="1655"/>
      <c r="H82" s="1655"/>
      <c r="I82" s="1655"/>
      <c r="J82" s="1655"/>
      <c r="K82" s="1655"/>
      <c r="L82" s="1655"/>
      <c r="M82" s="1655"/>
      <c r="N82" s="1655"/>
      <c r="O82" s="1655"/>
    </row>
    <row r="83" spans="2:15" ht="23.25" x14ac:dyDescent="0.35">
      <c r="B83" s="1645" t="str">
        <f>$B$11</f>
        <v>W  PODZIALE  NA  DOMY  SAMORZĄDÓW  POWIATOWYCH  I  PODMIOTÓW  NIEPUBLICZNYCH  WG  ST.  NA  DZIEŃ  31. XII. 2011 r.</v>
      </c>
      <c r="C83" s="1645"/>
      <c r="D83" s="1645"/>
      <c r="E83" s="1645"/>
      <c r="F83" s="1645"/>
      <c r="G83" s="1645"/>
      <c r="H83" s="1645"/>
      <c r="I83" s="1645"/>
      <c r="J83" s="1645"/>
      <c r="K83" s="1645"/>
      <c r="L83" s="1645"/>
      <c r="M83" s="1645"/>
      <c r="N83" s="1645"/>
      <c r="O83" s="1645"/>
    </row>
    <row r="84" spans="2:15" ht="23.25" x14ac:dyDescent="0.35">
      <c r="B84" s="28"/>
      <c r="C84" s="3"/>
      <c r="D84" s="3"/>
      <c r="E84" s="3"/>
      <c r="F84" s="3"/>
      <c r="G84" s="3"/>
      <c r="H84" s="3"/>
      <c r="I84" s="3"/>
      <c r="J84" s="3"/>
      <c r="K84" s="3"/>
      <c r="L84" s="3"/>
      <c r="M84" s="3"/>
      <c r="N84" s="3"/>
    </row>
    <row r="85" spans="2:15" ht="24" thickBot="1" x14ac:dyDescent="0.4">
      <c r="B85" s="30"/>
      <c r="C85" s="30"/>
      <c r="D85" s="939"/>
      <c r="E85" s="939"/>
      <c r="F85" s="939" t="str">
        <f>IF('Tab.1. bilans_Polska'!C99=F152, "", "t1w5k1="&amp;'Tab.1. bilans_Polska'!C142)</f>
        <v/>
      </c>
      <c r="G85" s="940"/>
      <c r="H85" s="940"/>
      <c r="I85" s="940"/>
      <c r="J85" s="939" t="str">
        <f>IF('Tab.1. bilans_Polska'!D142=J93, "", "t1w5k2="&amp;'Tab.1. bilans_Polska'!D142)</f>
        <v/>
      </c>
      <c r="K85" s="940"/>
      <c r="L85" s="940"/>
      <c r="M85" s="940"/>
      <c r="N85" s="942" t="str">
        <f>IF('Tab.1. bilans_Polska'!E142=N93,"","t1w5k3="&amp;'Tab.1. bilans_Polska'!E142)</f>
        <v/>
      </c>
      <c r="O85" s="941"/>
    </row>
    <row r="86" spans="2:15" ht="24" thickTop="1" x14ac:dyDescent="0.2">
      <c r="B86" s="1660" t="s">
        <v>38</v>
      </c>
      <c r="C86" s="1661"/>
      <c r="D86" s="1677" t="s">
        <v>3</v>
      </c>
      <c r="E86" s="1678"/>
      <c r="F86" s="1678"/>
      <c r="G86" s="1679"/>
      <c r="H86" s="1668" t="s">
        <v>37</v>
      </c>
      <c r="I86" s="1669"/>
      <c r="J86" s="1669"/>
      <c r="K86" s="1669"/>
      <c r="L86" s="1669"/>
      <c r="M86" s="1669"/>
      <c r="N86" s="1669"/>
      <c r="O86" s="1670"/>
    </row>
    <row r="87" spans="2:15" ht="18" customHeight="1" thickBot="1" x14ac:dyDescent="0.25">
      <c r="B87" s="1662"/>
      <c r="C87" s="1663"/>
      <c r="D87" s="1649" t="str">
        <f>UPPER("Domy 
zareje-
strowane")</f>
        <v>DOMY 
ZAREJE-
STROWANE</v>
      </c>
      <c r="E87" s="1646" t="s">
        <v>454</v>
      </c>
      <c r="F87" s="1646" t="s">
        <v>455</v>
      </c>
      <c r="G87" s="1666" t="s">
        <v>281</v>
      </c>
      <c r="H87" s="1671"/>
      <c r="I87" s="1672"/>
      <c r="J87" s="1672"/>
      <c r="K87" s="1672"/>
      <c r="L87" s="1672"/>
      <c r="M87" s="1672"/>
      <c r="N87" s="1672"/>
      <c r="O87" s="1673"/>
    </row>
    <row r="88" spans="2:15" ht="18" x14ac:dyDescent="0.2">
      <c r="B88" s="1662"/>
      <c r="C88" s="1663"/>
      <c r="D88" s="1650"/>
      <c r="E88" s="1647"/>
      <c r="F88" s="1647"/>
      <c r="G88" s="1667"/>
      <c r="H88" s="1656" t="s">
        <v>17</v>
      </c>
      <c r="I88" s="1656"/>
      <c r="J88" s="1656"/>
      <c r="K88" s="1657"/>
      <c r="L88" s="1658" t="s">
        <v>18</v>
      </c>
      <c r="M88" s="1656"/>
      <c r="N88" s="1656"/>
      <c r="O88" s="1659"/>
    </row>
    <row r="89" spans="2:15" ht="18" customHeight="1" x14ac:dyDescent="0.2">
      <c r="B89" s="1662"/>
      <c r="C89" s="1663"/>
      <c r="D89" s="1650"/>
      <c r="E89" s="1647"/>
      <c r="F89" s="1647"/>
      <c r="G89" s="1667"/>
      <c r="H89" s="1649" t="s">
        <v>460</v>
      </c>
      <c r="I89" s="1646" t="s">
        <v>456</v>
      </c>
      <c r="J89" s="1646" t="s">
        <v>393</v>
      </c>
      <c r="K89" s="1666" t="s">
        <v>457</v>
      </c>
      <c r="L89" s="1649" t="s">
        <v>460</v>
      </c>
      <c r="M89" s="1646" t="s">
        <v>456</v>
      </c>
      <c r="N89" s="1646" t="s">
        <v>393</v>
      </c>
      <c r="O89" s="1682" t="s">
        <v>457</v>
      </c>
    </row>
    <row r="90" spans="2:15" ht="13.5" customHeight="1" thickBot="1" x14ac:dyDescent="0.25">
      <c r="B90" s="1662"/>
      <c r="C90" s="1663"/>
      <c r="D90" s="1650"/>
      <c r="E90" s="1647"/>
      <c r="F90" s="1647"/>
      <c r="G90" s="1667"/>
      <c r="H90" s="1650"/>
      <c r="I90" s="1647"/>
      <c r="J90" s="1647"/>
      <c r="K90" s="1667"/>
      <c r="L90" s="1650"/>
      <c r="M90" s="1647"/>
      <c r="N90" s="1647"/>
      <c r="O90" s="1683"/>
    </row>
    <row r="91" spans="2:15" ht="15.75" customHeight="1" x14ac:dyDescent="0.2">
      <c r="B91" s="1664"/>
      <c r="C91" s="1665"/>
      <c r="D91" s="1073" t="s">
        <v>459</v>
      </c>
      <c r="E91" s="1074" t="s">
        <v>461</v>
      </c>
      <c r="F91" s="1071" t="s">
        <v>462</v>
      </c>
      <c r="G91" s="1072" t="s">
        <v>463</v>
      </c>
      <c r="H91" s="1651"/>
      <c r="I91" s="1648"/>
      <c r="J91" s="1648"/>
      <c r="K91" s="1674"/>
      <c r="L91" s="1651"/>
      <c r="M91" s="1648"/>
      <c r="N91" s="1648"/>
      <c r="O91" s="1684"/>
    </row>
    <row r="92" spans="2:15" ht="16.5" thickBot="1" x14ac:dyDescent="0.3">
      <c r="B92" s="1680">
        <v>0</v>
      </c>
      <c r="C92" s="1681"/>
      <c r="D92" s="48">
        <v>1</v>
      </c>
      <c r="E92" s="1056">
        <v>2</v>
      </c>
      <c r="F92" s="49">
        <v>3</v>
      </c>
      <c r="G92" s="50">
        <v>4</v>
      </c>
      <c r="H92" s="1075">
        <v>5</v>
      </c>
      <c r="I92" s="1056">
        <v>6</v>
      </c>
      <c r="J92" s="49">
        <v>7</v>
      </c>
      <c r="K92" s="50">
        <v>8</v>
      </c>
      <c r="L92" s="1075">
        <v>9</v>
      </c>
      <c r="M92" s="1056">
        <v>10</v>
      </c>
      <c r="N92" s="49">
        <v>11</v>
      </c>
      <c r="O92" s="51">
        <v>12</v>
      </c>
    </row>
    <row r="93" spans="2:15" ht="47.25" thickTop="1" x14ac:dyDescent="0.2">
      <c r="B93" s="814" t="s">
        <v>431</v>
      </c>
      <c r="C93" s="1652">
        <v>1</v>
      </c>
      <c r="D93" s="1066">
        <f>SUM(D95:D104)</f>
        <v>48</v>
      </c>
      <c r="E93" s="280">
        <f>I93+M93</f>
        <v>48</v>
      </c>
      <c r="F93" s="271">
        <f t="shared" ref="F93:O93" si="17">SUM(F95:F104)</f>
        <v>3987</v>
      </c>
      <c r="G93" s="272">
        <f t="shared" si="17"/>
        <v>3883</v>
      </c>
      <c r="H93" s="1076">
        <f t="shared" si="17"/>
        <v>41</v>
      </c>
      <c r="I93" s="1528">
        <v>41</v>
      </c>
      <c r="J93" s="279">
        <f t="shared" si="17"/>
        <v>3540</v>
      </c>
      <c r="K93" s="280">
        <f t="shared" si="17"/>
        <v>3445</v>
      </c>
      <c r="L93" s="1076">
        <f t="shared" si="17"/>
        <v>7</v>
      </c>
      <c r="M93" s="1529">
        <v>7</v>
      </c>
      <c r="N93" s="279">
        <f t="shared" si="17"/>
        <v>447</v>
      </c>
      <c r="O93" s="281">
        <f t="shared" si="17"/>
        <v>438</v>
      </c>
    </row>
    <row r="94" spans="2:15" ht="13.5" thickBot="1" x14ac:dyDescent="0.25">
      <c r="B94" s="53" t="s">
        <v>46</v>
      </c>
      <c r="C94" s="1653"/>
      <c r="D94" s="1067" t="str">
        <f>IF(H93+L93=D93, "", "Uwaga!")</f>
        <v/>
      </c>
      <c r="E94" s="1102" t="str">
        <f>IF(D93=E93, "", "Uwaga!")</f>
        <v/>
      </c>
      <c r="F94" s="399" t="str">
        <f>IF(J93+N93=F93, "", "Uwaga!")</f>
        <v/>
      </c>
      <c r="G94" s="400" t="str">
        <f>IF(K93+O93=G93, "", "Uwaga!")</f>
        <v/>
      </c>
      <c r="H94" s="1077"/>
      <c r="I94" s="1102" t="str">
        <f>IF(H93=I93, "", "Uwaga!")</f>
        <v/>
      </c>
      <c r="J94" s="185"/>
      <c r="K94" s="54"/>
      <c r="L94" s="1077"/>
      <c r="M94" s="1102" t="str">
        <f>IF(L93=M93, "", "Uwaga!")</f>
        <v/>
      </c>
      <c r="N94" s="185"/>
      <c r="O94" s="55"/>
    </row>
    <row r="95" spans="2:15" ht="21" thickTop="1" x14ac:dyDescent="0.2">
      <c r="B95" s="815" t="s">
        <v>432</v>
      </c>
      <c r="C95" s="816">
        <v>2</v>
      </c>
      <c r="D95" s="1063">
        <f t="shared" ref="D95:D100" si="18">H95+L95</f>
        <v>9</v>
      </c>
      <c r="E95" s="1057">
        <f>I95+M95</f>
        <v>9</v>
      </c>
      <c r="F95" s="273">
        <f t="shared" ref="F95:F100" si="19">J95+N95</f>
        <v>598</v>
      </c>
      <c r="G95" s="274">
        <f t="shared" ref="G95:G100" si="20">K95+O95</f>
        <v>589</v>
      </c>
      <c r="H95" s="1495">
        <v>8</v>
      </c>
      <c r="I95" s="1520">
        <v>8</v>
      </c>
      <c r="J95" s="1497">
        <v>549</v>
      </c>
      <c r="K95" s="1498">
        <v>544</v>
      </c>
      <c r="L95" s="1495">
        <v>1</v>
      </c>
      <c r="M95" s="1520">
        <v>1</v>
      </c>
      <c r="N95" s="1497">
        <v>49</v>
      </c>
      <c r="O95" s="1499">
        <v>45</v>
      </c>
    </row>
    <row r="96" spans="2:15" ht="20.25" x14ac:dyDescent="0.2">
      <c r="B96" s="817" t="s">
        <v>433</v>
      </c>
      <c r="C96" s="818">
        <v>3</v>
      </c>
      <c r="D96" s="1064">
        <f t="shared" si="18"/>
        <v>11</v>
      </c>
      <c r="E96" s="1058">
        <f t="shared" ref="E96:E104" si="21">I96+M96</f>
        <v>11</v>
      </c>
      <c r="F96" s="275">
        <f t="shared" si="19"/>
        <v>937</v>
      </c>
      <c r="G96" s="276">
        <f t="shared" si="20"/>
        <v>917</v>
      </c>
      <c r="H96" s="1500">
        <v>10</v>
      </c>
      <c r="I96" s="1501">
        <v>10</v>
      </c>
      <c r="J96" s="1502">
        <v>864</v>
      </c>
      <c r="K96" s="1503">
        <v>848</v>
      </c>
      <c r="L96" s="1500">
        <v>1</v>
      </c>
      <c r="M96" s="1501">
        <v>1</v>
      </c>
      <c r="N96" s="1502">
        <v>73</v>
      </c>
      <c r="O96" s="1504">
        <v>69</v>
      </c>
    </row>
    <row r="97" spans="1:15" ht="20.25" x14ac:dyDescent="0.2">
      <c r="B97" s="817" t="s">
        <v>434</v>
      </c>
      <c r="C97" s="818">
        <v>4</v>
      </c>
      <c r="D97" s="1064">
        <f t="shared" si="18"/>
        <v>11</v>
      </c>
      <c r="E97" s="1058">
        <f t="shared" si="21"/>
        <v>11</v>
      </c>
      <c r="F97" s="275">
        <f t="shared" si="19"/>
        <v>1118</v>
      </c>
      <c r="G97" s="276">
        <f t="shared" si="20"/>
        <v>1098</v>
      </c>
      <c r="H97" s="1500">
        <v>11</v>
      </c>
      <c r="I97" s="1501">
        <v>11</v>
      </c>
      <c r="J97" s="1502">
        <v>1118</v>
      </c>
      <c r="K97" s="1503">
        <v>1098</v>
      </c>
      <c r="L97" s="1500">
        <v>0</v>
      </c>
      <c r="M97" s="1501">
        <v>0</v>
      </c>
      <c r="N97" s="1502">
        <v>0</v>
      </c>
      <c r="O97" s="1504">
        <v>0</v>
      </c>
    </row>
    <row r="98" spans="1:15" ht="20.25" x14ac:dyDescent="0.2">
      <c r="B98" s="817" t="s">
        <v>435</v>
      </c>
      <c r="C98" s="818">
        <v>5</v>
      </c>
      <c r="D98" s="1064">
        <f t="shared" si="18"/>
        <v>11</v>
      </c>
      <c r="E98" s="1058">
        <f t="shared" si="21"/>
        <v>11</v>
      </c>
      <c r="F98" s="275">
        <f t="shared" si="19"/>
        <v>848</v>
      </c>
      <c r="G98" s="276">
        <f t="shared" si="20"/>
        <v>794</v>
      </c>
      <c r="H98" s="1500">
        <v>9</v>
      </c>
      <c r="I98" s="1501">
        <v>9</v>
      </c>
      <c r="J98" s="1502">
        <v>753</v>
      </c>
      <c r="K98" s="1503">
        <v>699</v>
      </c>
      <c r="L98" s="1500">
        <v>2</v>
      </c>
      <c r="M98" s="1501">
        <v>2</v>
      </c>
      <c r="N98" s="1502">
        <v>95</v>
      </c>
      <c r="O98" s="1504">
        <v>95</v>
      </c>
    </row>
    <row r="99" spans="1:15" ht="20.25" x14ac:dyDescent="0.2">
      <c r="B99" s="817" t="s">
        <v>436</v>
      </c>
      <c r="C99" s="818">
        <v>6</v>
      </c>
      <c r="D99" s="1064">
        <f t="shared" si="18"/>
        <v>3</v>
      </c>
      <c r="E99" s="1058">
        <f t="shared" si="21"/>
        <v>3</v>
      </c>
      <c r="F99" s="275">
        <f t="shared" si="19"/>
        <v>176</v>
      </c>
      <c r="G99" s="276">
        <f t="shared" si="20"/>
        <v>177</v>
      </c>
      <c r="H99" s="1500">
        <v>1</v>
      </c>
      <c r="I99" s="1501">
        <v>1</v>
      </c>
      <c r="J99" s="1502">
        <v>56</v>
      </c>
      <c r="K99" s="1503">
        <v>56</v>
      </c>
      <c r="L99" s="1500">
        <v>2</v>
      </c>
      <c r="M99" s="1501">
        <v>2</v>
      </c>
      <c r="N99" s="1502">
        <v>120</v>
      </c>
      <c r="O99" s="1504">
        <v>121</v>
      </c>
    </row>
    <row r="100" spans="1:15" ht="21" thickBot="1" x14ac:dyDescent="0.25">
      <c r="B100" s="819" t="s">
        <v>437</v>
      </c>
      <c r="C100" s="820">
        <v>7</v>
      </c>
      <c r="D100" s="1065">
        <f t="shared" si="18"/>
        <v>1</v>
      </c>
      <c r="E100" s="1059">
        <f t="shared" si="21"/>
        <v>1</v>
      </c>
      <c r="F100" s="277">
        <f t="shared" si="19"/>
        <v>80</v>
      </c>
      <c r="G100" s="278">
        <f t="shared" si="20"/>
        <v>80</v>
      </c>
      <c r="H100" s="1505">
        <v>1</v>
      </c>
      <c r="I100" s="1506">
        <v>1</v>
      </c>
      <c r="J100" s="1507">
        <v>80</v>
      </c>
      <c r="K100" s="1508">
        <v>80</v>
      </c>
      <c r="L100" s="1505">
        <v>0</v>
      </c>
      <c r="M100" s="1506">
        <v>0</v>
      </c>
      <c r="N100" s="1507">
        <v>0</v>
      </c>
      <c r="O100" s="1509">
        <v>0</v>
      </c>
    </row>
    <row r="101" spans="1:15" ht="32.25" thickTop="1" x14ac:dyDescent="0.2">
      <c r="B101" s="821" t="s">
        <v>438</v>
      </c>
      <c r="C101" s="822">
        <v>8</v>
      </c>
      <c r="D101" s="827">
        <f>H101+L101</f>
        <v>1</v>
      </c>
      <c r="E101" s="827">
        <f t="shared" si="21"/>
        <v>1</v>
      </c>
      <c r="F101" s="828">
        <f t="shared" ref="F101:G104" si="22">J101+N101</f>
        <v>120</v>
      </c>
      <c r="G101" s="829">
        <f t="shared" si="22"/>
        <v>120</v>
      </c>
      <c r="H101" s="1521">
        <v>1</v>
      </c>
      <c r="I101" s="1521">
        <v>1</v>
      </c>
      <c r="J101" s="1511">
        <v>120</v>
      </c>
      <c r="K101" s="1512">
        <v>120</v>
      </c>
      <c r="L101" s="1510">
        <v>0</v>
      </c>
      <c r="M101" s="1510">
        <v>0</v>
      </c>
      <c r="N101" s="1511">
        <v>0</v>
      </c>
      <c r="O101" s="1513">
        <v>0</v>
      </c>
    </row>
    <row r="102" spans="1:15" ht="31.5" x14ac:dyDescent="0.2">
      <c r="B102" s="823" t="s">
        <v>439</v>
      </c>
      <c r="C102" s="824">
        <v>9</v>
      </c>
      <c r="D102" s="830">
        <f>H102+L102</f>
        <v>0</v>
      </c>
      <c r="E102" s="830">
        <f t="shared" si="21"/>
        <v>0</v>
      </c>
      <c r="F102" s="275">
        <f t="shared" si="22"/>
        <v>0</v>
      </c>
      <c r="G102" s="831">
        <f t="shared" si="22"/>
        <v>0</v>
      </c>
      <c r="H102" s="1514">
        <v>0</v>
      </c>
      <c r="I102" s="1514">
        <v>0</v>
      </c>
      <c r="J102" s="1502">
        <v>0</v>
      </c>
      <c r="K102" s="1515">
        <v>0</v>
      </c>
      <c r="L102" s="1514">
        <v>0</v>
      </c>
      <c r="M102" s="1514">
        <v>0</v>
      </c>
      <c r="N102" s="1502">
        <v>0</v>
      </c>
      <c r="O102" s="1516">
        <v>0</v>
      </c>
    </row>
    <row r="103" spans="1:15" ht="31.5" x14ac:dyDescent="0.2">
      <c r="B103" s="823" t="s">
        <v>440</v>
      </c>
      <c r="C103" s="824">
        <v>10</v>
      </c>
      <c r="D103" s="830">
        <f>H103+L103</f>
        <v>0</v>
      </c>
      <c r="E103" s="830">
        <f t="shared" si="21"/>
        <v>0</v>
      </c>
      <c r="F103" s="275">
        <f t="shared" si="22"/>
        <v>0</v>
      </c>
      <c r="G103" s="831">
        <f t="shared" si="22"/>
        <v>0</v>
      </c>
      <c r="H103" s="1514">
        <v>0</v>
      </c>
      <c r="I103" s="1514">
        <v>0</v>
      </c>
      <c r="J103" s="1502">
        <v>0</v>
      </c>
      <c r="K103" s="1515">
        <v>0</v>
      </c>
      <c r="L103" s="1514">
        <v>0</v>
      </c>
      <c r="M103" s="1514">
        <v>0</v>
      </c>
      <c r="N103" s="1502">
        <v>0</v>
      </c>
      <c r="O103" s="1516">
        <v>0</v>
      </c>
    </row>
    <row r="104" spans="1:15" ht="48" thickBot="1" x14ac:dyDescent="0.25">
      <c r="B104" s="825" t="s">
        <v>441</v>
      </c>
      <c r="C104" s="826">
        <v>11</v>
      </c>
      <c r="D104" s="832">
        <f>H104+L104</f>
        <v>1</v>
      </c>
      <c r="E104" s="832">
        <f t="shared" si="21"/>
        <v>1</v>
      </c>
      <c r="F104" s="277">
        <f t="shared" si="22"/>
        <v>110</v>
      </c>
      <c r="G104" s="833">
        <f t="shared" si="22"/>
        <v>108</v>
      </c>
      <c r="H104" s="1517">
        <v>0</v>
      </c>
      <c r="I104" s="1517">
        <v>0</v>
      </c>
      <c r="J104" s="1507">
        <v>0</v>
      </c>
      <c r="K104" s="1518">
        <v>0</v>
      </c>
      <c r="L104" s="1517">
        <v>1</v>
      </c>
      <c r="M104" s="1517">
        <v>1</v>
      </c>
      <c r="N104" s="1507">
        <v>110</v>
      </c>
      <c r="O104" s="1519">
        <v>108</v>
      </c>
    </row>
    <row r="105" spans="1:15" ht="21" thickTop="1" x14ac:dyDescent="0.2">
      <c r="B105" s="264"/>
      <c r="C105" s="409"/>
      <c r="D105" s="410"/>
      <c r="E105" s="410"/>
      <c r="F105" s="410"/>
      <c r="G105" s="410"/>
      <c r="H105" s="410"/>
      <c r="I105" s="410"/>
      <c r="J105" s="410"/>
      <c r="K105" s="410"/>
      <c r="L105" s="410"/>
      <c r="M105" s="410"/>
      <c r="N105" s="410"/>
    </row>
    <row r="106" spans="1:15" ht="20.25" x14ac:dyDescent="0.25">
      <c r="B106" s="11" t="s">
        <v>123</v>
      </c>
      <c r="C106" s="409"/>
      <c r="D106" s="410"/>
      <c r="E106" s="410"/>
      <c r="F106" s="410"/>
      <c r="G106" s="410"/>
      <c r="H106" s="410"/>
      <c r="I106" s="410"/>
      <c r="J106" s="410"/>
      <c r="K106" s="410"/>
      <c r="L106" s="1654" t="s">
        <v>442</v>
      </c>
      <c r="M106" s="1654"/>
      <c r="N106" s="1654"/>
      <c r="O106" s="1654"/>
    </row>
    <row r="107" spans="1:15" ht="20.25" x14ac:dyDescent="0.25">
      <c r="B107" s="11" t="s">
        <v>124</v>
      </c>
      <c r="C107" s="409"/>
      <c r="D107" s="410"/>
      <c r="E107" s="410"/>
      <c r="F107" s="410"/>
      <c r="G107" s="410"/>
      <c r="H107" s="410"/>
      <c r="I107" s="410"/>
      <c r="J107" s="410"/>
      <c r="K107" s="410"/>
      <c r="L107" s="1604" t="s">
        <v>126</v>
      </c>
      <c r="M107" s="1604"/>
      <c r="N107" s="1604"/>
      <c r="O107" s="1604"/>
    </row>
    <row r="108" spans="1:15" ht="18" x14ac:dyDescent="0.25">
      <c r="B108" s="11" t="s">
        <v>125</v>
      </c>
    </row>
    <row r="110" spans="1:15" ht="26.25" x14ac:dyDescent="0.4">
      <c r="A110" s="267" t="s">
        <v>170</v>
      </c>
      <c r="N110" s="1675" t="s">
        <v>14</v>
      </c>
      <c r="O110" s="1675"/>
    </row>
    <row r="111" spans="1:15" ht="18" x14ac:dyDescent="0.25">
      <c r="B111" s="11" t="s">
        <v>116</v>
      </c>
      <c r="C111" s="3"/>
      <c r="D111" s="3"/>
      <c r="E111" s="3"/>
      <c r="F111" s="3"/>
      <c r="G111" s="3"/>
      <c r="H111" s="3"/>
      <c r="I111" s="3"/>
      <c r="J111" s="3"/>
      <c r="K111" s="11"/>
      <c r="L111" s="3"/>
      <c r="M111" s="3"/>
    </row>
    <row r="112" spans="1:15" ht="18" x14ac:dyDescent="0.25">
      <c r="B112" s="14" t="s">
        <v>129</v>
      </c>
      <c r="C112" s="29"/>
      <c r="D112" s="3"/>
      <c r="E112" s="3"/>
      <c r="F112" s="3"/>
      <c r="G112" s="3"/>
      <c r="H112" s="3"/>
      <c r="I112" s="3"/>
      <c r="N112" s="1676" t="str">
        <f>'Tab.1. bilans_Polska'!$E$59</f>
        <v>Termin: 29 luty 2012 r.</v>
      </c>
      <c r="O112" s="1676"/>
    </row>
    <row r="113" spans="2:15" ht="18" x14ac:dyDescent="0.25">
      <c r="B113" s="11" t="s">
        <v>128</v>
      </c>
      <c r="C113" s="3"/>
      <c r="D113" s="3"/>
      <c r="E113" s="3"/>
      <c r="F113" s="3"/>
      <c r="G113" s="3"/>
      <c r="H113" s="3"/>
      <c r="I113" s="3"/>
    </row>
    <row r="114" spans="2:15" ht="18" x14ac:dyDescent="0.25">
      <c r="B114" s="11"/>
      <c r="C114" s="3"/>
      <c r="D114" s="3"/>
      <c r="E114" s="3"/>
      <c r="F114" s="3"/>
      <c r="G114" s="3"/>
      <c r="H114" s="3"/>
      <c r="I114" s="3"/>
      <c r="J114" s="3"/>
      <c r="K114" s="3"/>
      <c r="L114" s="3"/>
      <c r="M114" s="3"/>
      <c r="N114" s="3"/>
    </row>
    <row r="115" spans="2:15" ht="18" x14ac:dyDescent="0.25">
      <c r="B115" s="11"/>
      <c r="C115" s="3"/>
      <c r="D115" s="3"/>
      <c r="E115" s="3"/>
      <c r="F115" s="3"/>
      <c r="G115" s="3"/>
      <c r="H115" s="3"/>
      <c r="I115" s="3"/>
      <c r="J115" s="3"/>
      <c r="K115" s="3"/>
      <c r="L115" s="3"/>
      <c r="M115" s="3"/>
      <c r="N115" s="3"/>
    </row>
    <row r="116" spans="2:15" ht="15.75" x14ac:dyDescent="0.25">
      <c r="B116" s="1"/>
      <c r="C116" s="3"/>
      <c r="D116" s="3"/>
      <c r="E116" s="3"/>
      <c r="F116" s="3"/>
      <c r="G116" s="3"/>
      <c r="H116" s="3"/>
      <c r="I116" s="3"/>
      <c r="J116" s="3"/>
      <c r="K116" s="3"/>
      <c r="L116" s="3"/>
      <c r="M116" s="3"/>
      <c r="N116" s="3"/>
    </row>
    <row r="117" spans="2:15" ht="15.75" x14ac:dyDescent="0.25">
      <c r="B117" s="1"/>
      <c r="C117" s="3"/>
      <c r="D117" s="3"/>
      <c r="E117" s="3"/>
      <c r="F117" s="3"/>
      <c r="G117" s="3"/>
      <c r="H117" s="3"/>
      <c r="I117" s="3"/>
      <c r="J117" s="3"/>
      <c r="K117" s="1"/>
      <c r="L117" s="3"/>
      <c r="M117" s="3"/>
      <c r="N117" s="3"/>
    </row>
    <row r="118" spans="2:15" ht="23.25" x14ac:dyDescent="0.35">
      <c r="B118" s="1655" t="s">
        <v>36</v>
      </c>
      <c r="C118" s="1655"/>
      <c r="D118" s="1655"/>
      <c r="E118" s="1655"/>
      <c r="F118" s="1655"/>
      <c r="G118" s="1655"/>
      <c r="H118" s="1655"/>
      <c r="I118" s="1655"/>
      <c r="J118" s="1655"/>
      <c r="K118" s="1655"/>
      <c r="L118" s="1655"/>
      <c r="M118" s="1655"/>
      <c r="N118" s="1655"/>
      <c r="O118" s="1655"/>
    </row>
    <row r="119" spans="2:15" ht="23.25" x14ac:dyDescent="0.35">
      <c r="B119" s="1645" t="str">
        <f>$B$11</f>
        <v>W  PODZIALE  NA  DOMY  SAMORZĄDÓW  POWIATOWYCH  I  PODMIOTÓW  NIEPUBLICZNYCH  WG  ST.  NA  DZIEŃ  31. XII. 2011 r.</v>
      </c>
      <c r="C119" s="1645"/>
      <c r="D119" s="1645"/>
      <c r="E119" s="1645"/>
      <c r="F119" s="1645"/>
      <c r="G119" s="1645"/>
      <c r="H119" s="1645"/>
      <c r="I119" s="1645"/>
      <c r="J119" s="1645"/>
      <c r="K119" s="1645"/>
      <c r="L119" s="1645"/>
      <c r="M119" s="1645"/>
      <c r="N119" s="1645"/>
      <c r="O119" s="1645"/>
    </row>
    <row r="120" spans="2:15" ht="23.25" x14ac:dyDescent="0.35">
      <c r="B120" s="28"/>
      <c r="C120" s="3"/>
      <c r="D120" s="3"/>
      <c r="E120" s="3"/>
      <c r="F120" s="3"/>
      <c r="G120" s="3"/>
      <c r="H120" s="3"/>
      <c r="I120" s="3"/>
      <c r="J120" s="3"/>
      <c r="K120" s="3"/>
      <c r="L120" s="3"/>
      <c r="M120" s="3"/>
      <c r="N120" s="3"/>
    </row>
    <row r="121" spans="2:15" ht="24" thickBot="1" x14ac:dyDescent="0.4">
      <c r="B121" s="30"/>
      <c r="C121" s="30"/>
      <c r="D121" s="939"/>
      <c r="E121" s="939"/>
      <c r="F121" s="939" t="str">
        <f>IF('Tab.1. bilans_Polska'!C196=F129, "", "t1w5k1="&amp;'Tab.1. bilans_Polska'!C196)</f>
        <v/>
      </c>
      <c r="G121" s="940"/>
      <c r="H121" s="940"/>
      <c r="I121" s="940"/>
      <c r="J121" s="939" t="str">
        <f>IF('Tab.1. bilans_Polska'!D196=J129, "", "t1w5k2="&amp;'Tab.1. bilans_Polska'!D196)</f>
        <v/>
      </c>
      <c r="K121" s="940"/>
      <c r="L121" s="940"/>
      <c r="M121" s="940"/>
      <c r="N121" s="942" t="str">
        <f>IF('Tab.1. bilans_Polska'!E196=N129,"","t1w5k3="&amp;'Tab.1. bilans_Polska'!E196)</f>
        <v/>
      </c>
      <c r="O121" s="941"/>
    </row>
    <row r="122" spans="2:15" ht="24" thickTop="1" x14ac:dyDescent="0.2">
      <c r="B122" s="1660" t="s">
        <v>38</v>
      </c>
      <c r="C122" s="1661"/>
      <c r="D122" s="1677" t="s">
        <v>3</v>
      </c>
      <c r="E122" s="1678"/>
      <c r="F122" s="1678"/>
      <c r="G122" s="1679"/>
      <c r="H122" s="1668" t="s">
        <v>37</v>
      </c>
      <c r="I122" s="1669"/>
      <c r="J122" s="1669"/>
      <c r="K122" s="1669"/>
      <c r="L122" s="1669"/>
      <c r="M122" s="1669"/>
      <c r="N122" s="1669"/>
      <c r="O122" s="1670"/>
    </row>
    <row r="123" spans="2:15" ht="18" customHeight="1" thickBot="1" x14ac:dyDescent="0.25">
      <c r="B123" s="1662"/>
      <c r="C123" s="1663"/>
      <c r="D123" s="1649" t="str">
        <f>UPPER("Domy 
zareje-
strowane")</f>
        <v>DOMY 
ZAREJE-
STROWANE</v>
      </c>
      <c r="E123" s="1646" t="s">
        <v>454</v>
      </c>
      <c r="F123" s="1646" t="s">
        <v>455</v>
      </c>
      <c r="G123" s="1666" t="s">
        <v>281</v>
      </c>
      <c r="H123" s="1671"/>
      <c r="I123" s="1672"/>
      <c r="J123" s="1672"/>
      <c r="K123" s="1672"/>
      <c r="L123" s="1672"/>
      <c r="M123" s="1672"/>
      <c r="N123" s="1672"/>
      <c r="O123" s="1673"/>
    </row>
    <row r="124" spans="2:15" ht="18" x14ac:dyDescent="0.2">
      <c r="B124" s="1662"/>
      <c r="C124" s="1663"/>
      <c r="D124" s="1650"/>
      <c r="E124" s="1647"/>
      <c r="F124" s="1647"/>
      <c r="G124" s="1667"/>
      <c r="H124" s="1656" t="s">
        <v>17</v>
      </c>
      <c r="I124" s="1656"/>
      <c r="J124" s="1656"/>
      <c r="K124" s="1657"/>
      <c r="L124" s="1658" t="s">
        <v>18</v>
      </c>
      <c r="M124" s="1656"/>
      <c r="N124" s="1656"/>
      <c r="O124" s="1659"/>
    </row>
    <row r="125" spans="2:15" ht="18" customHeight="1" x14ac:dyDescent="0.2">
      <c r="B125" s="1662"/>
      <c r="C125" s="1663"/>
      <c r="D125" s="1650"/>
      <c r="E125" s="1647"/>
      <c r="F125" s="1647"/>
      <c r="G125" s="1667"/>
      <c r="H125" s="1649" t="s">
        <v>460</v>
      </c>
      <c r="I125" s="1646" t="s">
        <v>456</v>
      </c>
      <c r="J125" s="1646" t="s">
        <v>393</v>
      </c>
      <c r="K125" s="1666" t="s">
        <v>457</v>
      </c>
      <c r="L125" s="1649" t="s">
        <v>460</v>
      </c>
      <c r="M125" s="1646" t="s">
        <v>456</v>
      </c>
      <c r="N125" s="1646" t="s">
        <v>393</v>
      </c>
      <c r="O125" s="1682" t="s">
        <v>457</v>
      </c>
    </row>
    <row r="126" spans="2:15" ht="13.5" customHeight="1" thickBot="1" x14ac:dyDescent="0.25">
      <c r="B126" s="1662"/>
      <c r="C126" s="1663"/>
      <c r="D126" s="1650"/>
      <c r="E126" s="1647"/>
      <c r="F126" s="1647"/>
      <c r="G126" s="1667"/>
      <c r="H126" s="1650"/>
      <c r="I126" s="1647"/>
      <c r="J126" s="1647"/>
      <c r="K126" s="1667"/>
      <c r="L126" s="1650"/>
      <c r="M126" s="1647"/>
      <c r="N126" s="1647"/>
      <c r="O126" s="1683"/>
    </row>
    <row r="127" spans="2:15" ht="15.75" customHeight="1" x14ac:dyDescent="0.2">
      <c r="B127" s="1664"/>
      <c r="C127" s="1665"/>
      <c r="D127" s="1073" t="s">
        <v>459</v>
      </c>
      <c r="E127" s="1074" t="s">
        <v>461</v>
      </c>
      <c r="F127" s="1071" t="s">
        <v>462</v>
      </c>
      <c r="G127" s="1072" t="s">
        <v>463</v>
      </c>
      <c r="H127" s="1651"/>
      <c r="I127" s="1648"/>
      <c r="J127" s="1648"/>
      <c r="K127" s="1674"/>
      <c r="L127" s="1651"/>
      <c r="M127" s="1648"/>
      <c r="N127" s="1648"/>
      <c r="O127" s="1684"/>
    </row>
    <row r="128" spans="2:15" ht="16.5" thickBot="1" x14ac:dyDescent="0.3">
      <c r="B128" s="1680">
        <v>0</v>
      </c>
      <c r="C128" s="1681"/>
      <c r="D128" s="48">
        <v>1</v>
      </c>
      <c r="E128" s="1056">
        <v>2</v>
      </c>
      <c r="F128" s="49">
        <v>3</v>
      </c>
      <c r="G128" s="50">
        <v>4</v>
      </c>
      <c r="H128" s="1075">
        <v>5</v>
      </c>
      <c r="I128" s="1056">
        <v>6</v>
      </c>
      <c r="J128" s="49">
        <v>7</v>
      </c>
      <c r="K128" s="50">
        <v>8</v>
      </c>
      <c r="L128" s="1075">
        <v>9</v>
      </c>
      <c r="M128" s="1056">
        <v>10</v>
      </c>
      <c r="N128" s="49">
        <v>11</v>
      </c>
      <c r="O128" s="51">
        <v>12</v>
      </c>
    </row>
    <row r="129" spans="2:15" ht="47.25" thickTop="1" x14ac:dyDescent="0.2">
      <c r="B129" s="814" t="s">
        <v>431</v>
      </c>
      <c r="C129" s="1652">
        <v>1</v>
      </c>
      <c r="D129" s="1066">
        <f>SUM(D131:D140)</f>
        <v>44</v>
      </c>
      <c r="E129" s="280">
        <f>I129+M129</f>
        <v>44</v>
      </c>
      <c r="F129" s="1579">
        <f t="shared" ref="F129:O129" si="23">SUM(F131:F140)</f>
        <v>4437</v>
      </c>
      <c r="G129" s="1577">
        <f t="shared" si="23"/>
        <v>4322</v>
      </c>
      <c r="H129" s="1076">
        <f t="shared" si="23"/>
        <v>37</v>
      </c>
      <c r="I129" s="1528">
        <v>37</v>
      </c>
      <c r="J129" s="1578">
        <f t="shared" si="23"/>
        <v>4073</v>
      </c>
      <c r="K129" s="280">
        <f t="shared" si="23"/>
        <v>3969</v>
      </c>
      <c r="L129" s="1076">
        <f t="shared" si="23"/>
        <v>7</v>
      </c>
      <c r="M129" s="1529">
        <v>7</v>
      </c>
      <c r="N129" s="279">
        <f t="shared" si="23"/>
        <v>364</v>
      </c>
      <c r="O129" s="281">
        <f t="shared" si="23"/>
        <v>353</v>
      </c>
    </row>
    <row r="130" spans="2:15" ht="13.5" thickBot="1" x14ac:dyDescent="0.25">
      <c r="B130" s="53" t="s">
        <v>46</v>
      </c>
      <c r="C130" s="1653"/>
      <c r="D130" s="1067" t="str">
        <f>IF(H129+L129=D129, "", "Uwaga!")</f>
        <v/>
      </c>
      <c r="E130" s="1102" t="str">
        <f>IF(D129=E129, "", "Uwaga!")</f>
        <v/>
      </c>
      <c r="F130" s="399" t="str">
        <f>IF(J129+N129=F129, "", "Uwaga!")</f>
        <v/>
      </c>
      <c r="G130" s="400" t="str">
        <f>IF(K129+O129=G129, "", "Uwaga!")</f>
        <v/>
      </c>
      <c r="H130" s="1077"/>
      <c r="I130" s="1102" t="str">
        <f>IF(H129=I129, "", "Uwaga!")</f>
        <v/>
      </c>
      <c r="J130" s="185"/>
      <c r="K130" s="54"/>
      <c r="L130" s="1077"/>
      <c r="M130" s="1102" t="str">
        <f>IF(L129=M129, "", "Uwaga!")</f>
        <v/>
      </c>
      <c r="N130" s="185"/>
      <c r="O130" s="55"/>
    </row>
    <row r="131" spans="2:15" ht="21" thickTop="1" x14ac:dyDescent="0.2">
      <c r="B131" s="815" t="s">
        <v>432</v>
      </c>
      <c r="C131" s="816">
        <v>2</v>
      </c>
      <c r="D131" s="1063">
        <f t="shared" ref="D131:D136" si="24">H131+L131</f>
        <v>5</v>
      </c>
      <c r="E131" s="1057">
        <f>I131+M131</f>
        <v>6</v>
      </c>
      <c r="F131" s="273">
        <f t="shared" ref="F131:F136" si="25">J131+N131</f>
        <v>378</v>
      </c>
      <c r="G131" s="1576">
        <f t="shared" ref="G131:G136" si="26">K131+O131</f>
        <v>344</v>
      </c>
      <c r="H131" s="1495">
        <v>3</v>
      </c>
      <c r="I131" s="1520">
        <v>4</v>
      </c>
      <c r="J131" s="1497">
        <v>317</v>
      </c>
      <c r="K131" s="1498">
        <v>290</v>
      </c>
      <c r="L131" s="1495">
        <v>2</v>
      </c>
      <c r="M131" s="1520">
        <v>2</v>
      </c>
      <c r="N131" s="1497">
        <v>61</v>
      </c>
      <c r="O131" s="1499">
        <v>54</v>
      </c>
    </row>
    <row r="132" spans="2:15" ht="20.25" x14ac:dyDescent="0.2">
      <c r="B132" s="817" t="s">
        <v>433</v>
      </c>
      <c r="C132" s="818">
        <v>3</v>
      </c>
      <c r="D132" s="1064">
        <f t="shared" si="24"/>
        <v>2</v>
      </c>
      <c r="E132" s="1058">
        <f t="shared" ref="E132:E140" si="27">I132+M132</f>
        <v>4</v>
      </c>
      <c r="F132" s="275">
        <f t="shared" si="25"/>
        <v>242</v>
      </c>
      <c r="G132" s="276">
        <f t="shared" si="26"/>
        <v>257</v>
      </c>
      <c r="H132" s="1500">
        <v>2</v>
      </c>
      <c r="I132" s="1501">
        <v>4</v>
      </c>
      <c r="J132" s="1502">
        <v>242</v>
      </c>
      <c r="K132" s="1503">
        <v>257</v>
      </c>
      <c r="L132" s="1500">
        <v>0</v>
      </c>
      <c r="M132" s="1501">
        <v>0</v>
      </c>
      <c r="N132" s="1502">
        <v>0</v>
      </c>
      <c r="O132" s="1504">
        <v>0</v>
      </c>
    </row>
    <row r="133" spans="2:15" ht="20.25" x14ac:dyDescent="0.2">
      <c r="B133" s="817" t="s">
        <v>434</v>
      </c>
      <c r="C133" s="818">
        <v>4</v>
      </c>
      <c r="D133" s="1064">
        <f t="shared" si="24"/>
        <v>8</v>
      </c>
      <c r="E133" s="1058">
        <f t="shared" si="27"/>
        <v>12</v>
      </c>
      <c r="F133" s="275">
        <f t="shared" si="25"/>
        <v>726</v>
      </c>
      <c r="G133" s="276">
        <f t="shared" si="26"/>
        <v>745</v>
      </c>
      <c r="H133" s="1500">
        <v>8</v>
      </c>
      <c r="I133" s="1501">
        <v>12</v>
      </c>
      <c r="J133" s="1502">
        <v>726</v>
      </c>
      <c r="K133" s="1503">
        <v>745</v>
      </c>
      <c r="L133" s="1500">
        <v>0</v>
      </c>
      <c r="M133" s="1501">
        <v>0</v>
      </c>
      <c r="N133" s="1502">
        <v>0</v>
      </c>
      <c r="O133" s="1504">
        <v>0</v>
      </c>
    </row>
    <row r="134" spans="2:15" ht="20.25" x14ac:dyDescent="0.2">
      <c r="B134" s="817" t="s">
        <v>435</v>
      </c>
      <c r="C134" s="818">
        <v>5</v>
      </c>
      <c r="D134" s="1064">
        <f t="shared" si="24"/>
        <v>8</v>
      </c>
      <c r="E134" s="1058">
        <f t="shared" si="27"/>
        <v>11</v>
      </c>
      <c r="F134" s="275">
        <f t="shared" si="25"/>
        <v>899</v>
      </c>
      <c r="G134" s="276">
        <f t="shared" si="26"/>
        <v>876</v>
      </c>
      <c r="H134" s="1500">
        <v>8</v>
      </c>
      <c r="I134" s="1501">
        <v>11</v>
      </c>
      <c r="J134" s="1502">
        <v>899</v>
      </c>
      <c r="K134" s="1503">
        <v>876</v>
      </c>
      <c r="L134" s="1500">
        <v>0</v>
      </c>
      <c r="M134" s="1501">
        <v>0</v>
      </c>
      <c r="N134" s="1502">
        <v>0</v>
      </c>
      <c r="O134" s="1504">
        <v>0</v>
      </c>
    </row>
    <row r="135" spans="2:15" ht="20.25" x14ac:dyDescent="0.2">
      <c r="B135" s="817" t="s">
        <v>436</v>
      </c>
      <c r="C135" s="818">
        <v>6</v>
      </c>
      <c r="D135" s="1064">
        <f t="shared" si="24"/>
        <v>4</v>
      </c>
      <c r="E135" s="1058">
        <f t="shared" si="27"/>
        <v>6</v>
      </c>
      <c r="F135" s="1106">
        <f t="shared" si="25"/>
        <v>333</v>
      </c>
      <c r="G135" s="276">
        <f t="shared" si="26"/>
        <v>324</v>
      </c>
      <c r="H135" s="1500">
        <v>3</v>
      </c>
      <c r="I135" s="1501">
        <v>5</v>
      </c>
      <c r="J135" s="1502">
        <v>273</v>
      </c>
      <c r="K135" s="1503">
        <v>261</v>
      </c>
      <c r="L135" s="1500">
        <v>1</v>
      </c>
      <c r="M135" s="1501">
        <v>1</v>
      </c>
      <c r="N135" s="1502">
        <v>60</v>
      </c>
      <c r="O135" s="1504">
        <v>63</v>
      </c>
    </row>
    <row r="136" spans="2:15" ht="21" thickBot="1" x14ac:dyDescent="0.25">
      <c r="B136" s="819" t="s">
        <v>437</v>
      </c>
      <c r="C136" s="820">
        <v>7</v>
      </c>
      <c r="D136" s="1065">
        <f t="shared" si="24"/>
        <v>2</v>
      </c>
      <c r="E136" s="1059">
        <f t="shared" si="27"/>
        <v>2</v>
      </c>
      <c r="F136" s="277">
        <f t="shared" si="25"/>
        <v>168</v>
      </c>
      <c r="G136" s="1575">
        <f t="shared" si="26"/>
        <v>166</v>
      </c>
      <c r="H136" s="1505">
        <v>1</v>
      </c>
      <c r="I136" s="1506">
        <v>1</v>
      </c>
      <c r="J136" s="1507">
        <v>98</v>
      </c>
      <c r="K136" s="1508">
        <v>97</v>
      </c>
      <c r="L136" s="1505">
        <v>1</v>
      </c>
      <c r="M136" s="1506">
        <v>1</v>
      </c>
      <c r="N136" s="1507">
        <v>70</v>
      </c>
      <c r="O136" s="1509">
        <v>69</v>
      </c>
    </row>
    <row r="137" spans="2:15" ht="32.25" thickTop="1" x14ac:dyDescent="0.2">
      <c r="B137" s="821" t="s">
        <v>438</v>
      </c>
      <c r="C137" s="822">
        <v>8</v>
      </c>
      <c r="D137" s="827">
        <f>H137+L137</f>
        <v>11</v>
      </c>
      <c r="E137" s="827">
        <f t="shared" si="27"/>
        <v>11</v>
      </c>
      <c r="F137" s="828">
        <f t="shared" ref="F137:G140" si="28">J137+N137</f>
        <v>1166</v>
      </c>
      <c r="G137" s="1574">
        <f t="shared" si="28"/>
        <v>1144</v>
      </c>
      <c r="H137" s="1510">
        <v>9</v>
      </c>
      <c r="I137" s="1510">
        <v>9</v>
      </c>
      <c r="J137" s="1511">
        <v>1045</v>
      </c>
      <c r="K137" s="1512">
        <v>1029</v>
      </c>
      <c r="L137" s="1510">
        <v>2</v>
      </c>
      <c r="M137" s="1510">
        <v>2</v>
      </c>
      <c r="N137" s="1511">
        <v>121</v>
      </c>
      <c r="O137" s="1513">
        <v>115</v>
      </c>
    </row>
    <row r="138" spans="2:15" ht="31.5" x14ac:dyDescent="0.2">
      <c r="B138" s="823" t="s">
        <v>439</v>
      </c>
      <c r="C138" s="824">
        <v>9</v>
      </c>
      <c r="D138" s="830">
        <f>H138+L138</f>
        <v>0</v>
      </c>
      <c r="E138" s="830">
        <f t="shared" si="27"/>
        <v>0</v>
      </c>
      <c r="F138" s="275">
        <f t="shared" si="28"/>
        <v>0</v>
      </c>
      <c r="G138" s="831">
        <f t="shared" si="28"/>
        <v>0</v>
      </c>
      <c r="H138" s="1514">
        <v>0</v>
      </c>
      <c r="I138" s="1514">
        <v>0</v>
      </c>
      <c r="J138" s="1502">
        <v>0</v>
      </c>
      <c r="K138" s="1515">
        <v>0</v>
      </c>
      <c r="L138" s="1514">
        <v>0</v>
      </c>
      <c r="M138" s="1514">
        <v>0</v>
      </c>
      <c r="N138" s="1502">
        <v>0</v>
      </c>
      <c r="O138" s="1516">
        <v>0</v>
      </c>
    </row>
    <row r="139" spans="2:15" ht="31.5" x14ac:dyDescent="0.2">
      <c r="B139" s="823" t="s">
        <v>440</v>
      </c>
      <c r="C139" s="824">
        <v>10</v>
      </c>
      <c r="D139" s="830">
        <f>H139+L139</f>
        <v>2</v>
      </c>
      <c r="E139" s="830">
        <f t="shared" si="27"/>
        <v>2</v>
      </c>
      <c r="F139" s="275">
        <f t="shared" si="28"/>
        <v>308</v>
      </c>
      <c r="G139" s="831">
        <f t="shared" si="28"/>
        <v>257</v>
      </c>
      <c r="H139" s="1514">
        <v>2</v>
      </c>
      <c r="I139" s="1514">
        <v>2</v>
      </c>
      <c r="J139" s="1502">
        <v>308</v>
      </c>
      <c r="K139" s="1515">
        <v>257</v>
      </c>
      <c r="L139" s="1514">
        <v>0</v>
      </c>
      <c r="M139" s="1514">
        <v>0</v>
      </c>
      <c r="N139" s="1502">
        <v>0</v>
      </c>
      <c r="O139" s="1516">
        <v>0</v>
      </c>
    </row>
    <row r="140" spans="2:15" ht="48" thickBot="1" x14ac:dyDescent="0.25">
      <c r="B140" s="825" t="s">
        <v>441</v>
      </c>
      <c r="C140" s="826">
        <v>11</v>
      </c>
      <c r="D140" s="832">
        <f>H140+L140</f>
        <v>2</v>
      </c>
      <c r="E140" s="832">
        <f t="shared" si="27"/>
        <v>2</v>
      </c>
      <c r="F140" s="277">
        <f t="shared" si="28"/>
        <v>217</v>
      </c>
      <c r="G140" s="1573">
        <f t="shared" si="28"/>
        <v>209</v>
      </c>
      <c r="H140" s="1517">
        <v>1</v>
      </c>
      <c r="I140" s="1517">
        <v>1</v>
      </c>
      <c r="J140" s="1507">
        <v>165</v>
      </c>
      <c r="K140" s="1518">
        <v>157</v>
      </c>
      <c r="L140" s="1517">
        <v>1</v>
      </c>
      <c r="M140" s="1517">
        <v>1</v>
      </c>
      <c r="N140" s="1507">
        <v>52</v>
      </c>
      <c r="O140" s="1519">
        <v>52</v>
      </c>
    </row>
    <row r="141" spans="2:15" ht="21" thickTop="1" x14ac:dyDescent="0.2">
      <c r="B141" s="264"/>
      <c r="C141" s="409"/>
      <c r="D141" s="410"/>
      <c r="E141" s="410"/>
      <c r="F141" s="410"/>
      <c r="G141" s="410"/>
      <c r="H141" s="410"/>
      <c r="I141" s="410"/>
      <c r="J141" s="410"/>
      <c r="K141" s="410"/>
      <c r="L141" s="410"/>
      <c r="M141" s="410"/>
      <c r="N141" s="410"/>
    </row>
    <row r="142" spans="2:15" ht="20.25" x14ac:dyDescent="0.25">
      <c r="B142" s="11" t="s">
        <v>123</v>
      </c>
      <c r="C142" s="409"/>
      <c r="D142" s="410"/>
      <c r="E142" s="410"/>
      <c r="F142" s="410"/>
      <c r="G142" s="410"/>
      <c r="H142" s="410"/>
      <c r="I142" s="410"/>
      <c r="J142" s="410"/>
      <c r="K142" s="410"/>
      <c r="L142" s="1654" t="s">
        <v>442</v>
      </c>
      <c r="M142" s="1654"/>
      <c r="N142" s="1654"/>
      <c r="O142" s="1654"/>
    </row>
    <row r="143" spans="2:15" ht="20.25" x14ac:dyDescent="0.25">
      <c r="B143" s="11" t="s">
        <v>124</v>
      </c>
      <c r="C143" s="409"/>
      <c r="D143" s="410"/>
      <c r="E143" s="410"/>
      <c r="F143" s="410"/>
      <c r="G143" s="410"/>
      <c r="H143" s="410"/>
      <c r="I143" s="410"/>
      <c r="J143" s="410"/>
      <c r="K143" s="410"/>
      <c r="L143" s="1604" t="s">
        <v>126</v>
      </c>
      <c r="M143" s="1604"/>
      <c r="N143" s="1604"/>
      <c r="O143" s="1604"/>
    </row>
    <row r="144" spans="2:15" ht="18" x14ac:dyDescent="0.25">
      <c r="B144" s="11" t="s">
        <v>125</v>
      </c>
    </row>
    <row r="145" spans="1:15" ht="26.25" x14ac:dyDescent="0.4">
      <c r="A145" s="267" t="s">
        <v>172</v>
      </c>
    </row>
    <row r="146" spans="1:15" ht="18" x14ac:dyDescent="0.25">
      <c r="N146" s="1675" t="s">
        <v>14</v>
      </c>
      <c r="O146" s="1675"/>
    </row>
    <row r="147" spans="1:15" ht="18" x14ac:dyDescent="0.25">
      <c r="B147" s="11" t="s">
        <v>116</v>
      </c>
      <c r="C147" s="3"/>
      <c r="D147" s="3"/>
      <c r="E147" s="3"/>
      <c r="F147" s="3"/>
      <c r="G147" s="3"/>
      <c r="H147" s="3"/>
      <c r="I147" s="3"/>
      <c r="J147" s="3"/>
      <c r="K147" s="11"/>
      <c r="L147" s="3"/>
      <c r="M147" s="3"/>
    </row>
    <row r="148" spans="1:15" ht="18" x14ac:dyDescent="0.25">
      <c r="B148" s="14" t="s">
        <v>129</v>
      </c>
      <c r="C148" s="29"/>
      <c r="D148" s="3"/>
      <c r="E148" s="3"/>
      <c r="F148" s="3"/>
      <c r="G148" s="3"/>
      <c r="H148" s="3"/>
      <c r="I148" s="3"/>
      <c r="N148" s="1676" t="str">
        <f>'Tab.1. bilans_Polska'!$E$59</f>
        <v>Termin: 29 luty 2012 r.</v>
      </c>
      <c r="O148" s="1676"/>
    </row>
    <row r="149" spans="1:15" ht="18" x14ac:dyDescent="0.25">
      <c r="B149" s="11" t="s">
        <v>128</v>
      </c>
      <c r="C149" s="3"/>
      <c r="D149" s="3"/>
      <c r="E149" s="3"/>
      <c r="F149" s="3"/>
      <c r="G149" s="3"/>
      <c r="H149" s="3"/>
      <c r="I149" s="3"/>
    </row>
    <row r="150" spans="1:15" ht="18" x14ac:dyDescent="0.25">
      <c r="B150" s="11"/>
      <c r="C150" s="3"/>
      <c r="D150" s="3"/>
      <c r="E150" s="3"/>
      <c r="F150" s="3"/>
      <c r="G150" s="3"/>
      <c r="H150" s="3"/>
      <c r="I150" s="3"/>
      <c r="J150" s="3"/>
      <c r="K150" s="3"/>
      <c r="L150" s="3"/>
      <c r="M150" s="3"/>
      <c r="N150" s="3"/>
    </row>
    <row r="151" spans="1:15" ht="18" x14ac:dyDescent="0.25">
      <c r="B151" s="11"/>
      <c r="C151" s="3"/>
      <c r="D151" s="3"/>
      <c r="E151" s="3"/>
      <c r="F151" s="3"/>
      <c r="G151" s="3"/>
      <c r="H151" s="3"/>
      <c r="I151" s="3"/>
      <c r="J151" s="3"/>
      <c r="K151" s="3"/>
      <c r="L151" s="3"/>
      <c r="M151" s="3"/>
      <c r="N151" s="3"/>
    </row>
    <row r="152" spans="1:15" ht="15.75" x14ac:dyDescent="0.25">
      <c r="B152" s="1"/>
      <c r="C152" s="3"/>
      <c r="D152" s="3"/>
      <c r="E152" s="3"/>
      <c r="F152" s="3"/>
      <c r="G152" s="3"/>
      <c r="H152" s="3"/>
      <c r="I152" s="3"/>
      <c r="J152" s="3"/>
      <c r="K152" s="3"/>
      <c r="L152" s="3"/>
      <c r="M152" s="3"/>
      <c r="N152" s="3"/>
    </row>
    <row r="153" spans="1:15" ht="15.75" x14ac:dyDescent="0.25">
      <c r="B153" s="1"/>
      <c r="C153" s="3"/>
      <c r="D153" s="3"/>
      <c r="E153" s="3"/>
      <c r="F153" s="3"/>
      <c r="G153" s="3"/>
      <c r="H153" s="3"/>
      <c r="I153" s="3"/>
      <c r="J153" s="3"/>
      <c r="K153" s="1"/>
      <c r="L153" s="3"/>
      <c r="M153" s="3"/>
      <c r="N153" s="3"/>
    </row>
    <row r="154" spans="1:15" ht="23.25" x14ac:dyDescent="0.35">
      <c r="B154" s="1655" t="s">
        <v>36</v>
      </c>
      <c r="C154" s="1655"/>
      <c r="D154" s="1655"/>
      <c r="E154" s="1655"/>
      <c r="F154" s="1655"/>
      <c r="G154" s="1655"/>
      <c r="H154" s="1655"/>
      <c r="I154" s="1655"/>
      <c r="J154" s="1655"/>
      <c r="K154" s="1655"/>
      <c r="L154" s="1655"/>
      <c r="M154" s="1655"/>
      <c r="N154" s="1655"/>
      <c r="O154" s="1655"/>
    </row>
    <row r="155" spans="1:15" ht="23.25" x14ac:dyDescent="0.35">
      <c r="B155" s="1645" t="str">
        <f>$B$11</f>
        <v>W  PODZIALE  NA  DOMY  SAMORZĄDÓW  POWIATOWYCH  I  PODMIOTÓW  NIEPUBLICZNYCH  WG  ST.  NA  DZIEŃ  31. XII. 2011 r.</v>
      </c>
      <c r="C155" s="1645"/>
      <c r="D155" s="1645"/>
      <c r="E155" s="1645"/>
      <c r="F155" s="1645"/>
      <c r="G155" s="1645"/>
      <c r="H155" s="1645"/>
      <c r="I155" s="1645"/>
      <c r="J155" s="1645"/>
      <c r="K155" s="1645"/>
      <c r="L155" s="1645"/>
      <c r="M155" s="1645"/>
      <c r="N155" s="1645"/>
      <c r="O155" s="1645"/>
    </row>
    <row r="156" spans="1:15" ht="23.25" x14ac:dyDescent="0.35">
      <c r="B156" s="28"/>
      <c r="C156" s="3"/>
      <c r="D156" s="3"/>
      <c r="E156" s="3"/>
      <c r="F156" s="3"/>
      <c r="G156" s="3"/>
      <c r="H156" s="3"/>
      <c r="I156" s="3"/>
      <c r="J156" s="3"/>
      <c r="K156" s="3"/>
      <c r="L156" s="3"/>
      <c r="M156" s="3"/>
      <c r="N156" s="3"/>
    </row>
    <row r="157" spans="1:15" ht="24" thickBot="1" x14ac:dyDescent="0.4">
      <c r="B157" s="30"/>
      <c r="C157" s="30"/>
      <c r="D157" s="939"/>
      <c r="E157" s="939"/>
      <c r="F157" s="939" t="str">
        <f>IF('Tab.1. bilans_Polska'!C250=F165, "", "t1w5k1="&amp;'Tab.1. bilans_Polska'!C250)</f>
        <v/>
      </c>
      <c r="G157" s="940"/>
      <c r="H157" s="940"/>
      <c r="I157" s="940"/>
      <c r="J157" s="939" t="str">
        <f>IF('Tab.1. bilans_Polska'!D250=J165, "", "t1w5k2="&amp;'Tab.1. bilans_Polska'!D250)</f>
        <v/>
      </c>
      <c r="K157" s="940"/>
      <c r="L157" s="940"/>
      <c r="M157" s="940"/>
      <c r="N157" s="942" t="str">
        <f>IF('Tab.1. bilans_Polska'!E250=N165,"","t1w5k3="&amp;'Tab.1. bilans_Polska'!E250)</f>
        <v/>
      </c>
      <c r="O157" s="941"/>
    </row>
    <row r="158" spans="1:15" ht="24" thickTop="1" x14ac:dyDescent="0.2">
      <c r="B158" s="1660" t="s">
        <v>38</v>
      </c>
      <c r="C158" s="1661"/>
      <c r="D158" s="1677" t="s">
        <v>3</v>
      </c>
      <c r="E158" s="1678"/>
      <c r="F158" s="1678"/>
      <c r="G158" s="1679"/>
      <c r="H158" s="1668" t="s">
        <v>37</v>
      </c>
      <c r="I158" s="1669"/>
      <c r="J158" s="1669"/>
      <c r="K158" s="1669"/>
      <c r="L158" s="1669"/>
      <c r="M158" s="1669"/>
      <c r="N158" s="1669"/>
      <c r="O158" s="1670"/>
    </row>
    <row r="159" spans="1:15" ht="18" customHeight="1" thickBot="1" x14ac:dyDescent="0.25">
      <c r="B159" s="1662"/>
      <c r="C159" s="1663"/>
      <c r="D159" s="1649" t="str">
        <f>UPPER("Domy 
zareje-
strowane")</f>
        <v>DOMY 
ZAREJE-
STROWANE</v>
      </c>
      <c r="E159" s="1646" t="s">
        <v>454</v>
      </c>
      <c r="F159" s="1646" t="s">
        <v>455</v>
      </c>
      <c r="G159" s="1666" t="s">
        <v>281</v>
      </c>
      <c r="H159" s="1671"/>
      <c r="I159" s="1672"/>
      <c r="J159" s="1672"/>
      <c r="K159" s="1672"/>
      <c r="L159" s="1672"/>
      <c r="M159" s="1672"/>
      <c r="N159" s="1672"/>
      <c r="O159" s="1673"/>
    </row>
    <row r="160" spans="1:15" ht="18" x14ac:dyDescent="0.2">
      <c r="B160" s="1662"/>
      <c r="C160" s="1663"/>
      <c r="D160" s="1650"/>
      <c r="E160" s="1647"/>
      <c r="F160" s="1647"/>
      <c r="G160" s="1667"/>
      <c r="H160" s="1656" t="s">
        <v>17</v>
      </c>
      <c r="I160" s="1656"/>
      <c r="J160" s="1656"/>
      <c r="K160" s="1657"/>
      <c r="L160" s="1658" t="s">
        <v>18</v>
      </c>
      <c r="M160" s="1656"/>
      <c r="N160" s="1656"/>
      <c r="O160" s="1659"/>
    </row>
    <row r="161" spans="2:15" ht="18" customHeight="1" x14ac:dyDescent="0.2">
      <c r="B161" s="1662"/>
      <c r="C161" s="1663"/>
      <c r="D161" s="1650"/>
      <c r="E161" s="1647"/>
      <c r="F161" s="1647"/>
      <c r="G161" s="1667"/>
      <c r="H161" s="1649" t="s">
        <v>460</v>
      </c>
      <c r="I161" s="1646" t="s">
        <v>456</v>
      </c>
      <c r="J161" s="1646" t="s">
        <v>393</v>
      </c>
      <c r="K161" s="1666" t="s">
        <v>457</v>
      </c>
      <c r="L161" s="1649" t="s">
        <v>460</v>
      </c>
      <c r="M161" s="1646" t="s">
        <v>456</v>
      </c>
      <c r="N161" s="1646" t="s">
        <v>393</v>
      </c>
      <c r="O161" s="1682" t="s">
        <v>457</v>
      </c>
    </row>
    <row r="162" spans="2:15" ht="13.5" customHeight="1" thickBot="1" x14ac:dyDescent="0.25">
      <c r="B162" s="1662"/>
      <c r="C162" s="1663"/>
      <c r="D162" s="1650"/>
      <c r="E162" s="1647"/>
      <c r="F162" s="1647"/>
      <c r="G162" s="1667"/>
      <c r="H162" s="1650"/>
      <c r="I162" s="1647"/>
      <c r="J162" s="1647"/>
      <c r="K162" s="1667"/>
      <c r="L162" s="1650"/>
      <c r="M162" s="1647"/>
      <c r="N162" s="1647"/>
      <c r="O162" s="1683"/>
    </row>
    <row r="163" spans="2:15" ht="15.75" customHeight="1" x14ac:dyDescent="0.2">
      <c r="B163" s="1664"/>
      <c r="C163" s="1665"/>
      <c r="D163" s="1073" t="s">
        <v>459</v>
      </c>
      <c r="E163" s="1074" t="s">
        <v>461</v>
      </c>
      <c r="F163" s="1071" t="s">
        <v>462</v>
      </c>
      <c r="G163" s="1072" t="s">
        <v>463</v>
      </c>
      <c r="H163" s="1651"/>
      <c r="I163" s="1648"/>
      <c r="J163" s="1648"/>
      <c r="K163" s="1674"/>
      <c r="L163" s="1651"/>
      <c r="M163" s="1648"/>
      <c r="N163" s="1648"/>
      <c r="O163" s="1684"/>
    </row>
    <row r="164" spans="2:15" ht="16.5" thickBot="1" x14ac:dyDescent="0.3">
      <c r="B164" s="1680">
        <v>0</v>
      </c>
      <c r="C164" s="1681"/>
      <c r="D164" s="48">
        <v>1</v>
      </c>
      <c r="E164" s="1056">
        <v>2</v>
      </c>
      <c r="F164" s="49">
        <v>3</v>
      </c>
      <c r="G164" s="50">
        <v>4</v>
      </c>
      <c r="H164" s="1075">
        <v>5</v>
      </c>
      <c r="I164" s="1056">
        <v>6</v>
      </c>
      <c r="J164" s="49">
        <v>7</v>
      </c>
      <c r="K164" s="50">
        <v>8</v>
      </c>
      <c r="L164" s="1075">
        <v>9</v>
      </c>
      <c r="M164" s="1056">
        <v>10</v>
      </c>
      <c r="N164" s="49">
        <v>11</v>
      </c>
      <c r="O164" s="51">
        <v>12</v>
      </c>
    </row>
    <row r="165" spans="2:15" ht="47.25" thickTop="1" x14ac:dyDescent="0.2">
      <c r="B165" s="814" t="s">
        <v>431</v>
      </c>
      <c r="C165" s="1652">
        <v>1</v>
      </c>
      <c r="D165" s="1066">
        <f>SUM(D167:D176)</f>
        <v>24</v>
      </c>
      <c r="E165" s="280">
        <f>I165+M165</f>
        <v>24</v>
      </c>
      <c r="F165" s="271">
        <f t="shared" ref="F165:O165" si="29">SUM(F167:F176)</f>
        <v>2344</v>
      </c>
      <c r="G165" s="272">
        <f t="shared" si="29"/>
        <v>2333</v>
      </c>
      <c r="H165" s="1076">
        <f t="shared" si="29"/>
        <v>22</v>
      </c>
      <c r="I165" s="1528">
        <v>22</v>
      </c>
      <c r="J165" s="279">
        <f t="shared" si="29"/>
        <v>2232</v>
      </c>
      <c r="K165" s="280">
        <f t="shared" si="29"/>
        <v>2220</v>
      </c>
      <c r="L165" s="1076">
        <f t="shared" si="29"/>
        <v>2</v>
      </c>
      <c r="M165" s="1529">
        <v>2</v>
      </c>
      <c r="N165" s="279">
        <f t="shared" si="29"/>
        <v>112</v>
      </c>
      <c r="O165" s="281">
        <f t="shared" si="29"/>
        <v>113</v>
      </c>
    </row>
    <row r="166" spans="2:15" ht="13.5" thickBot="1" x14ac:dyDescent="0.25">
      <c r="B166" s="53" t="s">
        <v>46</v>
      </c>
      <c r="C166" s="1653"/>
      <c r="D166" s="1067" t="str">
        <f>IF(H165+L165=D165, "", "Uwaga!")</f>
        <v/>
      </c>
      <c r="E166" s="1102" t="str">
        <f>IF(D165=E165, "", "Uwaga!")</f>
        <v/>
      </c>
      <c r="F166" s="399" t="str">
        <f>IF(J165+N165=F165, "", "Uwaga!")</f>
        <v/>
      </c>
      <c r="G166" s="400" t="str">
        <f>IF(K165+O165=G165, "", "Uwaga!")</f>
        <v/>
      </c>
      <c r="H166" s="1077"/>
      <c r="I166" s="1102" t="str">
        <f>IF(H165=I165, "", "Uwaga!")</f>
        <v/>
      </c>
      <c r="J166" s="185"/>
      <c r="K166" s="54"/>
      <c r="L166" s="1077"/>
      <c r="M166" s="1102" t="str">
        <f>IF(L165=M165, "", "Uwaga!")</f>
        <v/>
      </c>
      <c r="N166" s="185"/>
      <c r="O166" s="55"/>
    </row>
    <row r="167" spans="2:15" ht="21" thickTop="1" x14ac:dyDescent="0.2">
      <c r="B167" s="815" t="s">
        <v>432</v>
      </c>
      <c r="C167" s="816">
        <v>2</v>
      </c>
      <c r="D167" s="1063">
        <f t="shared" ref="D167:D172" si="30">H167+L167</f>
        <v>2</v>
      </c>
      <c r="E167" s="1057">
        <f>I167+M167</f>
        <v>2</v>
      </c>
      <c r="F167" s="273">
        <f t="shared" ref="F167:F172" si="31">J167+N167</f>
        <v>140</v>
      </c>
      <c r="G167" s="274">
        <f t="shared" ref="G167:G172" si="32">K167+O167</f>
        <v>126</v>
      </c>
      <c r="H167" s="1495">
        <v>2</v>
      </c>
      <c r="I167" s="1520">
        <v>2</v>
      </c>
      <c r="J167" s="1497">
        <v>140</v>
      </c>
      <c r="K167" s="1498">
        <v>126</v>
      </c>
      <c r="L167" s="1495">
        <v>0</v>
      </c>
      <c r="M167" s="1520">
        <v>0</v>
      </c>
      <c r="N167" s="1497">
        <v>0</v>
      </c>
      <c r="O167" s="1499">
        <v>0</v>
      </c>
    </row>
    <row r="168" spans="2:15" ht="20.25" x14ac:dyDescent="0.2">
      <c r="B168" s="817" t="s">
        <v>433</v>
      </c>
      <c r="C168" s="818">
        <v>3</v>
      </c>
      <c r="D168" s="1064">
        <f t="shared" si="30"/>
        <v>0</v>
      </c>
      <c r="E168" s="1058">
        <f t="shared" ref="E168:E176" si="33">I168+M168</f>
        <v>0</v>
      </c>
      <c r="F168" s="275">
        <f t="shared" si="31"/>
        <v>0</v>
      </c>
      <c r="G168" s="276">
        <f t="shared" si="32"/>
        <v>0</v>
      </c>
      <c r="H168" s="1500">
        <v>0</v>
      </c>
      <c r="I168" s="1501">
        <v>0</v>
      </c>
      <c r="J168" s="1502">
        <v>0</v>
      </c>
      <c r="K168" s="1503">
        <v>0</v>
      </c>
      <c r="L168" s="1500">
        <v>0</v>
      </c>
      <c r="M168" s="1501">
        <v>0</v>
      </c>
      <c r="N168" s="1502">
        <v>0</v>
      </c>
      <c r="O168" s="1504">
        <v>0</v>
      </c>
    </row>
    <row r="169" spans="2:15" ht="20.25" x14ac:dyDescent="0.2">
      <c r="B169" s="817" t="s">
        <v>434</v>
      </c>
      <c r="C169" s="818">
        <v>4</v>
      </c>
      <c r="D169" s="1064">
        <f t="shared" si="30"/>
        <v>5</v>
      </c>
      <c r="E169" s="1058">
        <f t="shared" si="33"/>
        <v>5</v>
      </c>
      <c r="F169" s="275">
        <f t="shared" si="31"/>
        <v>462</v>
      </c>
      <c r="G169" s="276">
        <f t="shared" si="32"/>
        <v>462</v>
      </c>
      <c r="H169" s="1500">
        <v>5</v>
      </c>
      <c r="I169" s="1501">
        <v>5</v>
      </c>
      <c r="J169" s="1502">
        <v>462</v>
      </c>
      <c r="K169" s="1503">
        <v>462</v>
      </c>
      <c r="L169" s="1500">
        <v>0</v>
      </c>
      <c r="M169" s="1501">
        <v>0</v>
      </c>
      <c r="N169" s="1502">
        <v>0</v>
      </c>
      <c r="O169" s="1504">
        <v>0</v>
      </c>
    </row>
    <row r="170" spans="2:15" ht="20.25" x14ac:dyDescent="0.2">
      <c r="B170" s="817" t="s">
        <v>435</v>
      </c>
      <c r="C170" s="818">
        <v>5</v>
      </c>
      <c r="D170" s="1064">
        <f t="shared" si="30"/>
        <v>3</v>
      </c>
      <c r="E170" s="1058">
        <f t="shared" si="33"/>
        <v>3</v>
      </c>
      <c r="F170" s="275">
        <f t="shared" si="31"/>
        <v>184</v>
      </c>
      <c r="G170" s="276">
        <f t="shared" si="32"/>
        <v>185</v>
      </c>
      <c r="H170" s="1500">
        <v>3</v>
      </c>
      <c r="I170" s="1501">
        <v>3</v>
      </c>
      <c r="J170" s="1502">
        <v>184</v>
      </c>
      <c r="K170" s="1503">
        <v>185</v>
      </c>
      <c r="L170" s="1500">
        <v>0</v>
      </c>
      <c r="M170" s="1501">
        <v>0</v>
      </c>
      <c r="N170" s="1502">
        <v>0</v>
      </c>
      <c r="O170" s="1504">
        <v>0</v>
      </c>
    </row>
    <row r="171" spans="2:15" ht="20.25" x14ac:dyDescent="0.2">
      <c r="B171" s="817" t="s">
        <v>436</v>
      </c>
      <c r="C171" s="818">
        <v>6</v>
      </c>
      <c r="D171" s="1064">
        <f t="shared" si="30"/>
        <v>3</v>
      </c>
      <c r="E171" s="1058">
        <f t="shared" si="33"/>
        <v>3</v>
      </c>
      <c r="F171" s="275">
        <f t="shared" si="31"/>
        <v>211</v>
      </c>
      <c r="G171" s="276">
        <f t="shared" si="32"/>
        <v>215</v>
      </c>
      <c r="H171" s="1500">
        <v>1</v>
      </c>
      <c r="I171" s="1501">
        <v>1</v>
      </c>
      <c r="J171" s="1502">
        <v>99</v>
      </c>
      <c r="K171" s="1503">
        <v>102</v>
      </c>
      <c r="L171" s="1500">
        <v>2</v>
      </c>
      <c r="M171" s="1501">
        <v>2</v>
      </c>
      <c r="N171" s="1502">
        <v>112</v>
      </c>
      <c r="O171" s="1504">
        <v>113</v>
      </c>
    </row>
    <row r="172" spans="2:15" ht="21" thickBot="1" x14ac:dyDescent="0.25">
      <c r="B172" s="819" t="s">
        <v>437</v>
      </c>
      <c r="C172" s="820">
        <v>7</v>
      </c>
      <c r="D172" s="1065">
        <f t="shared" si="30"/>
        <v>0</v>
      </c>
      <c r="E172" s="1059">
        <f t="shared" si="33"/>
        <v>0</v>
      </c>
      <c r="F172" s="277">
        <f t="shared" si="31"/>
        <v>0</v>
      </c>
      <c r="G172" s="278">
        <f t="shared" si="32"/>
        <v>0</v>
      </c>
      <c r="H172" s="1505">
        <v>0</v>
      </c>
      <c r="I172" s="1506">
        <v>0</v>
      </c>
      <c r="J172" s="1507">
        <v>0</v>
      </c>
      <c r="K172" s="1508">
        <v>0</v>
      </c>
      <c r="L172" s="1505">
        <v>0</v>
      </c>
      <c r="M172" s="1506">
        <v>0</v>
      </c>
      <c r="N172" s="1507">
        <v>0</v>
      </c>
      <c r="O172" s="1509">
        <v>0</v>
      </c>
    </row>
    <row r="173" spans="2:15" ht="32.25" thickTop="1" x14ac:dyDescent="0.2">
      <c r="B173" s="821" t="s">
        <v>438</v>
      </c>
      <c r="C173" s="822">
        <v>8</v>
      </c>
      <c r="D173" s="827">
        <f>H173+L173</f>
        <v>3</v>
      </c>
      <c r="E173" s="827">
        <f t="shared" si="33"/>
        <v>3</v>
      </c>
      <c r="F173" s="828">
        <f t="shared" ref="F173:G176" si="34">J173+N173</f>
        <v>395</v>
      </c>
      <c r="G173" s="829">
        <f t="shared" si="34"/>
        <v>393</v>
      </c>
      <c r="H173" s="1510">
        <v>3</v>
      </c>
      <c r="I173" s="1510">
        <v>3</v>
      </c>
      <c r="J173" s="1511">
        <v>395</v>
      </c>
      <c r="K173" s="1512">
        <v>393</v>
      </c>
      <c r="L173" s="1510">
        <v>0</v>
      </c>
      <c r="M173" s="1510">
        <v>0</v>
      </c>
      <c r="N173" s="1511">
        <v>0</v>
      </c>
      <c r="O173" s="1513">
        <v>0</v>
      </c>
    </row>
    <row r="174" spans="2:15" ht="31.5" x14ac:dyDescent="0.2">
      <c r="B174" s="823" t="s">
        <v>439</v>
      </c>
      <c r="C174" s="824">
        <v>9</v>
      </c>
      <c r="D174" s="830">
        <f>H174+L174</f>
        <v>5</v>
      </c>
      <c r="E174" s="830">
        <f t="shared" si="33"/>
        <v>5</v>
      </c>
      <c r="F174" s="275">
        <f t="shared" si="34"/>
        <v>745</v>
      </c>
      <c r="G174" s="831">
        <f t="shared" si="34"/>
        <v>739</v>
      </c>
      <c r="H174" s="1514">
        <v>5</v>
      </c>
      <c r="I174" s="1514">
        <v>5</v>
      </c>
      <c r="J174" s="1502">
        <v>745</v>
      </c>
      <c r="K174" s="1515">
        <v>739</v>
      </c>
      <c r="L174" s="1514">
        <v>0</v>
      </c>
      <c r="M174" s="1514">
        <v>0</v>
      </c>
      <c r="N174" s="1502">
        <v>0</v>
      </c>
      <c r="O174" s="1516">
        <v>0</v>
      </c>
    </row>
    <row r="175" spans="2:15" ht="31.5" x14ac:dyDescent="0.2">
      <c r="B175" s="823" t="s">
        <v>440</v>
      </c>
      <c r="C175" s="824">
        <v>10</v>
      </c>
      <c r="D175" s="830">
        <f>H175+L175</f>
        <v>1</v>
      </c>
      <c r="E175" s="830">
        <f t="shared" si="33"/>
        <v>1</v>
      </c>
      <c r="F175" s="275">
        <f t="shared" si="34"/>
        <v>51</v>
      </c>
      <c r="G175" s="831">
        <f t="shared" si="34"/>
        <v>54</v>
      </c>
      <c r="H175" s="1514">
        <v>1</v>
      </c>
      <c r="I175" s="1514">
        <v>1</v>
      </c>
      <c r="J175" s="1502">
        <v>51</v>
      </c>
      <c r="K175" s="1515">
        <v>54</v>
      </c>
      <c r="L175" s="1514">
        <v>0</v>
      </c>
      <c r="M175" s="1514">
        <v>0</v>
      </c>
      <c r="N175" s="1502">
        <v>0</v>
      </c>
      <c r="O175" s="1516">
        <v>0</v>
      </c>
    </row>
    <row r="176" spans="2:15" ht="48" thickBot="1" x14ac:dyDescent="0.25">
      <c r="B176" s="825" t="s">
        <v>441</v>
      </c>
      <c r="C176" s="826">
        <v>11</v>
      </c>
      <c r="D176" s="832">
        <f>H176+L176</f>
        <v>2</v>
      </c>
      <c r="E176" s="832">
        <f t="shared" si="33"/>
        <v>2</v>
      </c>
      <c r="F176" s="277">
        <f t="shared" si="34"/>
        <v>156</v>
      </c>
      <c r="G176" s="833">
        <f t="shared" si="34"/>
        <v>159</v>
      </c>
      <c r="H176" s="1517">
        <v>2</v>
      </c>
      <c r="I176" s="1517">
        <v>2</v>
      </c>
      <c r="J176" s="1507">
        <v>156</v>
      </c>
      <c r="K176" s="1518">
        <v>159</v>
      </c>
      <c r="L176" s="1517">
        <v>0</v>
      </c>
      <c r="M176" s="1517">
        <v>0</v>
      </c>
      <c r="N176" s="1507">
        <v>0</v>
      </c>
      <c r="O176" s="1519">
        <v>0</v>
      </c>
    </row>
    <row r="177" spans="1:15" ht="21" thickTop="1" x14ac:dyDescent="0.2">
      <c r="B177" s="264"/>
      <c r="C177" s="409"/>
      <c r="D177" s="410"/>
      <c r="E177" s="410"/>
      <c r="F177" s="410"/>
      <c r="G177" s="410"/>
      <c r="H177" s="410"/>
      <c r="I177" s="410"/>
      <c r="J177" s="410"/>
      <c r="K177" s="410"/>
      <c r="L177" s="410"/>
      <c r="M177" s="410"/>
      <c r="N177" s="410"/>
    </row>
    <row r="178" spans="1:15" ht="20.25" x14ac:dyDescent="0.25">
      <c r="B178" s="11" t="s">
        <v>123</v>
      </c>
      <c r="C178" s="409"/>
      <c r="D178" s="410"/>
      <c r="E178" s="410"/>
      <c r="F178" s="410"/>
      <c r="G178" s="410"/>
      <c r="H178" s="410"/>
      <c r="I178" s="410"/>
      <c r="J178" s="410"/>
      <c r="K178" s="410"/>
      <c r="L178" s="1654" t="s">
        <v>442</v>
      </c>
      <c r="M178" s="1654"/>
      <c r="N178" s="1654"/>
      <c r="O178" s="1654"/>
    </row>
    <row r="179" spans="1:15" ht="20.25" x14ac:dyDescent="0.25">
      <c r="B179" s="11" t="s">
        <v>124</v>
      </c>
      <c r="C179" s="409"/>
      <c r="D179" s="410"/>
      <c r="E179" s="410"/>
      <c r="F179" s="410"/>
      <c r="G179" s="410"/>
      <c r="H179" s="410"/>
      <c r="I179" s="410"/>
      <c r="J179" s="410"/>
      <c r="K179" s="410"/>
      <c r="L179" s="1604" t="s">
        <v>126</v>
      </c>
      <c r="M179" s="1604"/>
      <c r="N179" s="1604"/>
      <c r="O179" s="1604"/>
    </row>
    <row r="180" spans="1:15" ht="18" x14ac:dyDescent="0.25">
      <c r="B180" s="11" t="s">
        <v>125</v>
      </c>
    </row>
    <row r="181" spans="1:15" ht="26.25" x14ac:dyDescent="0.4">
      <c r="A181" s="267" t="s">
        <v>197</v>
      </c>
    </row>
    <row r="182" spans="1:15" ht="18" x14ac:dyDescent="0.25">
      <c r="N182" s="1675" t="s">
        <v>14</v>
      </c>
      <c r="O182" s="1675"/>
    </row>
    <row r="183" spans="1:15" ht="18" x14ac:dyDescent="0.25">
      <c r="B183" s="11" t="s">
        <v>116</v>
      </c>
      <c r="C183" s="3"/>
      <c r="D183" s="3"/>
      <c r="E183" s="3"/>
      <c r="F183" s="3"/>
      <c r="G183" s="3"/>
      <c r="H183" s="3"/>
      <c r="I183" s="3"/>
      <c r="J183" s="3"/>
      <c r="K183" s="11"/>
      <c r="L183" s="3"/>
      <c r="M183" s="3"/>
    </row>
    <row r="184" spans="1:15" ht="18" x14ac:dyDescent="0.25">
      <c r="B184" s="14" t="s">
        <v>129</v>
      </c>
      <c r="C184" s="29"/>
      <c r="D184" s="3"/>
      <c r="E184" s="3"/>
      <c r="F184" s="3"/>
      <c r="G184" s="3"/>
      <c r="H184" s="3"/>
      <c r="I184" s="3"/>
      <c r="N184" s="1676" t="str">
        <f>'Tab.1. bilans_Polska'!$E$59</f>
        <v>Termin: 29 luty 2012 r.</v>
      </c>
      <c r="O184" s="1676"/>
    </row>
    <row r="185" spans="1:15" ht="18" x14ac:dyDescent="0.25">
      <c r="B185" s="11" t="s">
        <v>128</v>
      </c>
      <c r="C185" s="3"/>
      <c r="D185" s="3"/>
      <c r="E185" s="3"/>
      <c r="F185" s="3"/>
      <c r="G185" s="3"/>
      <c r="H185" s="3"/>
      <c r="I185" s="3"/>
    </row>
    <row r="186" spans="1:15" ht="18" x14ac:dyDescent="0.25">
      <c r="B186" s="11"/>
      <c r="C186" s="3"/>
      <c r="D186" s="3"/>
      <c r="E186" s="3"/>
      <c r="F186" s="3"/>
      <c r="G186" s="3"/>
      <c r="H186" s="3"/>
      <c r="I186" s="3"/>
      <c r="J186" s="3"/>
      <c r="K186" s="3"/>
      <c r="L186" s="3"/>
      <c r="M186" s="3"/>
      <c r="N186" s="3"/>
    </row>
    <row r="187" spans="1:15" ht="18" x14ac:dyDescent="0.25">
      <c r="B187" s="11"/>
      <c r="C187" s="3"/>
      <c r="D187" s="3"/>
      <c r="E187" s="3"/>
      <c r="F187" s="3"/>
      <c r="G187" s="3"/>
      <c r="H187" s="3"/>
      <c r="I187" s="3"/>
      <c r="J187" s="3"/>
      <c r="K187" s="3"/>
      <c r="L187" s="3"/>
      <c r="M187" s="3"/>
      <c r="N187" s="3"/>
    </row>
    <row r="188" spans="1:15" ht="15.75" x14ac:dyDescent="0.25">
      <c r="B188" s="1"/>
      <c r="C188" s="3"/>
      <c r="D188" s="3"/>
      <c r="E188" s="3"/>
      <c r="F188" s="3"/>
      <c r="G188" s="3"/>
      <c r="H188" s="3"/>
      <c r="I188" s="3"/>
      <c r="J188" s="3"/>
      <c r="K188" s="3"/>
      <c r="L188" s="3"/>
      <c r="M188" s="3"/>
      <c r="N188" s="3"/>
    </row>
    <row r="189" spans="1:15" ht="15.75" x14ac:dyDescent="0.25">
      <c r="B189" s="1"/>
      <c r="C189" s="3"/>
      <c r="D189" s="3"/>
      <c r="E189" s="3"/>
      <c r="F189" s="3"/>
      <c r="G189" s="3"/>
      <c r="H189" s="3"/>
      <c r="I189" s="3"/>
      <c r="J189" s="3"/>
      <c r="K189" s="1"/>
      <c r="L189" s="3"/>
      <c r="M189" s="3"/>
      <c r="N189" s="3"/>
    </row>
    <row r="190" spans="1:15" ht="23.25" x14ac:dyDescent="0.35">
      <c r="B190" s="1655" t="s">
        <v>36</v>
      </c>
      <c r="C190" s="1655"/>
      <c r="D190" s="1655"/>
      <c r="E190" s="1655"/>
      <c r="F190" s="1655"/>
      <c r="G190" s="1655"/>
      <c r="H190" s="1655"/>
      <c r="I190" s="1655"/>
      <c r="J190" s="1655"/>
      <c r="K190" s="1655"/>
      <c r="L190" s="1655"/>
      <c r="M190" s="1655"/>
      <c r="N190" s="1655"/>
      <c r="O190" s="1655"/>
    </row>
    <row r="191" spans="1:15" ht="23.25" x14ac:dyDescent="0.35">
      <c r="B191" s="1645" t="str">
        <f>$B$11</f>
        <v>W  PODZIALE  NA  DOMY  SAMORZĄDÓW  POWIATOWYCH  I  PODMIOTÓW  NIEPUBLICZNYCH  WG  ST.  NA  DZIEŃ  31. XII. 2011 r.</v>
      </c>
      <c r="C191" s="1645"/>
      <c r="D191" s="1645"/>
      <c r="E191" s="1645"/>
      <c r="F191" s="1645"/>
      <c r="G191" s="1645"/>
      <c r="H191" s="1645"/>
      <c r="I191" s="1645"/>
      <c r="J191" s="1645"/>
      <c r="K191" s="1645"/>
      <c r="L191" s="1645"/>
      <c r="M191" s="1645"/>
      <c r="N191" s="1645"/>
      <c r="O191" s="1645"/>
    </row>
    <row r="192" spans="1:15" ht="23.25" x14ac:dyDescent="0.35">
      <c r="B192" s="28"/>
      <c r="C192" s="3"/>
      <c r="D192" s="3"/>
      <c r="E192" s="3"/>
      <c r="F192" s="3"/>
      <c r="G192" s="3"/>
      <c r="H192" s="3"/>
      <c r="I192" s="3"/>
      <c r="J192" s="3"/>
      <c r="K192" s="3"/>
      <c r="L192" s="3"/>
      <c r="M192" s="3"/>
      <c r="N192" s="3"/>
    </row>
    <row r="193" spans="2:15" ht="24" thickBot="1" x14ac:dyDescent="0.4">
      <c r="B193" s="30"/>
      <c r="C193" s="30"/>
      <c r="D193" s="939"/>
      <c r="E193" s="939"/>
      <c r="F193" s="939" t="str">
        <f>IF('Tab.1. bilans_Polska'!C304=F201, "", "t1w5k1="&amp;'Tab.1. bilans_Polska'!C304)</f>
        <v/>
      </c>
      <c r="G193" s="940"/>
      <c r="H193" s="940"/>
      <c r="I193" s="940"/>
      <c r="J193" s="939" t="str">
        <f>IF('Tab.1. bilans_Polska'!D304=J201, "", "t1w5k2="&amp;'Tab.1. bilans_Polska'!D304)</f>
        <v/>
      </c>
      <c r="K193" s="940"/>
      <c r="L193" s="940"/>
      <c r="M193" s="940"/>
      <c r="N193" s="942" t="str">
        <f>IF('Tab.1. bilans_Polska'!E304=N201,"","t1w5k3="&amp;'Tab.1. bilans_Polska'!E304)</f>
        <v/>
      </c>
      <c r="O193" s="941"/>
    </row>
    <row r="194" spans="2:15" ht="24" thickTop="1" x14ac:dyDescent="0.2">
      <c r="B194" s="1660" t="s">
        <v>38</v>
      </c>
      <c r="C194" s="1661"/>
      <c r="D194" s="1677" t="s">
        <v>3</v>
      </c>
      <c r="E194" s="1678"/>
      <c r="F194" s="1678"/>
      <c r="G194" s="1679"/>
      <c r="H194" s="1668" t="s">
        <v>37</v>
      </c>
      <c r="I194" s="1669"/>
      <c r="J194" s="1669"/>
      <c r="K194" s="1669"/>
      <c r="L194" s="1669"/>
      <c r="M194" s="1669"/>
      <c r="N194" s="1669"/>
      <c r="O194" s="1670"/>
    </row>
    <row r="195" spans="2:15" ht="18" customHeight="1" thickBot="1" x14ac:dyDescent="0.25">
      <c r="B195" s="1662"/>
      <c r="C195" s="1663"/>
      <c r="D195" s="1649" t="str">
        <f>UPPER("Domy 
zareje-
strowane")</f>
        <v>DOMY 
ZAREJE-
STROWANE</v>
      </c>
      <c r="E195" s="1646" t="s">
        <v>454</v>
      </c>
      <c r="F195" s="1646" t="s">
        <v>455</v>
      </c>
      <c r="G195" s="1666" t="s">
        <v>281</v>
      </c>
      <c r="H195" s="1671"/>
      <c r="I195" s="1672"/>
      <c r="J195" s="1672"/>
      <c r="K195" s="1672"/>
      <c r="L195" s="1672"/>
      <c r="M195" s="1672"/>
      <c r="N195" s="1672"/>
      <c r="O195" s="1673"/>
    </row>
    <row r="196" spans="2:15" ht="18" x14ac:dyDescent="0.2">
      <c r="B196" s="1662"/>
      <c r="C196" s="1663"/>
      <c r="D196" s="1650"/>
      <c r="E196" s="1647"/>
      <c r="F196" s="1647"/>
      <c r="G196" s="1667"/>
      <c r="H196" s="1656" t="s">
        <v>17</v>
      </c>
      <c r="I196" s="1656"/>
      <c r="J196" s="1656"/>
      <c r="K196" s="1657"/>
      <c r="L196" s="1658" t="s">
        <v>18</v>
      </c>
      <c r="M196" s="1656"/>
      <c r="N196" s="1656"/>
      <c r="O196" s="1659"/>
    </row>
    <row r="197" spans="2:15" ht="18" customHeight="1" x14ac:dyDescent="0.2">
      <c r="B197" s="1662"/>
      <c r="C197" s="1663"/>
      <c r="D197" s="1650"/>
      <c r="E197" s="1647"/>
      <c r="F197" s="1647"/>
      <c r="G197" s="1667"/>
      <c r="H197" s="1649" t="s">
        <v>460</v>
      </c>
      <c r="I197" s="1646" t="s">
        <v>456</v>
      </c>
      <c r="J197" s="1646" t="s">
        <v>393</v>
      </c>
      <c r="K197" s="1666" t="s">
        <v>457</v>
      </c>
      <c r="L197" s="1649" t="s">
        <v>460</v>
      </c>
      <c r="M197" s="1646" t="s">
        <v>456</v>
      </c>
      <c r="N197" s="1646" t="s">
        <v>393</v>
      </c>
      <c r="O197" s="1682" t="s">
        <v>457</v>
      </c>
    </row>
    <row r="198" spans="2:15" ht="13.5" customHeight="1" thickBot="1" x14ac:dyDescent="0.25">
      <c r="B198" s="1662"/>
      <c r="C198" s="1663"/>
      <c r="D198" s="1650"/>
      <c r="E198" s="1647"/>
      <c r="F198" s="1647"/>
      <c r="G198" s="1667"/>
      <c r="H198" s="1650"/>
      <c r="I198" s="1647"/>
      <c r="J198" s="1647"/>
      <c r="K198" s="1667"/>
      <c r="L198" s="1650"/>
      <c r="M198" s="1647"/>
      <c r="N198" s="1647"/>
      <c r="O198" s="1683"/>
    </row>
    <row r="199" spans="2:15" ht="15.75" customHeight="1" x14ac:dyDescent="0.2">
      <c r="B199" s="1664"/>
      <c r="C199" s="1665"/>
      <c r="D199" s="1073" t="s">
        <v>459</v>
      </c>
      <c r="E199" s="1074" t="s">
        <v>461</v>
      </c>
      <c r="F199" s="1071" t="s">
        <v>462</v>
      </c>
      <c r="G199" s="1072" t="s">
        <v>463</v>
      </c>
      <c r="H199" s="1651"/>
      <c r="I199" s="1648"/>
      <c r="J199" s="1648"/>
      <c r="K199" s="1674"/>
      <c r="L199" s="1651"/>
      <c r="M199" s="1648"/>
      <c r="N199" s="1648"/>
      <c r="O199" s="1684"/>
    </row>
    <row r="200" spans="2:15" ht="16.5" thickBot="1" x14ac:dyDescent="0.3">
      <c r="B200" s="1680">
        <v>0</v>
      </c>
      <c r="C200" s="1681"/>
      <c r="D200" s="48">
        <v>1</v>
      </c>
      <c r="E200" s="1056">
        <v>2</v>
      </c>
      <c r="F200" s="49">
        <v>3</v>
      </c>
      <c r="G200" s="50">
        <v>4</v>
      </c>
      <c r="H200" s="1075">
        <v>5</v>
      </c>
      <c r="I200" s="1056">
        <v>6</v>
      </c>
      <c r="J200" s="49">
        <v>7</v>
      </c>
      <c r="K200" s="50">
        <v>8</v>
      </c>
      <c r="L200" s="1075">
        <v>9</v>
      </c>
      <c r="M200" s="1056">
        <v>10</v>
      </c>
      <c r="N200" s="49">
        <v>11</v>
      </c>
      <c r="O200" s="51">
        <v>12</v>
      </c>
    </row>
    <row r="201" spans="2:15" ht="47.25" thickTop="1" x14ac:dyDescent="0.2">
      <c r="B201" s="814" t="s">
        <v>431</v>
      </c>
      <c r="C201" s="1652">
        <v>1</v>
      </c>
      <c r="D201" s="1066">
        <f>SUM(D203:D212)</f>
        <v>56</v>
      </c>
      <c r="E201" s="280">
        <f>I201+M201</f>
        <v>56</v>
      </c>
      <c r="F201" s="271">
        <f t="shared" ref="F201:O201" si="35">SUM(F203:F212)</f>
        <v>6200</v>
      </c>
      <c r="G201" s="272">
        <f t="shared" si="35"/>
        <v>6110</v>
      </c>
      <c r="H201" s="1076">
        <f t="shared" si="35"/>
        <v>50</v>
      </c>
      <c r="I201" s="1528">
        <v>50</v>
      </c>
      <c r="J201" s="279">
        <f t="shared" si="35"/>
        <v>5928</v>
      </c>
      <c r="K201" s="280">
        <f t="shared" si="35"/>
        <v>5837</v>
      </c>
      <c r="L201" s="1076">
        <f t="shared" si="35"/>
        <v>6</v>
      </c>
      <c r="M201" s="1529">
        <v>6</v>
      </c>
      <c r="N201" s="279">
        <f t="shared" si="35"/>
        <v>272</v>
      </c>
      <c r="O201" s="281">
        <f t="shared" si="35"/>
        <v>273</v>
      </c>
    </row>
    <row r="202" spans="2:15" ht="13.5" thickBot="1" x14ac:dyDescent="0.25">
      <c r="B202" s="53" t="s">
        <v>46</v>
      </c>
      <c r="C202" s="1653"/>
      <c r="D202" s="1067" t="str">
        <f>IF(H201+L201=D201, "", "Uwaga!")</f>
        <v/>
      </c>
      <c r="E202" s="1102" t="str">
        <f>IF(D201=E201, "", "Uwaga!")</f>
        <v/>
      </c>
      <c r="F202" s="399" t="str">
        <f>IF(J201+N201=F201, "", "Uwaga!")</f>
        <v/>
      </c>
      <c r="G202" s="400" t="str">
        <f>IF(K201+O201=G201, "", "Uwaga!")</f>
        <v/>
      </c>
      <c r="H202" s="1077"/>
      <c r="I202" s="1102" t="str">
        <f>IF(H201=I201, "", "Uwaga!")</f>
        <v/>
      </c>
      <c r="J202" s="185"/>
      <c r="K202" s="54"/>
      <c r="L202" s="1077"/>
      <c r="M202" s="1102" t="str">
        <f>IF(L201=M201, "", "Uwaga!")</f>
        <v/>
      </c>
      <c r="N202" s="185"/>
      <c r="O202" s="55"/>
    </row>
    <row r="203" spans="2:15" ht="21" thickTop="1" x14ac:dyDescent="0.2">
      <c r="B203" s="815" t="s">
        <v>432</v>
      </c>
      <c r="C203" s="816">
        <v>2</v>
      </c>
      <c r="D203" s="1063">
        <f t="shared" ref="D203:D208" si="36">H203+L203</f>
        <v>9</v>
      </c>
      <c r="E203" s="1057">
        <f>I203+M203</f>
        <v>9</v>
      </c>
      <c r="F203" s="273">
        <f t="shared" ref="F203:F208" si="37">J203+N203</f>
        <v>956</v>
      </c>
      <c r="G203" s="274">
        <f t="shared" ref="G203:G208" si="38">K203+O203</f>
        <v>931</v>
      </c>
      <c r="H203" s="1495">
        <v>9</v>
      </c>
      <c r="I203" s="1520">
        <v>9</v>
      </c>
      <c r="J203" s="1497">
        <v>956</v>
      </c>
      <c r="K203" s="1498">
        <v>931</v>
      </c>
      <c r="L203" s="1495">
        <v>0</v>
      </c>
      <c r="M203" s="1520">
        <v>0</v>
      </c>
      <c r="N203" s="1497">
        <v>0</v>
      </c>
      <c r="O203" s="1499">
        <v>0</v>
      </c>
    </row>
    <row r="204" spans="2:15" ht="20.25" x14ac:dyDescent="0.2">
      <c r="B204" s="817" t="s">
        <v>433</v>
      </c>
      <c r="C204" s="818">
        <v>3</v>
      </c>
      <c r="D204" s="1064">
        <f t="shared" si="36"/>
        <v>12</v>
      </c>
      <c r="E204" s="1058">
        <f t="shared" ref="E204:E212" si="39">I204+M204</f>
        <v>12</v>
      </c>
      <c r="F204" s="275">
        <f t="shared" si="37"/>
        <v>1651</v>
      </c>
      <c r="G204" s="276">
        <f t="shared" si="38"/>
        <v>1644</v>
      </c>
      <c r="H204" s="1500">
        <v>11</v>
      </c>
      <c r="I204" s="1501">
        <v>11</v>
      </c>
      <c r="J204" s="1502">
        <v>1591</v>
      </c>
      <c r="K204" s="1503">
        <v>1588</v>
      </c>
      <c r="L204" s="1500">
        <v>1</v>
      </c>
      <c r="M204" s="1501">
        <v>1</v>
      </c>
      <c r="N204" s="1502">
        <v>60</v>
      </c>
      <c r="O204" s="1504">
        <v>56</v>
      </c>
    </row>
    <row r="205" spans="2:15" ht="20.25" x14ac:dyDescent="0.2">
      <c r="B205" s="817" t="s">
        <v>434</v>
      </c>
      <c r="C205" s="818">
        <v>4</v>
      </c>
      <c r="D205" s="1064">
        <f t="shared" si="36"/>
        <v>17</v>
      </c>
      <c r="E205" s="1058">
        <f t="shared" si="39"/>
        <v>17</v>
      </c>
      <c r="F205" s="275">
        <f t="shared" si="37"/>
        <v>2042</v>
      </c>
      <c r="G205" s="276">
        <f t="shared" si="38"/>
        <v>1998</v>
      </c>
      <c r="H205" s="1500">
        <v>16</v>
      </c>
      <c r="I205" s="1501">
        <v>16</v>
      </c>
      <c r="J205" s="1502">
        <v>1935</v>
      </c>
      <c r="K205" s="1503">
        <v>1882</v>
      </c>
      <c r="L205" s="1500">
        <v>1</v>
      </c>
      <c r="M205" s="1501">
        <v>1</v>
      </c>
      <c r="N205" s="1502">
        <v>107</v>
      </c>
      <c r="O205" s="1504">
        <v>116</v>
      </c>
    </row>
    <row r="206" spans="2:15" ht="20.25" x14ac:dyDescent="0.2">
      <c r="B206" s="817" t="s">
        <v>435</v>
      </c>
      <c r="C206" s="818">
        <v>5</v>
      </c>
      <c r="D206" s="1064">
        <f t="shared" si="36"/>
        <v>7</v>
      </c>
      <c r="E206" s="1058">
        <f t="shared" si="39"/>
        <v>7</v>
      </c>
      <c r="F206" s="275">
        <f t="shared" si="37"/>
        <v>548</v>
      </c>
      <c r="G206" s="276">
        <f t="shared" si="38"/>
        <v>544</v>
      </c>
      <c r="H206" s="1500">
        <v>5</v>
      </c>
      <c r="I206" s="1501">
        <v>5</v>
      </c>
      <c r="J206" s="1502">
        <v>524</v>
      </c>
      <c r="K206" s="1503">
        <v>520</v>
      </c>
      <c r="L206" s="1500">
        <v>2</v>
      </c>
      <c r="M206" s="1501">
        <v>2</v>
      </c>
      <c r="N206" s="1502">
        <v>24</v>
      </c>
      <c r="O206" s="1504">
        <v>24</v>
      </c>
    </row>
    <row r="207" spans="2:15" ht="20.25" x14ac:dyDescent="0.2">
      <c r="B207" s="817" t="s">
        <v>436</v>
      </c>
      <c r="C207" s="818">
        <v>6</v>
      </c>
      <c r="D207" s="1064">
        <f t="shared" si="36"/>
        <v>3</v>
      </c>
      <c r="E207" s="1058">
        <f t="shared" si="39"/>
        <v>3</v>
      </c>
      <c r="F207" s="275">
        <f t="shared" si="37"/>
        <v>262</v>
      </c>
      <c r="G207" s="276">
        <f t="shared" si="38"/>
        <v>262</v>
      </c>
      <c r="H207" s="1500">
        <v>2</v>
      </c>
      <c r="I207" s="1501">
        <v>2</v>
      </c>
      <c r="J207" s="1502">
        <v>227</v>
      </c>
      <c r="K207" s="1503">
        <v>227</v>
      </c>
      <c r="L207" s="1500">
        <v>1</v>
      </c>
      <c r="M207" s="1501">
        <v>1</v>
      </c>
      <c r="N207" s="1502">
        <v>35</v>
      </c>
      <c r="O207" s="1504">
        <v>35</v>
      </c>
    </row>
    <row r="208" spans="2:15" ht="21" thickBot="1" x14ac:dyDescent="0.25">
      <c r="B208" s="819" t="s">
        <v>437</v>
      </c>
      <c r="C208" s="820">
        <v>7</v>
      </c>
      <c r="D208" s="1065">
        <f t="shared" si="36"/>
        <v>0</v>
      </c>
      <c r="E208" s="1059">
        <f t="shared" si="39"/>
        <v>0</v>
      </c>
      <c r="F208" s="277">
        <f t="shared" si="37"/>
        <v>0</v>
      </c>
      <c r="G208" s="278">
        <f t="shared" si="38"/>
        <v>0</v>
      </c>
      <c r="H208" s="1505">
        <v>0</v>
      </c>
      <c r="I208" s="1506">
        <v>0</v>
      </c>
      <c r="J208" s="1507">
        <v>0</v>
      </c>
      <c r="K208" s="1508">
        <v>0</v>
      </c>
      <c r="L208" s="1505">
        <v>0</v>
      </c>
      <c r="M208" s="1506">
        <v>0</v>
      </c>
      <c r="N208" s="1507">
        <v>0</v>
      </c>
      <c r="O208" s="1509">
        <v>0</v>
      </c>
    </row>
    <row r="209" spans="1:15" ht="32.25" thickTop="1" x14ac:dyDescent="0.2">
      <c r="B209" s="821" t="s">
        <v>438</v>
      </c>
      <c r="C209" s="822">
        <v>8</v>
      </c>
      <c r="D209" s="827">
        <f>H209+L209</f>
        <v>7</v>
      </c>
      <c r="E209" s="827">
        <f t="shared" si="39"/>
        <v>7</v>
      </c>
      <c r="F209" s="828">
        <f t="shared" ref="F209:G212" si="40">J209+N209</f>
        <v>634</v>
      </c>
      <c r="G209" s="829">
        <f t="shared" si="40"/>
        <v>624</v>
      </c>
      <c r="H209" s="1510">
        <v>6</v>
      </c>
      <c r="I209" s="1521">
        <v>6</v>
      </c>
      <c r="J209" s="1511">
        <v>588</v>
      </c>
      <c r="K209" s="1512">
        <v>582</v>
      </c>
      <c r="L209" s="1510">
        <v>1</v>
      </c>
      <c r="M209" s="1510">
        <v>1</v>
      </c>
      <c r="N209" s="1511">
        <v>46</v>
      </c>
      <c r="O209" s="1513">
        <v>42</v>
      </c>
    </row>
    <row r="210" spans="1:15" ht="31.5" x14ac:dyDescent="0.2">
      <c r="B210" s="823" t="s">
        <v>439</v>
      </c>
      <c r="C210" s="824">
        <v>9</v>
      </c>
      <c r="D210" s="830">
        <f>H210+L210</f>
        <v>0</v>
      </c>
      <c r="E210" s="830">
        <f t="shared" si="39"/>
        <v>0</v>
      </c>
      <c r="F210" s="275">
        <f t="shared" si="40"/>
        <v>0</v>
      </c>
      <c r="G210" s="831">
        <f t="shared" si="40"/>
        <v>0</v>
      </c>
      <c r="H210" s="1514">
        <v>0</v>
      </c>
      <c r="I210" s="1514">
        <v>0</v>
      </c>
      <c r="J210" s="1502">
        <v>0</v>
      </c>
      <c r="K210" s="1515">
        <v>0</v>
      </c>
      <c r="L210" s="1514">
        <v>0</v>
      </c>
      <c r="M210" s="1514">
        <v>0</v>
      </c>
      <c r="N210" s="1502">
        <v>0</v>
      </c>
      <c r="O210" s="1516">
        <v>0</v>
      </c>
    </row>
    <row r="211" spans="1:15" ht="31.5" x14ac:dyDescent="0.2">
      <c r="B211" s="823" t="s">
        <v>440</v>
      </c>
      <c r="C211" s="824">
        <v>10</v>
      </c>
      <c r="D211" s="830">
        <f>H211+L211</f>
        <v>0</v>
      </c>
      <c r="E211" s="830">
        <f t="shared" si="39"/>
        <v>0</v>
      </c>
      <c r="F211" s="275">
        <f t="shared" si="40"/>
        <v>0</v>
      </c>
      <c r="G211" s="831">
        <f t="shared" si="40"/>
        <v>0</v>
      </c>
      <c r="H211" s="1514">
        <v>0</v>
      </c>
      <c r="I211" s="1514">
        <v>0</v>
      </c>
      <c r="J211" s="1502">
        <v>0</v>
      </c>
      <c r="K211" s="1515">
        <v>0</v>
      </c>
      <c r="L211" s="1514">
        <v>0</v>
      </c>
      <c r="M211" s="1514">
        <v>0</v>
      </c>
      <c r="N211" s="1502">
        <v>0</v>
      </c>
      <c r="O211" s="1516">
        <v>0</v>
      </c>
    </row>
    <row r="212" spans="1:15" ht="48" thickBot="1" x14ac:dyDescent="0.25">
      <c r="B212" s="825" t="s">
        <v>441</v>
      </c>
      <c r="C212" s="826">
        <v>11</v>
      </c>
      <c r="D212" s="832">
        <f>H212+L212</f>
        <v>1</v>
      </c>
      <c r="E212" s="832">
        <f t="shared" si="39"/>
        <v>1</v>
      </c>
      <c r="F212" s="277">
        <f t="shared" si="40"/>
        <v>107</v>
      </c>
      <c r="G212" s="833">
        <f t="shared" si="40"/>
        <v>107</v>
      </c>
      <c r="H212" s="1517">
        <v>1</v>
      </c>
      <c r="I212" s="1517">
        <v>1</v>
      </c>
      <c r="J212" s="1507">
        <v>107</v>
      </c>
      <c r="K212" s="1518">
        <v>107</v>
      </c>
      <c r="L212" s="1517">
        <v>0</v>
      </c>
      <c r="M212" s="1517">
        <v>0</v>
      </c>
      <c r="N212" s="1507">
        <v>0</v>
      </c>
      <c r="O212" s="1519">
        <v>0</v>
      </c>
    </row>
    <row r="213" spans="1:15" ht="21" thickTop="1" x14ac:dyDescent="0.2">
      <c r="B213" s="264"/>
      <c r="C213" s="409"/>
      <c r="D213" s="410"/>
      <c r="E213" s="410"/>
      <c r="F213" s="410"/>
      <c r="G213" s="410"/>
      <c r="H213" s="410"/>
      <c r="I213" s="410"/>
      <c r="J213" s="410"/>
      <c r="K213" s="410"/>
      <c r="L213" s="410"/>
      <c r="M213" s="410"/>
      <c r="N213" s="410"/>
    </row>
    <row r="214" spans="1:15" ht="20.25" x14ac:dyDescent="0.25">
      <c r="B214" s="11" t="s">
        <v>123</v>
      </c>
      <c r="C214" s="409"/>
      <c r="D214" s="410"/>
      <c r="E214" s="410"/>
      <c r="F214" s="410"/>
      <c r="G214" s="410"/>
      <c r="H214" s="410"/>
      <c r="I214" s="410"/>
      <c r="J214" s="410"/>
      <c r="K214" s="410"/>
      <c r="L214" s="1654" t="s">
        <v>442</v>
      </c>
      <c r="M214" s="1654"/>
      <c r="N214" s="1654"/>
      <c r="O214" s="1654"/>
    </row>
    <row r="215" spans="1:15" ht="20.25" x14ac:dyDescent="0.25">
      <c r="B215" s="11" t="s">
        <v>124</v>
      </c>
      <c r="C215" s="409"/>
      <c r="D215" s="410"/>
      <c r="E215" s="410"/>
      <c r="F215" s="410"/>
      <c r="G215" s="410"/>
      <c r="H215" s="410"/>
      <c r="I215" s="410"/>
      <c r="J215" s="410"/>
      <c r="K215" s="410"/>
      <c r="L215" s="1604" t="s">
        <v>126</v>
      </c>
      <c r="M215" s="1604"/>
      <c r="N215" s="1604"/>
      <c r="O215" s="1604"/>
    </row>
    <row r="216" spans="1:15" ht="18" x14ac:dyDescent="0.25">
      <c r="B216" s="11" t="s">
        <v>125</v>
      </c>
    </row>
    <row r="218" spans="1:15" ht="26.25" x14ac:dyDescent="0.4">
      <c r="A218" s="267" t="s">
        <v>198</v>
      </c>
      <c r="N218" s="1675" t="s">
        <v>14</v>
      </c>
      <c r="O218" s="1675"/>
    </row>
    <row r="219" spans="1:15" ht="18" x14ac:dyDescent="0.25">
      <c r="B219" s="11" t="s">
        <v>116</v>
      </c>
      <c r="C219" s="3"/>
      <c r="D219" s="3"/>
      <c r="E219" s="3"/>
      <c r="F219" s="3"/>
      <c r="G219" s="3"/>
      <c r="H219" s="3"/>
      <c r="I219" s="3"/>
      <c r="J219" s="3"/>
      <c r="K219" s="11"/>
      <c r="L219" s="3"/>
      <c r="M219" s="3"/>
    </row>
    <row r="220" spans="1:15" ht="18" x14ac:dyDescent="0.25">
      <c r="B220" s="14" t="s">
        <v>129</v>
      </c>
      <c r="C220" s="29"/>
      <c r="D220" s="3"/>
      <c r="E220" s="3"/>
      <c r="F220" s="3"/>
      <c r="G220" s="3"/>
      <c r="H220" s="3"/>
      <c r="I220" s="3"/>
      <c r="N220" s="1676" t="str">
        <f>'Tab.1. bilans_Polska'!$E$59</f>
        <v>Termin: 29 luty 2012 r.</v>
      </c>
      <c r="O220" s="1676"/>
    </row>
    <row r="221" spans="1:15" ht="18" x14ac:dyDescent="0.25">
      <c r="B221" s="11" t="s">
        <v>128</v>
      </c>
      <c r="C221" s="3"/>
      <c r="D221" s="3"/>
      <c r="E221" s="3"/>
      <c r="F221" s="3"/>
      <c r="G221" s="3"/>
      <c r="H221" s="3"/>
      <c r="I221" s="3"/>
    </row>
    <row r="222" spans="1:15" ht="18" x14ac:dyDescent="0.25">
      <c r="B222" s="11"/>
      <c r="C222" s="3"/>
      <c r="D222" s="3"/>
      <c r="E222" s="3"/>
      <c r="F222" s="3"/>
      <c r="G222" s="3"/>
      <c r="H222" s="3"/>
      <c r="I222" s="3"/>
      <c r="J222" s="3"/>
      <c r="K222" s="3"/>
      <c r="L222" s="3"/>
      <c r="M222" s="3"/>
      <c r="N222" s="3"/>
    </row>
    <row r="223" spans="1:15" ht="18" x14ac:dyDescent="0.25">
      <c r="B223" s="11"/>
      <c r="C223" s="3"/>
      <c r="D223" s="3"/>
      <c r="E223" s="3"/>
      <c r="F223" s="3"/>
      <c r="G223" s="3"/>
      <c r="H223" s="3"/>
      <c r="I223" s="3"/>
      <c r="J223" s="3"/>
      <c r="K223" s="3"/>
      <c r="L223" s="3"/>
      <c r="M223" s="3"/>
      <c r="N223" s="3"/>
    </row>
    <row r="224" spans="1:15" ht="15.75" x14ac:dyDescent="0.25">
      <c r="B224" s="1"/>
      <c r="C224" s="3"/>
      <c r="D224" s="3"/>
      <c r="E224" s="3"/>
      <c r="F224" s="3"/>
      <c r="G224" s="3"/>
      <c r="H224" s="3"/>
      <c r="I224" s="3"/>
      <c r="J224" s="3"/>
      <c r="K224" s="3"/>
      <c r="L224" s="3"/>
      <c r="M224" s="3"/>
      <c r="N224" s="3"/>
    </row>
    <row r="225" spans="2:15" ht="15.75" x14ac:dyDescent="0.25">
      <c r="B225" s="1"/>
      <c r="C225" s="3"/>
      <c r="D225" s="3"/>
      <c r="E225" s="3"/>
      <c r="F225" s="3"/>
      <c r="G225" s="3"/>
      <c r="H225" s="3"/>
      <c r="I225" s="3"/>
      <c r="J225" s="3"/>
      <c r="K225" s="1"/>
      <c r="L225" s="3"/>
      <c r="M225" s="3"/>
      <c r="N225" s="3"/>
    </row>
    <row r="226" spans="2:15" ht="23.25" x14ac:dyDescent="0.35">
      <c r="B226" s="1655" t="s">
        <v>36</v>
      </c>
      <c r="C226" s="1655"/>
      <c r="D226" s="1655"/>
      <c r="E226" s="1655"/>
      <c r="F226" s="1655"/>
      <c r="G226" s="1655"/>
      <c r="H226" s="1655"/>
      <c r="I226" s="1655"/>
      <c r="J226" s="1655"/>
      <c r="K226" s="1655"/>
      <c r="L226" s="1655"/>
      <c r="M226" s="1655"/>
      <c r="N226" s="1655"/>
      <c r="O226" s="1655"/>
    </row>
    <row r="227" spans="2:15" ht="23.25" x14ac:dyDescent="0.35">
      <c r="B227" s="1645" t="str">
        <f>$B$11</f>
        <v>W  PODZIALE  NA  DOMY  SAMORZĄDÓW  POWIATOWYCH  I  PODMIOTÓW  NIEPUBLICZNYCH  WG  ST.  NA  DZIEŃ  31. XII. 2011 r.</v>
      </c>
      <c r="C227" s="1645"/>
      <c r="D227" s="1645"/>
      <c r="E227" s="1645"/>
      <c r="F227" s="1645"/>
      <c r="G227" s="1645"/>
      <c r="H227" s="1645"/>
      <c r="I227" s="1645"/>
      <c r="J227" s="1645"/>
      <c r="K227" s="1645"/>
      <c r="L227" s="1645"/>
      <c r="M227" s="1645"/>
      <c r="N227" s="1645"/>
      <c r="O227" s="1645"/>
    </row>
    <row r="228" spans="2:15" ht="23.25" x14ac:dyDescent="0.35">
      <c r="B228" s="28"/>
      <c r="C228" s="3"/>
      <c r="D228" s="3"/>
      <c r="E228" s="3"/>
      <c r="F228" s="3"/>
      <c r="G228" s="3"/>
      <c r="H228" s="3"/>
      <c r="I228" s="3"/>
      <c r="J228" s="3"/>
      <c r="K228" s="3"/>
      <c r="L228" s="3"/>
      <c r="M228" s="3"/>
      <c r="N228" s="3"/>
    </row>
    <row r="229" spans="2:15" ht="24" thickBot="1" x14ac:dyDescent="0.4">
      <c r="B229" s="30"/>
      <c r="C229" s="30"/>
      <c r="D229" s="939"/>
      <c r="E229" s="939"/>
      <c r="F229" s="939" t="str">
        <f>IF('Tab.1. bilans_Polska'!C358=F237, "", "t1w5k1="&amp;'Tab.1. bilans_Polska'!C358)</f>
        <v/>
      </c>
      <c r="G229" s="940"/>
      <c r="H229" s="940"/>
      <c r="I229" s="940"/>
      <c r="J229" s="939" t="str">
        <f>IF('Tab.1. bilans_Polska'!D358=J237, "", "t1w5k2="&amp;'Tab.1. bilans_Polska'!D358)</f>
        <v/>
      </c>
      <c r="K229" s="940"/>
      <c r="L229" s="940"/>
      <c r="M229" s="940"/>
      <c r="N229" s="942" t="str">
        <f>IF('Tab.1. bilans_Polska'!E358=N237,"","t1w5k3="&amp;'Tab.1. bilans_Polska'!E358)</f>
        <v/>
      </c>
      <c r="O229" s="941"/>
    </row>
    <row r="230" spans="2:15" ht="24" thickTop="1" x14ac:dyDescent="0.2">
      <c r="B230" s="1660" t="s">
        <v>38</v>
      </c>
      <c r="C230" s="1661"/>
      <c r="D230" s="1677" t="s">
        <v>3</v>
      </c>
      <c r="E230" s="1678"/>
      <c r="F230" s="1678"/>
      <c r="G230" s="1679"/>
      <c r="H230" s="1668" t="s">
        <v>37</v>
      </c>
      <c r="I230" s="1669"/>
      <c r="J230" s="1669"/>
      <c r="K230" s="1669"/>
      <c r="L230" s="1669"/>
      <c r="M230" s="1669"/>
      <c r="N230" s="1669"/>
      <c r="O230" s="1670"/>
    </row>
    <row r="231" spans="2:15" ht="18" customHeight="1" thickBot="1" x14ac:dyDescent="0.25">
      <c r="B231" s="1662"/>
      <c r="C231" s="1663"/>
      <c r="D231" s="1649" t="str">
        <f>UPPER("Domy 
zareje-
strowane")</f>
        <v>DOMY 
ZAREJE-
STROWANE</v>
      </c>
      <c r="E231" s="1646" t="s">
        <v>454</v>
      </c>
      <c r="F231" s="1646" t="s">
        <v>455</v>
      </c>
      <c r="G231" s="1666" t="s">
        <v>281</v>
      </c>
      <c r="H231" s="1671"/>
      <c r="I231" s="1672"/>
      <c r="J231" s="1672"/>
      <c r="K231" s="1672"/>
      <c r="L231" s="1672"/>
      <c r="M231" s="1672"/>
      <c r="N231" s="1672"/>
      <c r="O231" s="1673"/>
    </row>
    <row r="232" spans="2:15" ht="18" x14ac:dyDescent="0.2">
      <c r="B232" s="1662"/>
      <c r="C232" s="1663"/>
      <c r="D232" s="1650"/>
      <c r="E232" s="1647"/>
      <c r="F232" s="1647"/>
      <c r="G232" s="1667"/>
      <c r="H232" s="1656" t="s">
        <v>17</v>
      </c>
      <c r="I232" s="1656"/>
      <c r="J232" s="1656"/>
      <c r="K232" s="1657"/>
      <c r="L232" s="1658" t="s">
        <v>18</v>
      </c>
      <c r="M232" s="1656"/>
      <c r="N232" s="1656"/>
      <c r="O232" s="1659"/>
    </row>
    <row r="233" spans="2:15" ht="18" customHeight="1" x14ac:dyDescent="0.2">
      <c r="B233" s="1662"/>
      <c r="C233" s="1663"/>
      <c r="D233" s="1650"/>
      <c r="E233" s="1647"/>
      <c r="F233" s="1647"/>
      <c r="G233" s="1667"/>
      <c r="H233" s="1649" t="s">
        <v>460</v>
      </c>
      <c r="I233" s="1646" t="s">
        <v>456</v>
      </c>
      <c r="J233" s="1646" t="s">
        <v>393</v>
      </c>
      <c r="K233" s="1666" t="s">
        <v>457</v>
      </c>
      <c r="L233" s="1649" t="s">
        <v>460</v>
      </c>
      <c r="M233" s="1646" t="s">
        <v>456</v>
      </c>
      <c r="N233" s="1646" t="s">
        <v>393</v>
      </c>
      <c r="O233" s="1682" t="s">
        <v>457</v>
      </c>
    </row>
    <row r="234" spans="2:15" ht="13.5" customHeight="1" thickBot="1" x14ac:dyDescent="0.25">
      <c r="B234" s="1662"/>
      <c r="C234" s="1663"/>
      <c r="D234" s="1650"/>
      <c r="E234" s="1647"/>
      <c r="F234" s="1647"/>
      <c r="G234" s="1667"/>
      <c r="H234" s="1650"/>
      <c r="I234" s="1647"/>
      <c r="J234" s="1647"/>
      <c r="K234" s="1667"/>
      <c r="L234" s="1650"/>
      <c r="M234" s="1647"/>
      <c r="N234" s="1647"/>
      <c r="O234" s="1683"/>
    </row>
    <row r="235" spans="2:15" ht="15.75" customHeight="1" x14ac:dyDescent="0.2">
      <c r="B235" s="1664"/>
      <c r="C235" s="1665"/>
      <c r="D235" s="1073" t="s">
        <v>459</v>
      </c>
      <c r="E235" s="1074" t="s">
        <v>461</v>
      </c>
      <c r="F235" s="1071" t="s">
        <v>462</v>
      </c>
      <c r="G235" s="1072" t="s">
        <v>463</v>
      </c>
      <c r="H235" s="1651"/>
      <c r="I235" s="1648"/>
      <c r="J235" s="1648"/>
      <c r="K235" s="1674"/>
      <c r="L235" s="1651"/>
      <c r="M235" s="1648"/>
      <c r="N235" s="1648"/>
      <c r="O235" s="1684"/>
    </row>
    <row r="236" spans="2:15" ht="16.5" thickBot="1" x14ac:dyDescent="0.3">
      <c r="B236" s="1680">
        <v>0</v>
      </c>
      <c r="C236" s="1681"/>
      <c r="D236" s="48">
        <v>1</v>
      </c>
      <c r="E236" s="1056">
        <v>2</v>
      </c>
      <c r="F236" s="49">
        <v>3</v>
      </c>
      <c r="G236" s="50">
        <v>4</v>
      </c>
      <c r="H236" s="1075">
        <v>5</v>
      </c>
      <c r="I236" s="1056">
        <v>6</v>
      </c>
      <c r="J236" s="49">
        <v>7</v>
      </c>
      <c r="K236" s="50">
        <v>8</v>
      </c>
      <c r="L236" s="1075">
        <v>9</v>
      </c>
      <c r="M236" s="1056">
        <v>10</v>
      </c>
      <c r="N236" s="49">
        <v>11</v>
      </c>
      <c r="O236" s="51">
        <v>12</v>
      </c>
    </row>
    <row r="237" spans="2:15" ht="47.25" thickTop="1" x14ac:dyDescent="0.2">
      <c r="B237" s="814" t="s">
        <v>431</v>
      </c>
      <c r="C237" s="1652">
        <v>1</v>
      </c>
      <c r="D237" s="1066">
        <f>SUM(D239:D248)</f>
        <v>85</v>
      </c>
      <c r="E237" s="280">
        <f>I237+M237</f>
        <v>85</v>
      </c>
      <c r="F237" s="271">
        <f t="shared" ref="F237:O237" si="41">SUM(F239:F248)</f>
        <v>7412</v>
      </c>
      <c r="G237" s="272">
        <f t="shared" si="41"/>
        <v>7313</v>
      </c>
      <c r="H237" s="1076">
        <f t="shared" si="41"/>
        <v>54</v>
      </c>
      <c r="I237" s="1528">
        <v>54</v>
      </c>
      <c r="J237" s="279">
        <f t="shared" si="41"/>
        <v>5793</v>
      </c>
      <c r="K237" s="280">
        <f t="shared" si="41"/>
        <v>5763</v>
      </c>
      <c r="L237" s="1076">
        <f t="shared" si="41"/>
        <v>31</v>
      </c>
      <c r="M237" s="1529">
        <v>31</v>
      </c>
      <c r="N237" s="279">
        <f t="shared" si="41"/>
        <v>1619</v>
      </c>
      <c r="O237" s="281">
        <f t="shared" si="41"/>
        <v>1550</v>
      </c>
    </row>
    <row r="238" spans="2:15" ht="13.5" thickBot="1" x14ac:dyDescent="0.25">
      <c r="B238" s="53" t="s">
        <v>46</v>
      </c>
      <c r="C238" s="1653"/>
      <c r="D238" s="1067" t="str">
        <f>IF(H237+L237=D237, "", "Uwaga!")</f>
        <v/>
      </c>
      <c r="E238" s="1102" t="str">
        <f>IF(D237=E237, "", "Uwaga!")</f>
        <v/>
      </c>
      <c r="F238" s="399" t="str">
        <f>IF(J237+N237=F237, "", "Uwaga!")</f>
        <v/>
      </c>
      <c r="G238" s="400" t="str">
        <f>IF(K237+O237=G237, "", "Uwaga!")</f>
        <v/>
      </c>
      <c r="H238" s="1077"/>
      <c r="I238" s="1102" t="str">
        <f>IF(H237=I237, "", "Uwaga!")</f>
        <v/>
      </c>
      <c r="J238" s="185"/>
      <c r="K238" s="54"/>
      <c r="L238" s="1077"/>
      <c r="M238" s="1102" t="str">
        <f>IF(L237=M237, "", "Uwaga!")</f>
        <v/>
      </c>
      <c r="N238" s="185"/>
      <c r="O238" s="55"/>
    </row>
    <row r="239" spans="2:15" ht="21" thickTop="1" x14ac:dyDescent="0.2">
      <c r="B239" s="815" t="s">
        <v>432</v>
      </c>
      <c r="C239" s="816">
        <v>2</v>
      </c>
      <c r="D239" s="1063">
        <f t="shared" ref="D239:D244" si="42">H239+L239</f>
        <v>15</v>
      </c>
      <c r="E239" s="1057">
        <f>I239+M239</f>
        <v>15</v>
      </c>
      <c r="F239" s="273">
        <f t="shared" ref="F239:F244" si="43">J239+N239</f>
        <v>1051</v>
      </c>
      <c r="G239" s="274">
        <f t="shared" ref="G239:G244" si="44">K239+O239</f>
        <v>1038</v>
      </c>
      <c r="H239" s="1495">
        <v>9</v>
      </c>
      <c r="I239" s="1520">
        <v>9</v>
      </c>
      <c r="J239" s="1497">
        <v>741</v>
      </c>
      <c r="K239" s="1498">
        <v>736</v>
      </c>
      <c r="L239" s="1495">
        <v>6</v>
      </c>
      <c r="M239" s="1520">
        <v>6</v>
      </c>
      <c r="N239" s="1497">
        <v>310</v>
      </c>
      <c r="O239" s="1499">
        <v>302</v>
      </c>
    </row>
    <row r="240" spans="2:15" ht="20.25" x14ac:dyDescent="0.2">
      <c r="B240" s="817" t="s">
        <v>433</v>
      </c>
      <c r="C240" s="818">
        <v>3</v>
      </c>
      <c r="D240" s="1064">
        <f t="shared" si="42"/>
        <v>17</v>
      </c>
      <c r="E240" s="1058">
        <f t="shared" ref="E240:E248" si="45">I240+M240</f>
        <v>17</v>
      </c>
      <c r="F240" s="275">
        <f t="shared" si="43"/>
        <v>1576</v>
      </c>
      <c r="G240" s="276">
        <f t="shared" si="44"/>
        <v>1555</v>
      </c>
      <c r="H240" s="1500">
        <v>12</v>
      </c>
      <c r="I240" s="1501">
        <v>12</v>
      </c>
      <c r="J240" s="1502">
        <v>1390</v>
      </c>
      <c r="K240" s="1503">
        <v>1373</v>
      </c>
      <c r="L240" s="1500">
        <v>5</v>
      </c>
      <c r="M240" s="1501">
        <v>5</v>
      </c>
      <c r="N240" s="1502">
        <v>186</v>
      </c>
      <c r="O240" s="1504">
        <v>182</v>
      </c>
    </row>
    <row r="241" spans="1:15" ht="20.25" x14ac:dyDescent="0.2">
      <c r="B241" s="817" t="s">
        <v>434</v>
      </c>
      <c r="C241" s="818">
        <v>4</v>
      </c>
      <c r="D241" s="1064">
        <f t="shared" si="42"/>
        <v>24</v>
      </c>
      <c r="E241" s="1058">
        <f t="shared" si="45"/>
        <v>25</v>
      </c>
      <c r="F241" s="275">
        <f t="shared" si="43"/>
        <v>2680</v>
      </c>
      <c r="G241" s="276">
        <f t="shared" si="44"/>
        <v>2600</v>
      </c>
      <c r="H241" s="1500">
        <v>19</v>
      </c>
      <c r="I241" s="1501">
        <v>20</v>
      </c>
      <c r="J241" s="1502">
        <v>2319</v>
      </c>
      <c r="K241" s="1503">
        <v>2263</v>
      </c>
      <c r="L241" s="1500">
        <v>5</v>
      </c>
      <c r="M241" s="1501">
        <v>5</v>
      </c>
      <c r="N241" s="1502">
        <v>361</v>
      </c>
      <c r="O241" s="1504">
        <v>337</v>
      </c>
    </row>
    <row r="242" spans="1:15" ht="20.25" x14ac:dyDescent="0.2">
      <c r="B242" s="817" t="s">
        <v>435</v>
      </c>
      <c r="C242" s="818">
        <v>5</v>
      </c>
      <c r="D242" s="1064">
        <f t="shared" si="42"/>
        <v>13</v>
      </c>
      <c r="E242" s="1058">
        <f t="shared" si="45"/>
        <v>13</v>
      </c>
      <c r="F242" s="275">
        <f t="shared" si="43"/>
        <v>732</v>
      </c>
      <c r="G242" s="276">
        <f t="shared" si="44"/>
        <v>785</v>
      </c>
      <c r="H242" s="1500">
        <v>8</v>
      </c>
      <c r="I242" s="1501">
        <v>8</v>
      </c>
      <c r="J242" s="1502">
        <v>545</v>
      </c>
      <c r="K242" s="1503">
        <v>600</v>
      </c>
      <c r="L242" s="1500">
        <v>5</v>
      </c>
      <c r="M242" s="1501">
        <v>5</v>
      </c>
      <c r="N242" s="1502">
        <v>187</v>
      </c>
      <c r="O242" s="1504">
        <v>185</v>
      </c>
    </row>
    <row r="243" spans="1:15" ht="20.25" x14ac:dyDescent="0.2">
      <c r="B243" s="817" t="s">
        <v>436</v>
      </c>
      <c r="C243" s="818">
        <v>6</v>
      </c>
      <c r="D243" s="1064">
        <f t="shared" si="42"/>
        <v>7</v>
      </c>
      <c r="E243" s="1058">
        <f t="shared" si="45"/>
        <v>7</v>
      </c>
      <c r="F243" s="275">
        <f t="shared" si="43"/>
        <v>616</v>
      </c>
      <c r="G243" s="276">
        <f t="shared" si="44"/>
        <v>589</v>
      </c>
      <c r="H243" s="1500">
        <v>0</v>
      </c>
      <c r="I243" s="1501">
        <v>0</v>
      </c>
      <c r="J243" s="1502">
        <v>200</v>
      </c>
      <c r="K243" s="1503">
        <v>200</v>
      </c>
      <c r="L243" s="1500">
        <v>7</v>
      </c>
      <c r="M243" s="1501">
        <v>7</v>
      </c>
      <c r="N243" s="1502">
        <v>416</v>
      </c>
      <c r="O243" s="1504">
        <v>389</v>
      </c>
    </row>
    <row r="244" spans="1:15" ht="21" thickBot="1" x14ac:dyDescent="0.25">
      <c r="B244" s="819" t="s">
        <v>437</v>
      </c>
      <c r="C244" s="820">
        <v>7</v>
      </c>
      <c r="D244" s="1065">
        <f t="shared" si="42"/>
        <v>0</v>
      </c>
      <c r="E244" s="1059">
        <f t="shared" si="45"/>
        <v>0</v>
      </c>
      <c r="F244" s="277">
        <f t="shared" si="43"/>
        <v>0</v>
      </c>
      <c r="G244" s="278">
        <f t="shared" si="44"/>
        <v>0</v>
      </c>
      <c r="H244" s="1505">
        <v>0</v>
      </c>
      <c r="I244" s="1506">
        <v>0</v>
      </c>
      <c r="J244" s="1507">
        <v>0</v>
      </c>
      <c r="K244" s="1508">
        <v>0</v>
      </c>
      <c r="L244" s="1505">
        <v>0</v>
      </c>
      <c r="M244" s="1506">
        <v>0</v>
      </c>
      <c r="N244" s="1507">
        <v>0</v>
      </c>
      <c r="O244" s="1509">
        <v>0</v>
      </c>
    </row>
    <row r="245" spans="1:15" ht="32.25" thickTop="1" x14ac:dyDescent="0.2">
      <c r="B245" s="821" t="s">
        <v>438</v>
      </c>
      <c r="C245" s="822">
        <v>8</v>
      </c>
      <c r="D245" s="827">
        <f>H245+L245</f>
        <v>6</v>
      </c>
      <c r="E245" s="827">
        <f t="shared" si="45"/>
        <v>6</v>
      </c>
      <c r="F245" s="828">
        <f t="shared" ref="F245:G248" si="46">J245+N245</f>
        <v>488</v>
      </c>
      <c r="G245" s="829">
        <f t="shared" si="46"/>
        <v>485</v>
      </c>
      <c r="H245" s="1510">
        <v>4</v>
      </c>
      <c r="I245" s="1510">
        <v>4</v>
      </c>
      <c r="J245" s="1511">
        <v>382</v>
      </c>
      <c r="K245" s="1512">
        <v>382</v>
      </c>
      <c r="L245" s="1510">
        <v>2</v>
      </c>
      <c r="M245" s="1510">
        <v>2</v>
      </c>
      <c r="N245" s="1511">
        <v>106</v>
      </c>
      <c r="O245" s="1513">
        <v>103</v>
      </c>
    </row>
    <row r="246" spans="1:15" ht="31.5" x14ac:dyDescent="0.2">
      <c r="B246" s="823" t="s">
        <v>439</v>
      </c>
      <c r="C246" s="824">
        <v>9</v>
      </c>
      <c r="D246" s="830">
        <f>H246+L246</f>
        <v>1</v>
      </c>
      <c r="E246" s="830">
        <f t="shared" si="45"/>
        <v>1</v>
      </c>
      <c r="F246" s="275">
        <f t="shared" si="46"/>
        <v>47</v>
      </c>
      <c r="G246" s="831">
        <f t="shared" si="46"/>
        <v>48</v>
      </c>
      <c r="H246" s="1514">
        <v>1</v>
      </c>
      <c r="I246" s="1514">
        <v>1</v>
      </c>
      <c r="J246" s="1502">
        <v>47</v>
      </c>
      <c r="K246" s="1515">
        <v>48</v>
      </c>
      <c r="L246" s="1514">
        <v>0</v>
      </c>
      <c r="M246" s="1514">
        <v>0</v>
      </c>
      <c r="N246" s="1502">
        <v>0</v>
      </c>
      <c r="O246" s="1516">
        <v>0</v>
      </c>
    </row>
    <row r="247" spans="1:15" ht="31.5" x14ac:dyDescent="0.2">
      <c r="B247" s="823" t="s">
        <v>440</v>
      </c>
      <c r="C247" s="824">
        <v>10</v>
      </c>
      <c r="D247" s="830">
        <f>H247+L247</f>
        <v>0</v>
      </c>
      <c r="E247" s="830">
        <f t="shared" si="45"/>
        <v>0</v>
      </c>
      <c r="F247" s="275">
        <f t="shared" si="46"/>
        <v>0</v>
      </c>
      <c r="G247" s="831">
        <f t="shared" si="46"/>
        <v>0</v>
      </c>
      <c r="H247" s="1514">
        <v>0</v>
      </c>
      <c r="I247" s="1514">
        <v>0</v>
      </c>
      <c r="J247" s="1502">
        <v>0</v>
      </c>
      <c r="K247" s="1515">
        <v>0</v>
      </c>
      <c r="L247" s="1514">
        <v>0</v>
      </c>
      <c r="M247" s="1514">
        <v>0</v>
      </c>
      <c r="N247" s="1502">
        <v>0</v>
      </c>
      <c r="O247" s="1516">
        <v>0</v>
      </c>
    </row>
    <row r="248" spans="1:15" ht="48" thickBot="1" x14ac:dyDescent="0.25">
      <c r="B248" s="825" t="s">
        <v>441</v>
      </c>
      <c r="C248" s="826">
        <v>11</v>
      </c>
      <c r="D248" s="832">
        <f>H248+L248</f>
        <v>2</v>
      </c>
      <c r="E248" s="832">
        <f t="shared" si="45"/>
        <v>2</v>
      </c>
      <c r="F248" s="277">
        <f t="shared" si="46"/>
        <v>222</v>
      </c>
      <c r="G248" s="833">
        <f t="shared" si="46"/>
        <v>213</v>
      </c>
      <c r="H248" s="1517">
        <v>1</v>
      </c>
      <c r="I248" s="1517">
        <v>1</v>
      </c>
      <c r="J248" s="1507">
        <v>169</v>
      </c>
      <c r="K248" s="1518">
        <v>161</v>
      </c>
      <c r="L248" s="1517">
        <v>1</v>
      </c>
      <c r="M248" s="1517">
        <v>1</v>
      </c>
      <c r="N248" s="1507">
        <v>53</v>
      </c>
      <c r="O248" s="1519">
        <v>52</v>
      </c>
    </row>
    <row r="249" spans="1:15" ht="21" thickTop="1" x14ac:dyDescent="0.2">
      <c r="B249" s="264"/>
      <c r="C249" s="409"/>
      <c r="D249" s="410"/>
      <c r="E249" s="410"/>
      <c r="F249" s="410"/>
      <c r="G249" s="410"/>
      <c r="H249" s="410"/>
      <c r="I249" s="410"/>
      <c r="J249" s="410"/>
      <c r="K249" s="410"/>
      <c r="L249" s="410"/>
      <c r="M249" s="410"/>
      <c r="N249" s="410"/>
    </row>
    <row r="250" spans="1:15" ht="20.25" x14ac:dyDescent="0.25">
      <c r="B250" s="11" t="s">
        <v>123</v>
      </c>
      <c r="C250" s="409"/>
      <c r="D250" s="410"/>
      <c r="E250" s="410"/>
      <c r="F250" s="410"/>
      <c r="G250" s="410"/>
      <c r="H250" s="410"/>
      <c r="I250" s="410"/>
      <c r="J250" s="410"/>
      <c r="K250" s="410"/>
      <c r="L250" s="1654" t="s">
        <v>442</v>
      </c>
      <c r="M250" s="1654"/>
      <c r="N250" s="1654"/>
      <c r="O250" s="1654"/>
    </row>
    <row r="251" spans="1:15" ht="20.25" x14ac:dyDescent="0.25">
      <c r="B251" s="11" t="s">
        <v>124</v>
      </c>
      <c r="C251" s="409"/>
      <c r="D251" s="410"/>
      <c r="E251" s="410"/>
      <c r="F251" s="410"/>
      <c r="G251" s="410"/>
      <c r="H251" s="410"/>
      <c r="I251" s="410"/>
      <c r="J251" s="410"/>
      <c r="K251" s="410"/>
      <c r="L251" s="1604" t="s">
        <v>126</v>
      </c>
      <c r="M251" s="1604"/>
      <c r="N251" s="1604"/>
      <c r="O251" s="1604"/>
    </row>
    <row r="252" spans="1:15" ht="18" x14ac:dyDescent="0.25">
      <c r="B252" s="11" t="s">
        <v>125</v>
      </c>
    </row>
    <row r="254" spans="1:15" ht="26.25" x14ac:dyDescent="0.4">
      <c r="A254" s="267" t="s">
        <v>199</v>
      </c>
      <c r="N254" s="1675" t="s">
        <v>14</v>
      </c>
      <c r="O254" s="1675"/>
    </row>
    <row r="255" spans="1:15" ht="18" x14ac:dyDescent="0.25">
      <c r="B255" s="11" t="s">
        <v>116</v>
      </c>
      <c r="C255" s="3"/>
      <c r="D255" s="3"/>
      <c r="E255" s="3"/>
      <c r="F255" s="3"/>
      <c r="G255" s="3"/>
      <c r="H255" s="3"/>
      <c r="I255" s="3"/>
      <c r="J255" s="3"/>
      <c r="K255" s="11"/>
      <c r="L255" s="3"/>
      <c r="M255" s="3"/>
    </row>
    <row r="256" spans="1:15" ht="18" x14ac:dyDescent="0.25">
      <c r="B256" s="14" t="s">
        <v>129</v>
      </c>
      <c r="C256" s="29"/>
      <c r="D256" s="3"/>
      <c r="E256" s="3"/>
      <c r="F256" s="3"/>
      <c r="G256" s="3"/>
      <c r="H256" s="3"/>
      <c r="I256" s="3"/>
      <c r="N256" s="1676" t="str">
        <f>'Tab.1. bilans_Polska'!$E$59</f>
        <v>Termin: 29 luty 2012 r.</v>
      </c>
      <c r="O256" s="1676"/>
    </row>
    <row r="257" spans="2:15" ht="18" x14ac:dyDescent="0.25">
      <c r="B257" s="11" t="s">
        <v>128</v>
      </c>
      <c r="C257" s="3"/>
      <c r="D257" s="3"/>
      <c r="E257" s="3"/>
      <c r="F257" s="3"/>
      <c r="G257" s="3"/>
      <c r="H257" s="3"/>
      <c r="I257" s="3"/>
    </row>
    <row r="258" spans="2:15" ht="18" x14ac:dyDescent="0.25">
      <c r="B258" s="11"/>
      <c r="C258" s="3"/>
      <c r="D258" s="3"/>
      <c r="E258" s="3"/>
      <c r="F258" s="3"/>
      <c r="G258" s="3"/>
      <c r="H258" s="3"/>
      <c r="I258" s="3"/>
      <c r="J258" s="3"/>
      <c r="K258" s="3"/>
      <c r="L258" s="3"/>
      <c r="M258" s="3"/>
      <c r="N258" s="3"/>
    </row>
    <row r="259" spans="2:15" ht="18" x14ac:dyDescent="0.25">
      <c r="B259" s="11"/>
      <c r="C259" s="3"/>
      <c r="D259" s="3"/>
      <c r="E259" s="3"/>
      <c r="F259" s="3"/>
      <c r="G259" s="3"/>
      <c r="H259" s="3"/>
      <c r="I259" s="3"/>
      <c r="J259" s="3"/>
      <c r="K259" s="3"/>
      <c r="L259" s="3"/>
      <c r="M259" s="3"/>
      <c r="N259" s="3"/>
    </row>
    <row r="260" spans="2:15" ht="15.75" x14ac:dyDescent="0.25">
      <c r="B260" s="1"/>
      <c r="C260" s="3"/>
      <c r="D260" s="3"/>
      <c r="E260" s="3"/>
      <c r="F260" s="3"/>
      <c r="G260" s="3"/>
      <c r="H260" s="3"/>
      <c r="I260" s="3"/>
      <c r="J260" s="3"/>
      <c r="K260" s="3"/>
      <c r="L260" s="3"/>
      <c r="M260" s="3"/>
      <c r="N260" s="3"/>
    </row>
    <row r="261" spans="2:15" ht="15.75" x14ac:dyDescent="0.25">
      <c r="B261" s="1"/>
      <c r="C261" s="3"/>
      <c r="D261" s="3"/>
      <c r="E261" s="3"/>
      <c r="F261" s="3"/>
      <c r="G261" s="3"/>
      <c r="H261" s="3"/>
      <c r="I261" s="3"/>
      <c r="J261" s="3"/>
      <c r="K261" s="1"/>
      <c r="L261" s="3"/>
      <c r="M261" s="3"/>
      <c r="N261" s="3"/>
    </row>
    <row r="262" spans="2:15" ht="23.25" x14ac:dyDescent="0.35">
      <c r="B262" s="1655" t="s">
        <v>36</v>
      </c>
      <c r="C262" s="1655"/>
      <c r="D262" s="1655"/>
      <c r="E262" s="1655"/>
      <c r="F262" s="1655"/>
      <c r="G262" s="1655"/>
      <c r="H262" s="1655"/>
      <c r="I262" s="1655"/>
      <c r="J262" s="1655"/>
      <c r="K262" s="1655"/>
      <c r="L262" s="1655"/>
      <c r="M262" s="1655"/>
      <c r="N262" s="1655"/>
      <c r="O262" s="1655"/>
    </row>
    <row r="263" spans="2:15" ht="23.25" x14ac:dyDescent="0.35">
      <c r="B263" s="1645" t="str">
        <f>$B$11</f>
        <v>W  PODZIALE  NA  DOMY  SAMORZĄDÓW  POWIATOWYCH  I  PODMIOTÓW  NIEPUBLICZNYCH  WG  ST.  NA  DZIEŃ  31. XII. 2011 r.</v>
      </c>
      <c r="C263" s="1645"/>
      <c r="D263" s="1645"/>
      <c r="E263" s="1645"/>
      <c r="F263" s="1645"/>
      <c r="G263" s="1645"/>
      <c r="H263" s="1645"/>
      <c r="I263" s="1645"/>
      <c r="J263" s="1645"/>
      <c r="K263" s="1645"/>
      <c r="L263" s="1645"/>
      <c r="M263" s="1645"/>
      <c r="N263" s="1645"/>
      <c r="O263" s="1645"/>
    </row>
    <row r="264" spans="2:15" ht="23.25" x14ac:dyDescent="0.35">
      <c r="B264" s="28"/>
      <c r="C264" s="3"/>
      <c r="D264" s="3"/>
      <c r="E264" s="3"/>
      <c r="F264" s="3"/>
      <c r="G264" s="3"/>
      <c r="H264" s="3"/>
      <c r="I264" s="3"/>
      <c r="J264" s="3"/>
      <c r="K264" s="3"/>
      <c r="L264" s="3"/>
      <c r="M264" s="3"/>
      <c r="N264" s="3"/>
    </row>
    <row r="265" spans="2:15" ht="24" thickBot="1" x14ac:dyDescent="0.4">
      <c r="B265" s="30"/>
      <c r="C265" s="30"/>
      <c r="D265" s="939"/>
      <c r="E265" s="939"/>
      <c r="F265" s="939" t="str">
        <f>IF('Tab.1. bilans_Polska'!C412=F273, "", "t1w5k1="&amp;'Tab.1. bilans_Polska'!C412)</f>
        <v/>
      </c>
      <c r="G265" s="940"/>
      <c r="H265" s="940"/>
      <c r="I265" s="940"/>
      <c r="J265" s="939" t="str">
        <f>IF('Tab.1. bilans_Polska'!D412=J273, "", "t1w5k2="&amp;'Tab.1. bilans_Polska'!D412)</f>
        <v/>
      </c>
      <c r="K265" s="940"/>
      <c r="L265" s="940"/>
      <c r="M265" s="940"/>
      <c r="N265" s="942" t="str">
        <f>IF('Tab.1. bilans_Polska'!E412=N273,"","t1w5k3="&amp;'Tab.1. bilans_Polska'!E412)</f>
        <v/>
      </c>
      <c r="O265" s="941"/>
    </row>
    <row r="266" spans="2:15" ht="24" thickTop="1" x14ac:dyDescent="0.2">
      <c r="B266" s="1660" t="s">
        <v>38</v>
      </c>
      <c r="C266" s="1661"/>
      <c r="D266" s="1677" t="s">
        <v>3</v>
      </c>
      <c r="E266" s="1678"/>
      <c r="F266" s="1678"/>
      <c r="G266" s="1679"/>
      <c r="H266" s="1668" t="s">
        <v>37</v>
      </c>
      <c r="I266" s="1669"/>
      <c r="J266" s="1669"/>
      <c r="K266" s="1669"/>
      <c r="L266" s="1669"/>
      <c r="M266" s="1669"/>
      <c r="N266" s="1669"/>
      <c r="O266" s="1670"/>
    </row>
    <row r="267" spans="2:15" ht="18" customHeight="1" thickBot="1" x14ac:dyDescent="0.25">
      <c r="B267" s="1662"/>
      <c r="C267" s="1663"/>
      <c r="D267" s="1649" t="str">
        <f>UPPER("Domy 
zareje-
strowane")</f>
        <v>DOMY 
ZAREJE-
STROWANE</v>
      </c>
      <c r="E267" s="1646" t="s">
        <v>454</v>
      </c>
      <c r="F267" s="1646" t="s">
        <v>455</v>
      </c>
      <c r="G267" s="1666" t="s">
        <v>281</v>
      </c>
      <c r="H267" s="1671"/>
      <c r="I267" s="1672"/>
      <c r="J267" s="1672"/>
      <c r="K267" s="1672"/>
      <c r="L267" s="1672"/>
      <c r="M267" s="1672"/>
      <c r="N267" s="1672"/>
      <c r="O267" s="1673"/>
    </row>
    <row r="268" spans="2:15" ht="18" x14ac:dyDescent="0.2">
      <c r="B268" s="1662"/>
      <c r="C268" s="1663"/>
      <c r="D268" s="1650"/>
      <c r="E268" s="1647"/>
      <c r="F268" s="1647"/>
      <c r="G268" s="1667"/>
      <c r="H268" s="1656" t="s">
        <v>17</v>
      </c>
      <c r="I268" s="1656"/>
      <c r="J268" s="1656"/>
      <c r="K268" s="1657"/>
      <c r="L268" s="1658" t="s">
        <v>18</v>
      </c>
      <c r="M268" s="1656"/>
      <c r="N268" s="1656"/>
      <c r="O268" s="1659"/>
    </row>
    <row r="269" spans="2:15" ht="18" customHeight="1" x14ac:dyDescent="0.2">
      <c r="B269" s="1662"/>
      <c r="C269" s="1663"/>
      <c r="D269" s="1650"/>
      <c r="E269" s="1647"/>
      <c r="F269" s="1647"/>
      <c r="G269" s="1667"/>
      <c r="H269" s="1649" t="s">
        <v>460</v>
      </c>
      <c r="I269" s="1646" t="s">
        <v>456</v>
      </c>
      <c r="J269" s="1646" t="s">
        <v>393</v>
      </c>
      <c r="K269" s="1666" t="s">
        <v>457</v>
      </c>
      <c r="L269" s="1649" t="s">
        <v>460</v>
      </c>
      <c r="M269" s="1646" t="s">
        <v>456</v>
      </c>
      <c r="N269" s="1646" t="s">
        <v>393</v>
      </c>
      <c r="O269" s="1682" t="s">
        <v>457</v>
      </c>
    </row>
    <row r="270" spans="2:15" ht="13.5" customHeight="1" thickBot="1" x14ac:dyDescent="0.25">
      <c r="B270" s="1662"/>
      <c r="C270" s="1663"/>
      <c r="D270" s="1650"/>
      <c r="E270" s="1647"/>
      <c r="F270" s="1647"/>
      <c r="G270" s="1667"/>
      <c r="H270" s="1650"/>
      <c r="I270" s="1647"/>
      <c r="J270" s="1647"/>
      <c r="K270" s="1667"/>
      <c r="L270" s="1650"/>
      <c r="M270" s="1647"/>
      <c r="N270" s="1647"/>
      <c r="O270" s="1683"/>
    </row>
    <row r="271" spans="2:15" ht="15.75" customHeight="1" x14ac:dyDescent="0.2">
      <c r="B271" s="1664"/>
      <c r="C271" s="1665"/>
      <c r="D271" s="1073" t="s">
        <v>459</v>
      </c>
      <c r="E271" s="1074" t="s">
        <v>461</v>
      </c>
      <c r="F271" s="1071" t="s">
        <v>462</v>
      </c>
      <c r="G271" s="1072" t="s">
        <v>463</v>
      </c>
      <c r="H271" s="1651"/>
      <c r="I271" s="1648"/>
      <c r="J271" s="1648"/>
      <c r="K271" s="1674"/>
      <c r="L271" s="1651"/>
      <c r="M271" s="1648"/>
      <c r="N271" s="1648"/>
      <c r="O271" s="1684"/>
    </row>
    <row r="272" spans="2:15" ht="16.5" thickBot="1" x14ac:dyDescent="0.3">
      <c r="B272" s="1680">
        <v>0</v>
      </c>
      <c r="C272" s="1681"/>
      <c r="D272" s="48">
        <v>1</v>
      </c>
      <c r="E272" s="1056">
        <v>2</v>
      </c>
      <c r="F272" s="49">
        <v>3</v>
      </c>
      <c r="G272" s="50">
        <v>4</v>
      </c>
      <c r="H272" s="1075">
        <v>5</v>
      </c>
      <c r="I272" s="1056">
        <v>6</v>
      </c>
      <c r="J272" s="49">
        <v>7</v>
      </c>
      <c r="K272" s="50">
        <v>8</v>
      </c>
      <c r="L272" s="1075">
        <v>9</v>
      </c>
      <c r="M272" s="1056">
        <v>10</v>
      </c>
      <c r="N272" s="49">
        <v>11</v>
      </c>
      <c r="O272" s="51">
        <v>12</v>
      </c>
    </row>
    <row r="273" spans="2:15" ht="47.25" thickTop="1" x14ac:dyDescent="0.2">
      <c r="B273" s="814" t="s">
        <v>431</v>
      </c>
      <c r="C273" s="1652">
        <v>1</v>
      </c>
      <c r="D273" s="1066">
        <f>SUM(D275:D284)</f>
        <v>87</v>
      </c>
      <c r="E273" s="1209">
        <f>I273+M273</f>
        <v>87</v>
      </c>
      <c r="F273" s="271">
        <f t="shared" ref="F273:O273" si="47">SUM(F275:F284)</f>
        <v>9198</v>
      </c>
      <c r="G273" s="272">
        <f t="shared" si="47"/>
        <v>9020</v>
      </c>
      <c r="H273" s="1076">
        <f t="shared" si="47"/>
        <v>69</v>
      </c>
      <c r="I273" s="1530">
        <v>69</v>
      </c>
      <c r="J273" s="279">
        <f t="shared" si="47"/>
        <v>8016</v>
      </c>
      <c r="K273" s="280">
        <f t="shared" si="47"/>
        <v>7882</v>
      </c>
      <c r="L273" s="1076">
        <f t="shared" si="47"/>
        <v>18</v>
      </c>
      <c r="M273" s="1531">
        <v>18</v>
      </c>
      <c r="N273" s="279">
        <f t="shared" si="47"/>
        <v>1182</v>
      </c>
      <c r="O273" s="281">
        <f t="shared" si="47"/>
        <v>1138</v>
      </c>
    </row>
    <row r="274" spans="2:15" ht="13.5" thickBot="1" x14ac:dyDescent="0.25">
      <c r="B274" s="53" t="s">
        <v>46</v>
      </c>
      <c r="C274" s="1653"/>
      <c r="D274" s="1067" t="str">
        <f>IF(H273+L273=D273, "", "Uwaga!")</f>
        <v/>
      </c>
      <c r="E274" s="1102" t="str">
        <f>IF(D273&lt;=E273, "", "Uwaga!")</f>
        <v/>
      </c>
      <c r="F274" s="399" t="str">
        <f>IF(J273+N273=F273, "", "Uwaga!")</f>
        <v/>
      </c>
      <c r="G274" s="400" t="str">
        <f>IF(K273+O273=G273, "", "Uwaga!")</f>
        <v/>
      </c>
      <c r="H274" s="1077"/>
      <c r="I274" s="1102" t="str">
        <f>IF(H273&lt;=I273, "", "Uwaga!")</f>
        <v/>
      </c>
      <c r="J274" s="185"/>
      <c r="K274" s="54"/>
      <c r="L274" s="1077"/>
      <c r="M274" s="1102" t="str">
        <f>IF(L273&lt;=M273, "", "Uwaga!")</f>
        <v/>
      </c>
      <c r="N274" s="185"/>
      <c r="O274" s="55"/>
    </row>
    <row r="275" spans="2:15" ht="21" thickTop="1" x14ac:dyDescent="0.2">
      <c r="B275" s="815" t="s">
        <v>432</v>
      </c>
      <c r="C275" s="816">
        <v>2</v>
      </c>
      <c r="D275" s="1063">
        <f t="shared" ref="D275:D280" si="48">H275+L275</f>
        <v>15</v>
      </c>
      <c r="E275" s="1057">
        <f>I275+M275</f>
        <v>15</v>
      </c>
      <c r="F275" s="273">
        <f t="shared" ref="F275:F280" si="49">J275+N275</f>
        <v>1156</v>
      </c>
      <c r="G275" s="274">
        <f t="shared" ref="G275:G280" si="50">K275+O275</f>
        <v>1107</v>
      </c>
      <c r="H275" s="1495">
        <v>13</v>
      </c>
      <c r="I275" s="1520">
        <v>13</v>
      </c>
      <c r="J275" s="1497">
        <v>1091</v>
      </c>
      <c r="K275" s="1498">
        <v>1049</v>
      </c>
      <c r="L275" s="1495">
        <v>2</v>
      </c>
      <c r="M275" s="1520">
        <v>2</v>
      </c>
      <c r="N275" s="1497">
        <v>65</v>
      </c>
      <c r="O275" s="1499">
        <v>58</v>
      </c>
    </row>
    <row r="276" spans="2:15" ht="20.25" x14ac:dyDescent="0.2">
      <c r="B276" s="817" t="s">
        <v>433</v>
      </c>
      <c r="C276" s="818">
        <v>3</v>
      </c>
      <c r="D276" s="1064">
        <f t="shared" si="48"/>
        <v>23</v>
      </c>
      <c r="E276" s="1058">
        <f t="shared" ref="E276:E284" si="51">I276+M276</f>
        <v>23</v>
      </c>
      <c r="F276" s="275">
        <f t="shared" si="49"/>
        <v>2170</v>
      </c>
      <c r="G276" s="276">
        <f t="shared" si="50"/>
        <v>2022</v>
      </c>
      <c r="H276" s="1500">
        <v>18</v>
      </c>
      <c r="I276" s="1501">
        <v>18</v>
      </c>
      <c r="J276" s="1502">
        <v>1829</v>
      </c>
      <c r="K276" s="1503">
        <v>1702</v>
      </c>
      <c r="L276" s="1500">
        <v>5</v>
      </c>
      <c r="M276" s="1501">
        <v>5</v>
      </c>
      <c r="N276" s="1502">
        <v>341</v>
      </c>
      <c r="O276" s="1504">
        <v>320</v>
      </c>
    </row>
    <row r="277" spans="2:15" ht="20.25" x14ac:dyDescent="0.2">
      <c r="B277" s="817" t="s">
        <v>434</v>
      </c>
      <c r="C277" s="818">
        <v>4</v>
      </c>
      <c r="D277" s="1064">
        <f t="shared" si="48"/>
        <v>15</v>
      </c>
      <c r="E277" s="1058">
        <f t="shared" si="51"/>
        <v>20</v>
      </c>
      <c r="F277" s="275">
        <f t="shared" si="49"/>
        <v>2432</v>
      </c>
      <c r="G277" s="276">
        <f t="shared" si="50"/>
        <v>2468</v>
      </c>
      <c r="H277" s="1500">
        <v>13</v>
      </c>
      <c r="I277" s="1501">
        <v>18</v>
      </c>
      <c r="J277" s="1502">
        <v>2307</v>
      </c>
      <c r="K277" s="1503">
        <v>2347</v>
      </c>
      <c r="L277" s="1500">
        <v>2</v>
      </c>
      <c r="M277" s="1501">
        <v>2</v>
      </c>
      <c r="N277" s="1502">
        <v>125</v>
      </c>
      <c r="O277" s="1504">
        <v>121</v>
      </c>
    </row>
    <row r="278" spans="2:15" ht="20.25" x14ac:dyDescent="0.2">
      <c r="B278" s="817" t="s">
        <v>435</v>
      </c>
      <c r="C278" s="818">
        <v>5</v>
      </c>
      <c r="D278" s="1064">
        <f t="shared" si="48"/>
        <v>18</v>
      </c>
      <c r="E278" s="1058">
        <f t="shared" si="51"/>
        <v>19</v>
      </c>
      <c r="F278" s="275">
        <f t="shared" si="49"/>
        <v>1766</v>
      </c>
      <c r="G278" s="276">
        <f t="shared" si="50"/>
        <v>1785</v>
      </c>
      <c r="H278" s="1500">
        <v>14</v>
      </c>
      <c r="I278" s="1501">
        <v>15</v>
      </c>
      <c r="J278" s="1502">
        <v>1595</v>
      </c>
      <c r="K278" s="1503">
        <v>1613</v>
      </c>
      <c r="L278" s="1500">
        <v>4</v>
      </c>
      <c r="M278" s="1501">
        <v>4</v>
      </c>
      <c r="N278" s="1502">
        <v>171</v>
      </c>
      <c r="O278" s="1504">
        <v>172</v>
      </c>
    </row>
    <row r="279" spans="2:15" ht="20.25" x14ac:dyDescent="0.2">
      <c r="B279" s="817" t="s">
        <v>436</v>
      </c>
      <c r="C279" s="818">
        <v>6</v>
      </c>
      <c r="D279" s="1064">
        <f t="shared" si="48"/>
        <v>8</v>
      </c>
      <c r="E279" s="1058">
        <f t="shared" si="51"/>
        <v>8</v>
      </c>
      <c r="F279" s="275">
        <f t="shared" si="49"/>
        <v>802</v>
      </c>
      <c r="G279" s="276">
        <f t="shared" si="50"/>
        <v>795</v>
      </c>
      <c r="H279" s="1500">
        <v>4</v>
      </c>
      <c r="I279" s="1501">
        <v>4</v>
      </c>
      <c r="J279" s="1502">
        <v>437</v>
      </c>
      <c r="K279" s="1503">
        <v>435</v>
      </c>
      <c r="L279" s="1500">
        <v>4</v>
      </c>
      <c r="M279" s="1501">
        <v>4</v>
      </c>
      <c r="N279" s="1502">
        <v>365</v>
      </c>
      <c r="O279" s="1504">
        <v>360</v>
      </c>
    </row>
    <row r="280" spans="2:15" ht="21" thickBot="1" x14ac:dyDescent="0.25">
      <c r="B280" s="819" t="s">
        <v>437</v>
      </c>
      <c r="C280" s="820">
        <v>7</v>
      </c>
      <c r="D280" s="1065">
        <f t="shared" si="48"/>
        <v>0</v>
      </c>
      <c r="E280" s="1059">
        <f t="shared" si="51"/>
        <v>0</v>
      </c>
      <c r="F280" s="277">
        <f t="shared" si="49"/>
        <v>0</v>
      </c>
      <c r="G280" s="278">
        <f t="shared" si="50"/>
        <v>0</v>
      </c>
      <c r="H280" s="1505">
        <v>0</v>
      </c>
      <c r="I280" s="1506">
        <v>0</v>
      </c>
      <c r="J280" s="1507">
        <v>0</v>
      </c>
      <c r="K280" s="1508">
        <v>0</v>
      </c>
      <c r="L280" s="1505">
        <v>0</v>
      </c>
      <c r="M280" s="1506">
        <v>0</v>
      </c>
      <c r="N280" s="1507">
        <v>0</v>
      </c>
      <c r="O280" s="1509">
        <v>0</v>
      </c>
    </row>
    <row r="281" spans="2:15" ht="32.25" thickTop="1" x14ac:dyDescent="0.2">
      <c r="B281" s="821" t="s">
        <v>438</v>
      </c>
      <c r="C281" s="822">
        <v>8</v>
      </c>
      <c r="D281" s="827">
        <f>H281+L281</f>
        <v>5</v>
      </c>
      <c r="E281" s="827">
        <f t="shared" si="51"/>
        <v>5</v>
      </c>
      <c r="F281" s="828">
        <f t="shared" ref="F281:G284" si="52">J281+N281</f>
        <v>644</v>
      </c>
      <c r="G281" s="829">
        <f t="shared" si="52"/>
        <v>615</v>
      </c>
      <c r="H281" s="1510">
        <v>4</v>
      </c>
      <c r="I281" s="1510">
        <v>4</v>
      </c>
      <c r="J281" s="1511">
        <v>529</v>
      </c>
      <c r="K281" s="1512">
        <v>508</v>
      </c>
      <c r="L281" s="1510">
        <v>1</v>
      </c>
      <c r="M281" s="1510">
        <v>1</v>
      </c>
      <c r="N281" s="1511">
        <v>115</v>
      </c>
      <c r="O281" s="1513">
        <v>107</v>
      </c>
    </row>
    <row r="282" spans="2:15" ht="31.5" x14ac:dyDescent="0.2">
      <c r="B282" s="823" t="s">
        <v>439</v>
      </c>
      <c r="C282" s="824">
        <v>9</v>
      </c>
      <c r="D282" s="830">
        <f>H282+L282</f>
        <v>0</v>
      </c>
      <c r="E282" s="830">
        <f t="shared" si="51"/>
        <v>0</v>
      </c>
      <c r="F282" s="275">
        <f t="shared" si="52"/>
        <v>0</v>
      </c>
      <c r="G282" s="831">
        <f t="shared" si="52"/>
        <v>0</v>
      </c>
      <c r="H282" s="1514">
        <v>0</v>
      </c>
      <c r="I282" s="1514">
        <v>0</v>
      </c>
      <c r="J282" s="1502">
        <v>0</v>
      </c>
      <c r="K282" s="1515">
        <v>0</v>
      </c>
      <c r="L282" s="1514">
        <v>0</v>
      </c>
      <c r="M282" s="1514">
        <v>0</v>
      </c>
      <c r="N282" s="1502">
        <v>0</v>
      </c>
      <c r="O282" s="1516">
        <v>0</v>
      </c>
    </row>
    <row r="283" spans="2:15" ht="31.5" x14ac:dyDescent="0.2">
      <c r="B283" s="823" t="s">
        <v>440</v>
      </c>
      <c r="C283" s="824">
        <v>10</v>
      </c>
      <c r="D283" s="830">
        <f>H283+L283</f>
        <v>0</v>
      </c>
      <c r="E283" s="830">
        <f t="shared" si="51"/>
        <v>0</v>
      </c>
      <c r="F283" s="275">
        <f t="shared" si="52"/>
        <v>0</v>
      </c>
      <c r="G283" s="831">
        <f t="shared" si="52"/>
        <v>0</v>
      </c>
      <c r="H283" s="1514">
        <v>0</v>
      </c>
      <c r="I283" s="1514">
        <v>0</v>
      </c>
      <c r="J283" s="1502">
        <v>0</v>
      </c>
      <c r="K283" s="1515">
        <v>0</v>
      </c>
      <c r="L283" s="1514">
        <v>0</v>
      </c>
      <c r="M283" s="1514">
        <v>0</v>
      </c>
      <c r="N283" s="1502">
        <v>0</v>
      </c>
      <c r="O283" s="1516">
        <v>0</v>
      </c>
    </row>
    <row r="284" spans="2:15" ht="48" thickBot="1" x14ac:dyDescent="0.25">
      <c r="B284" s="825" t="s">
        <v>441</v>
      </c>
      <c r="C284" s="826">
        <v>11</v>
      </c>
      <c r="D284" s="832">
        <f>H284+L284</f>
        <v>3</v>
      </c>
      <c r="E284" s="832">
        <f t="shared" si="51"/>
        <v>3</v>
      </c>
      <c r="F284" s="277">
        <f t="shared" si="52"/>
        <v>228</v>
      </c>
      <c r="G284" s="833">
        <f t="shared" si="52"/>
        <v>228</v>
      </c>
      <c r="H284" s="1517">
        <v>3</v>
      </c>
      <c r="I284" s="1517">
        <v>3</v>
      </c>
      <c r="J284" s="1507">
        <v>228</v>
      </c>
      <c r="K284" s="1518">
        <v>228</v>
      </c>
      <c r="L284" s="1517">
        <v>0</v>
      </c>
      <c r="M284" s="1517">
        <v>0</v>
      </c>
      <c r="N284" s="1507">
        <v>0</v>
      </c>
      <c r="O284" s="1519">
        <v>0</v>
      </c>
    </row>
    <row r="285" spans="2:15" ht="21" thickTop="1" x14ac:dyDescent="0.2">
      <c r="B285" s="264"/>
      <c r="C285" s="409"/>
      <c r="D285" s="410"/>
      <c r="E285" s="410"/>
      <c r="F285" s="410"/>
      <c r="G285" s="410"/>
      <c r="H285" s="410"/>
      <c r="I285" s="410"/>
      <c r="J285" s="410"/>
      <c r="K285" s="410"/>
      <c r="L285" s="410"/>
      <c r="M285" s="410"/>
      <c r="N285" s="410"/>
    </row>
    <row r="286" spans="2:15" ht="20.25" x14ac:dyDescent="0.25">
      <c r="B286" s="11" t="s">
        <v>123</v>
      </c>
      <c r="C286" s="409"/>
      <c r="D286" s="410"/>
      <c r="E286" s="410"/>
      <c r="F286" s="410"/>
      <c r="G286" s="410"/>
      <c r="H286" s="410"/>
      <c r="I286" s="410"/>
      <c r="J286" s="410"/>
      <c r="K286" s="410"/>
      <c r="L286" s="1654" t="s">
        <v>442</v>
      </c>
      <c r="M286" s="1654"/>
      <c r="N286" s="1654"/>
      <c r="O286" s="1654"/>
    </row>
    <row r="287" spans="2:15" ht="20.25" x14ac:dyDescent="0.25">
      <c r="B287" s="11" t="s">
        <v>124</v>
      </c>
      <c r="C287" s="409"/>
      <c r="D287" s="410"/>
      <c r="E287" s="410"/>
      <c r="F287" s="410"/>
      <c r="G287" s="410"/>
      <c r="H287" s="410"/>
      <c r="I287" s="410"/>
      <c r="J287" s="410"/>
      <c r="K287" s="410"/>
      <c r="L287" s="1604" t="s">
        <v>126</v>
      </c>
      <c r="M287" s="1604"/>
      <c r="N287" s="1604"/>
      <c r="O287" s="1604"/>
    </row>
    <row r="288" spans="2:15" ht="18" x14ac:dyDescent="0.25">
      <c r="B288" s="11" t="s">
        <v>125</v>
      </c>
    </row>
    <row r="290" spans="1:15" ht="26.25" x14ac:dyDescent="0.4">
      <c r="A290" s="267" t="s">
        <v>200</v>
      </c>
      <c r="N290" s="1675" t="s">
        <v>14</v>
      </c>
      <c r="O290" s="1675"/>
    </row>
    <row r="291" spans="1:15" ht="18" x14ac:dyDescent="0.25">
      <c r="B291" s="11" t="s">
        <v>116</v>
      </c>
      <c r="C291" s="3"/>
      <c r="D291" s="3"/>
      <c r="E291" s="3"/>
      <c r="F291" s="3"/>
      <c r="G291" s="3"/>
      <c r="H291" s="3"/>
      <c r="I291" s="3"/>
      <c r="J291" s="3"/>
      <c r="K291" s="11"/>
      <c r="L291" s="3"/>
      <c r="M291" s="3"/>
    </row>
    <row r="292" spans="1:15" ht="18" x14ac:dyDescent="0.25">
      <c r="B292" s="14" t="s">
        <v>129</v>
      </c>
      <c r="C292" s="29"/>
      <c r="D292" s="3"/>
      <c r="E292" s="3"/>
      <c r="F292" s="3"/>
      <c r="G292" s="3"/>
      <c r="H292" s="3"/>
      <c r="I292" s="3"/>
      <c r="N292" s="1676" t="str">
        <f>'Tab.1. bilans_Polska'!$E$59</f>
        <v>Termin: 29 luty 2012 r.</v>
      </c>
      <c r="O292" s="1676"/>
    </row>
    <row r="293" spans="1:15" ht="18" x14ac:dyDescent="0.25">
      <c r="B293" s="11" t="s">
        <v>128</v>
      </c>
      <c r="C293" s="3"/>
      <c r="D293" s="3"/>
      <c r="E293" s="3"/>
      <c r="F293" s="3"/>
      <c r="G293" s="3"/>
      <c r="H293" s="3"/>
      <c r="I293" s="3"/>
    </row>
    <row r="294" spans="1:15" ht="18" x14ac:dyDescent="0.25">
      <c r="B294" s="11"/>
      <c r="C294" s="3"/>
      <c r="D294" s="3"/>
      <c r="E294" s="3"/>
      <c r="F294" s="3"/>
      <c r="G294" s="3"/>
      <c r="H294" s="3"/>
      <c r="I294" s="3"/>
      <c r="J294" s="3"/>
      <c r="K294" s="3"/>
      <c r="L294" s="3"/>
      <c r="M294" s="3"/>
      <c r="N294" s="3"/>
    </row>
    <row r="295" spans="1:15" ht="18" x14ac:dyDescent="0.25">
      <c r="B295" s="11"/>
      <c r="C295" s="3"/>
      <c r="D295" s="3"/>
      <c r="E295" s="3"/>
      <c r="F295" s="3"/>
      <c r="G295" s="3"/>
      <c r="H295" s="3"/>
      <c r="I295" s="3"/>
      <c r="J295" s="3"/>
      <c r="K295" s="3"/>
      <c r="L295" s="3"/>
      <c r="M295" s="3"/>
      <c r="N295" s="3"/>
    </row>
    <row r="296" spans="1:15" ht="15.75" x14ac:dyDescent="0.25">
      <c r="B296" s="1"/>
      <c r="C296" s="3"/>
      <c r="D296" s="3"/>
      <c r="E296" s="3"/>
      <c r="F296" s="3"/>
      <c r="G296" s="3"/>
      <c r="H296" s="3"/>
      <c r="I296" s="3"/>
      <c r="J296" s="3"/>
      <c r="K296" s="3"/>
      <c r="L296" s="3"/>
      <c r="M296" s="3"/>
      <c r="N296" s="3"/>
    </row>
    <row r="297" spans="1:15" ht="15.75" x14ac:dyDescent="0.25">
      <c r="B297" s="1"/>
      <c r="C297" s="3"/>
      <c r="D297" s="3"/>
      <c r="E297" s="3"/>
      <c r="F297" s="3"/>
      <c r="G297" s="3"/>
      <c r="H297" s="3"/>
      <c r="I297" s="3"/>
      <c r="J297" s="3"/>
      <c r="K297" s="1"/>
      <c r="L297" s="3"/>
      <c r="M297" s="3"/>
      <c r="N297" s="3"/>
    </row>
    <row r="298" spans="1:15" ht="23.25" x14ac:dyDescent="0.35">
      <c r="B298" s="1655" t="s">
        <v>36</v>
      </c>
      <c r="C298" s="1655"/>
      <c r="D298" s="1655"/>
      <c r="E298" s="1655"/>
      <c r="F298" s="1655"/>
      <c r="G298" s="1655"/>
      <c r="H298" s="1655"/>
      <c r="I298" s="1655"/>
      <c r="J298" s="1655"/>
      <c r="K298" s="1655"/>
      <c r="L298" s="1655"/>
      <c r="M298" s="1655"/>
      <c r="N298" s="1655"/>
      <c r="O298" s="1655"/>
    </row>
    <row r="299" spans="1:15" ht="23.25" x14ac:dyDescent="0.35">
      <c r="B299" s="1645" t="str">
        <f>$B$11</f>
        <v>W  PODZIALE  NA  DOMY  SAMORZĄDÓW  POWIATOWYCH  I  PODMIOTÓW  NIEPUBLICZNYCH  WG  ST.  NA  DZIEŃ  31. XII. 2011 r.</v>
      </c>
      <c r="C299" s="1645"/>
      <c r="D299" s="1645"/>
      <c r="E299" s="1645"/>
      <c r="F299" s="1645"/>
      <c r="G299" s="1645"/>
      <c r="H299" s="1645"/>
      <c r="I299" s="1645"/>
      <c r="J299" s="1645"/>
      <c r="K299" s="1645"/>
      <c r="L299" s="1645"/>
      <c r="M299" s="1645"/>
      <c r="N299" s="1645"/>
      <c r="O299" s="1645"/>
    </row>
    <row r="300" spans="1:15" ht="23.25" x14ac:dyDescent="0.35">
      <c r="B300" s="28"/>
      <c r="C300" s="3"/>
      <c r="D300" s="3"/>
      <c r="E300" s="3"/>
      <c r="F300" s="3"/>
      <c r="G300" s="3"/>
      <c r="H300" s="3"/>
      <c r="I300" s="3"/>
      <c r="J300" s="3"/>
      <c r="K300" s="3"/>
      <c r="L300" s="3"/>
      <c r="M300" s="3"/>
      <c r="N300" s="3"/>
    </row>
    <row r="301" spans="1:15" ht="24" thickBot="1" x14ac:dyDescent="0.4">
      <c r="B301" s="30"/>
      <c r="C301" s="30"/>
      <c r="D301" s="939"/>
      <c r="E301" s="939"/>
      <c r="F301" s="939" t="str">
        <f>IF('Tab.1. bilans_Polska'!C466=F309, "", "t1w5k1="&amp;'Tab.1. bilans_Polska'!C466)</f>
        <v/>
      </c>
      <c r="G301" s="940"/>
      <c r="H301" s="940"/>
      <c r="I301" s="940"/>
      <c r="J301" s="939" t="str">
        <f>IF('Tab.1. bilans_Polska'!D466=J309, "", "t1w5k2="&amp;'Tab.1. bilans_Polska'!D466)</f>
        <v/>
      </c>
      <c r="K301" s="940"/>
      <c r="L301" s="940"/>
      <c r="M301" s="940"/>
      <c r="N301" s="942" t="str">
        <f>IF('Tab.1. bilans_Polska'!E466=N309,"","t1w5k3="&amp;'Tab.1. bilans_Polska'!E466)</f>
        <v/>
      </c>
      <c r="O301" s="941"/>
    </row>
    <row r="302" spans="1:15" ht="24" thickTop="1" x14ac:dyDescent="0.2">
      <c r="B302" s="1660" t="s">
        <v>38</v>
      </c>
      <c r="C302" s="1661"/>
      <c r="D302" s="1677" t="s">
        <v>3</v>
      </c>
      <c r="E302" s="1678"/>
      <c r="F302" s="1678"/>
      <c r="G302" s="1679"/>
      <c r="H302" s="1668" t="s">
        <v>37</v>
      </c>
      <c r="I302" s="1669"/>
      <c r="J302" s="1669"/>
      <c r="K302" s="1669"/>
      <c r="L302" s="1669"/>
      <c r="M302" s="1669"/>
      <c r="N302" s="1669"/>
      <c r="O302" s="1670"/>
    </row>
    <row r="303" spans="1:15" ht="18" customHeight="1" thickBot="1" x14ac:dyDescent="0.25">
      <c r="B303" s="1662"/>
      <c r="C303" s="1663"/>
      <c r="D303" s="1649" t="str">
        <f>UPPER("Domy 
zareje-
strowane")</f>
        <v>DOMY 
ZAREJE-
STROWANE</v>
      </c>
      <c r="E303" s="1646" t="s">
        <v>454</v>
      </c>
      <c r="F303" s="1646" t="s">
        <v>455</v>
      </c>
      <c r="G303" s="1666" t="s">
        <v>281</v>
      </c>
      <c r="H303" s="1671"/>
      <c r="I303" s="1672"/>
      <c r="J303" s="1672"/>
      <c r="K303" s="1672"/>
      <c r="L303" s="1672"/>
      <c r="M303" s="1672"/>
      <c r="N303" s="1672"/>
      <c r="O303" s="1673"/>
    </row>
    <row r="304" spans="1:15" ht="18" x14ac:dyDescent="0.2">
      <c r="B304" s="1662"/>
      <c r="C304" s="1663"/>
      <c r="D304" s="1650"/>
      <c r="E304" s="1647"/>
      <c r="F304" s="1647"/>
      <c r="G304" s="1667"/>
      <c r="H304" s="1656" t="s">
        <v>17</v>
      </c>
      <c r="I304" s="1656"/>
      <c r="J304" s="1656"/>
      <c r="K304" s="1657"/>
      <c r="L304" s="1658" t="s">
        <v>18</v>
      </c>
      <c r="M304" s="1656"/>
      <c r="N304" s="1656"/>
      <c r="O304" s="1659"/>
    </row>
    <row r="305" spans="2:15" ht="18" customHeight="1" x14ac:dyDescent="0.2">
      <c r="B305" s="1662"/>
      <c r="C305" s="1663"/>
      <c r="D305" s="1650"/>
      <c r="E305" s="1647"/>
      <c r="F305" s="1647"/>
      <c r="G305" s="1667"/>
      <c r="H305" s="1649" t="s">
        <v>460</v>
      </c>
      <c r="I305" s="1646" t="s">
        <v>456</v>
      </c>
      <c r="J305" s="1646" t="s">
        <v>393</v>
      </c>
      <c r="K305" s="1666" t="s">
        <v>457</v>
      </c>
      <c r="L305" s="1649" t="s">
        <v>460</v>
      </c>
      <c r="M305" s="1646" t="s">
        <v>456</v>
      </c>
      <c r="N305" s="1646" t="s">
        <v>393</v>
      </c>
      <c r="O305" s="1682" t="s">
        <v>457</v>
      </c>
    </row>
    <row r="306" spans="2:15" ht="13.5" customHeight="1" thickBot="1" x14ac:dyDescent="0.25">
      <c r="B306" s="1662"/>
      <c r="C306" s="1663"/>
      <c r="D306" s="1650"/>
      <c r="E306" s="1647"/>
      <c r="F306" s="1647"/>
      <c r="G306" s="1667"/>
      <c r="H306" s="1650"/>
      <c r="I306" s="1647"/>
      <c r="J306" s="1647"/>
      <c r="K306" s="1667"/>
      <c r="L306" s="1650"/>
      <c r="M306" s="1647"/>
      <c r="N306" s="1647"/>
      <c r="O306" s="1683"/>
    </row>
    <row r="307" spans="2:15" ht="15.75" customHeight="1" x14ac:dyDescent="0.2">
      <c r="B307" s="1664"/>
      <c r="C307" s="1665"/>
      <c r="D307" s="1073" t="s">
        <v>459</v>
      </c>
      <c r="E307" s="1074" t="s">
        <v>461</v>
      </c>
      <c r="F307" s="1071" t="s">
        <v>462</v>
      </c>
      <c r="G307" s="1072" t="s">
        <v>463</v>
      </c>
      <c r="H307" s="1651"/>
      <c r="I307" s="1648"/>
      <c r="J307" s="1648"/>
      <c r="K307" s="1674"/>
      <c r="L307" s="1651"/>
      <c r="M307" s="1648"/>
      <c r="N307" s="1648"/>
      <c r="O307" s="1684"/>
    </row>
    <row r="308" spans="2:15" ht="16.5" thickBot="1" x14ac:dyDescent="0.3">
      <c r="B308" s="1680">
        <v>0</v>
      </c>
      <c r="C308" s="1681"/>
      <c r="D308" s="48">
        <v>1</v>
      </c>
      <c r="E308" s="1056">
        <v>2</v>
      </c>
      <c r="F308" s="49">
        <v>3</v>
      </c>
      <c r="G308" s="50">
        <v>4</v>
      </c>
      <c r="H308" s="1075">
        <v>5</v>
      </c>
      <c r="I308" s="1056">
        <v>6</v>
      </c>
      <c r="J308" s="49">
        <v>7</v>
      </c>
      <c r="K308" s="50">
        <v>8</v>
      </c>
      <c r="L308" s="1075">
        <v>9</v>
      </c>
      <c r="M308" s="1056">
        <v>10</v>
      </c>
      <c r="N308" s="49">
        <v>11</v>
      </c>
      <c r="O308" s="51">
        <v>12</v>
      </c>
    </row>
    <row r="309" spans="2:15" ht="47.25" thickTop="1" x14ac:dyDescent="0.2">
      <c r="B309" s="814" t="s">
        <v>431</v>
      </c>
      <c r="C309" s="1652">
        <v>1</v>
      </c>
      <c r="D309" s="1066">
        <f>SUM(D311:D320)</f>
        <v>27</v>
      </c>
      <c r="E309" s="280">
        <f>I309+M309</f>
        <v>27</v>
      </c>
      <c r="F309" s="271">
        <f t="shared" ref="F309:O309" si="53">SUM(F311:F320)</f>
        <v>2908</v>
      </c>
      <c r="G309" s="272">
        <f t="shared" si="53"/>
        <v>2881</v>
      </c>
      <c r="H309" s="1076">
        <f t="shared" si="53"/>
        <v>15</v>
      </c>
      <c r="I309" s="1530">
        <v>15</v>
      </c>
      <c r="J309" s="279">
        <f t="shared" si="53"/>
        <v>2026</v>
      </c>
      <c r="K309" s="280">
        <f t="shared" si="53"/>
        <v>2000</v>
      </c>
      <c r="L309" s="1076">
        <f t="shared" si="53"/>
        <v>12</v>
      </c>
      <c r="M309" s="1529">
        <v>12</v>
      </c>
      <c r="N309" s="279">
        <f t="shared" si="53"/>
        <v>882</v>
      </c>
      <c r="O309" s="281">
        <f t="shared" si="53"/>
        <v>881</v>
      </c>
    </row>
    <row r="310" spans="2:15" ht="13.5" thickBot="1" x14ac:dyDescent="0.25">
      <c r="B310" s="53" t="s">
        <v>46</v>
      </c>
      <c r="C310" s="1653"/>
      <c r="D310" s="1067" t="str">
        <f>IF(H309+L309=D309, "", "Uwaga!")</f>
        <v/>
      </c>
      <c r="E310" s="1102" t="str">
        <f>IF(D309=E309, "", "Uwaga!")</f>
        <v/>
      </c>
      <c r="F310" s="399" t="str">
        <f>IF(J309+N309=F309, "", "Uwaga!")</f>
        <v/>
      </c>
      <c r="G310" s="400" t="str">
        <f>IF(K309+O309=G309, "", "Uwaga!")</f>
        <v/>
      </c>
      <c r="H310" s="1077"/>
      <c r="I310" s="1102" t="str">
        <f>IF(H309=I309, "", "Uwaga!")</f>
        <v/>
      </c>
      <c r="J310" s="185"/>
      <c r="K310" s="54"/>
      <c r="L310" s="1077"/>
      <c r="M310" s="1102" t="str">
        <f>IF(L309=M309, "", "Uwaga!")</f>
        <v/>
      </c>
      <c r="N310" s="185"/>
      <c r="O310" s="55"/>
    </row>
    <row r="311" spans="2:15" ht="21" thickTop="1" x14ac:dyDescent="0.2">
      <c r="B311" s="815" t="s">
        <v>432</v>
      </c>
      <c r="C311" s="816">
        <v>2</v>
      </c>
      <c r="D311" s="1063">
        <f t="shared" ref="D311:D316" si="54">H311+L311</f>
        <v>7</v>
      </c>
      <c r="E311" s="1057">
        <f>I311+M311</f>
        <v>7</v>
      </c>
      <c r="F311" s="273">
        <f t="shared" ref="F311:F316" si="55">J311+N311</f>
        <v>418</v>
      </c>
      <c r="G311" s="274">
        <f t="shared" ref="G311:G316" si="56">K311+O311</f>
        <v>405</v>
      </c>
      <c r="H311" s="1495">
        <v>5</v>
      </c>
      <c r="I311" s="1520">
        <v>5</v>
      </c>
      <c r="J311" s="1497">
        <v>326</v>
      </c>
      <c r="K311" s="1498">
        <v>317</v>
      </c>
      <c r="L311" s="1495">
        <v>2</v>
      </c>
      <c r="M311" s="1520">
        <v>2</v>
      </c>
      <c r="N311" s="1497">
        <v>92</v>
      </c>
      <c r="O311" s="1499">
        <v>88</v>
      </c>
    </row>
    <row r="312" spans="2:15" ht="20.25" x14ac:dyDescent="0.2">
      <c r="B312" s="817" t="s">
        <v>433</v>
      </c>
      <c r="C312" s="818">
        <v>3</v>
      </c>
      <c r="D312" s="1064">
        <f t="shared" si="54"/>
        <v>0</v>
      </c>
      <c r="E312" s="1058">
        <f t="shared" ref="E312:E320" si="57">I312+M312</f>
        <v>1</v>
      </c>
      <c r="F312" s="275">
        <f t="shared" si="55"/>
        <v>42</v>
      </c>
      <c r="G312" s="276">
        <f t="shared" si="56"/>
        <v>38</v>
      </c>
      <c r="H312" s="1522">
        <v>0</v>
      </c>
      <c r="I312" s="1523">
        <v>1</v>
      </c>
      <c r="J312" s="1524">
        <v>42</v>
      </c>
      <c r="K312" s="1525">
        <v>38</v>
      </c>
      <c r="L312" s="1500">
        <v>0</v>
      </c>
      <c r="M312" s="1501">
        <v>0</v>
      </c>
      <c r="N312" s="1502">
        <v>0</v>
      </c>
      <c r="O312" s="1504">
        <v>0</v>
      </c>
    </row>
    <row r="313" spans="2:15" ht="20.25" x14ac:dyDescent="0.2">
      <c r="B313" s="817" t="s">
        <v>434</v>
      </c>
      <c r="C313" s="818">
        <v>4</v>
      </c>
      <c r="D313" s="1064">
        <f t="shared" si="54"/>
        <v>3</v>
      </c>
      <c r="E313" s="1058">
        <f t="shared" si="57"/>
        <v>3</v>
      </c>
      <c r="F313" s="275">
        <f t="shared" si="55"/>
        <v>760</v>
      </c>
      <c r="G313" s="276">
        <f t="shared" si="56"/>
        <v>759</v>
      </c>
      <c r="H313" s="1500">
        <v>2</v>
      </c>
      <c r="I313" s="1501">
        <v>2</v>
      </c>
      <c r="J313" s="1502">
        <v>705</v>
      </c>
      <c r="K313" s="1503">
        <v>704</v>
      </c>
      <c r="L313" s="1500">
        <v>1</v>
      </c>
      <c r="M313" s="1501">
        <v>1</v>
      </c>
      <c r="N313" s="1502">
        <v>55</v>
      </c>
      <c r="O313" s="1504">
        <v>55</v>
      </c>
    </row>
    <row r="314" spans="2:15" ht="20.25" x14ac:dyDescent="0.2">
      <c r="B314" s="817" t="s">
        <v>435</v>
      </c>
      <c r="C314" s="818">
        <v>5</v>
      </c>
      <c r="D314" s="1064">
        <f t="shared" si="54"/>
        <v>5</v>
      </c>
      <c r="E314" s="1058">
        <f t="shared" si="57"/>
        <v>5</v>
      </c>
      <c r="F314" s="275">
        <f t="shared" si="55"/>
        <v>479</v>
      </c>
      <c r="G314" s="276">
        <f t="shared" si="56"/>
        <v>470</v>
      </c>
      <c r="H314" s="1500">
        <v>5</v>
      </c>
      <c r="I314" s="1501">
        <v>5</v>
      </c>
      <c r="J314" s="1502">
        <v>479</v>
      </c>
      <c r="K314" s="1503">
        <v>470</v>
      </c>
      <c r="L314" s="1500">
        <v>0</v>
      </c>
      <c r="M314" s="1501">
        <v>0</v>
      </c>
      <c r="N314" s="1502">
        <v>0</v>
      </c>
      <c r="O314" s="1504">
        <v>0</v>
      </c>
    </row>
    <row r="315" spans="2:15" ht="20.25" x14ac:dyDescent="0.2">
      <c r="B315" s="817" t="s">
        <v>436</v>
      </c>
      <c r="C315" s="818">
        <v>6</v>
      </c>
      <c r="D315" s="1064">
        <f t="shared" si="54"/>
        <v>1</v>
      </c>
      <c r="E315" s="1058">
        <f t="shared" si="57"/>
        <v>1</v>
      </c>
      <c r="F315" s="275">
        <f t="shared" si="55"/>
        <v>110</v>
      </c>
      <c r="G315" s="276">
        <f t="shared" si="56"/>
        <v>110</v>
      </c>
      <c r="H315" s="1500">
        <v>0</v>
      </c>
      <c r="I315" s="1501">
        <v>0</v>
      </c>
      <c r="J315" s="1502">
        <v>0</v>
      </c>
      <c r="K315" s="1503">
        <v>0</v>
      </c>
      <c r="L315" s="1500">
        <v>1</v>
      </c>
      <c r="M315" s="1501">
        <v>1</v>
      </c>
      <c r="N315" s="1502">
        <v>110</v>
      </c>
      <c r="O315" s="1504">
        <v>110</v>
      </c>
    </row>
    <row r="316" spans="2:15" ht="21" thickBot="1" x14ac:dyDescent="0.25">
      <c r="B316" s="819" t="s">
        <v>437</v>
      </c>
      <c r="C316" s="820">
        <v>7</v>
      </c>
      <c r="D316" s="1065">
        <f t="shared" si="54"/>
        <v>0</v>
      </c>
      <c r="E316" s="1059">
        <f t="shared" si="57"/>
        <v>1</v>
      </c>
      <c r="F316" s="277">
        <f t="shared" si="55"/>
        <v>45</v>
      </c>
      <c r="G316" s="278">
        <f t="shared" si="56"/>
        <v>45</v>
      </c>
      <c r="H316" s="1505">
        <v>0</v>
      </c>
      <c r="I316" s="1506">
        <v>1</v>
      </c>
      <c r="J316" s="1507">
        <v>45</v>
      </c>
      <c r="K316" s="1508">
        <v>45</v>
      </c>
      <c r="L316" s="1505">
        <v>0</v>
      </c>
      <c r="M316" s="1506">
        <v>0</v>
      </c>
      <c r="N316" s="1507">
        <v>0</v>
      </c>
      <c r="O316" s="1509">
        <v>0</v>
      </c>
    </row>
    <row r="317" spans="2:15" ht="32.25" thickTop="1" x14ac:dyDescent="0.2">
      <c r="B317" s="821" t="s">
        <v>438</v>
      </c>
      <c r="C317" s="822">
        <v>8</v>
      </c>
      <c r="D317" s="827">
        <f>H317+L317</f>
        <v>5</v>
      </c>
      <c r="E317" s="827">
        <f t="shared" si="57"/>
        <v>5</v>
      </c>
      <c r="F317" s="828">
        <f t="shared" ref="F317:G320" si="58">J317+N317</f>
        <v>470</v>
      </c>
      <c r="G317" s="829">
        <f t="shared" si="58"/>
        <v>467</v>
      </c>
      <c r="H317" s="1510">
        <v>2</v>
      </c>
      <c r="I317" s="1510">
        <v>2</v>
      </c>
      <c r="J317" s="1511">
        <v>258</v>
      </c>
      <c r="K317" s="1512">
        <v>255</v>
      </c>
      <c r="L317" s="1510">
        <v>3</v>
      </c>
      <c r="M317" s="1510">
        <v>3</v>
      </c>
      <c r="N317" s="1511">
        <v>212</v>
      </c>
      <c r="O317" s="1513">
        <v>212</v>
      </c>
    </row>
    <row r="318" spans="2:15" ht="31.5" x14ac:dyDescent="0.2">
      <c r="B318" s="823" t="s">
        <v>439</v>
      </c>
      <c r="C318" s="824">
        <v>9</v>
      </c>
      <c r="D318" s="830">
        <f>H318+L318</f>
        <v>0</v>
      </c>
      <c r="E318" s="830">
        <f t="shared" si="57"/>
        <v>2</v>
      </c>
      <c r="F318" s="275">
        <f t="shared" si="58"/>
        <v>115</v>
      </c>
      <c r="G318" s="831">
        <f t="shared" si="58"/>
        <v>115</v>
      </c>
      <c r="H318" s="1514">
        <v>0</v>
      </c>
      <c r="I318" s="1514">
        <v>2</v>
      </c>
      <c r="J318" s="1502">
        <v>115</v>
      </c>
      <c r="K318" s="1515">
        <v>115</v>
      </c>
      <c r="L318" s="1514">
        <v>0</v>
      </c>
      <c r="M318" s="1514">
        <v>0</v>
      </c>
      <c r="N318" s="1502">
        <v>0</v>
      </c>
      <c r="O318" s="1516">
        <v>0</v>
      </c>
    </row>
    <row r="319" spans="2:15" ht="31.5" x14ac:dyDescent="0.2">
      <c r="B319" s="823" t="s">
        <v>440</v>
      </c>
      <c r="C319" s="824">
        <v>10</v>
      </c>
      <c r="D319" s="830">
        <f>H319+L319</f>
        <v>1</v>
      </c>
      <c r="E319" s="830">
        <f t="shared" si="57"/>
        <v>1</v>
      </c>
      <c r="F319" s="275">
        <f t="shared" si="58"/>
        <v>56</v>
      </c>
      <c r="G319" s="831">
        <f t="shared" si="58"/>
        <v>56</v>
      </c>
      <c r="H319" s="1514">
        <v>1</v>
      </c>
      <c r="I319" s="1514">
        <v>1</v>
      </c>
      <c r="J319" s="1502">
        <v>56</v>
      </c>
      <c r="K319" s="1515">
        <v>56</v>
      </c>
      <c r="L319" s="1514">
        <v>0</v>
      </c>
      <c r="M319" s="1514">
        <v>0</v>
      </c>
      <c r="N319" s="1502">
        <v>0</v>
      </c>
      <c r="O319" s="1516">
        <v>0</v>
      </c>
    </row>
    <row r="320" spans="2:15" ht="48" thickBot="1" x14ac:dyDescent="0.25">
      <c r="B320" s="825" t="s">
        <v>441</v>
      </c>
      <c r="C320" s="826">
        <v>11</v>
      </c>
      <c r="D320" s="832">
        <f>H320+L320</f>
        <v>5</v>
      </c>
      <c r="E320" s="832">
        <f t="shared" si="57"/>
        <v>5</v>
      </c>
      <c r="F320" s="277">
        <f t="shared" si="58"/>
        <v>413</v>
      </c>
      <c r="G320" s="833">
        <f t="shared" si="58"/>
        <v>416</v>
      </c>
      <c r="H320" s="1517">
        <v>0</v>
      </c>
      <c r="I320" s="1517">
        <v>0</v>
      </c>
      <c r="J320" s="1507">
        <v>0</v>
      </c>
      <c r="K320" s="1518">
        <v>0</v>
      </c>
      <c r="L320" s="1517">
        <v>5</v>
      </c>
      <c r="M320" s="1517">
        <v>5</v>
      </c>
      <c r="N320" s="1507">
        <v>413</v>
      </c>
      <c r="O320" s="1519">
        <v>416</v>
      </c>
    </row>
    <row r="321" spans="1:15" ht="21" thickTop="1" x14ac:dyDescent="0.2">
      <c r="B321" s="264"/>
      <c r="C321" s="409"/>
      <c r="D321" s="410"/>
      <c r="E321" s="410"/>
      <c r="F321" s="410"/>
      <c r="G321" s="410"/>
      <c r="H321" s="410"/>
      <c r="I321" s="410"/>
      <c r="J321" s="410"/>
      <c r="K321" s="410"/>
      <c r="L321" s="410"/>
      <c r="M321" s="410"/>
      <c r="N321" s="410"/>
    </row>
    <row r="322" spans="1:15" ht="20.25" x14ac:dyDescent="0.25">
      <c r="B322" s="11" t="s">
        <v>123</v>
      </c>
      <c r="C322" s="409"/>
      <c r="D322" s="410"/>
      <c r="E322" s="410"/>
      <c r="F322" s="410"/>
      <c r="G322" s="410"/>
      <c r="H322" s="410"/>
      <c r="I322" s="410"/>
      <c r="J322" s="410"/>
      <c r="K322" s="410"/>
      <c r="L322" s="1654" t="s">
        <v>442</v>
      </c>
      <c r="M322" s="1654"/>
      <c r="N322" s="1654"/>
      <c r="O322" s="1654"/>
    </row>
    <row r="323" spans="1:15" ht="20.25" x14ac:dyDescent="0.25">
      <c r="B323" s="11" t="s">
        <v>124</v>
      </c>
      <c r="C323" s="409"/>
      <c r="D323" s="410"/>
      <c r="E323" s="410"/>
      <c r="F323" s="410"/>
      <c r="G323" s="410"/>
      <c r="H323" s="410"/>
      <c r="I323" s="410"/>
      <c r="J323" s="410"/>
      <c r="K323" s="410"/>
      <c r="L323" s="1604" t="s">
        <v>126</v>
      </c>
      <c r="M323" s="1604"/>
      <c r="N323" s="1604"/>
      <c r="O323" s="1604"/>
    </row>
    <row r="324" spans="1:15" ht="18" x14ac:dyDescent="0.25">
      <c r="B324" s="11" t="s">
        <v>125</v>
      </c>
    </row>
    <row r="326" spans="1:15" ht="26.25" x14ac:dyDescent="0.4">
      <c r="A326" s="267" t="s">
        <v>201</v>
      </c>
      <c r="N326" s="1675" t="s">
        <v>14</v>
      </c>
      <c r="O326" s="1675"/>
    </row>
    <row r="327" spans="1:15" ht="18" x14ac:dyDescent="0.25">
      <c r="B327" s="11" t="s">
        <v>116</v>
      </c>
      <c r="C327" s="3"/>
      <c r="D327" s="3"/>
      <c r="E327" s="3"/>
      <c r="F327" s="3"/>
      <c r="G327" s="3"/>
      <c r="H327" s="3"/>
      <c r="I327" s="3"/>
      <c r="J327" s="3"/>
      <c r="K327" s="11"/>
      <c r="L327" s="3"/>
      <c r="M327" s="3"/>
    </row>
    <row r="328" spans="1:15" ht="18" x14ac:dyDescent="0.25">
      <c r="B328" s="14" t="s">
        <v>129</v>
      </c>
      <c r="C328" s="29"/>
      <c r="D328" s="3"/>
      <c r="E328" s="3"/>
      <c r="F328" s="3"/>
      <c r="G328" s="3"/>
      <c r="H328" s="3"/>
      <c r="I328" s="3"/>
      <c r="N328" s="1676" t="str">
        <f>'Tab.1. bilans_Polska'!$E$59</f>
        <v>Termin: 29 luty 2012 r.</v>
      </c>
      <c r="O328" s="1676"/>
    </row>
    <row r="329" spans="1:15" ht="18" x14ac:dyDescent="0.25">
      <c r="B329" s="11" t="s">
        <v>128</v>
      </c>
      <c r="C329" s="3"/>
      <c r="D329" s="3"/>
      <c r="E329" s="3"/>
      <c r="F329" s="3"/>
      <c r="G329" s="3"/>
      <c r="H329" s="3"/>
      <c r="I329" s="3"/>
    </row>
    <row r="330" spans="1:15" ht="18" x14ac:dyDescent="0.25">
      <c r="B330" s="11"/>
      <c r="C330" s="3"/>
      <c r="D330" s="3"/>
      <c r="E330" s="3"/>
      <c r="F330" s="3"/>
      <c r="G330" s="3"/>
      <c r="H330" s="3"/>
      <c r="I330" s="3"/>
      <c r="J330" s="3"/>
      <c r="K330" s="3"/>
      <c r="L330" s="3"/>
      <c r="M330" s="3"/>
      <c r="N330" s="3"/>
    </row>
    <row r="331" spans="1:15" ht="18" x14ac:dyDescent="0.25">
      <c r="B331" s="11"/>
      <c r="C331" s="3"/>
      <c r="D331" s="3"/>
      <c r="E331" s="3"/>
      <c r="F331" s="3"/>
      <c r="G331" s="3"/>
      <c r="H331" s="3"/>
      <c r="I331" s="3"/>
      <c r="J331" s="3"/>
      <c r="K331" s="3"/>
      <c r="L331" s="3"/>
      <c r="M331" s="3"/>
      <c r="N331" s="3"/>
    </row>
    <row r="332" spans="1:15" ht="15.75" x14ac:dyDescent="0.25">
      <c r="B332" s="1"/>
      <c r="C332" s="3"/>
      <c r="D332" s="3"/>
      <c r="E332" s="3"/>
      <c r="F332" s="3"/>
      <c r="G332" s="3"/>
      <c r="H332" s="3"/>
      <c r="I332" s="3"/>
      <c r="J332" s="3"/>
      <c r="K332" s="3"/>
      <c r="L332" s="3"/>
      <c r="M332" s="3"/>
      <c r="N332" s="3"/>
    </row>
    <row r="333" spans="1:15" ht="15.75" x14ac:dyDescent="0.25">
      <c r="B333" s="1"/>
      <c r="C333" s="3"/>
      <c r="D333" s="3"/>
      <c r="E333" s="3"/>
      <c r="F333" s="3"/>
      <c r="G333" s="3"/>
      <c r="H333" s="3"/>
      <c r="I333" s="3"/>
      <c r="J333" s="3"/>
      <c r="K333" s="1"/>
      <c r="L333" s="3"/>
      <c r="M333" s="3"/>
      <c r="N333" s="3"/>
    </row>
    <row r="334" spans="1:15" ht="23.25" x14ac:dyDescent="0.35">
      <c r="B334" s="1655" t="s">
        <v>36</v>
      </c>
      <c r="C334" s="1655"/>
      <c r="D334" s="1655"/>
      <c r="E334" s="1655"/>
      <c r="F334" s="1655"/>
      <c r="G334" s="1655"/>
      <c r="H334" s="1655"/>
      <c r="I334" s="1655"/>
      <c r="J334" s="1655"/>
      <c r="K334" s="1655"/>
      <c r="L334" s="1655"/>
      <c r="M334" s="1655"/>
      <c r="N334" s="1655"/>
      <c r="O334" s="1655"/>
    </row>
    <row r="335" spans="1:15" ht="23.25" x14ac:dyDescent="0.35">
      <c r="B335" s="1645" t="str">
        <f>$B$11</f>
        <v>W  PODZIALE  NA  DOMY  SAMORZĄDÓW  POWIATOWYCH  I  PODMIOTÓW  NIEPUBLICZNYCH  WG  ST.  NA  DZIEŃ  31. XII. 2011 r.</v>
      </c>
      <c r="C335" s="1645"/>
      <c r="D335" s="1645"/>
      <c r="E335" s="1645"/>
      <c r="F335" s="1645"/>
      <c r="G335" s="1645"/>
      <c r="H335" s="1645"/>
      <c r="I335" s="1645"/>
      <c r="J335" s="1645"/>
      <c r="K335" s="1645"/>
      <c r="L335" s="1645"/>
      <c r="M335" s="1645"/>
      <c r="N335" s="1645"/>
      <c r="O335" s="1645"/>
    </row>
    <row r="336" spans="1:15" ht="23.25" x14ac:dyDescent="0.35">
      <c r="B336" s="28"/>
      <c r="C336" s="3"/>
      <c r="D336" s="3"/>
      <c r="E336" s="3"/>
      <c r="F336" s="3"/>
      <c r="G336" s="3"/>
      <c r="H336" s="3"/>
      <c r="I336" s="3"/>
      <c r="J336" s="3"/>
      <c r="K336" s="3"/>
      <c r="L336" s="3"/>
      <c r="M336" s="3"/>
      <c r="N336" s="3"/>
    </row>
    <row r="337" spans="2:15" ht="24" thickBot="1" x14ac:dyDescent="0.4">
      <c r="B337" s="30"/>
      <c r="C337" s="30"/>
      <c r="D337" s="939"/>
      <c r="E337" s="939"/>
      <c r="F337" s="939" t="str">
        <f>IF('Tab.1. bilans_Polska'!C520=F345, "", "t1w5k1="&amp;'Tab.1. bilans_Polska'!C333)</f>
        <v/>
      </c>
      <c r="G337" s="940"/>
      <c r="H337" s="940"/>
      <c r="I337" s="940"/>
      <c r="J337" s="939" t="str">
        <f>IF('Tab.1. bilans_Polska'!D520=J345, "", "t1w5k2="&amp;'Tab.1. bilans_Polska'!D333)</f>
        <v/>
      </c>
      <c r="K337" s="940"/>
      <c r="L337" s="940"/>
      <c r="M337" s="940"/>
      <c r="N337" s="942" t="str">
        <f>IF('Tab.1. bilans_Polska'!E520=N345,"","t1w5k3="&amp;'Tab.1. bilans_Polska'!E333)</f>
        <v/>
      </c>
      <c r="O337" s="941"/>
    </row>
    <row r="338" spans="2:15" ht="24" thickTop="1" x14ac:dyDescent="0.2">
      <c r="B338" s="1660" t="s">
        <v>38</v>
      </c>
      <c r="C338" s="1661"/>
      <c r="D338" s="1677" t="s">
        <v>3</v>
      </c>
      <c r="E338" s="1678"/>
      <c r="F338" s="1678"/>
      <c r="G338" s="1679"/>
      <c r="H338" s="1668" t="s">
        <v>37</v>
      </c>
      <c r="I338" s="1669"/>
      <c r="J338" s="1669"/>
      <c r="K338" s="1669"/>
      <c r="L338" s="1669"/>
      <c r="M338" s="1669"/>
      <c r="N338" s="1669"/>
      <c r="O338" s="1670"/>
    </row>
    <row r="339" spans="2:15" ht="18" customHeight="1" thickBot="1" x14ac:dyDescent="0.25">
      <c r="B339" s="1662"/>
      <c r="C339" s="1663"/>
      <c r="D339" s="1649" t="str">
        <f>UPPER("Domy 
zareje-
strowane")</f>
        <v>DOMY 
ZAREJE-
STROWANE</v>
      </c>
      <c r="E339" s="1646" t="s">
        <v>454</v>
      </c>
      <c r="F339" s="1646" t="s">
        <v>455</v>
      </c>
      <c r="G339" s="1666" t="s">
        <v>281</v>
      </c>
      <c r="H339" s="1671"/>
      <c r="I339" s="1672"/>
      <c r="J339" s="1672"/>
      <c r="K339" s="1672"/>
      <c r="L339" s="1672"/>
      <c r="M339" s="1672"/>
      <c r="N339" s="1672"/>
      <c r="O339" s="1673"/>
    </row>
    <row r="340" spans="2:15" ht="18" x14ac:dyDescent="0.2">
      <c r="B340" s="1662"/>
      <c r="C340" s="1663"/>
      <c r="D340" s="1650"/>
      <c r="E340" s="1647"/>
      <c r="F340" s="1647"/>
      <c r="G340" s="1667"/>
      <c r="H340" s="1656" t="s">
        <v>17</v>
      </c>
      <c r="I340" s="1656"/>
      <c r="J340" s="1656"/>
      <c r="K340" s="1657"/>
      <c r="L340" s="1658" t="s">
        <v>18</v>
      </c>
      <c r="M340" s="1656"/>
      <c r="N340" s="1656"/>
      <c r="O340" s="1659"/>
    </row>
    <row r="341" spans="2:15" ht="18" customHeight="1" x14ac:dyDescent="0.2">
      <c r="B341" s="1662"/>
      <c r="C341" s="1663"/>
      <c r="D341" s="1650"/>
      <c r="E341" s="1647"/>
      <c r="F341" s="1647"/>
      <c r="G341" s="1667"/>
      <c r="H341" s="1649" t="s">
        <v>460</v>
      </c>
      <c r="I341" s="1646" t="s">
        <v>456</v>
      </c>
      <c r="J341" s="1646" t="s">
        <v>393</v>
      </c>
      <c r="K341" s="1666" t="s">
        <v>457</v>
      </c>
      <c r="L341" s="1649" t="s">
        <v>460</v>
      </c>
      <c r="M341" s="1646" t="s">
        <v>456</v>
      </c>
      <c r="N341" s="1646" t="s">
        <v>393</v>
      </c>
      <c r="O341" s="1682" t="s">
        <v>457</v>
      </c>
    </row>
    <row r="342" spans="2:15" ht="13.5" customHeight="1" thickBot="1" x14ac:dyDescent="0.25">
      <c r="B342" s="1662"/>
      <c r="C342" s="1663"/>
      <c r="D342" s="1650"/>
      <c r="E342" s="1647"/>
      <c r="F342" s="1647"/>
      <c r="G342" s="1667"/>
      <c r="H342" s="1650"/>
      <c r="I342" s="1647"/>
      <c r="J342" s="1647"/>
      <c r="K342" s="1667"/>
      <c r="L342" s="1650"/>
      <c r="M342" s="1647"/>
      <c r="N342" s="1647"/>
      <c r="O342" s="1683"/>
    </row>
    <row r="343" spans="2:15" ht="15.75" customHeight="1" x14ac:dyDescent="0.2">
      <c r="B343" s="1664"/>
      <c r="C343" s="1665"/>
      <c r="D343" s="1073" t="s">
        <v>459</v>
      </c>
      <c r="E343" s="1074" t="s">
        <v>461</v>
      </c>
      <c r="F343" s="1071" t="s">
        <v>462</v>
      </c>
      <c r="G343" s="1072" t="s">
        <v>463</v>
      </c>
      <c r="H343" s="1651"/>
      <c r="I343" s="1648"/>
      <c r="J343" s="1648"/>
      <c r="K343" s="1674"/>
      <c r="L343" s="1651"/>
      <c r="M343" s="1648"/>
      <c r="N343" s="1648"/>
      <c r="O343" s="1684"/>
    </row>
    <row r="344" spans="2:15" ht="16.5" thickBot="1" x14ac:dyDescent="0.3">
      <c r="B344" s="1680">
        <v>0</v>
      </c>
      <c r="C344" s="1681"/>
      <c r="D344" s="48">
        <v>1</v>
      </c>
      <c r="E344" s="1056">
        <v>2</v>
      </c>
      <c r="F344" s="49">
        <v>3</v>
      </c>
      <c r="G344" s="50">
        <v>4</v>
      </c>
      <c r="H344" s="1075">
        <v>5</v>
      </c>
      <c r="I344" s="1056">
        <v>6</v>
      </c>
      <c r="J344" s="49">
        <v>7</v>
      </c>
      <c r="K344" s="50">
        <v>8</v>
      </c>
      <c r="L344" s="1075">
        <v>9</v>
      </c>
      <c r="M344" s="1056">
        <v>10</v>
      </c>
      <c r="N344" s="49">
        <v>11</v>
      </c>
      <c r="O344" s="51">
        <v>12</v>
      </c>
    </row>
    <row r="345" spans="2:15" ht="47.25" thickTop="1" x14ac:dyDescent="0.2">
      <c r="B345" s="814" t="s">
        <v>431</v>
      </c>
      <c r="C345" s="1652">
        <v>1</v>
      </c>
      <c r="D345" s="1066">
        <f>SUM(D347:D356)</f>
        <v>48</v>
      </c>
      <c r="E345" s="280">
        <f>I345+M345</f>
        <v>48</v>
      </c>
      <c r="F345" s="271">
        <f t="shared" ref="F345:O345" si="59">SUM(F347:F356)</f>
        <v>4599</v>
      </c>
      <c r="G345" s="272">
        <f t="shared" si="59"/>
        <v>4430</v>
      </c>
      <c r="H345" s="1076">
        <f t="shared" si="59"/>
        <v>31</v>
      </c>
      <c r="I345" s="1528">
        <v>31</v>
      </c>
      <c r="J345" s="279">
        <f t="shared" si="59"/>
        <v>3498</v>
      </c>
      <c r="K345" s="280">
        <f t="shared" si="59"/>
        <v>3381</v>
      </c>
      <c r="L345" s="1076">
        <f t="shared" si="59"/>
        <v>17</v>
      </c>
      <c r="M345" s="1529">
        <v>17</v>
      </c>
      <c r="N345" s="279">
        <f t="shared" si="59"/>
        <v>1101</v>
      </c>
      <c r="O345" s="281">
        <f t="shared" si="59"/>
        <v>1049</v>
      </c>
    </row>
    <row r="346" spans="2:15" ht="13.5" thickBot="1" x14ac:dyDescent="0.25">
      <c r="B346" s="53" t="s">
        <v>46</v>
      </c>
      <c r="C346" s="1653"/>
      <c r="D346" s="1067" t="str">
        <f>IF(H345+L345=D345, "", "Uwaga!")</f>
        <v/>
      </c>
      <c r="E346" s="1102" t="str">
        <f>IF(D345=E345, "", "Uwaga!")</f>
        <v/>
      </c>
      <c r="F346" s="399" t="str">
        <f>IF(J345+N345=F345, "", "Uwaga!")</f>
        <v/>
      </c>
      <c r="G346" s="400" t="str">
        <f>IF(K345+O345=G345, "", "Uwaga!")</f>
        <v/>
      </c>
      <c r="H346" s="1077"/>
      <c r="I346" s="1102" t="str">
        <f>IF(H345=I345, "", "Uwaga!")</f>
        <v/>
      </c>
      <c r="J346" s="185"/>
      <c r="K346" s="54"/>
      <c r="L346" s="1077"/>
      <c r="M346" s="1102" t="str">
        <f>IF(L345=M345, "", "Uwaga!")</f>
        <v/>
      </c>
      <c r="N346" s="185"/>
      <c r="O346" s="55"/>
    </row>
    <row r="347" spans="2:15" ht="21" thickTop="1" x14ac:dyDescent="0.2">
      <c r="B347" s="815" t="s">
        <v>432</v>
      </c>
      <c r="C347" s="816">
        <v>2</v>
      </c>
      <c r="D347" s="1063">
        <f t="shared" ref="D347:D352" si="60">H347+L347</f>
        <v>4</v>
      </c>
      <c r="E347" s="1057">
        <f>I347+M347</f>
        <v>4</v>
      </c>
      <c r="F347" s="273">
        <f t="shared" ref="F347:F352" si="61">J347+N347</f>
        <v>172</v>
      </c>
      <c r="G347" s="274">
        <f t="shared" ref="G347:G352" si="62">K347+O347</f>
        <v>159</v>
      </c>
      <c r="H347" s="1495">
        <v>1</v>
      </c>
      <c r="I347" s="1520">
        <v>1</v>
      </c>
      <c r="J347" s="1497">
        <v>61</v>
      </c>
      <c r="K347" s="1498">
        <v>59</v>
      </c>
      <c r="L347" s="1495">
        <v>3</v>
      </c>
      <c r="M347" s="1520">
        <v>3</v>
      </c>
      <c r="N347" s="1497">
        <v>111</v>
      </c>
      <c r="O347" s="1499">
        <v>100</v>
      </c>
    </row>
    <row r="348" spans="2:15" ht="20.25" x14ac:dyDescent="0.2">
      <c r="B348" s="817" t="s">
        <v>433</v>
      </c>
      <c r="C348" s="818">
        <v>3</v>
      </c>
      <c r="D348" s="1064">
        <f t="shared" si="60"/>
        <v>5</v>
      </c>
      <c r="E348" s="1058">
        <f t="shared" ref="E348:E356" si="63">I348+M348</f>
        <v>5</v>
      </c>
      <c r="F348" s="275">
        <f t="shared" si="61"/>
        <v>447</v>
      </c>
      <c r="G348" s="276">
        <f t="shared" si="62"/>
        <v>423</v>
      </c>
      <c r="H348" s="1500">
        <v>5</v>
      </c>
      <c r="I348" s="1501">
        <v>5</v>
      </c>
      <c r="J348" s="1502">
        <v>447</v>
      </c>
      <c r="K348" s="1503">
        <v>423</v>
      </c>
      <c r="L348" s="1500">
        <v>0</v>
      </c>
      <c r="M348" s="1523">
        <v>0</v>
      </c>
      <c r="N348" s="1502">
        <v>0</v>
      </c>
      <c r="O348" s="1504">
        <v>0</v>
      </c>
    </row>
    <row r="349" spans="2:15" ht="20.25" x14ac:dyDescent="0.2">
      <c r="B349" s="817" t="s">
        <v>434</v>
      </c>
      <c r="C349" s="818">
        <v>4</v>
      </c>
      <c r="D349" s="1064">
        <f t="shared" si="60"/>
        <v>13</v>
      </c>
      <c r="E349" s="1058">
        <f t="shared" si="63"/>
        <v>13</v>
      </c>
      <c r="F349" s="275">
        <f t="shared" si="61"/>
        <v>1770</v>
      </c>
      <c r="G349" s="276">
        <f t="shared" si="62"/>
        <v>1753</v>
      </c>
      <c r="H349" s="1500">
        <v>12</v>
      </c>
      <c r="I349" s="1501">
        <v>12</v>
      </c>
      <c r="J349" s="1502">
        <v>1694</v>
      </c>
      <c r="K349" s="1503">
        <v>1678</v>
      </c>
      <c r="L349" s="1500">
        <v>1</v>
      </c>
      <c r="M349" s="1501">
        <v>1</v>
      </c>
      <c r="N349" s="1502">
        <v>76</v>
      </c>
      <c r="O349" s="1504">
        <v>75</v>
      </c>
    </row>
    <row r="350" spans="2:15" ht="20.25" x14ac:dyDescent="0.2">
      <c r="B350" s="817" t="s">
        <v>435</v>
      </c>
      <c r="C350" s="818">
        <v>5</v>
      </c>
      <c r="D350" s="1064">
        <f t="shared" si="60"/>
        <v>5</v>
      </c>
      <c r="E350" s="1058">
        <f t="shared" si="63"/>
        <v>5</v>
      </c>
      <c r="F350" s="275">
        <f t="shared" si="61"/>
        <v>508</v>
      </c>
      <c r="G350" s="276">
        <f t="shared" si="62"/>
        <v>500</v>
      </c>
      <c r="H350" s="1500">
        <v>3</v>
      </c>
      <c r="I350" s="1501">
        <v>3</v>
      </c>
      <c r="J350" s="1502">
        <v>333</v>
      </c>
      <c r="K350" s="1503">
        <v>325</v>
      </c>
      <c r="L350" s="1500">
        <v>2</v>
      </c>
      <c r="M350" s="1501">
        <v>2</v>
      </c>
      <c r="N350" s="1502">
        <v>175</v>
      </c>
      <c r="O350" s="1504">
        <v>175</v>
      </c>
    </row>
    <row r="351" spans="2:15" ht="20.25" x14ac:dyDescent="0.2">
      <c r="B351" s="817" t="s">
        <v>436</v>
      </c>
      <c r="C351" s="818">
        <v>6</v>
      </c>
      <c r="D351" s="1064">
        <f t="shared" si="60"/>
        <v>6</v>
      </c>
      <c r="E351" s="1058">
        <f t="shared" si="63"/>
        <v>6</v>
      </c>
      <c r="F351" s="275">
        <f t="shared" si="61"/>
        <v>431</v>
      </c>
      <c r="G351" s="276">
        <f t="shared" si="62"/>
        <v>423</v>
      </c>
      <c r="H351" s="1500">
        <v>0</v>
      </c>
      <c r="I351" s="1501">
        <v>0</v>
      </c>
      <c r="J351" s="1502">
        <v>0</v>
      </c>
      <c r="K351" s="1503">
        <v>0</v>
      </c>
      <c r="L351" s="1500">
        <v>6</v>
      </c>
      <c r="M351" s="1501">
        <v>6</v>
      </c>
      <c r="N351" s="1502">
        <v>431</v>
      </c>
      <c r="O351" s="1504">
        <v>423</v>
      </c>
    </row>
    <row r="352" spans="2:15" ht="21" thickBot="1" x14ac:dyDescent="0.25">
      <c r="B352" s="819" t="s">
        <v>437</v>
      </c>
      <c r="C352" s="820">
        <v>7</v>
      </c>
      <c r="D352" s="1065">
        <f t="shared" si="60"/>
        <v>0</v>
      </c>
      <c r="E352" s="1582">
        <f t="shared" si="63"/>
        <v>0</v>
      </c>
      <c r="F352" s="277">
        <f t="shared" si="61"/>
        <v>0</v>
      </c>
      <c r="G352" s="278">
        <f t="shared" si="62"/>
        <v>0</v>
      </c>
      <c r="H352" s="1505">
        <v>0</v>
      </c>
      <c r="I352" s="1581">
        <v>0</v>
      </c>
      <c r="J352" s="1507">
        <v>0</v>
      </c>
      <c r="K352" s="1508">
        <v>0</v>
      </c>
      <c r="L352" s="1505">
        <v>0</v>
      </c>
      <c r="M352" s="1506">
        <v>0</v>
      </c>
      <c r="N352" s="1507">
        <v>0</v>
      </c>
      <c r="O352" s="1509">
        <v>0</v>
      </c>
    </row>
    <row r="353" spans="1:15" ht="32.25" thickTop="1" x14ac:dyDescent="0.2">
      <c r="B353" s="821" t="s">
        <v>438</v>
      </c>
      <c r="C353" s="822">
        <v>8</v>
      </c>
      <c r="D353" s="827">
        <f>H353+L353</f>
        <v>8</v>
      </c>
      <c r="E353" s="827">
        <f t="shared" si="63"/>
        <v>8</v>
      </c>
      <c r="F353" s="828">
        <f t="shared" ref="F353:G356" si="64">J353+N353</f>
        <v>580</v>
      </c>
      <c r="G353" s="829">
        <f t="shared" si="64"/>
        <v>537</v>
      </c>
      <c r="H353" s="1510">
        <v>5</v>
      </c>
      <c r="I353" s="1510">
        <v>5</v>
      </c>
      <c r="J353" s="1511">
        <v>395</v>
      </c>
      <c r="K353" s="1512">
        <v>367</v>
      </c>
      <c r="L353" s="1510">
        <v>3</v>
      </c>
      <c r="M353" s="1510">
        <v>3</v>
      </c>
      <c r="N353" s="1511">
        <v>185</v>
      </c>
      <c r="O353" s="1513">
        <v>170</v>
      </c>
    </row>
    <row r="354" spans="1:15" ht="31.5" x14ac:dyDescent="0.2">
      <c r="B354" s="823" t="s">
        <v>439</v>
      </c>
      <c r="C354" s="824">
        <v>9</v>
      </c>
      <c r="D354" s="830">
        <f>H354+L354</f>
        <v>0</v>
      </c>
      <c r="E354" s="830">
        <f t="shared" si="63"/>
        <v>0</v>
      </c>
      <c r="F354" s="275">
        <f t="shared" si="64"/>
        <v>0</v>
      </c>
      <c r="G354" s="831">
        <f t="shared" si="64"/>
        <v>0</v>
      </c>
      <c r="H354" s="1514">
        <v>0</v>
      </c>
      <c r="I354" s="1514">
        <v>0</v>
      </c>
      <c r="J354" s="1502">
        <v>0</v>
      </c>
      <c r="K354" s="1515">
        <v>0</v>
      </c>
      <c r="L354" s="1514">
        <v>0</v>
      </c>
      <c r="M354" s="1514">
        <v>0</v>
      </c>
      <c r="N354" s="1502">
        <v>0</v>
      </c>
      <c r="O354" s="1516">
        <v>0</v>
      </c>
    </row>
    <row r="355" spans="1:15" ht="31.5" x14ac:dyDescent="0.2">
      <c r="B355" s="823" t="s">
        <v>440</v>
      </c>
      <c r="C355" s="824">
        <v>10</v>
      </c>
      <c r="D355" s="830">
        <f>H355+L355</f>
        <v>6</v>
      </c>
      <c r="E355" s="830">
        <f t="shared" si="63"/>
        <v>6</v>
      </c>
      <c r="F355" s="275">
        <f t="shared" si="64"/>
        <v>606</v>
      </c>
      <c r="G355" s="831">
        <f t="shared" si="64"/>
        <v>551</v>
      </c>
      <c r="H355" s="1514">
        <v>4</v>
      </c>
      <c r="I355" s="1514">
        <v>4</v>
      </c>
      <c r="J355" s="1502">
        <v>483</v>
      </c>
      <c r="K355" s="1515">
        <v>445</v>
      </c>
      <c r="L355" s="1514">
        <v>2</v>
      </c>
      <c r="M355" s="1514">
        <v>2</v>
      </c>
      <c r="N355" s="1502">
        <v>123</v>
      </c>
      <c r="O355" s="1516">
        <v>106</v>
      </c>
    </row>
    <row r="356" spans="1:15" ht="48" thickBot="1" x14ac:dyDescent="0.25">
      <c r="B356" s="825" t="s">
        <v>441</v>
      </c>
      <c r="C356" s="826">
        <v>11</v>
      </c>
      <c r="D356" s="832">
        <f>H356+L356</f>
        <v>1</v>
      </c>
      <c r="E356" s="832">
        <f t="shared" si="63"/>
        <v>1</v>
      </c>
      <c r="F356" s="277">
        <f t="shared" si="64"/>
        <v>85</v>
      </c>
      <c r="G356" s="833">
        <f t="shared" si="64"/>
        <v>84</v>
      </c>
      <c r="H356" s="1517">
        <v>1</v>
      </c>
      <c r="I356" s="1517">
        <v>1</v>
      </c>
      <c r="J356" s="1507">
        <v>85</v>
      </c>
      <c r="K356" s="1518">
        <v>84</v>
      </c>
      <c r="L356" s="1517">
        <v>0</v>
      </c>
      <c r="M356" s="1517">
        <v>0</v>
      </c>
      <c r="N356" s="1507">
        <v>0</v>
      </c>
      <c r="O356" s="1519">
        <v>0</v>
      </c>
    </row>
    <row r="357" spans="1:15" ht="21" thickTop="1" x14ac:dyDescent="0.2">
      <c r="B357" s="264"/>
      <c r="C357" s="409"/>
      <c r="D357" s="410"/>
      <c r="E357" s="410"/>
      <c r="F357" s="410"/>
      <c r="G357" s="410"/>
      <c r="H357" s="410"/>
      <c r="I357" s="410"/>
      <c r="J357" s="410"/>
      <c r="K357" s="410"/>
      <c r="L357" s="410"/>
      <c r="M357" s="410"/>
      <c r="N357" s="410"/>
    </row>
    <row r="358" spans="1:15" ht="20.25" x14ac:dyDescent="0.25">
      <c r="B358" s="11" t="s">
        <v>123</v>
      </c>
      <c r="C358" s="409"/>
      <c r="D358" s="410"/>
      <c r="E358" s="410"/>
      <c r="F358" s="410"/>
      <c r="G358" s="410"/>
      <c r="H358" s="410"/>
      <c r="I358" s="410"/>
      <c r="J358" s="410"/>
      <c r="K358" s="410"/>
      <c r="L358" s="1654" t="s">
        <v>442</v>
      </c>
      <c r="M358" s="1654"/>
      <c r="N358" s="1654"/>
      <c r="O358" s="1654"/>
    </row>
    <row r="359" spans="1:15" ht="20.25" x14ac:dyDescent="0.25">
      <c r="B359" s="11" t="s">
        <v>124</v>
      </c>
      <c r="C359" s="409"/>
      <c r="D359" s="410"/>
      <c r="E359" s="410"/>
      <c r="F359" s="410"/>
      <c r="G359" s="410"/>
      <c r="H359" s="410"/>
      <c r="I359" s="410"/>
      <c r="J359" s="410"/>
      <c r="K359" s="410"/>
      <c r="L359" s="1604" t="s">
        <v>126</v>
      </c>
      <c r="M359" s="1604"/>
      <c r="N359" s="1604"/>
      <c r="O359" s="1604"/>
    </row>
    <row r="360" spans="1:15" ht="20.25" x14ac:dyDescent="0.25">
      <c r="B360" s="11" t="s">
        <v>125</v>
      </c>
      <c r="I360" s="1103"/>
    </row>
    <row r="361" spans="1:15" ht="20.25" x14ac:dyDescent="0.2">
      <c r="I361" s="1103"/>
    </row>
    <row r="362" spans="1:15" ht="26.25" x14ac:dyDescent="0.4">
      <c r="A362" s="267" t="s">
        <v>202</v>
      </c>
      <c r="I362" s="1103"/>
      <c r="N362" s="1675" t="s">
        <v>14</v>
      </c>
      <c r="O362" s="1675"/>
    </row>
    <row r="363" spans="1:15" ht="18" x14ac:dyDescent="0.25">
      <c r="B363" s="11" t="s">
        <v>116</v>
      </c>
      <c r="C363" s="3"/>
      <c r="D363" s="3"/>
      <c r="E363" s="3"/>
      <c r="F363" s="3"/>
      <c r="G363" s="3"/>
      <c r="H363" s="3"/>
      <c r="I363" s="3"/>
      <c r="J363" s="3"/>
      <c r="K363" s="11"/>
      <c r="L363" s="3"/>
      <c r="M363" s="3"/>
    </row>
    <row r="364" spans="1:15" ht="18" x14ac:dyDescent="0.25">
      <c r="B364" s="14" t="s">
        <v>129</v>
      </c>
      <c r="C364" s="29"/>
      <c r="D364" s="3"/>
      <c r="E364" s="3"/>
      <c r="F364" s="3"/>
      <c r="G364" s="3"/>
      <c r="H364" s="3"/>
      <c r="I364" s="3"/>
      <c r="N364" s="1676" t="str">
        <f>'Tab.1. bilans_Polska'!$E$59</f>
        <v>Termin: 29 luty 2012 r.</v>
      </c>
      <c r="O364" s="1676"/>
    </row>
    <row r="365" spans="1:15" ht="18" x14ac:dyDescent="0.25">
      <c r="B365" s="11" t="s">
        <v>128</v>
      </c>
      <c r="C365" s="3"/>
      <c r="D365" s="3"/>
      <c r="E365" s="3"/>
      <c r="F365" s="3"/>
      <c r="G365" s="3"/>
      <c r="H365" s="3"/>
      <c r="I365" s="3"/>
    </row>
    <row r="366" spans="1:15" ht="18" x14ac:dyDescent="0.25">
      <c r="B366" s="11"/>
      <c r="C366" s="3"/>
      <c r="D366" s="3"/>
      <c r="E366" s="3"/>
      <c r="F366" s="3"/>
      <c r="G366" s="3"/>
      <c r="H366" s="3"/>
      <c r="I366" s="3"/>
      <c r="J366" s="3"/>
      <c r="K366" s="3"/>
      <c r="L366" s="3"/>
      <c r="M366" s="3"/>
      <c r="N366" s="3"/>
    </row>
    <row r="367" spans="1:15" ht="18" x14ac:dyDescent="0.25">
      <c r="B367" s="11"/>
      <c r="C367" s="3"/>
      <c r="D367" s="3"/>
      <c r="E367" s="3"/>
      <c r="F367" s="3"/>
      <c r="G367" s="3"/>
      <c r="H367" s="3"/>
      <c r="I367" s="3"/>
      <c r="J367" s="3"/>
      <c r="K367" s="3"/>
      <c r="L367" s="3"/>
      <c r="M367" s="3"/>
      <c r="N367" s="3"/>
    </row>
    <row r="368" spans="1:15" ht="15.75" x14ac:dyDescent="0.25">
      <c r="B368" s="1"/>
      <c r="C368" s="3"/>
      <c r="D368" s="3"/>
      <c r="E368" s="3"/>
      <c r="F368" s="3"/>
      <c r="G368" s="3"/>
      <c r="H368" s="3"/>
      <c r="I368" s="3"/>
      <c r="J368" s="3"/>
      <c r="K368" s="3"/>
      <c r="L368" s="3"/>
      <c r="M368" s="3"/>
      <c r="N368" s="3"/>
    </row>
    <row r="369" spans="2:15" ht="15.75" x14ac:dyDescent="0.25">
      <c r="B369" s="1"/>
      <c r="C369" s="3"/>
      <c r="D369" s="3"/>
      <c r="E369" s="3"/>
      <c r="F369" s="3"/>
      <c r="G369" s="3"/>
      <c r="H369" s="3"/>
      <c r="I369" s="3"/>
      <c r="J369" s="3"/>
      <c r="K369" s="1"/>
      <c r="L369" s="3"/>
      <c r="M369" s="3"/>
      <c r="N369" s="3"/>
    </row>
    <row r="370" spans="2:15" ht="23.25" x14ac:dyDescent="0.35">
      <c r="B370" s="1655" t="s">
        <v>36</v>
      </c>
      <c r="C370" s="1655"/>
      <c r="D370" s="1655"/>
      <c r="E370" s="1655"/>
      <c r="F370" s="1655"/>
      <c r="G370" s="1655"/>
      <c r="H370" s="1655"/>
      <c r="I370" s="1655"/>
      <c r="J370" s="1655"/>
      <c r="K370" s="1655"/>
      <c r="L370" s="1655"/>
      <c r="M370" s="1655"/>
      <c r="N370" s="1655"/>
      <c r="O370" s="1655"/>
    </row>
    <row r="371" spans="2:15" ht="23.25" x14ac:dyDescent="0.35">
      <c r="B371" s="1645" t="str">
        <f>$B$11</f>
        <v>W  PODZIALE  NA  DOMY  SAMORZĄDÓW  POWIATOWYCH  I  PODMIOTÓW  NIEPUBLICZNYCH  WG  ST.  NA  DZIEŃ  31. XII. 2011 r.</v>
      </c>
      <c r="C371" s="1645"/>
      <c r="D371" s="1645"/>
      <c r="E371" s="1645"/>
      <c r="F371" s="1645"/>
      <c r="G371" s="1645"/>
      <c r="H371" s="1645"/>
      <c r="I371" s="1645"/>
      <c r="J371" s="1645"/>
      <c r="K371" s="1645"/>
      <c r="L371" s="1645"/>
      <c r="M371" s="1645"/>
      <c r="N371" s="1645"/>
      <c r="O371" s="1645"/>
    </row>
    <row r="372" spans="2:15" ht="23.25" x14ac:dyDescent="0.35">
      <c r="B372" s="28"/>
      <c r="C372" s="3"/>
      <c r="D372" s="3"/>
      <c r="E372" s="3"/>
      <c r="F372" s="3"/>
      <c r="G372" s="3"/>
      <c r="H372" s="3"/>
      <c r="I372" s="3"/>
      <c r="J372" s="3"/>
      <c r="K372" s="3"/>
      <c r="L372" s="3"/>
      <c r="M372" s="3"/>
      <c r="N372" s="3"/>
    </row>
    <row r="373" spans="2:15" ht="24" thickBot="1" x14ac:dyDescent="0.4">
      <c r="B373" s="30"/>
      <c r="C373" s="30"/>
      <c r="D373" s="939"/>
      <c r="E373" s="939"/>
      <c r="F373" s="939" t="str">
        <f>IF('Tab.1. bilans_Polska'!C574=F381, "", "t1w5k1="&amp;'Tab.1. bilans_Polska'!C574)</f>
        <v/>
      </c>
      <c r="G373" s="940"/>
      <c r="H373" s="940"/>
      <c r="I373" s="940"/>
      <c r="J373" s="939" t="str">
        <f>IF('Tab.1. bilans_Polska'!D574=J381, "", "t1w5k2="&amp;'Tab.1. bilans_Polska'!D574)</f>
        <v/>
      </c>
      <c r="K373" s="940"/>
      <c r="L373" s="940"/>
      <c r="M373" s="940"/>
      <c r="N373" s="942" t="str">
        <f>IF('Tab.1. bilans_Polska'!E574=N381,"","t1w5k3="&amp;'Tab.1. bilans_Polska'!E574)</f>
        <v/>
      </c>
      <c r="O373" s="941"/>
    </row>
    <row r="374" spans="2:15" ht="24" thickTop="1" x14ac:dyDescent="0.2">
      <c r="B374" s="1660" t="s">
        <v>38</v>
      </c>
      <c r="C374" s="1661"/>
      <c r="D374" s="1677" t="s">
        <v>3</v>
      </c>
      <c r="E374" s="1678"/>
      <c r="F374" s="1678"/>
      <c r="G374" s="1679"/>
      <c r="H374" s="1668" t="s">
        <v>37</v>
      </c>
      <c r="I374" s="1669"/>
      <c r="J374" s="1669"/>
      <c r="K374" s="1669"/>
      <c r="L374" s="1669"/>
      <c r="M374" s="1669"/>
      <c r="N374" s="1669"/>
      <c r="O374" s="1670"/>
    </row>
    <row r="375" spans="2:15" ht="18" customHeight="1" thickBot="1" x14ac:dyDescent="0.25">
      <c r="B375" s="1662"/>
      <c r="C375" s="1663"/>
      <c r="D375" s="1649" t="str">
        <f>UPPER("Domy 
zareje-
strowane")</f>
        <v>DOMY 
ZAREJE-
STROWANE</v>
      </c>
      <c r="E375" s="1646" t="s">
        <v>454</v>
      </c>
      <c r="F375" s="1646" t="s">
        <v>455</v>
      </c>
      <c r="G375" s="1666" t="s">
        <v>281</v>
      </c>
      <c r="H375" s="1671"/>
      <c r="I375" s="1672"/>
      <c r="J375" s="1672"/>
      <c r="K375" s="1672"/>
      <c r="L375" s="1672"/>
      <c r="M375" s="1672"/>
      <c r="N375" s="1672"/>
      <c r="O375" s="1673"/>
    </row>
    <row r="376" spans="2:15" ht="18" x14ac:dyDescent="0.2">
      <c r="B376" s="1662"/>
      <c r="C376" s="1663"/>
      <c r="D376" s="1650"/>
      <c r="E376" s="1647"/>
      <c r="F376" s="1647"/>
      <c r="G376" s="1667"/>
      <c r="H376" s="1656" t="s">
        <v>17</v>
      </c>
      <c r="I376" s="1656"/>
      <c r="J376" s="1656"/>
      <c r="K376" s="1657"/>
      <c r="L376" s="1658" t="s">
        <v>18</v>
      </c>
      <c r="M376" s="1656"/>
      <c r="N376" s="1656"/>
      <c r="O376" s="1659"/>
    </row>
    <row r="377" spans="2:15" ht="18" customHeight="1" x14ac:dyDescent="0.2">
      <c r="B377" s="1662"/>
      <c r="C377" s="1663"/>
      <c r="D377" s="1650"/>
      <c r="E377" s="1647"/>
      <c r="F377" s="1647"/>
      <c r="G377" s="1667"/>
      <c r="H377" s="1649" t="s">
        <v>460</v>
      </c>
      <c r="I377" s="1646" t="s">
        <v>456</v>
      </c>
      <c r="J377" s="1646" t="s">
        <v>393</v>
      </c>
      <c r="K377" s="1666" t="s">
        <v>457</v>
      </c>
      <c r="L377" s="1649" t="s">
        <v>460</v>
      </c>
      <c r="M377" s="1646" t="s">
        <v>456</v>
      </c>
      <c r="N377" s="1646" t="s">
        <v>393</v>
      </c>
      <c r="O377" s="1682" t="s">
        <v>457</v>
      </c>
    </row>
    <row r="378" spans="2:15" ht="13.5" customHeight="1" thickBot="1" x14ac:dyDescent="0.25">
      <c r="B378" s="1662"/>
      <c r="C378" s="1663"/>
      <c r="D378" s="1650"/>
      <c r="E378" s="1647"/>
      <c r="F378" s="1647"/>
      <c r="G378" s="1667"/>
      <c r="H378" s="1650"/>
      <c r="I378" s="1647"/>
      <c r="J378" s="1647"/>
      <c r="K378" s="1667"/>
      <c r="L378" s="1650"/>
      <c r="M378" s="1647"/>
      <c r="N378" s="1647"/>
      <c r="O378" s="1683"/>
    </row>
    <row r="379" spans="2:15" ht="15.75" customHeight="1" x14ac:dyDescent="0.2">
      <c r="B379" s="1664"/>
      <c r="C379" s="1665"/>
      <c r="D379" s="1073" t="s">
        <v>459</v>
      </c>
      <c r="E379" s="1074" t="s">
        <v>461</v>
      </c>
      <c r="F379" s="1071" t="s">
        <v>462</v>
      </c>
      <c r="G379" s="1072" t="s">
        <v>463</v>
      </c>
      <c r="H379" s="1651"/>
      <c r="I379" s="1648"/>
      <c r="J379" s="1648"/>
      <c r="K379" s="1674"/>
      <c r="L379" s="1651"/>
      <c r="M379" s="1648"/>
      <c r="N379" s="1648"/>
      <c r="O379" s="1684"/>
    </row>
    <row r="380" spans="2:15" ht="16.5" thickBot="1" x14ac:dyDescent="0.3">
      <c r="B380" s="1680">
        <v>0</v>
      </c>
      <c r="C380" s="1681"/>
      <c r="D380" s="48">
        <v>1</v>
      </c>
      <c r="E380" s="1056">
        <v>2</v>
      </c>
      <c r="F380" s="49">
        <v>3</v>
      </c>
      <c r="G380" s="50">
        <v>4</v>
      </c>
      <c r="H380" s="1075">
        <v>5</v>
      </c>
      <c r="I380" s="1056">
        <v>6</v>
      </c>
      <c r="J380" s="49">
        <v>7</v>
      </c>
      <c r="K380" s="50">
        <v>8</v>
      </c>
      <c r="L380" s="1075">
        <v>9</v>
      </c>
      <c r="M380" s="1056">
        <v>10</v>
      </c>
      <c r="N380" s="49">
        <v>11</v>
      </c>
      <c r="O380" s="51">
        <v>12</v>
      </c>
    </row>
    <row r="381" spans="2:15" ht="47.25" thickTop="1" x14ac:dyDescent="0.2">
      <c r="B381" s="814" t="s">
        <v>431</v>
      </c>
      <c r="C381" s="1652">
        <v>1</v>
      </c>
      <c r="D381" s="1066">
        <f>SUM(D383:D392)</f>
        <v>21</v>
      </c>
      <c r="E381" s="280">
        <f>I381+M381</f>
        <v>21</v>
      </c>
      <c r="F381" s="271">
        <f t="shared" ref="F381:O381" si="65">SUM(F383:F392)</f>
        <v>2295</v>
      </c>
      <c r="G381" s="272">
        <f t="shared" si="65"/>
        <v>2284</v>
      </c>
      <c r="H381" s="1076">
        <f t="shared" si="65"/>
        <v>15</v>
      </c>
      <c r="I381" s="1528">
        <v>15</v>
      </c>
      <c r="J381" s="279">
        <f t="shared" si="65"/>
        <v>1862</v>
      </c>
      <c r="K381" s="280">
        <f t="shared" si="65"/>
        <v>1850</v>
      </c>
      <c r="L381" s="1076">
        <f t="shared" si="65"/>
        <v>6</v>
      </c>
      <c r="M381" s="1529">
        <v>6</v>
      </c>
      <c r="N381" s="279">
        <f t="shared" si="65"/>
        <v>433</v>
      </c>
      <c r="O381" s="281">
        <f t="shared" si="65"/>
        <v>434</v>
      </c>
    </row>
    <row r="382" spans="2:15" ht="13.5" thickBot="1" x14ac:dyDescent="0.25">
      <c r="B382" s="53" t="s">
        <v>46</v>
      </c>
      <c r="C382" s="1653"/>
      <c r="D382" s="1067" t="str">
        <f>IF(H381+L381=D381, "", "Uwaga!")</f>
        <v/>
      </c>
      <c r="E382" s="1102" t="str">
        <f>IF(D381=E381, "", "Uwaga!")</f>
        <v/>
      </c>
      <c r="F382" s="399" t="str">
        <f>IF(J381+N381=F381, "", "Uwaga!")</f>
        <v/>
      </c>
      <c r="G382" s="400" t="str">
        <f>IF(K381+O381=G381, "", "Uwaga!")</f>
        <v/>
      </c>
      <c r="H382" s="1077"/>
      <c r="I382" s="1102" t="str">
        <f>IF(H381=I381, "", "Uwaga!")</f>
        <v/>
      </c>
      <c r="J382" s="185"/>
      <c r="K382" s="54"/>
      <c r="L382" s="1077"/>
      <c r="M382" s="1102" t="str">
        <f>IF(L381=M381, "", "Uwaga!")</f>
        <v/>
      </c>
      <c r="N382" s="185"/>
      <c r="O382" s="55"/>
    </row>
    <row r="383" spans="2:15" ht="21" thickTop="1" x14ac:dyDescent="0.2">
      <c r="B383" s="815" t="s">
        <v>432</v>
      </c>
      <c r="C383" s="816">
        <v>2</v>
      </c>
      <c r="D383" s="1063">
        <f t="shared" ref="D383:D388" si="66">H383+L383</f>
        <v>3</v>
      </c>
      <c r="E383" s="1057">
        <f>I383+M383</f>
        <v>3</v>
      </c>
      <c r="F383" s="273">
        <f t="shared" ref="F383:F388" si="67">J383+N383</f>
        <v>85</v>
      </c>
      <c r="G383" s="274">
        <f t="shared" ref="G383:G388" si="68">K383+O383</f>
        <v>87</v>
      </c>
      <c r="H383" s="1495">
        <v>1</v>
      </c>
      <c r="I383" s="1520">
        <v>1</v>
      </c>
      <c r="J383" s="1497">
        <v>30</v>
      </c>
      <c r="K383" s="1498">
        <v>30</v>
      </c>
      <c r="L383" s="1495">
        <v>2</v>
      </c>
      <c r="M383" s="1520">
        <v>2</v>
      </c>
      <c r="N383" s="1497">
        <v>55</v>
      </c>
      <c r="O383" s="1499">
        <v>57</v>
      </c>
    </row>
    <row r="384" spans="2:15" ht="20.25" x14ac:dyDescent="0.2">
      <c r="B384" s="817" t="s">
        <v>433</v>
      </c>
      <c r="C384" s="818">
        <v>3</v>
      </c>
      <c r="D384" s="1064">
        <f t="shared" si="66"/>
        <v>4</v>
      </c>
      <c r="E384" s="1058">
        <f t="shared" ref="E384:E392" si="69">I384+M384</f>
        <v>4</v>
      </c>
      <c r="F384" s="275">
        <f t="shared" si="67"/>
        <v>488</v>
      </c>
      <c r="G384" s="276">
        <f t="shared" si="68"/>
        <v>489</v>
      </c>
      <c r="H384" s="1500">
        <v>4</v>
      </c>
      <c r="I384" s="1501">
        <v>4</v>
      </c>
      <c r="J384" s="1502">
        <v>488</v>
      </c>
      <c r="K384" s="1503">
        <v>489</v>
      </c>
      <c r="L384" s="1500">
        <v>0</v>
      </c>
      <c r="M384" s="1501">
        <v>0</v>
      </c>
      <c r="N384" s="1502">
        <v>0</v>
      </c>
      <c r="O384" s="1504">
        <v>0</v>
      </c>
    </row>
    <row r="385" spans="1:15" ht="20.25" x14ac:dyDescent="0.2">
      <c r="B385" s="817" t="s">
        <v>434</v>
      </c>
      <c r="C385" s="818">
        <v>4</v>
      </c>
      <c r="D385" s="1064">
        <f t="shared" si="66"/>
        <v>4</v>
      </c>
      <c r="E385" s="1058">
        <f t="shared" si="69"/>
        <v>4</v>
      </c>
      <c r="F385" s="275">
        <f t="shared" si="67"/>
        <v>655</v>
      </c>
      <c r="G385" s="276">
        <f t="shared" si="68"/>
        <v>653</v>
      </c>
      <c r="H385" s="1500">
        <v>2</v>
      </c>
      <c r="I385" s="1501">
        <v>2</v>
      </c>
      <c r="J385" s="1502">
        <v>407</v>
      </c>
      <c r="K385" s="1503">
        <v>404</v>
      </c>
      <c r="L385" s="1500">
        <v>2</v>
      </c>
      <c r="M385" s="1501">
        <v>2</v>
      </c>
      <c r="N385" s="1502">
        <v>248</v>
      </c>
      <c r="O385" s="1504">
        <v>249</v>
      </c>
    </row>
    <row r="386" spans="1:15" ht="20.25" x14ac:dyDescent="0.2">
      <c r="B386" s="817" t="s">
        <v>435</v>
      </c>
      <c r="C386" s="818">
        <v>5</v>
      </c>
      <c r="D386" s="1064">
        <f t="shared" si="66"/>
        <v>1</v>
      </c>
      <c r="E386" s="1058">
        <f t="shared" si="69"/>
        <v>1</v>
      </c>
      <c r="F386" s="1106">
        <f t="shared" si="67"/>
        <v>114</v>
      </c>
      <c r="G386" s="276">
        <f t="shared" si="68"/>
        <v>114</v>
      </c>
      <c r="H386" s="1500">
        <v>1</v>
      </c>
      <c r="I386" s="1501">
        <v>1</v>
      </c>
      <c r="J386" s="1524">
        <v>114</v>
      </c>
      <c r="K386" s="1503">
        <v>114</v>
      </c>
      <c r="L386" s="1500">
        <v>0</v>
      </c>
      <c r="M386" s="1501">
        <v>0</v>
      </c>
      <c r="N386" s="1502">
        <v>0</v>
      </c>
      <c r="O386" s="1504">
        <v>0</v>
      </c>
    </row>
    <row r="387" spans="1:15" ht="20.25" x14ac:dyDescent="0.2">
      <c r="B387" s="817" t="s">
        <v>436</v>
      </c>
      <c r="C387" s="818">
        <v>6</v>
      </c>
      <c r="D387" s="1064">
        <f t="shared" si="66"/>
        <v>4</v>
      </c>
      <c r="E387" s="1058">
        <f t="shared" si="69"/>
        <v>4</v>
      </c>
      <c r="F387" s="275">
        <f t="shared" si="67"/>
        <v>278</v>
      </c>
      <c r="G387" s="276">
        <f t="shared" si="68"/>
        <v>275</v>
      </c>
      <c r="H387" s="1500">
        <v>2</v>
      </c>
      <c r="I387" s="1501">
        <v>2</v>
      </c>
      <c r="J387" s="1502">
        <v>148</v>
      </c>
      <c r="K387" s="1503">
        <v>147</v>
      </c>
      <c r="L387" s="1500">
        <v>2</v>
      </c>
      <c r="M387" s="1501">
        <v>2</v>
      </c>
      <c r="N387" s="1502">
        <v>130</v>
      </c>
      <c r="O387" s="1504">
        <v>128</v>
      </c>
    </row>
    <row r="388" spans="1:15" ht="21" thickBot="1" x14ac:dyDescent="0.25">
      <c r="B388" s="819" t="s">
        <v>437</v>
      </c>
      <c r="C388" s="820">
        <v>7</v>
      </c>
      <c r="D388" s="1065">
        <f t="shared" si="66"/>
        <v>0</v>
      </c>
      <c r="E388" s="1059">
        <f t="shared" si="69"/>
        <v>0</v>
      </c>
      <c r="F388" s="277">
        <f t="shared" si="67"/>
        <v>0</v>
      </c>
      <c r="G388" s="278">
        <f t="shared" si="68"/>
        <v>0</v>
      </c>
      <c r="H388" s="1505">
        <v>0</v>
      </c>
      <c r="I388" s="1506">
        <v>0</v>
      </c>
      <c r="J388" s="1507">
        <v>0</v>
      </c>
      <c r="K388" s="1508">
        <v>0</v>
      </c>
      <c r="L388" s="1505">
        <v>0</v>
      </c>
      <c r="M388" s="1506">
        <v>0</v>
      </c>
      <c r="N388" s="1507">
        <v>0</v>
      </c>
      <c r="O388" s="1509">
        <v>0</v>
      </c>
    </row>
    <row r="389" spans="1:15" ht="32.25" thickTop="1" x14ac:dyDescent="0.2">
      <c r="B389" s="821" t="s">
        <v>438</v>
      </c>
      <c r="C389" s="822">
        <v>8</v>
      </c>
      <c r="D389" s="827">
        <f>H389+L389</f>
        <v>4</v>
      </c>
      <c r="E389" s="827">
        <f t="shared" si="69"/>
        <v>4</v>
      </c>
      <c r="F389" s="828">
        <f t="shared" ref="F389:G392" si="70">J389+N389</f>
        <v>405</v>
      </c>
      <c r="G389" s="829">
        <f t="shared" si="70"/>
        <v>396</v>
      </c>
      <c r="H389" s="1510">
        <v>4</v>
      </c>
      <c r="I389" s="1510">
        <v>4</v>
      </c>
      <c r="J389" s="1511">
        <v>405</v>
      </c>
      <c r="K389" s="1512">
        <v>396</v>
      </c>
      <c r="L389" s="1510">
        <v>0</v>
      </c>
      <c r="M389" s="1510">
        <v>0</v>
      </c>
      <c r="N389" s="1511">
        <v>0</v>
      </c>
      <c r="O389" s="1513">
        <v>0</v>
      </c>
    </row>
    <row r="390" spans="1:15" ht="31.5" x14ac:dyDescent="0.2">
      <c r="B390" s="823" t="s">
        <v>439</v>
      </c>
      <c r="C390" s="824">
        <v>9</v>
      </c>
      <c r="D390" s="830">
        <f>H390+L390</f>
        <v>0</v>
      </c>
      <c r="E390" s="830">
        <f t="shared" si="69"/>
        <v>0</v>
      </c>
      <c r="F390" s="275">
        <f t="shared" si="70"/>
        <v>0</v>
      </c>
      <c r="G390" s="831">
        <f t="shared" si="70"/>
        <v>0</v>
      </c>
      <c r="H390" s="1514">
        <v>0</v>
      </c>
      <c r="I390" s="1514">
        <v>0</v>
      </c>
      <c r="J390" s="1502">
        <v>0</v>
      </c>
      <c r="K390" s="1515">
        <v>0</v>
      </c>
      <c r="L390" s="1514">
        <v>0</v>
      </c>
      <c r="M390" s="1514">
        <v>0</v>
      </c>
      <c r="N390" s="1502">
        <v>0</v>
      </c>
      <c r="O390" s="1516">
        <v>0</v>
      </c>
    </row>
    <row r="391" spans="1:15" ht="31.5" x14ac:dyDescent="0.2">
      <c r="B391" s="823" t="s">
        <v>440</v>
      </c>
      <c r="C391" s="824">
        <v>10</v>
      </c>
      <c r="D391" s="830">
        <f>H391+L391</f>
        <v>0</v>
      </c>
      <c r="E391" s="830">
        <f t="shared" si="69"/>
        <v>0</v>
      </c>
      <c r="F391" s="275">
        <f t="shared" si="70"/>
        <v>0</v>
      </c>
      <c r="G391" s="831">
        <f t="shared" si="70"/>
        <v>0</v>
      </c>
      <c r="H391" s="1514">
        <v>0</v>
      </c>
      <c r="I391" s="1514">
        <v>0</v>
      </c>
      <c r="J391" s="1502">
        <v>0</v>
      </c>
      <c r="K391" s="1515">
        <v>0</v>
      </c>
      <c r="L391" s="1514">
        <v>0</v>
      </c>
      <c r="M391" s="1514">
        <v>0</v>
      </c>
      <c r="N391" s="1502">
        <v>0</v>
      </c>
      <c r="O391" s="1516">
        <v>0</v>
      </c>
    </row>
    <row r="392" spans="1:15" ht="48" thickBot="1" x14ac:dyDescent="0.25">
      <c r="B392" s="825" t="s">
        <v>441</v>
      </c>
      <c r="C392" s="826">
        <v>11</v>
      </c>
      <c r="D392" s="832">
        <f>H392+L392</f>
        <v>1</v>
      </c>
      <c r="E392" s="832">
        <f t="shared" si="69"/>
        <v>1</v>
      </c>
      <c r="F392" s="277">
        <f t="shared" si="70"/>
        <v>270</v>
      </c>
      <c r="G392" s="833">
        <f t="shared" si="70"/>
        <v>270</v>
      </c>
      <c r="H392" s="1517">
        <v>1</v>
      </c>
      <c r="I392" s="1517">
        <v>1</v>
      </c>
      <c r="J392" s="1507">
        <v>270</v>
      </c>
      <c r="K392" s="1518">
        <v>270</v>
      </c>
      <c r="L392" s="1517">
        <v>0</v>
      </c>
      <c r="M392" s="1517">
        <v>0</v>
      </c>
      <c r="N392" s="1507">
        <v>0</v>
      </c>
      <c r="O392" s="1519">
        <v>0</v>
      </c>
    </row>
    <row r="393" spans="1:15" ht="21" thickTop="1" x14ac:dyDescent="0.2">
      <c r="B393" s="264"/>
      <c r="C393" s="409"/>
      <c r="D393" s="410"/>
      <c r="E393" s="410"/>
      <c r="F393" s="410"/>
      <c r="G393" s="410"/>
      <c r="H393" s="410"/>
      <c r="I393" s="410"/>
      <c r="J393" s="410"/>
      <c r="K393" s="410"/>
      <c r="L393" s="410"/>
      <c r="M393" s="410"/>
      <c r="N393" s="410"/>
    </row>
    <row r="394" spans="1:15" ht="20.25" x14ac:dyDescent="0.25">
      <c r="B394" s="11" t="s">
        <v>123</v>
      </c>
      <c r="C394" s="409"/>
      <c r="D394" s="410"/>
      <c r="E394" s="410"/>
      <c r="F394" s="410"/>
      <c r="G394" s="410"/>
      <c r="H394" s="410"/>
      <c r="I394" s="410"/>
      <c r="J394" s="410"/>
      <c r="K394" s="410"/>
      <c r="L394" s="1654" t="s">
        <v>442</v>
      </c>
      <c r="M394" s="1654"/>
      <c r="N394" s="1654"/>
      <c r="O394" s="1654"/>
    </row>
    <row r="395" spans="1:15" ht="20.25" x14ac:dyDescent="0.25">
      <c r="B395" s="11" t="s">
        <v>124</v>
      </c>
      <c r="C395" s="409"/>
      <c r="D395" s="410"/>
      <c r="E395" s="410"/>
      <c r="F395" s="410"/>
      <c r="G395" s="410"/>
      <c r="H395" s="410"/>
      <c r="I395" s="410"/>
      <c r="J395" s="410"/>
      <c r="K395" s="410"/>
      <c r="L395" s="1604" t="s">
        <v>126</v>
      </c>
      <c r="M395" s="1604"/>
      <c r="N395" s="1604"/>
      <c r="O395" s="1604"/>
    </row>
    <row r="396" spans="1:15" ht="18" x14ac:dyDescent="0.25">
      <c r="B396" s="11" t="s">
        <v>125</v>
      </c>
    </row>
    <row r="398" spans="1:15" ht="26.25" x14ac:dyDescent="0.4">
      <c r="A398" s="267" t="s">
        <v>203</v>
      </c>
      <c r="N398" s="1675" t="s">
        <v>14</v>
      </c>
      <c r="O398" s="1675"/>
    </row>
    <row r="399" spans="1:15" ht="18" x14ac:dyDescent="0.25">
      <c r="B399" s="11" t="s">
        <v>116</v>
      </c>
      <c r="C399" s="3"/>
      <c r="D399" s="3"/>
      <c r="E399" s="3"/>
      <c r="F399" s="3"/>
      <c r="G399" s="3"/>
      <c r="H399" s="3"/>
      <c r="I399" s="3"/>
      <c r="J399" s="3"/>
      <c r="K399" s="11"/>
      <c r="L399" s="3"/>
      <c r="M399" s="3"/>
    </row>
    <row r="400" spans="1:15" ht="18" x14ac:dyDescent="0.25">
      <c r="B400" s="14" t="s">
        <v>129</v>
      </c>
      <c r="C400" s="29"/>
      <c r="D400" s="3"/>
      <c r="E400" s="3"/>
      <c r="F400" s="3"/>
      <c r="G400" s="3"/>
      <c r="H400" s="3"/>
      <c r="I400" s="3"/>
      <c r="N400" s="1676" t="str">
        <f>'Tab.1. bilans_Polska'!$E$59</f>
        <v>Termin: 29 luty 2012 r.</v>
      </c>
      <c r="O400" s="1676"/>
    </row>
    <row r="401" spans="2:15" ht="18" x14ac:dyDescent="0.25">
      <c r="B401" s="11" t="s">
        <v>128</v>
      </c>
      <c r="C401" s="3"/>
      <c r="D401" s="3"/>
      <c r="E401" s="3"/>
      <c r="F401" s="3"/>
      <c r="G401" s="3"/>
      <c r="H401" s="3"/>
      <c r="I401" s="3"/>
    </row>
    <row r="402" spans="2:15" ht="18" x14ac:dyDescent="0.25">
      <c r="B402" s="11"/>
      <c r="C402" s="3"/>
      <c r="D402" s="3"/>
      <c r="E402" s="3"/>
      <c r="F402" s="3"/>
      <c r="G402" s="3"/>
      <c r="H402" s="3"/>
      <c r="I402" s="3"/>
      <c r="J402" s="3"/>
      <c r="K402" s="3"/>
      <c r="L402" s="3"/>
      <c r="M402" s="3"/>
      <c r="N402" s="3"/>
    </row>
    <row r="403" spans="2:15" ht="18" x14ac:dyDescent="0.25">
      <c r="B403" s="11"/>
      <c r="C403" s="3"/>
      <c r="D403" s="3"/>
      <c r="E403" s="3"/>
      <c r="F403" s="3"/>
      <c r="G403" s="3"/>
      <c r="H403" s="3"/>
      <c r="I403" s="3"/>
      <c r="J403" s="3"/>
      <c r="K403" s="3"/>
      <c r="L403" s="3"/>
      <c r="M403" s="3"/>
      <c r="N403" s="3"/>
    </row>
    <row r="404" spans="2:15" ht="15.75" x14ac:dyDescent="0.25">
      <c r="B404" s="1"/>
      <c r="C404" s="3"/>
      <c r="D404" s="3"/>
      <c r="E404" s="3"/>
      <c r="F404" s="3"/>
      <c r="G404" s="3"/>
      <c r="H404" s="3"/>
      <c r="I404" s="3"/>
      <c r="J404" s="3"/>
      <c r="K404" s="3"/>
      <c r="L404" s="3"/>
      <c r="M404" s="3"/>
      <c r="N404" s="3"/>
    </row>
    <row r="405" spans="2:15" ht="15.75" x14ac:dyDescent="0.25">
      <c r="B405" s="1"/>
      <c r="C405" s="3"/>
      <c r="D405" s="3"/>
      <c r="E405" s="3"/>
      <c r="F405" s="3"/>
      <c r="G405" s="3"/>
      <c r="H405" s="3"/>
      <c r="I405" s="3"/>
      <c r="J405" s="3"/>
      <c r="K405" s="1"/>
      <c r="L405" s="3"/>
      <c r="M405" s="3"/>
      <c r="N405" s="3"/>
    </row>
    <row r="406" spans="2:15" ht="23.25" x14ac:dyDescent="0.35">
      <c r="B406" s="1655" t="s">
        <v>36</v>
      </c>
      <c r="C406" s="1655"/>
      <c r="D406" s="1655"/>
      <c r="E406" s="1655"/>
      <c r="F406" s="1655"/>
      <c r="G406" s="1655"/>
      <c r="H406" s="1655"/>
      <c r="I406" s="1655"/>
      <c r="J406" s="1655"/>
      <c r="K406" s="1655"/>
      <c r="L406" s="1655"/>
      <c r="M406" s="1655"/>
      <c r="N406" s="1655"/>
      <c r="O406" s="1655"/>
    </row>
    <row r="407" spans="2:15" ht="23.25" x14ac:dyDescent="0.35">
      <c r="B407" s="1645" t="str">
        <f>$B$11</f>
        <v>W  PODZIALE  NA  DOMY  SAMORZĄDÓW  POWIATOWYCH  I  PODMIOTÓW  NIEPUBLICZNYCH  WG  ST.  NA  DZIEŃ  31. XII. 2011 r.</v>
      </c>
      <c r="C407" s="1645"/>
      <c r="D407" s="1645"/>
      <c r="E407" s="1645"/>
      <c r="F407" s="1645"/>
      <c r="G407" s="1645"/>
      <c r="H407" s="1645"/>
      <c r="I407" s="1645"/>
      <c r="J407" s="1645"/>
      <c r="K407" s="1645"/>
      <c r="L407" s="1645"/>
      <c r="M407" s="1645"/>
      <c r="N407" s="1645"/>
      <c r="O407" s="1645"/>
    </row>
    <row r="408" spans="2:15" ht="23.25" x14ac:dyDescent="0.35">
      <c r="B408" s="28"/>
      <c r="C408" s="3"/>
      <c r="D408" s="3"/>
      <c r="E408" s="3"/>
      <c r="F408" s="3"/>
      <c r="G408" s="3"/>
      <c r="H408" s="3"/>
      <c r="I408" s="3"/>
      <c r="J408" s="3"/>
      <c r="K408" s="3"/>
      <c r="L408" s="3"/>
      <c r="M408" s="3"/>
      <c r="N408" s="3"/>
    </row>
    <row r="409" spans="2:15" ht="24" thickBot="1" x14ac:dyDescent="0.4">
      <c r="B409" s="30"/>
      <c r="C409" s="30"/>
      <c r="D409" s="939"/>
      <c r="E409" s="939"/>
      <c r="F409" s="939" t="str">
        <f>IF('Tab.1. bilans_Polska'!C628=F417, "", "t1w5k1="&amp;'Tab.1. bilans_Polska'!C628)</f>
        <v/>
      </c>
      <c r="G409" s="940"/>
      <c r="H409" s="940"/>
      <c r="I409" s="940"/>
      <c r="J409" s="939" t="str">
        <f>IF('Tab.1. bilans_Polska'!D628=J417, "", "t1w5k2="&amp;'Tab.1. bilans_Polska'!D628)</f>
        <v/>
      </c>
      <c r="K409" s="940"/>
      <c r="L409" s="940"/>
      <c r="M409" s="940"/>
      <c r="N409" s="942" t="str">
        <f>IF('Tab.1. bilans_Polska'!E628=N417,"","t1w5k3="&amp;'Tab.1. bilans_Polska'!E628)</f>
        <v/>
      </c>
      <c r="O409" s="941"/>
    </row>
    <row r="410" spans="2:15" ht="24" thickTop="1" x14ac:dyDescent="0.2">
      <c r="B410" s="1660" t="s">
        <v>38</v>
      </c>
      <c r="C410" s="1661"/>
      <c r="D410" s="1677" t="s">
        <v>3</v>
      </c>
      <c r="E410" s="1678"/>
      <c r="F410" s="1678"/>
      <c r="G410" s="1679"/>
      <c r="H410" s="1668" t="s">
        <v>37</v>
      </c>
      <c r="I410" s="1669"/>
      <c r="J410" s="1669"/>
      <c r="K410" s="1669"/>
      <c r="L410" s="1669"/>
      <c r="M410" s="1669"/>
      <c r="N410" s="1669"/>
      <c r="O410" s="1670"/>
    </row>
    <row r="411" spans="2:15" ht="18" customHeight="1" thickBot="1" x14ac:dyDescent="0.25">
      <c r="B411" s="1662"/>
      <c r="C411" s="1663"/>
      <c r="D411" s="1649" t="str">
        <f>UPPER("Domy 
zareje-
strowane")</f>
        <v>DOMY 
ZAREJE-
STROWANE</v>
      </c>
      <c r="E411" s="1646" t="s">
        <v>454</v>
      </c>
      <c r="F411" s="1646" t="s">
        <v>455</v>
      </c>
      <c r="G411" s="1666" t="s">
        <v>281</v>
      </c>
      <c r="H411" s="1671"/>
      <c r="I411" s="1672"/>
      <c r="J411" s="1672"/>
      <c r="K411" s="1672"/>
      <c r="L411" s="1672"/>
      <c r="M411" s="1672"/>
      <c r="N411" s="1672"/>
      <c r="O411" s="1673"/>
    </row>
    <row r="412" spans="2:15" ht="18" x14ac:dyDescent="0.2">
      <c r="B412" s="1662"/>
      <c r="C412" s="1663"/>
      <c r="D412" s="1650"/>
      <c r="E412" s="1647"/>
      <c r="F412" s="1647"/>
      <c r="G412" s="1667"/>
      <c r="H412" s="1656" t="s">
        <v>17</v>
      </c>
      <c r="I412" s="1656"/>
      <c r="J412" s="1656"/>
      <c r="K412" s="1657"/>
      <c r="L412" s="1658" t="s">
        <v>18</v>
      </c>
      <c r="M412" s="1656"/>
      <c r="N412" s="1656"/>
      <c r="O412" s="1659"/>
    </row>
    <row r="413" spans="2:15" ht="18" customHeight="1" x14ac:dyDescent="0.2">
      <c r="B413" s="1662"/>
      <c r="C413" s="1663"/>
      <c r="D413" s="1650"/>
      <c r="E413" s="1647"/>
      <c r="F413" s="1647"/>
      <c r="G413" s="1667"/>
      <c r="H413" s="1649" t="s">
        <v>460</v>
      </c>
      <c r="I413" s="1646" t="s">
        <v>456</v>
      </c>
      <c r="J413" s="1646" t="s">
        <v>393</v>
      </c>
      <c r="K413" s="1666" t="s">
        <v>457</v>
      </c>
      <c r="L413" s="1649" t="s">
        <v>460</v>
      </c>
      <c r="M413" s="1646" t="s">
        <v>456</v>
      </c>
      <c r="N413" s="1646" t="s">
        <v>393</v>
      </c>
      <c r="O413" s="1682" t="s">
        <v>457</v>
      </c>
    </row>
    <row r="414" spans="2:15" ht="13.5" customHeight="1" thickBot="1" x14ac:dyDescent="0.25">
      <c r="B414" s="1662"/>
      <c r="C414" s="1663"/>
      <c r="D414" s="1650"/>
      <c r="E414" s="1647"/>
      <c r="F414" s="1647"/>
      <c r="G414" s="1667"/>
      <c r="H414" s="1650"/>
      <c r="I414" s="1647"/>
      <c r="J414" s="1647"/>
      <c r="K414" s="1667"/>
      <c r="L414" s="1650"/>
      <c r="M414" s="1647"/>
      <c r="N414" s="1647"/>
      <c r="O414" s="1683"/>
    </row>
    <row r="415" spans="2:15" ht="15.75" customHeight="1" x14ac:dyDescent="0.2">
      <c r="B415" s="1664"/>
      <c r="C415" s="1665"/>
      <c r="D415" s="1073" t="s">
        <v>459</v>
      </c>
      <c r="E415" s="1074" t="s">
        <v>461</v>
      </c>
      <c r="F415" s="1071" t="s">
        <v>462</v>
      </c>
      <c r="G415" s="1072" t="s">
        <v>463</v>
      </c>
      <c r="H415" s="1651"/>
      <c r="I415" s="1648"/>
      <c r="J415" s="1648"/>
      <c r="K415" s="1674"/>
      <c r="L415" s="1651"/>
      <c r="M415" s="1648"/>
      <c r="N415" s="1648"/>
      <c r="O415" s="1684"/>
    </row>
    <row r="416" spans="2:15" ht="16.5" thickBot="1" x14ac:dyDescent="0.3">
      <c r="B416" s="1680">
        <v>0</v>
      </c>
      <c r="C416" s="1681"/>
      <c r="D416" s="48">
        <v>1</v>
      </c>
      <c r="E416" s="1056">
        <v>2</v>
      </c>
      <c r="F416" s="49">
        <v>3</v>
      </c>
      <c r="G416" s="50">
        <v>4</v>
      </c>
      <c r="H416" s="1075">
        <v>5</v>
      </c>
      <c r="I416" s="1056">
        <v>6</v>
      </c>
      <c r="J416" s="49">
        <v>7</v>
      </c>
      <c r="K416" s="50">
        <v>8</v>
      </c>
      <c r="L416" s="1075">
        <v>9</v>
      </c>
      <c r="M416" s="1056">
        <v>10</v>
      </c>
      <c r="N416" s="49">
        <v>11</v>
      </c>
      <c r="O416" s="51">
        <v>12</v>
      </c>
    </row>
    <row r="417" spans="2:15" ht="47.25" thickTop="1" x14ac:dyDescent="0.2">
      <c r="B417" s="814" t="s">
        <v>431</v>
      </c>
      <c r="C417" s="1652">
        <v>1</v>
      </c>
      <c r="D417" s="1066">
        <f>SUM(D419:D428)</f>
        <v>39</v>
      </c>
      <c r="E417" s="280">
        <f>I417+M417</f>
        <v>39</v>
      </c>
      <c r="F417" s="271">
        <f t="shared" ref="F417:O417" si="71">SUM(F419:F428)</f>
        <v>3850</v>
      </c>
      <c r="G417" s="272">
        <f t="shared" si="71"/>
        <v>3851</v>
      </c>
      <c r="H417" s="1076">
        <f t="shared" si="71"/>
        <v>31</v>
      </c>
      <c r="I417" s="1528">
        <v>31</v>
      </c>
      <c r="J417" s="279">
        <f t="shared" si="71"/>
        <v>3303</v>
      </c>
      <c r="K417" s="280">
        <f t="shared" si="71"/>
        <v>3308</v>
      </c>
      <c r="L417" s="1076">
        <f t="shared" si="71"/>
        <v>8</v>
      </c>
      <c r="M417" s="1529">
        <v>8</v>
      </c>
      <c r="N417" s="279">
        <f t="shared" si="71"/>
        <v>547</v>
      </c>
      <c r="O417" s="281">
        <f t="shared" si="71"/>
        <v>543</v>
      </c>
    </row>
    <row r="418" spans="2:15" ht="13.5" thickBot="1" x14ac:dyDescent="0.25">
      <c r="B418" s="53" t="s">
        <v>46</v>
      </c>
      <c r="C418" s="1653"/>
      <c r="D418" s="1067" t="str">
        <f>IF(H417+L417=D417, "", "Uwaga!")</f>
        <v/>
      </c>
      <c r="E418" s="1102" t="str">
        <f>IF(D417=E417, "", "Uwaga!")</f>
        <v/>
      </c>
      <c r="F418" s="399" t="str">
        <f>IF(J417+N417=F417, "", "Uwaga!")</f>
        <v/>
      </c>
      <c r="G418" s="400" t="str">
        <f>IF(K417+O417=G417, "", "Uwaga!")</f>
        <v/>
      </c>
      <c r="H418" s="1077"/>
      <c r="I418" s="1102" t="str">
        <f>IF(H417=I417, "", "Uwaga!")</f>
        <v/>
      </c>
      <c r="J418" s="185"/>
      <c r="K418" s="54"/>
      <c r="L418" s="1077"/>
      <c r="M418" s="1102" t="str">
        <f>IF(L417=M417, "", "Uwaga!")</f>
        <v/>
      </c>
      <c r="N418" s="185"/>
      <c r="O418" s="55"/>
    </row>
    <row r="419" spans="2:15" ht="21" thickTop="1" x14ac:dyDescent="0.2">
      <c r="B419" s="815" t="s">
        <v>432</v>
      </c>
      <c r="C419" s="816">
        <v>2</v>
      </c>
      <c r="D419" s="1063">
        <f t="shared" ref="D419:D424" si="72">H419+L419</f>
        <v>1</v>
      </c>
      <c r="E419" s="1057">
        <f>I419+M419</f>
        <v>2</v>
      </c>
      <c r="F419" s="273">
        <f t="shared" ref="F419:F424" si="73">J419+N419</f>
        <v>33</v>
      </c>
      <c r="G419" s="274">
        <f t="shared" ref="G419:G424" si="74">K419+O419</f>
        <v>31</v>
      </c>
      <c r="H419" s="1495">
        <v>0</v>
      </c>
      <c r="I419" s="1520">
        <v>0</v>
      </c>
      <c r="J419" s="1497">
        <v>0</v>
      </c>
      <c r="K419" s="1498">
        <v>0</v>
      </c>
      <c r="L419" s="1495">
        <v>1</v>
      </c>
      <c r="M419" s="1520">
        <v>2</v>
      </c>
      <c r="N419" s="1497">
        <v>33</v>
      </c>
      <c r="O419" s="1499">
        <v>31</v>
      </c>
    </row>
    <row r="420" spans="2:15" ht="20.25" x14ac:dyDescent="0.2">
      <c r="B420" s="817" t="s">
        <v>433</v>
      </c>
      <c r="C420" s="818">
        <v>3</v>
      </c>
      <c r="D420" s="1064">
        <f t="shared" si="72"/>
        <v>6</v>
      </c>
      <c r="E420" s="1058">
        <f t="shared" ref="E420:E428" si="75">I420+M420</f>
        <v>6</v>
      </c>
      <c r="F420" s="275">
        <f t="shared" si="73"/>
        <v>512</v>
      </c>
      <c r="G420" s="276">
        <f t="shared" si="74"/>
        <v>492</v>
      </c>
      <c r="H420" s="1500">
        <v>5</v>
      </c>
      <c r="I420" s="1501">
        <v>5</v>
      </c>
      <c r="J420" s="1502">
        <v>429</v>
      </c>
      <c r="K420" s="1503">
        <v>413</v>
      </c>
      <c r="L420" s="1500">
        <v>1</v>
      </c>
      <c r="M420" s="1501">
        <v>1</v>
      </c>
      <c r="N420" s="1502">
        <v>83</v>
      </c>
      <c r="O420" s="1504">
        <v>79</v>
      </c>
    </row>
    <row r="421" spans="2:15" ht="20.25" x14ac:dyDescent="0.2">
      <c r="B421" s="817" t="s">
        <v>434</v>
      </c>
      <c r="C421" s="818">
        <v>4</v>
      </c>
      <c r="D421" s="1064">
        <f t="shared" si="72"/>
        <v>9</v>
      </c>
      <c r="E421" s="1058">
        <f t="shared" si="75"/>
        <v>11</v>
      </c>
      <c r="F421" s="275">
        <f t="shared" si="73"/>
        <v>1279</v>
      </c>
      <c r="G421" s="276">
        <f t="shared" si="74"/>
        <v>1268</v>
      </c>
      <c r="H421" s="1500">
        <v>9</v>
      </c>
      <c r="I421" s="1501">
        <v>11</v>
      </c>
      <c r="J421" s="1502">
        <v>1279</v>
      </c>
      <c r="K421" s="1503">
        <v>1268</v>
      </c>
      <c r="L421" s="1500">
        <v>0</v>
      </c>
      <c r="M421" s="1501">
        <v>0</v>
      </c>
      <c r="N421" s="1502">
        <v>0</v>
      </c>
      <c r="O421" s="1504">
        <v>0</v>
      </c>
    </row>
    <row r="422" spans="2:15" ht="20.25" x14ac:dyDescent="0.2">
      <c r="B422" s="817" t="s">
        <v>435</v>
      </c>
      <c r="C422" s="818">
        <v>5</v>
      </c>
      <c r="D422" s="1064">
        <f t="shared" si="72"/>
        <v>6</v>
      </c>
      <c r="E422" s="1058">
        <f t="shared" si="75"/>
        <v>8</v>
      </c>
      <c r="F422" s="275">
        <f t="shared" si="73"/>
        <v>512</v>
      </c>
      <c r="G422" s="276">
        <f t="shared" si="74"/>
        <v>539</v>
      </c>
      <c r="H422" s="1500">
        <v>5</v>
      </c>
      <c r="I422" s="1501">
        <v>7</v>
      </c>
      <c r="J422" s="1502">
        <v>485</v>
      </c>
      <c r="K422" s="1503">
        <v>511</v>
      </c>
      <c r="L422" s="1500">
        <v>1</v>
      </c>
      <c r="M422" s="1501">
        <v>1</v>
      </c>
      <c r="N422" s="1502">
        <v>27</v>
      </c>
      <c r="O422" s="1504">
        <v>28</v>
      </c>
    </row>
    <row r="423" spans="2:15" ht="20.25" x14ac:dyDescent="0.2">
      <c r="B423" s="817" t="s">
        <v>436</v>
      </c>
      <c r="C423" s="818">
        <v>6</v>
      </c>
      <c r="D423" s="1064">
        <f t="shared" si="72"/>
        <v>3</v>
      </c>
      <c r="E423" s="1058">
        <f t="shared" si="75"/>
        <v>4</v>
      </c>
      <c r="F423" s="275">
        <f t="shared" si="73"/>
        <v>292</v>
      </c>
      <c r="G423" s="276">
        <f t="shared" si="74"/>
        <v>294</v>
      </c>
      <c r="H423" s="1500">
        <v>0</v>
      </c>
      <c r="I423" s="1501">
        <v>0</v>
      </c>
      <c r="J423" s="1502">
        <v>0</v>
      </c>
      <c r="K423" s="1503">
        <v>0</v>
      </c>
      <c r="L423" s="1500">
        <v>3</v>
      </c>
      <c r="M423" s="1501">
        <v>4</v>
      </c>
      <c r="N423" s="1502">
        <v>292</v>
      </c>
      <c r="O423" s="1504">
        <v>294</v>
      </c>
    </row>
    <row r="424" spans="2:15" ht="21" thickBot="1" x14ac:dyDescent="0.25">
      <c r="B424" s="819" t="s">
        <v>437</v>
      </c>
      <c r="C424" s="820">
        <v>7</v>
      </c>
      <c r="D424" s="1065">
        <f t="shared" si="72"/>
        <v>0</v>
      </c>
      <c r="E424" s="1059">
        <f t="shared" si="75"/>
        <v>0</v>
      </c>
      <c r="F424" s="277">
        <f t="shared" si="73"/>
        <v>0</v>
      </c>
      <c r="G424" s="278">
        <f t="shared" si="74"/>
        <v>0</v>
      </c>
      <c r="H424" s="1505">
        <v>0</v>
      </c>
      <c r="I424" s="1506">
        <v>0</v>
      </c>
      <c r="J424" s="1507">
        <v>0</v>
      </c>
      <c r="K424" s="1508">
        <v>0</v>
      </c>
      <c r="L424" s="1505">
        <v>0</v>
      </c>
      <c r="M424" s="1506">
        <v>0</v>
      </c>
      <c r="N424" s="1507">
        <v>0</v>
      </c>
      <c r="O424" s="1509">
        <v>0</v>
      </c>
    </row>
    <row r="425" spans="2:15" ht="32.25" thickTop="1" x14ac:dyDescent="0.2">
      <c r="B425" s="821" t="s">
        <v>438</v>
      </c>
      <c r="C425" s="822">
        <v>8</v>
      </c>
      <c r="D425" s="827">
        <f>H425+L425</f>
        <v>7</v>
      </c>
      <c r="E425" s="827">
        <f t="shared" si="75"/>
        <v>8</v>
      </c>
      <c r="F425" s="828">
        <f t="shared" ref="F425:G428" si="76">J425+N425</f>
        <v>579</v>
      </c>
      <c r="G425" s="829">
        <f t="shared" si="76"/>
        <v>565</v>
      </c>
      <c r="H425" s="1510">
        <v>6</v>
      </c>
      <c r="I425" s="1510">
        <v>6</v>
      </c>
      <c r="J425" s="1511">
        <v>525</v>
      </c>
      <c r="K425" s="1512">
        <v>512</v>
      </c>
      <c r="L425" s="1510">
        <v>1</v>
      </c>
      <c r="M425" s="1510">
        <v>2</v>
      </c>
      <c r="N425" s="1511">
        <v>54</v>
      </c>
      <c r="O425" s="1513">
        <v>53</v>
      </c>
    </row>
    <row r="426" spans="2:15" ht="31.5" x14ac:dyDescent="0.2">
      <c r="B426" s="823" t="s">
        <v>439</v>
      </c>
      <c r="C426" s="824">
        <v>9</v>
      </c>
      <c r="D426" s="830">
        <f>H426+L426</f>
        <v>2</v>
      </c>
      <c r="E426" s="830">
        <f t="shared" si="75"/>
        <v>2</v>
      </c>
      <c r="F426" s="275">
        <f t="shared" si="76"/>
        <v>249</v>
      </c>
      <c r="G426" s="831">
        <f t="shared" si="76"/>
        <v>254</v>
      </c>
      <c r="H426" s="1514">
        <v>2</v>
      </c>
      <c r="I426" s="1514">
        <v>2</v>
      </c>
      <c r="J426" s="1502">
        <v>249</v>
      </c>
      <c r="K426" s="1515">
        <v>254</v>
      </c>
      <c r="L426" s="1514">
        <v>0</v>
      </c>
      <c r="M426" s="1514">
        <v>0</v>
      </c>
      <c r="N426" s="1502">
        <v>0</v>
      </c>
      <c r="O426" s="1516">
        <v>0</v>
      </c>
    </row>
    <row r="427" spans="2:15" ht="31.5" x14ac:dyDescent="0.2">
      <c r="B427" s="823" t="s">
        <v>440</v>
      </c>
      <c r="C427" s="824">
        <v>10</v>
      </c>
      <c r="D427" s="830">
        <f>H427+L427</f>
        <v>0</v>
      </c>
      <c r="E427" s="830">
        <f t="shared" si="75"/>
        <v>0</v>
      </c>
      <c r="F427" s="275">
        <f t="shared" si="76"/>
        <v>0</v>
      </c>
      <c r="G427" s="831">
        <f t="shared" si="76"/>
        <v>0</v>
      </c>
      <c r="H427" s="1514">
        <v>0</v>
      </c>
      <c r="I427" s="1514">
        <v>0</v>
      </c>
      <c r="J427" s="1502">
        <v>0</v>
      </c>
      <c r="K427" s="1515">
        <v>0</v>
      </c>
      <c r="L427" s="1514">
        <v>0</v>
      </c>
      <c r="M427" s="1514">
        <v>0</v>
      </c>
      <c r="N427" s="1502">
        <v>0</v>
      </c>
      <c r="O427" s="1516">
        <v>0</v>
      </c>
    </row>
    <row r="428" spans="2:15" ht="48" thickBot="1" x14ac:dyDescent="0.25">
      <c r="B428" s="825" t="s">
        <v>441</v>
      </c>
      <c r="C428" s="826">
        <v>11</v>
      </c>
      <c r="D428" s="832">
        <f>H428+L428</f>
        <v>5</v>
      </c>
      <c r="E428" s="832">
        <f t="shared" si="75"/>
        <v>5</v>
      </c>
      <c r="F428" s="277">
        <f t="shared" si="76"/>
        <v>394</v>
      </c>
      <c r="G428" s="833">
        <f t="shared" si="76"/>
        <v>408</v>
      </c>
      <c r="H428" s="1517">
        <v>4</v>
      </c>
      <c r="I428" s="1517">
        <v>4</v>
      </c>
      <c r="J428" s="1507">
        <v>336</v>
      </c>
      <c r="K428" s="1518">
        <v>350</v>
      </c>
      <c r="L428" s="1517">
        <v>1</v>
      </c>
      <c r="M428" s="1517">
        <v>1</v>
      </c>
      <c r="N428" s="1507">
        <v>58</v>
      </c>
      <c r="O428" s="1519">
        <v>58</v>
      </c>
    </row>
    <row r="429" spans="2:15" ht="21" thickTop="1" x14ac:dyDescent="0.2">
      <c r="B429" s="264"/>
      <c r="C429" s="409"/>
      <c r="D429" s="410"/>
      <c r="E429" s="410"/>
      <c r="F429" s="410"/>
      <c r="G429" s="410"/>
      <c r="H429" s="410"/>
      <c r="I429" s="410"/>
      <c r="J429" s="410"/>
      <c r="K429" s="410"/>
      <c r="L429" s="410"/>
      <c r="M429" s="410"/>
      <c r="N429" s="410"/>
    </row>
    <row r="430" spans="2:15" ht="20.25" x14ac:dyDescent="0.25">
      <c r="B430" s="11" t="s">
        <v>123</v>
      </c>
      <c r="C430" s="409"/>
      <c r="D430" s="410"/>
      <c r="E430" s="410"/>
      <c r="F430" s="410"/>
      <c r="G430" s="410"/>
      <c r="H430" s="410"/>
      <c r="I430" s="410"/>
      <c r="J430" s="410"/>
      <c r="K430" s="410"/>
      <c r="L430" s="1654" t="s">
        <v>442</v>
      </c>
      <c r="M430" s="1654"/>
      <c r="N430" s="1654"/>
      <c r="O430" s="1654"/>
    </row>
    <row r="431" spans="2:15" ht="20.25" x14ac:dyDescent="0.25">
      <c r="B431" s="11" t="s">
        <v>124</v>
      </c>
      <c r="C431" s="409"/>
      <c r="D431" s="410"/>
      <c r="E431" s="410"/>
      <c r="F431" s="410"/>
      <c r="G431" s="410"/>
      <c r="H431" s="410"/>
      <c r="I431" s="410"/>
      <c r="J431" s="410"/>
      <c r="K431" s="410"/>
      <c r="L431" s="1604" t="s">
        <v>126</v>
      </c>
      <c r="M431" s="1604"/>
      <c r="N431" s="1604"/>
      <c r="O431" s="1604"/>
    </row>
    <row r="432" spans="2:15" ht="18" x14ac:dyDescent="0.25">
      <c r="B432" s="11" t="s">
        <v>125</v>
      </c>
    </row>
    <row r="433" spans="1:15" ht="26.25" x14ac:dyDescent="0.4">
      <c r="A433" s="267" t="s">
        <v>204</v>
      </c>
    </row>
    <row r="434" spans="1:15" ht="18" x14ac:dyDescent="0.25">
      <c r="N434" s="1675" t="s">
        <v>14</v>
      </c>
      <c r="O434" s="1675"/>
    </row>
    <row r="435" spans="1:15" ht="18" x14ac:dyDescent="0.25">
      <c r="B435" s="11" t="s">
        <v>116</v>
      </c>
      <c r="C435" s="3"/>
      <c r="D435" s="3"/>
      <c r="E435" s="3"/>
      <c r="F435" s="3"/>
      <c r="G435" s="3"/>
      <c r="H435" s="3"/>
      <c r="I435" s="3"/>
      <c r="J435" s="3"/>
      <c r="K435" s="11"/>
      <c r="L435" s="3"/>
      <c r="M435" s="3"/>
    </row>
    <row r="436" spans="1:15" ht="18" x14ac:dyDescent="0.25">
      <c r="B436" s="14" t="s">
        <v>129</v>
      </c>
      <c r="C436" s="29"/>
      <c r="D436" s="3"/>
      <c r="E436" s="3"/>
      <c r="F436" s="3"/>
      <c r="G436" s="3"/>
      <c r="H436" s="3"/>
      <c r="I436" s="3"/>
      <c r="N436" s="1676" t="str">
        <f>'Tab.1. bilans_Polska'!$E$59</f>
        <v>Termin: 29 luty 2012 r.</v>
      </c>
      <c r="O436" s="1676"/>
    </row>
    <row r="437" spans="1:15" ht="18" x14ac:dyDescent="0.25">
      <c r="B437" s="11" t="s">
        <v>128</v>
      </c>
      <c r="C437" s="3"/>
      <c r="D437" s="3"/>
      <c r="E437" s="3"/>
      <c r="F437" s="3"/>
      <c r="G437" s="3"/>
      <c r="H437" s="3"/>
      <c r="I437" s="3"/>
    </row>
    <row r="438" spans="1:15" ht="18" x14ac:dyDescent="0.25">
      <c r="B438" s="11"/>
      <c r="C438" s="3"/>
      <c r="D438" s="3"/>
      <c r="E438" s="3"/>
      <c r="F438" s="3"/>
      <c r="G438" s="3"/>
      <c r="H438" s="3"/>
      <c r="I438" s="3"/>
      <c r="J438" s="3"/>
      <c r="K438" s="3"/>
      <c r="L438" s="3"/>
      <c r="M438" s="3"/>
      <c r="N438" s="3"/>
    </row>
    <row r="439" spans="1:15" ht="18" x14ac:dyDescent="0.25">
      <c r="B439" s="11"/>
      <c r="C439" s="3"/>
      <c r="D439" s="3"/>
      <c r="E439" s="3"/>
      <c r="F439" s="3"/>
      <c r="G439" s="3"/>
      <c r="H439" s="3"/>
      <c r="I439" s="3"/>
      <c r="J439" s="3"/>
      <c r="K439" s="3"/>
      <c r="L439" s="3"/>
      <c r="M439" s="3"/>
      <c r="N439" s="3"/>
    </row>
    <row r="440" spans="1:15" ht="15.75" x14ac:dyDescent="0.25">
      <c r="B440" s="1"/>
      <c r="C440" s="3"/>
      <c r="D440" s="3"/>
      <c r="E440" s="3"/>
      <c r="F440" s="3"/>
      <c r="G440" s="3"/>
      <c r="H440" s="3"/>
      <c r="I440" s="3"/>
      <c r="J440" s="3"/>
      <c r="K440" s="3"/>
      <c r="L440" s="3"/>
      <c r="M440" s="3"/>
      <c r="N440" s="3"/>
    </row>
    <row r="441" spans="1:15" ht="15.75" x14ac:dyDescent="0.25">
      <c r="B441" s="1"/>
      <c r="C441" s="3"/>
      <c r="D441" s="3"/>
      <c r="E441" s="3"/>
      <c r="F441" s="3"/>
      <c r="G441" s="3"/>
      <c r="H441" s="3"/>
      <c r="I441" s="3"/>
      <c r="J441" s="3"/>
      <c r="K441" s="1"/>
      <c r="L441" s="3"/>
      <c r="M441" s="3"/>
      <c r="N441" s="3"/>
    </row>
    <row r="442" spans="1:15" ht="23.25" x14ac:dyDescent="0.35">
      <c r="B442" s="1655" t="s">
        <v>36</v>
      </c>
      <c r="C442" s="1655"/>
      <c r="D442" s="1655"/>
      <c r="E442" s="1655"/>
      <c r="F442" s="1655"/>
      <c r="G442" s="1655"/>
      <c r="H442" s="1655"/>
      <c r="I442" s="1655"/>
      <c r="J442" s="1655"/>
      <c r="K442" s="1655"/>
      <c r="L442" s="1655"/>
      <c r="M442" s="1655"/>
      <c r="N442" s="1655"/>
      <c r="O442" s="1655"/>
    </row>
    <row r="443" spans="1:15" ht="23.25" x14ac:dyDescent="0.35">
      <c r="B443" s="1645" t="str">
        <f>$B$11</f>
        <v>W  PODZIALE  NA  DOMY  SAMORZĄDÓW  POWIATOWYCH  I  PODMIOTÓW  NIEPUBLICZNYCH  WG  ST.  NA  DZIEŃ  31. XII. 2011 r.</v>
      </c>
      <c r="C443" s="1645"/>
      <c r="D443" s="1645"/>
      <c r="E443" s="1645"/>
      <c r="F443" s="1645"/>
      <c r="G443" s="1645"/>
      <c r="H443" s="1645"/>
      <c r="I443" s="1645"/>
      <c r="J443" s="1645"/>
      <c r="K443" s="1645"/>
      <c r="L443" s="1645"/>
      <c r="M443" s="1645"/>
      <c r="N443" s="1645"/>
      <c r="O443" s="1645"/>
    </row>
    <row r="444" spans="1:15" ht="23.25" x14ac:dyDescent="0.35">
      <c r="B444" s="28"/>
      <c r="C444" s="3"/>
      <c r="D444" s="3"/>
      <c r="E444" s="3"/>
      <c r="F444" s="3"/>
      <c r="G444" s="3"/>
      <c r="H444" s="3"/>
      <c r="I444" s="3"/>
      <c r="J444" s="3"/>
      <c r="K444" s="3"/>
      <c r="L444" s="3"/>
      <c r="M444" s="3"/>
      <c r="N444" s="3"/>
    </row>
    <row r="445" spans="1:15" ht="24" thickBot="1" x14ac:dyDescent="0.4">
      <c r="B445" s="30"/>
      <c r="C445" s="30"/>
      <c r="D445" s="939"/>
      <c r="E445" s="939"/>
      <c r="F445" s="939" t="str">
        <f>IF('Tab.1. bilans_Polska'!C682=F453, "", "t1w5k1="&amp;'Tab.1. bilans_Polska'!C682)</f>
        <v/>
      </c>
      <c r="G445" s="940"/>
      <c r="H445" s="940"/>
      <c r="I445" s="940"/>
      <c r="J445" s="939" t="str">
        <f>IF('Tab.1. bilans_Polska'!D682=J453, "", "t1w5k2="&amp;'Tab.1. bilans_Polska'!D682)</f>
        <v/>
      </c>
      <c r="K445" s="940"/>
      <c r="L445" s="940"/>
      <c r="M445" s="940"/>
      <c r="N445" s="942" t="str">
        <f>IF('Tab.1. bilans_Polska'!E682=N453,"","t1w5k3="&amp;'Tab.1. bilans_Polska'!E682)</f>
        <v/>
      </c>
      <c r="O445" s="941"/>
    </row>
    <row r="446" spans="1:15" ht="24" thickTop="1" x14ac:dyDescent="0.2">
      <c r="B446" s="1660" t="s">
        <v>38</v>
      </c>
      <c r="C446" s="1661"/>
      <c r="D446" s="1677" t="s">
        <v>3</v>
      </c>
      <c r="E446" s="1678"/>
      <c r="F446" s="1678"/>
      <c r="G446" s="1679"/>
      <c r="H446" s="1668" t="s">
        <v>37</v>
      </c>
      <c r="I446" s="1669"/>
      <c r="J446" s="1669"/>
      <c r="K446" s="1669"/>
      <c r="L446" s="1669"/>
      <c r="M446" s="1669"/>
      <c r="N446" s="1669"/>
      <c r="O446" s="1670"/>
    </row>
    <row r="447" spans="1:15" ht="18" customHeight="1" thickBot="1" x14ac:dyDescent="0.25">
      <c r="B447" s="1662"/>
      <c r="C447" s="1663"/>
      <c r="D447" s="1649" t="str">
        <f>UPPER("Domy 
zareje-
strowane")</f>
        <v>DOMY 
ZAREJE-
STROWANE</v>
      </c>
      <c r="E447" s="1646" t="s">
        <v>454</v>
      </c>
      <c r="F447" s="1646" t="s">
        <v>455</v>
      </c>
      <c r="G447" s="1666" t="s">
        <v>281</v>
      </c>
      <c r="H447" s="1671"/>
      <c r="I447" s="1672"/>
      <c r="J447" s="1672"/>
      <c r="K447" s="1672"/>
      <c r="L447" s="1672"/>
      <c r="M447" s="1672"/>
      <c r="N447" s="1672"/>
      <c r="O447" s="1673"/>
    </row>
    <row r="448" spans="1:15" ht="18" x14ac:dyDescent="0.2">
      <c r="B448" s="1662"/>
      <c r="C448" s="1663"/>
      <c r="D448" s="1650"/>
      <c r="E448" s="1647"/>
      <c r="F448" s="1647"/>
      <c r="G448" s="1667"/>
      <c r="H448" s="1656" t="s">
        <v>17</v>
      </c>
      <c r="I448" s="1656"/>
      <c r="J448" s="1656"/>
      <c r="K448" s="1657"/>
      <c r="L448" s="1658" t="s">
        <v>18</v>
      </c>
      <c r="M448" s="1656"/>
      <c r="N448" s="1656"/>
      <c r="O448" s="1659"/>
    </row>
    <row r="449" spans="2:15" ht="18" customHeight="1" x14ac:dyDescent="0.2">
      <c r="B449" s="1662"/>
      <c r="C449" s="1663"/>
      <c r="D449" s="1650"/>
      <c r="E449" s="1647"/>
      <c r="F449" s="1647"/>
      <c r="G449" s="1667"/>
      <c r="H449" s="1649" t="s">
        <v>460</v>
      </c>
      <c r="I449" s="1646" t="s">
        <v>456</v>
      </c>
      <c r="J449" s="1646" t="s">
        <v>393</v>
      </c>
      <c r="K449" s="1666" t="s">
        <v>457</v>
      </c>
      <c r="L449" s="1649" t="s">
        <v>460</v>
      </c>
      <c r="M449" s="1646" t="s">
        <v>456</v>
      </c>
      <c r="N449" s="1646" t="s">
        <v>393</v>
      </c>
      <c r="O449" s="1682" t="s">
        <v>457</v>
      </c>
    </row>
    <row r="450" spans="2:15" ht="13.5" customHeight="1" thickBot="1" x14ac:dyDescent="0.25">
      <c r="B450" s="1662"/>
      <c r="C450" s="1663"/>
      <c r="D450" s="1650"/>
      <c r="E450" s="1647"/>
      <c r="F450" s="1647"/>
      <c r="G450" s="1667"/>
      <c r="H450" s="1650"/>
      <c r="I450" s="1647"/>
      <c r="J450" s="1647"/>
      <c r="K450" s="1667"/>
      <c r="L450" s="1650"/>
      <c r="M450" s="1647"/>
      <c r="N450" s="1647"/>
      <c r="O450" s="1683"/>
    </row>
    <row r="451" spans="2:15" ht="15.75" customHeight="1" x14ac:dyDescent="0.2">
      <c r="B451" s="1664"/>
      <c r="C451" s="1665"/>
      <c r="D451" s="1073" t="s">
        <v>459</v>
      </c>
      <c r="E451" s="1074" t="s">
        <v>461</v>
      </c>
      <c r="F451" s="1071" t="s">
        <v>462</v>
      </c>
      <c r="G451" s="1072" t="s">
        <v>463</v>
      </c>
      <c r="H451" s="1651"/>
      <c r="I451" s="1648"/>
      <c r="J451" s="1648"/>
      <c r="K451" s="1674"/>
      <c r="L451" s="1651"/>
      <c r="M451" s="1648"/>
      <c r="N451" s="1648"/>
      <c r="O451" s="1684"/>
    </row>
    <row r="452" spans="2:15" ht="16.5" thickBot="1" x14ac:dyDescent="0.3">
      <c r="B452" s="1680">
        <v>0</v>
      </c>
      <c r="C452" s="1681"/>
      <c r="D452" s="48">
        <v>1</v>
      </c>
      <c r="E452" s="1056">
        <v>2</v>
      </c>
      <c r="F452" s="49">
        <v>3</v>
      </c>
      <c r="G452" s="50">
        <v>4</v>
      </c>
      <c r="H452" s="1075">
        <v>5</v>
      </c>
      <c r="I452" s="1056">
        <v>6</v>
      </c>
      <c r="J452" s="49">
        <v>7</v>
      </c>
      <c r="K452" s="50">
        <v>8</v>
      </c>
      <c r="L452" s="1075">
        <v>9</v>
      </c>
      <c r="M452" s="1056">
        <v>10</v>
      </c>
      <c r="N452" s="49">
        <v>11</v>
      </c>
      <c r="O452" s="51">
        <v>12</v>
      </c>
    </row>
    <row r="453" spans="2:15" ht="47.25" thickTop="1" x14ac:dyDescent="0.2">
      <c r="B453" s="814" t="s">
        <v>431</v>
      </c>
      <c r="C453" s="1652">
        <v>1</v>
      </c>
      <c r="D453" s="1066">
        <f>SUM(D455:D464)</f>
        <v>84</v>
      </c>
      <c r="E453" s="1209">
        <f>I453+M453</f>
        <v>84</v>
      </c>
      <c r="F453" s="271">
        <f t="shared" ref="F453:O453" si="77">SUM(F455:F464)</f>
        <v>7820</v>
      </c>
      <c r="G453" s="272">
        <f t="shared" si="77"/>
        <v>7783</v>
      </c>
      <c r="H453" s="1076">
        <f t="shared" si="77"/>
        <v>46</v>
      </c>
      <c r="I453" s="1530">
        <v>46</v>
      </c>
      <c r="J453" s="279">
        <f t="shared" si="77"/>
        <v>4891</v>
      </c>
      <c r="K453" s="280">
        <f t="shared" si="77"/>
        <v>4876</v>
      </c>
      <c r="L453" s="1076">
        <f t="shared" si="77"/>
        <v>38</v>
      </c>
      <c r="M453" s="1529">
        <v>38</v>
      </c>
      <c r="N453" s="279">
        <f t="shared" si="77"/>
        <v>2929</v>
      </c>
      <c r="O453" s="281">
        <f t="shared" si="77"/>
        <v>2907</v>
      </c>
    </row>
    <row r="454" spans="2:15" ht="13.5" thickBot="1" x14ac:dyDescent="0.25">
      <c r="B454" s="53" t="s">
        <v>46</v>
      </c>
      <c r="C454" s="1653"/>
      <c r="D454" s="1067" t="str">
        <f>IF(H453+L453=D453, "", "Uwaga!")</f>
        <v/>
      </c>
      <c r="E454" s="1102" t="str">
        <f>IF(D453=E453, "", "Uwaga!")</f>
        <v/>
      </c>
      <c r="F454" s="399" t="str">
        <f>IF(J453+N453=F453, "", "Uwaga!")</f>
        <v/>
      </c>
      <c r="G454" s="400" t="str">
        <f>IF(K453+O453=G453, "", "Uwaga!")</f>
        <v/>
      </c>
      <c r="H454" s="1077"/>
      <c r="I454" s="1102" t="str">
        <f>IF(H453=I453, "", "Uwaga!")</f>
        <v/>
      </c>
      <c r="J454" s="185"/>
      <c r="K454" s="54"/>
      <c r="L454" s="1077"/>
      <c r="M454" s="1102" t="str">
        <f>IF(L453=M453, "", "Uwaga!")</f>
        <v/>
      </c>
      <c r="N454" s="185"/>
      <c r="O454" s="55"/>
    </row>
    <row r="455" spans="2:15" ht="21" thickTop="1" x14ac:dyDescent="0.2">
      <c r="B455" s="815" t="s">
        <v>432</v>
      </c>
      <c r="C455" s="816">
        <v>2</v>
      </c>
      <c r="D455" s="1063">
        <f t="shared" ref="D455:D460" si="78">H455+L455</f>
        <v>22</v>
      </c>
      <c r="E455" s="1057">
        <f>I455+M455</f>
        <v>22</v>
      </c>
      <c r="F455" s="273">
        <f t="shared" ref="F455:F460" si="79">J455+N455</f>
        <v>1930</v>
      </c>
      <c r="G455" s="274">
        <f t="shared" ref="G455:G460" si="80">K455+O455</f>
        <v>1915</v>
      </c>
      <c r="H455" s="1495">
        <v>12</v>
      </c>
      <c r="I455" s="1520">
        <v>12</v>
      </c>
      <c r="J455" s="1497">
        <v>1222</v>
      </c>
      <c r="K455" s="1498">
        <v>1215</v>
      </c>
      <c r="L455" s="1495">
        <v>10</v>
      </c>
      <c r="M455" s="1520">
        <v>10</v>
      </c>
      <c r="N455" s="1497">
        <v>708</v>
      </c>
      <c r="O455" s="1499">
        <v>700</v>
      </c>
    </row>
    <row r="456" spans="2:15" ht="20.25" x14ac:dyDescent="0.2">
      <c r="B456" s="817" t="s">
        <v>433</v>
      </c>
      <c r="C456" s="818">
        <v>3</v>
      </c>
      <c r="D456" s="1064">
        <f t="shared" si="78"/>
        <v>11</v>
      </c>
      <c r="E456" s="1058">
        <f t="shared" ref="E456:E464" si="81">I456+M456</f>
        <v>11</v>
      </c>
      <c r="F456" s="275">
        <f t="shared" si="79"/>
        <v>994</v>
      </c>
      <c r="G456" s="276">
        <f t="shared" si="80"/>
        <v>988</v>
      </c>
      <c r="H456" s="1500">
        <v>10</v>
      </c>
      <c r="I456" s="1501">
        <v>10</v>
      </c>
      <c r="J456" s="1502">
        <v>934</v>
      </c>
      <c r="K456" s="1503">
        <v>928</v>
      </c>
      <c r="L456" s="1500">
        <v>1</v>
      </c>
      <c r="M456" s="1501">
        <v>1</v>
      </c>
      <c r="N456" s="1502">
        <v>60</v>
      </c>
      <c r="O456" s="1504">
        <v>60</v>
      </c>
    </row>
    <row r="457" spans="2:15" ht="20.25" x14ac:dyDescent="0.2">
      <c r="B457" s="817" t="s">
        <v>434</v>
      </c>
      <c r="C457" s="818">
        <v>4</v>
      </c>
      <c r="D457" s="1064">
        <f t="shared" si="78"/>
        <v>17</v>
      </c>
      <c r="E457" s="1058">
        <f t="shared" si="81"/>
        <v>18</v>
      </c>
      <c r="F457" s="275">
        <f t="shared" si="79"/>
        <v>2092</v>
      </c>
      <c r="G457" s="276">
        <f t="shared" si="80"/>
        <v>2092</v>
      </c>
      <c r="H457" s="1500">
        <v>11</v>
      </c>
      <c r="I457" s="1501">
        <v>12</v>
      </c>
      <c r="J457" s="1502">
        <v>1529</v>
      </c>
      <c r="K457" s="1503">
        <v>1529</v>
      </c>
      <c r="L457" s="1500">
        <v>6</v>
      </c>
      <c r="M457" s="1501">
        <v>6</v>
      </c>
      <c r="N457" s="1502">
        <v>563</v>
      </c>
      <c r="O457" s="1504">
        <v>563</v>
      </c>
    </row>
    <row r="458" spans="2:15" ht="20.25" x14ac:dyDescent="0.2">
      <c r="B458" s="817" t="s">
        <v>435</v>
      </c>
      <c r="C458" s="818">
        <v>5</v>
      </c>
      <c r="D458" s="1064">
        <f t="shared" si="78"/>
        <v>12</v>
      </c>
      <c r="E458" s="1058">
        <f t="shared" si="81"/>
        <v>12</v>
      </c>
      <c r="F458" s="275">
        <f t="shared" si="79"/>
        <v>925</v>
      </c>
      <c r="G458" s="276">
        <f t="shared" si="80"/>
        <v>919</v>
      </c>
      <c r="H458" s="1500">
        <v>5</v>
      </c>
      <c r="I458" s="1501">
        <v>5</v>
      </c>
      <c r="J458" s="1502">
        <v>396</v>
      </c>
      <c r="K458" s="1503">
        <v>396</v>
      </c>
      <c r="L458" s="1500">
        <v>7</v>
      </c>
      <c r="M458" s="1501">
        <v>7</v>
      </c>
      <c r="N458" s="1502">
        <v>529</v>
      </c>
      <c r="O458" s="1504">
        <v>523</v>
      </c>
    </row>
    <row r="459" spans="2:15" ht="20.25" x14ac:dyDescent="0.2">
      <c r="B459" s="817" t="s">
        <v>436</v>
      </c>
      <c r="C459" s="818">
        <v>6</v>
      </c>
      <c r="D459" s="1064">
        <f t="shared" si="78"/>
        <v>7</v>
      </c>
      <c r="E459" s="1058">
        <f t="shared" si="81"/>
        <v>7</v>
      </c>
      <c r="F459" s="275">
        <f t="shared" si="79"/>
        <v>471</v>
      </c>
      <c r="G459" s="276">
        <f t="shared" si="80"/>
        <v>466</v>
      </c>
      <c r="H459" s="1500">
        <v>0</v>
      </c>
      <c r="I459" s="1501">
        <v>0</v>
      </c>
      <c r="J459" s="1502">
        <v>0</v>
      </c>
      <c r="K459" s="1503">
        <v>0</v>
      </c>
      <c r="L459" s="1500">
        <v>7</v>
      </c>
      <c r="M459" s="1501">
        <v>7</v>
      </c>
      <c r="N459" s="1502">
        <v>471</v>
      </c>
      <c r="O459" s="1504">
        <v>466</v>
      </c>
    </row>
    <row r="460" spans="2:15" ht="21" thickBot="1" x14ac:dyDescent="0.25">
      <c r="B460" s="819" t="s">
        <v>437</v>
      </c>
      <c r="C460" s="820">
        <v>7</v>
      </c>
      <c r="D460" s="1065">
        <f t="shared" si="78"/>
        <v>2</v>
      </c>
      <c r="E460" s="1059">
        <f t="shared" si="81"/>
        <v>2</v>
      </c>
      <c r="F460" s="277">
        <f t="shared" si="79"/>
        <v>306</v>
      </c>
      <c r="G460" s="278">
        <f t="shared" si="80"/>
        <v>304</v>
      </c>
      <c r="H460" s="1505">
        <v>0</v>
      </c>
      <c r="I460" s="1506">
        <v>0</v>
      </c>
      <c r="J460" s="1507">
        <v>0</v>
      </c>
      <c r="K460" s="1508">
        <v>0</v>
      </c>
      <c r="L460" s="1505">
        <v>2</v>
      </c>
      <c r="M460" s="1506">
        <v>2</v>
      </c>
      <c r="N460" s="1507">
        <v>306</v>
      </c>
      <c r="O460" s="1509">
        <v>304</v>
      </c>
    </row>
    <row r="461" spans="2:15" ht="32.25" thickTop="1" x14ac:dyDescent="0.2">
      <c r="B461" s="821" t="s">
        <v>438</v>
      </c>
      <c r="C461" s="822">
        <v>8</v>
      </c>
      <c r="D461" s="827">
        <f>H461+L461</f>
        <v>3</v>
      </c>
      <c r="E461" s="827">
        <f t="shared" si="81"/>
        <v>3</v>
      </c>
      <c r="F461" s="828">
        <f t="shared" ref="F461:G464" si="82">J461+N461</f>
        <v>189</v>
      </c>
      <c r="G461" s="829">
        <f t="shared" si="82"/>
        <v>190</v>
      </c>
      <c r="H461" s="1510">
        <v>1</v>
      </c>
      <c r="I461" s="1510">
        <v>1</v>
      </c>
      <c r="J461" s="1511">
        <v>70</v>
      </c>
      <c r="K461" s="1512">
        <v>70</v>
      </c>
      <c r="L461" s="1510">
        <v>2</v>
      </c>
      <c r="M461" s="1510">
        <v>2</v>
      </c>
      <c r="N461" s="1511">
        <v>119</v>
      </c>
      <c r="O461" s="1513">
        <v>120</v>
      </c>
    </row>
    <row r="462" spans="2:15" ht="31.5" x14ac:dyDescent="0.2">
      <c r="B462" s="823" t="s">
        <v>439</v>
      </c>
      <c r="C462" s="824">
        <v>9</v>
      </c>
      <c r="D462" s="830">
        <f>H462+L462</f>
        <v>0</v>
      </c>
      <c r="E462" s="830">
        <f t="shared" si="81"/>
        <v>0</v>
      </c>
      <c r="F462" s="275">
        <f t="shared" si="82"/>
        <v>0</v>
      </c>
      <c r="G462" s="831">
        <f t="shared" si="82"/>
        <v>0</v>
      </c>
      <c r="H462" s="1514">
        <v>0</v>
      </c>
      <c r="I462" s="1514">
        <v>0</v>
      </c>
      <c r="J462" s="1502">
        <v>0</v>
      </c>
      <c r="K462" s="1515">
        <v>0</v>
      </c>
      <c r="L462" s="1514">
        <v>0</v>
      </c>
      <c r="M462" s="1514">
        <v>0</v>
      </c>
      <c r="N462" s="1502">
        <v>0</v>
      </c>
      <c r="O462" s="1516">
        <v>0</v>
      </c>
    </row>
    <row r="463" spans="2:15" ht="31.5" x14ac:dyDescent="0.2">
      <c r="B463" s="823" t="s">
        <v>440</v>
      </c>
      <c r="C463" s="824">
        <v>10</v>
      </c>
      <c r="D463" s="830">
        <f>H463+L463</f>
        <v>3</v>
      </c>
      <c r="E463" s="830">
        <f t="shared" si="81"/>
        <v>3</v>
      </c>
      <c r="F463" s="275">
        <f t="shared" si="82"/>
        <v>331</v>
      </c>
      <c r="G463" s="831">
        <f t="shared" si="82"/>
        <v>330</v>
      </c>
      <c r="H463" s="1514">
        <v>3</v>
      </c>
      <c r="I463" s="1514">
        <v>3</v>
      </c>
      <c r="J463" s="1502">
        <v>331</v>
      </c>
      <c r="K463" s="1515">
        <v>330</v>
      </c>
      <c r="L463" s="1514">
        <v>0</v>
      </c>
      <c r="M463" s="1514">
        <v>0</v>
      </c>
      <c r="N463" s="1502">
        <v>0</v>
      </c>
      <c r="O463" s="1516">
        <v>0</v>
      </c>
    </row>
    <row r="464" spans="2:15" ht="48" thickBot="1" x14ac:dyDescent="0.25">
      <c r="B464" s="825" t="s">
        <v>441</v>
      </c>
      <c r="C464" s="826">
        <v>11</v>
      </c>
      <c r="D464" s="832">
        <f>H464+L464</f>
        <v>7</v>
      </c>
      <c r="E464" s="832">
        <f t="shared" si="81"/>
        <v>7</v>
      </c>
      <c r="F464" s="277">
        <f t="shared" si="82"/>
        <v>582</v>
      </c>
      <c r="G464" s="833">
        <f t="shared" si="82"/>
        <v>579</v>
      </c>
      <c r="H464" s="1517">
        <v>4</v>
      </c>
      <c r="I464" s="1517">
        <v>4</v>
      </c>
      <c r="J464" s="1507">
        <v>409</v>
      </c>
      <c r="K464" s="1518">
        <v>408</v>
      </c>
      <c r="L464" s="1517">
        <v>3</v>
      </c>
      <c r="M464" s="1517">
        <v>3</v>
      </c>
      <c r="N464" s="1507">
        <v>173</v>
      </c>
      <c r="O464" s="1519">
        <v>171</v>
      </c>
    </row>
    <row r="465" spans="1:15" ht="21" thickTop="1" x14ac:dyDescent="0.2">
      <c r="B465" s="264"/>
      <c r="C465" s="409"/>
      <c r="D465" s="410"/>
      <c r="E465" s="410"/>
      <c r="F465" s="410"/>
      <c r="G465" s="410"/>
      <c r="H465" s="410"/>
      <c r="I465" s="410"/>
      <c r="J465" s="410"/>
      <c r="K465" s="410"/>
      <c r="L465" s="410"/>
      <c r="M465" s="410"/>
      <c r="N465" s="410"/>
    </row>
    <row r="466" spans="1:15" ht="20.25" x14ac:dyDescent="0.25">
      <c r="B466" s="11" t="s">
        <v>123</v>
      </c>
      <c r="C466" s="409"/>
      <c r="D466" s="410"/>
      <c r="E466" s="410"/>
      <c r="F466" s="410"/>
      <c r="G466" s="410"/>
      <c r="H466" s="410"/>
      <c r="I466" s="410"/>
      <c r="J466" s="410"/>
      <c r="K466" s="410"/>
      <c r="L466" s="1654" t="s">
        <v>442</v>
      </c>
      <c r="M466" s="1654"/>
      <c r="N466" s="1654"/>
      <c r="O466" s="1654"/>
    </row>
    <row r="467" spans="1:15" ht="20.25" x14ac:dyDescent="0.25">
      <c r="B467" s="11" t="s">
        <v>124</v>
      </c>
      <c r="C467" s="409"/>
      <c r="D467" s="410"/>
      <c r="E467" s="410"/>
      <c r="F467" s="410"/>
      <c r="G467" s="410"/>
      <c r="H467" s="410"/>
      <c r="I467" s="410"/>
      <c r="J467" s="410"/>
      <c r="K467" s="410"/>
      <c r="L467" s="1604" t="s">
        <v>126</v>
      </c>
      <c r="M467" s="1604"/>
      <c r="N467" s="1604"/>
      <c r="O467" s="1604"/>
    </row>
    <row r="468" spans="1:15" ht="18" x14ac:dyDescent="0.25">
      <c r="B468" s="11" t="s">
        <v>125</v>
      </c>
    </row>
    <row r="470" spans="1:15" ht="26.25" x14ac:dyDescent="0.4">
      <c r="A470" s="267" t="s">
        <v>205</v>
      </c>
      <c r="N470" s="1675" t="s">
        <v>14</v>
      </c>
      <c r="O470" s="1675"/>
    </row>
    <row r="471" spans="1:15" ht="18" x14ac:dyDescent="0.25">
      <c r="B471" s="11" t="s">
        <v>116</v>
      </c>
      <c r="C471" s="3"/>
      <c r="D471" s="3"/>
      <c r="E471" s="3"/>
      <c r="F471" s="3"/>
      <c r="G471" s="3"/>
      <c r="H471" s="3"/>
      <c r="I471" s="3"/>
      <c r="J471" s="3"/>
      <c r="K471" s="11"/>
      <c r="L471" s="3"/>
      <c r="M471" s="3"/>
    </row>
    <row r="472" spans="1:15" ht="18" x14ac:dyDescent="0.25">
      <c r="B472" s="14" t="s">
        <v>129</v>
      </c>
      <c r="C472" s="29"/>
      <c r="D472" s="3"/>
      <c r="E472" s="3"/>
      <c r="F472" s="3"/>
      <c r="G472" s="3"/>
      <c r="H472" s="3"/>
      <c r="I472" s="3"/>
      <c r="N472" s="1676" t="str">
        <f>'Tab.1. bilans_Polska'!$E$59</f>
        <v>Termin: 29 luty 2012 r.</v>
      </c>
      <c r="O472" s="1676"/>
    </row>
    <row r="473" spans="1:15" ht="18" x14ac:dyDescent="0.25">
      <c r="B473" s="11" t="s">
        <v>128</v>
      </c>
      <c r="C473" s="3"/>
      <c r="D473" s="3"/>
      <c r="E473" s="3"/>
      <c r="F473" s="3"/>
      <c r="G473" s="3"/>
      <c r="H473" s="3"/>
      <c r="I473" s="3"/>
    </row>
    <row r="474" spans="1:15" ht="18" x14ac:dyDescent="0.25">
      <c r="B474" s="11"/>
      <c r="C474" s="3"/>
      <c r="D474" s="3"/>
      <c r="E474" s="3"/>
      <c r="F474" s="3"/>
      <c r="G474" s="3"/>
      <c r="H474" s="3"/>
      <c r="I474" s="3"/>
      <c r="J474" s="3"/>
      <c r="K474" s="3"/>
      <c r="L474" s="3"/>
      <c r="M474" s="3"/>
      <c r="N474" s="3"/>
    </row>
    <row r="475" spans="1:15" ht="18" x14ac:dyDescent="0.25">
      <c r="B475" s="11"/>
      <c r="C475" s="3"/>
      <c r="D475" s="3"/>
      <c r="E475" s="3"/>
      <c r="F475" s="3"/>
      <c r="G475" s="3"/>
      <c r="H475" s="3"/>
      <c r="I475" s="3"/>
      <c r="J475" s="3"/>
      <c r="K475" s="3"/>
      <c r="L475" s="3"/>
      <c r="M475" s="3"/>
      <c r="N475" s="3"/>
    </row>
    <row r="476" spans="1:15" ht="15.75" x14ac:dyDescent="0.25">
      <c r="B476" s="1"/>
      <c r="C476" s="3"/>
      <c r="D476" s="3"/>
      <c r="E476" s="3"/>
      <c r="F476" s="3"/>
      <c r="G476" s="3"/>
      <c r="H476" s="3"/>
      <c r="I476" s="3"/>
      <c r="J476" s="3"/>
      <c r="K476" s="3"/>
      <c r="L476" s="3"/>
      <c r="M476" s="3"/>
      <c r="N476" s="3"/>
    </row>
    <row r="477" spans="1:15" ht="15.75" x14ac:dyDescent="0.25">
      <c r="B477" s="1"/>
      <c r="C477" s="3"/>
      <c r="D477" s="3"/>
      <c r="E477" s="3"/>
      <c r="F477" s="3"/>
      <c r="G477" s="3"/>
      <c r="H477" s="3"/>
      <c r="I477" s="3"/>
      <c r="J477" s="3"/>
      <c r="K477" s="1"/>
      <c r="L477" s="3"/>
      <c r="M477" s="3"/>
      <c r="N477" s="3"/>
    </row>
    <row r="478" spans="1:15" ht="23.25" x14ac:dyDescent="0.35">
      <c r="B478" s="1655" t="s">
        <v>36</v>
      </c>
      <c r="C478" s="1655"/>
      <c r="D478" s="1655"/>
      <c r="E478" s="1655"/>
      <c r="F478" s="1655"/>
      <c r="G478" s="1655"/>
      <c r="H478" s="1655"/>
      <c r="I478" s="1655"/>
      <c r="J478" s="1655"/>
      <c r="K478" s="1655"/>
      <c r="L478" s="1655"/>
      <c r="M478" s="1655"/>
      <c r="N478" s="1655"/>
      <c r="O478" s="1655"/>
    </row>
    <row r="479" spans="1:15" ht="23.25" x14ac:dyDescent="0.35">
      <c r="B479" s="1645" t="str">
        <f>$B$11</f>
        <v>W  PODZIALE  NA  DOMY  SAMORZĄDÓW  POWIATOWYCH  I  PODMIOTÓW  NIEPUBLICZNYCH  WG  ST.  NA  DZIEŃ  31. XII. 2011 r.</v>
      </c>
      <c r="C479" s="1645"/>
      <c r="D479" s="1645"/>
      <c r="E479" s="1645"/>
      <c r="F479" s="1645"/>
      <c r="G479" s="1645"/>
      <c r="H479" s="1645"/>
      <c r="I479" s="1645"/>
      <c r="J479" s="1645"/>
      <c r="K479" s="1645"/>
      <c r="L479" s="1645"/>
      <c r="M479" s="1645"/>
      <c r="N479" s="1645"/>
      <c r="O479" s="1645"/>
    </row>
    <row r="480" spans="1:15" ht="23.25" x14ac:dyDescent="0.35">
      <c r="B480" s="28"/>
      <c r="C480" s="3"/>
      <c r="D480" s="3"/>
      <c r="E480" s="3"/>
      <c r="F480" s="3"/>
      <c r="G480" s="3"/>
      <c r="H480" s="3"/>
      <c r="I480" s="3"/>
      <c r="J480" s="3"/>
      <c r="K480" s="3"/>
      <c r="L480" s="3"/>
      <c r="M480" s="3"/>
      <c r="N480" s="3"/>
    </row>
    <row r="481" spans="2:15" ht="24" thickBot="1" x14ac:dyDescent="0.4">
      <c r="B481" s="30"/>
      <c r="C481" s="30"/>
      <c r="D481" s="939"/>
      <c r="E481" s="939"/>
      <c r="F481" s="939" t="str">
        <f>IF('Tab.1. bilans_Polska'!C736=F489, "", "t1w5k1="&amp;'Tab.1. bilans_Polska'!C736)</f>
        <v/>
      </c>
      <c r="G481" s="940"/>
      <c r="H481" s="940"/>
      <c r="I481" s="940"/>
      <c r="J481" s="939" t="str">
        <f>IF('Tab.1. bilans_Polska'!D736=J489, "", "t1w5k2="&amp;'Tab.1. bilans_Polska'!D736)</f>
        <v/>
      </c>
      <c r="K481" s="940"/>
      <c r="L481" s="940"/>
      <c r="M481" s="940"/>
      <c r="N481" s="942" t="str">
        <f>IF('Tab.1. bilans_Polska'!E736=N489,"","t1w5k3="&amp;'Tab.1. bilans_Polska'!E736)</f>
        <v/>
      </c>
      <c r="O481" s="941"/>
    </row>
    <row r="482" spans="2:15" ht="24" thickTop="1" x14ac:dyDescent="0.2">
      <c r="B482" s="1660" t="s">
        <v>38</v>
      </c>
      <c r="C482" s="1661"/>
      <c r="D482" s="1677" t="s">
        <v>3</v>
      </c>
      <c r="E482" s="1678"/>
      <c r="F482" s="1678"/>
      <c r="G482" s="1679"/>
      <c r="H482" s="1668" t="s">
        <v>37</v>
      </c>
      <c r="I482" s="1669"/>
      <c r="J482" s="1669"/>
      <c r="K482" s="1669"/>
      <c r="L482" s="1669"/>
      <c r="M482" s="1669"/>
      <c r="N482" s="1669"/>
      <c r="O482" s="1670"/>
    </row>
    <row r="483" spans="2:15" ht="18" customHeight="1" thickBot="1" x14ac:dyDescent="0.25">
      <c r="B483" s="1662"/>
      <c r="C483" s="1663"/>
      <c r="D483" s="1649" t="str">
        <f>UPPER("Domy 
zareje-
strowane")</f>
        <v>DOMY 
ZAREJE-
STROWANE</v>
      </c>
      <c r="E483" s="1646" t="s">
        <v>454</v>
      </c>
      <c r="F483" s="1646" t="s">
        <v>455</v>
      </c>
      <c r="G483" s="1666" t="s">
        <v>281</v>
      </c>
      <c r="H483" s="1671"/>
      <c r="I483" s="1672"/>
      <c r="J483" s="1672"/>
      <c r="K483" s="1672"/>
      <c r="L483" s="1672"/>
      <c r="M483" s="1672"/>
      <c r="N483" s="1672"/>
      <c r="O483" s="1673"/>
    </row>
    <row r="484" spans="2:15" ht="18" x14ac:dyDescent="0.2">
      <c r="B484" s="1662"/>
      <c r="C484" s="1663"/>
      <c r="D484" s="1650"/>
      <c r="E484" s="1647"/>
      <c r="F484" s="1647"/>
      <c r="G484" s="1667"/>
      <c r="H484" s="1656" t="s">
        <v>17</v>
      </c>
      <c r="I484" s="1656"/>
      <c r="J484" s="1656"/>
      <c r="K484" s="1657"/>
      <c r="L484" s="1658" t="s">
        <v>18</v>
      </c>
      <c r="M484" s="1656"/>
      <c r="N484" s="1656"/>
      <c r="O484" s="1659"/>
    </row>
    <row r="485" spans="2:15" ht="18" customHeight="1" x14ac:dyDescent="0.2">
      <c r="B485" s="1662"/>
      <c r="C485" s="1663"/>
      <c r="D485" s="1650"/>
      <c r="E485" s="1647"/>
      <c r="F485" s="1647"/>
      <c r="G485" s="1667"/>
      <c r="H485" s="1649" t="s">
        <v>460</v>
      </c>
      <c r="I485" s="1646" t="s">
        <v>456</v>
      </c>
      <c r="J485" s="1646" t="s">
        <v>393</v>
      </c>
      <c r="K485" s="1666" t="s">
        <v>457</v>
      </c>
      <c r="L485" s="1649" t="s">
        <v>460</v>
      </c>
      <c r="M485" s="1646" t="s">
        <v>456</v>
      </c>
      <c r="N485" s="1646" t="s">
        <v>393</v>
      </c>
      <c r="O485" s="1682" t="s">
        <v>457</v>
      </c>
    </row>
    <row r="486" spans="2:15" ht="13.5" customHeight="1" thickBot="1" x14ac:dyDescent="0.25">
      <c r="B486" s="1662"/>
      <c r="C486" s="1663"/>
      <c r="D486" s="1650"/>
      <c r="E486" s="1647"/>
      <c r="F486" s="1647"/>
      <c r="G486" s="1667"/>
      <c r="H486" s="1650"/>
      <c r="I486" s="1647"/>
      <c r="J486" s="1647"/>
      <c r="K486" s="1667"/>
      <c r="L486" s="1650"/>
      <c r="M486" s="1647"/>
      <c r="N486" s="1647"/>
      <c r="O486" s="1683"/>
    </row>
    <row r="487" spans="2:15" ht="15.75" customHeight="1" x14ac:dyDescent="0.2">
      <c r="B487" s="1664"/>
      <c r="C487" s="1665"/>
      <c r="D487" s="1073" t="s">
        <v>459</v>
      </c>
      <c r="E487" s="1074" t="s">
        <v>461</v>
      </c>
      <c r="F487" s="1071" t="s">
        <v>462</v>
      </c>
      <c r="G487" s="1072" t="s">
        <v>463</v>
      </c>
      <c r="H487" s="1651"/>
      <c r="I487" s="1648"/>
      <c r="J487" s="1648"/>
      <c r="K487" s="1674"/>
      <c r="L487" s="1651"/>
      <c r="M487" s="1648"/>
      <c r="N487" s="1648"/>
      <c r="O487" s="1684"/>
    </row>
    <row r="488" spans="2:15" ht="16.5" thickBot="1" x14ac:dyDescent="0.3">
      <c r="B488" s="1680">
        <v>0</v>
      </c>
      <c r="C488" s="1681"/>
      <c r="D488" s="48">
        <v>1</v>
      </c>
      <c r="E488" s="1056">
        <v>2</v>
      </c>
      <c r="F488" s="49">
        <v>3</v>
      </c>
      <c r="G488" s="50">
        <v>4</v>
      </c>
      <c r="H488" s="1075">
        <v>5</v>
      </c>
      <c r="I488" s="1056">
        <v>6</v>
      </c>
      <c r="J488" s="49">
        <v>7</v>
      </c>
      <c r="K488" s="50">
        <v>8</v>
      </c>
      <c r="L488" s="1075">
        <v>9</v>
      </c>
      <c r="M488" s="1056">
        <v>10</v>
      </c>
      <c r="N488" s="49">
        <v>11</v>
      </c>
      <c r="O488" s="51">
        <v>12</v>
      </c>
    </row>
    <row r="489" spans="2:15" ht="47.25" thickTop="1" x14ac:dyDescent="0.2">
      <c r="B489" s="814" t="s">
        <v>431</v>
      </c>
      <c r="C489" s="1652">
        <v>1</v>
      </c>
      <c r="D489" s="1066">
        <f>SUM(D491:D500)</f>
        <v>31</v>
      </c>
      <c r="E489" s="1209">
        <f>I489+M489</f>
        <v>31</v>
      </c>
      <c r="F489" s="271">
        <f t="shared" ref="F489:O489" si="83">SUM(F491:F500)</f>
        <v>3259</v>
      </c>
      <c r="G489" s="272">
        <f t="shared" si="83"/>
        <v>3211</v>
      </c>
      <c r="H489" s="1076">
        <f t="shared" si="83"/>
        <v>24</v>
      </c>
      <c r="I489" s="1530">
        <v>24</v>
      </c>
      <c r="J489" s="279">
        <f t="shared" si="83"/>
        <v>2847</v>
      </c>
      <c r="K489" s="280">
        <f t="shared" si="83"/>
        <v>2829</v>
      </c>
      <c r="L489" s="1076">
        <f t="shared" si="83"/>
        <v>7</v>
      </c>
      <c r="M489" s="1531">
        <v>7</v>
      </c>
      <c r="N489" s="279">
        <f t="shared" si="83"/>
        <v>412</v>
      </c>
      <c r="O489" s="281">
        <f t="shared" si="83"/>
        <v>382</v>
      </c>
    </row>
    <row r="490" spans="2:15" ht="13.5" thickBot="1" x14ac:dyDescent="0.25">
      <c r="B490" s="53" t="s">
        <v>46</v>
      </c>
      <c r="C490" s="1653"/>
      <c r="D490" s="1067" t="str">
        <f>IF(H489+L489=D489, "", "Uwaga!")</f>
        <v/>
      </c>
      <c r="E490" s="1102" t="str">
        <f>IF(D489=E489, "", "Uwaga!")</f>
        <v/>
      </c>
      <c r="F490" s="399" t="str">
        <f>IF(J489+N489=F489, "", "Uwaga!")</f>
        <v/>
      </c>
      <c r="G490" s="400" t="str">
        <f>IF(K489+O489=G489, "", "Uwaga!")</f>
        <v/>
      </c>
      <c r="H490" s="1077"/>
      <c r="I490" s="1102" t="str">
        <f>IF(H489=I489, "", "Uwaga!")</f>
        <v/>
      </c>
      <c r="J490" s="185"/>
      <c r="K490" s="54"/>
      <c r="L490" s="1077"/>
      <c r="M490" s="1102" t="str">
        <f>IF(L489=M489, "", "Uwaga!")</f>
        <v/>
      </c>
      <c r="N490" s="185"/>
      <c r="O490" s="55"/>
    </row>
    <row r="491" spans="2:15" ht="21" thickTop="1" x14ac:dyDescent="0.2">
      <c r="B491" s="815" t="s">
        <v>432</v>
      </c>
      <c r="C491" s="816">
        <v>2</v>
      </c>
      <c r="D491" s="1063">
        <f t="shared" ref="D491:D496" si="84">H491+L491</f>
        <v>1</v>
      </c>
      <c r="E491" s="1057">
        <f>I491+M491</f>
        <v>1</v>
      </c>
      <c r="F491" s="273">
        <f t="shared" ref="F491:F496" si="85">J491+N491</f>
        <v>35</v>
      </c>
      <c r="G491" s="274">
        <f t="shared" ref="G491:G496" si="86">K491+O491</f>
        <v>35</v>
      </c>
      <c r="H491" s="1495">
        <v>0</v>
      </c>
      <c r="I491" s="1520">
        <v>0</v>
      </c>
      <c r="J491" s="1497">
        <v>0</v>
      </c>
      <c r="K491" s="1526">
        <v>0</v>
      </c>
      <c r="L491" s="1495">
        <v>1</v>
      </c>
      <c r="M491" s="1520">
        <v>1</v>
      </c>
      <c r="N491" s="1497">
        <v>35</v>
      </c>
      <c r="O491" s="1499">
        <v>35</v>
      </c>
    </row>
    <row r="492" spans="2:15" ht="20.25" x14ac:dyDescent="0.2">
      <c r="B492" s="817" t="s">
        <v>433</v>
      </c>
      <c r="C492" s="818">
        <v>3</v>
      </c>
      <c r="D492" s="1064">
        <f t="shared" si="84"/>
        <v>7</v>
      </c>
      <c r="E492" s="1058">
        <f t="shared" ref="E492:E500" si="87">I492+M492</f>
        <v>7</v>
      </c>
      <c r="F492" s="275">
        <f t="shared" si="85"/>
        <v>988</v>
      </c>
      <c r="G492" s="276">
        <f t="shared" si="86"/>
        <v>936</v>
      </c>
      <c r="H492" s="1500">
        <v>5</v>
      </c>
      <c r="I492" s="1501">
        <v>5</v>
      </c>
      <c r="J492" s="1502">
        <v>832</v>
      </c>
      <c r="K492" s="1503">
        <v>788</v>
      </c>
      <c r="L492" s="1500">
        <v>2</v>
      </c>
      <c r="M492" s="1501">
        <v>2</v>
      </c>
      <c r="N492" s="1502">
        <v>156</v>
      </c>
      <c r="O492" s="1504">
        <v>148</v>
      </c>
    </row>
    <row r="493" spans="2:15" ht="20.25" x14ac:dyDescent="0.2">
      <c r="B493" s="817" t="s">
        <v>434</v>
      </c>
      <c r="C493" s="818">
        <v>4</v>
      </c>
      <c r="D493" s="1107">
        <f t="shared" si="84"/>
        <v>11</v>
      </c>
      <c r="E493" s="1123">
        <f t="shared" si="87"/>
        <v>11</v>
      </c>
      <c r="F493" s="275">
        <f t="shared" si="85"/>
        <v>1126</v>
      </c>
      <c r="G493" s="276">
        <f t="shared" si="86"/>
        <v>1166</v>
      </c>
      <c r="H493" s="1500">
        <v>9</v>
      </c>
      <c r="I493" s="1523">
        <v>9</v>
      </c>
      <c r="J493" s="1502">
        <v>996</v>
      </c>
      <c r="K493" s="1503">
        <v>1037</v>
      </c>
      <c r="L493" s="1500">
        <v>2</v>
      </c>
      <c r="M493" s="1523">
        <v>2</v>
      </c>
      <c r="N493" s="1502">
        <v>130</v>
      </c>
      <c r="O493" s="1504">
        <v>129</v>
      </c>
    </row>
    <row r="494" spans="2:15" ht="20.25" x14ac:dyDescent="0.2">
      <c r="B494" s="817" t="s">
        <v>435</v>
      </c>
      <c r="C494" s="818">
        <v>5</v>
      </c>
      <c r="D494" s="1064">
        <f t="shared" si="84"/>
        <v>5</v>
      </c>
      <c r="E494" s="1058">
        <f t="shared" si="87"/>
        <v>5</v>
      </c>
      <c r="F494" s="275">
        <f t="shared" si="85"/>
        <v>465</v>
      </c>
      <c r="G494" s="276">
        <f t="shared" si="86"/>
        <v>462</v>
      </c>
      <c r="H494" s="1500">
        <v>5</v>
      </c>
      <c r="I494" s="1501">
        <v>5</v>
      </c>
      <c r="J494" s="1502">
        <v>465</v>
      </c>
      <c r="K494" s="1503">
        <v>462</v>
      </c>
      <c r="L494" s="1500">
        <v>0</v>
      </c>
      <c r="M494" s="1501">
        <v>0</v>
      </c>
      <c r="N494" s="1502">
        <v>0</v>
      </c>
      <c r="O494" s="1527">
        <v>0</v>
      </c>
    </row>
    <row r="495" spans="2:15" ht="20.25" x14ac:dyDescent="0.2">
      <c r="B495" s="817" t="s">
        <v>436</v>
      </c>
      <c r="C495" s="818">
        <v>6</v>
      </c>
      <c r="D495" s="1064">
        <f t="shared" si="84"/>
        <v>2</v>
      </c>
      <c r="E495" s="1058">
        <f t="shared" si="87"/>
        <v>2</v>
      </c>
      <c r="F495" s="275">
        <f t="shared" si="85"/>
        <v>232</v>
      </c>
      <c r="G495" s="276">
        <f t="shared" si="86"/>
        <v>222</v>
      </c>
      <c r="H495" s="1500">
        <v>2</v>
      </c>
      <c r="I495" s="1501">
        <v>2</v>
      </c>
      <c r="J495" s="1502">
        <v>232</v>
      </c>
      <c r="K495" s="1503">
        <v>222</v>
      </c>
      <c r="L495" s="1500">
        <v>0</v>
      </c>
      <c r="M495" s="1501">
        <v>0</v>
      </c>
      <c r="N495" s="1502">
        <v>0</v>
      </c>
      <c r="O495" s="1504">
        <v>0</v>
      </c>
    </row>
    <row r="496" spans="2:15" ht="21" thickBot="1" x14ac:dyDescent="0.25">
      <c r="B496" s="819" t="s">
        <v>437</v>
      </c>
      <c r="C496" s="820">
        <v>7</v>
      </c>
      <c r="D496" s="1065">
        <f t="shared" si="84"/>
        <v>1</v>
      </c>
      <c r="E496" s="1059">
        <f t="shared" si="87"/>
        <v>1</v>
      </c>
      <c r="F496" s="277">
        <f t="shared" si="85"/>
        <v>45</v>
      </c>
      <c r="G496" s="278">
        <f t="shared" si="86"/>
        <v>46</v>
      </c>
      <c r="H496" s="1505">
        <v>0</v>
      </c>
      <c r="I496" s="1506">
        <v>0</v>
      </c>
      <c r="J496" s="1507">
        <v>0</v>
      </c>
      <c r="K496" s="1508">
        <v>0</v>
      </c>
      <c r="L496" s="1505">
        <v>1</v>
      </c>
      <c r="M496" s="1506">
        <v>1</v>
      </c>
      <c r="N496" s="1507">
        <v>45</v>
      </c>
      <c r="O496" s="1509">
        <v>46</v>
      </c>
    </row>
    <row r="497" spans="1:15" ht="32.25" thickTop="1" x14ac:dyDescent="0.2">
      <c r="B497" s="821" t="s">
        <v>438</v>
      </c>
      <c r="C497" s="822">
        <v>8</v>
      </c>
      <c r="D497" s="827">
        <f>H497+L497</f>
        <v>3</v>
      </c>
      <c r="E497" s="827">
        <f t="shared" si="87"/>
        <v>3</v>
      </c>
      <c r="F497" s="828">
        <f t="shared" ref="F497:G500" si="88">J497+N497</f>
        <v>244</v>
      </c>
      <c r="G497" s="829">
        <f t="shared" si="88"/>
        <v>217</v>
      </c>
      <c r="H497" s="1510">
        <v>2</v>
      </c>
      <c r="I497" s="1510">
        <v>2</v>
      </c>
      <c r="J497" s="1511">
        <v>198</v>
      </c>
      <c r="K497" s="1512">
        <v>193</v>
      </c>
      <c r="L497" s="1510">
        <v>1</v>
      </c>
      <c r="M497" s="1510">
        <v>1</v>
      </c>
      <c r="N497" s="1511">
        <v>46</v>
      </c>
      <c r="O497" s="1513">
        <v>24</v>
      </c>
    </row>
    <row r="498" spans="1:15" ht="31.5" x14ac:dyDescent="0.2">
      <c r="B498" s="823" t="s">
        <v>439</v>
      </c>
      <c r="C498" s="824">
        <v>9</v>
      </c>
      <c r="D498" s="830">
        <f>H498+L498</f>
        <v>0</v>
      </c>
      <c r="E498" s="830">
        <f t="shared" si="87"/>
        <v>0</v>
      </c>
      <c r="F498" s="275">
        <f t="shared" si="88"/>
        <v>0</v>
      </c>
      <c r="G498" s="831">
        <f t="shared" si="88"/>
        <v>0</v>
      </c>
      <c r="H498" s="1514">
        <v>0</v>
      </c>
      <c r="I498" s="1514">
        <v>0</v>
      </c>
      <c r="J498" s="1502">
        <v>0</v>
      </c>
      <c r="K498" s="1515">
        <v>0</v>
      </c>
      <c r="L498" s="1514">
        <v>0</v>
      </c>
      <c r="M498" s="1514">
        <v>0</v>
      </c>
      <c r="N498" s="1502">
        <v>0</v>
      </c>
      <c r="O498" s="1516">
        <v>0</v>
      </c>
    </row>
    <row r="499" spans="1:15" ht="31.5" x14ac:dyDescent="0.2">
      <c r="B499" s="823" t="s">
        <v>440</v>
      </c>
      <c r="C499" s="824">
        <v>10</v>
      </c>
      <c r="D499" s="830">
        <f>H499+L499</f>
        <v>0</v>
      </c>
      <c r="E499" s="830">
        <f t="shared" si="87"/>
        <v>0</v>
      </c>
      <c r="F499" s="275">
        <f t="shared" si="88"/>
        <v>0</v>
      </c>
      <c r="G499" s="831">
        <f t="shared" si="88"/>
        <v>0</v>
      </c>
      <c r="H499" s="1514">
        <v>0</v>
      </c>
      <c r="I499" s="1514">
        <v>0</v>
      </c>
      <c r="J499" s="1502">
        <v>0</v>
      </c>
      <c r="K499" s="1515">
        <v>0</v>
      </c>
      <c r="L499" s="1514">
        <v>0</v>
      </c>
      <c r="M499" s="1514">
        <v>0</v>
      </c>
      <c r="N499" s="1502">
        <v>0</v>
      </c>
      <c r="O499" s="1516">
        <v>0</v>
      </c>
    </row>
    <row r="500" spans="1:15" ht="48" thickBot="1" x14ac:dyDescent="0.25">
      <c r="B500" s="825" t="s">
        <v>441</v>
      </c>
      <c r="C500" s="826">
        <v>11</v>
      </c>
      <c r="D500" s="832">
        <f>H500+L500</f>
        <v>1</v>
      </c>
      <c r="E500" s="832">
        <f t="shared" si="87"/>
        <v>1</v>
      </c>
      <c r="F500" s="277">
        <f t="shared" si="88"/>
        <v>124</v>
      </c>
      <c r="G500" s="833">
        <f t="shared" si="88"/>
        <v>127</v>
      </c>
      <c r="H500" s="1517">
        <v>1</v>
      </c>
      <c r="I500" s="1517">
        <v>1</v>
      </c>
      <c r="J500" s="1507">
        <v>124</v>
      </c>
      <c r="K500" s="1518">
        <v>127</v>
      </c>
      <c r="L500" s="1517">
        <v>0</v>
      </c>
      <c r="M500" s="1517">
        <v>0</v>
      </c>
      <c r="N500" s="1507">
        <v>0</v>
      </c>
      <c r="O500" s="1519">
        <v>0</v>
      </c>
    </row>
    <row r="501" spans="1:15" ht="21" thickTop="1" x14ac:dyDescent="0.2">
      <c r="B501" s="264"/>
      <c r="C501" s="409"/>
      <c r="D501" s="410"/>
      <c r="E501" s="410"/>
      <c r="F501" s="410"/>
      <c r="G501" s="410"/>
      <c r="H501" s="410"/>
      <c r="I501" s="410"/>
      <c r="J501" s="410"/>
      <c r="K501" s="410"/>
      <c r="L501" s="410"/>
      <c r="M501" s="410"/>
      <c r="N501" s="410"/>
    </row>
    <row r="502" spans="1:15" ht="20.25" x14ac:dyDescent="0.25">
      <c r="B502" s="11" t="s">
        <v>123</v>
      </c>
      <c r="C502" s="409"/>
      <c r="D502" s="410"/>
      <c r="E502" s="410"/>
      <c r="F502" s="410"/>
      <c r="G502" s="410"/>
      <c r="H502" s="410"/>
      <c r="I502" s="410"/>
      <c r="J502" s="410"/>
      <c r="K502" s="410"/>
      <c r="L502" s="1654" t="s">
        <v>442</v>
      </c>
      <c r="M502" s="1654"/>
      <c r="N502" s="1654"/>
      <c r="O502" s="1654"/>
    </row>
    <row r="503" spans="1:15" ht="20.25" x14ac:dyDescent="0.25">
      <c r="B503" s="11" t="s">
        <v>124</v>
      </c>
      <c r="C503" s="409"/>
      <c r="D503" s="410"/>
      <c r="E503" s="410"/>
      <c r="F503" s="410"/>
      <c r="G503" s="410"/>
      <c r="H503" s="410"/>
      <c r="I503" s="410"/>
      <c r="J503" s="410"/>
      <c r="K503" s="410"/>
      <c r="L503" s="1604" t="s">
        <v>126</v>
      </c>
      <c r="M503" s="1604"/>
      <c r="N503" s="1604"/>
      <c r="O503" s="1604"/>
    </row>
    <row r="504" spans="1:15" ht="18" x14ac:dyDescent="0.25">
      <c r="B504" s="11" t="s">
        <v>125</v>
      </c>
    </row>
    <row r="506" spans="1:15" ht="26.25" x14ac:dyDescent="0.4">
      <c r="A506" s="267" t="s">
        <v>206</v>
      </c>
      <c r="N506" s="1675" t="s">
        <v>14</v>
      </c>
      <c r="O506" s="1675"/>
    </row>
    <row r="507" spans="1:15" ht="18" x14ac:dyDescent="0.25">
      <c r="B507" s="11" t="s">
        <v>116</v>
      </c>
      <c r="C507" s="3"/>
      <c r="D507" s="3"/>
      <c r="E507" s="3"/>
      <c r="F507" s="3"/>
      <c r="G507" s="3"/>
      <c r="H507" s="3"/>
      <c r="I507" s="3"/>
      <c r="J507" s="3"/>
      <c r="K507" s="11"/>
      <c r="L507" s="3"/>
      <c r="M507" s="3"/>
    </row>
    <row r="508" spans="1:15" ht="18" x14ac:dyDescent="0.25">
      <c r="B508" s="14" t="s">
        <v>129</v>
      </c>
      <c r="C508" s="29"/>
      <c r="D508" s="3"/>
      <c r="E508" s="3"/>
      <c r="F508" s="3"/>
      <c r="G508" s="3"/>
      <c r="H508" s="3"/>
      <c r="I508" s="3"/>
      <c r="N508" s="1676" t="str">
        <f>'Tab.1. bilans_Polska'!$E$59</f>
        <v>Termin: 29 luty 2012 r.</v>
      </c>
      <c r="O508" s="1676"/>
    </row>
    <row r="509" spans="1:15" ht="18" x14ac:dyDescent="0.25">
      <c r="B509" s="11" t="s">
        <v>128</v>
      </c>
      <c r="C509" s="3"/>
      <c r="D509" s="3"/>
      <c r="E509" s="3"/>
      <c r="F509" s="3"/>
      <c r="G509" s="3"/>
      <c r="H509" s="3"/>
      <c r="I509" s="3"/>
    </row>
    <row r="510" spans="1:15" ht="18" x14ac:dyDescent="0.25">
      <c r="B510" s="11"/>
      <c r="C510" s="3"/>
      <c r="D510" s="3"/>
      <c r="E510" s="3"/>
      <c r="F510" s="3"/>
      <c r="G510" s="3"/>
      <c r="H510" s="3"/>
      <c r="I510" s="3"/>
      <c r="J510" s="3"/>
      <c r="K510" s="3"/>
      <c r="L510" s="3"/>
      <c r="M510" s="3"/>
      <c r="N510" s="3"/>
    </row>
    <row r="511" spans="1:15" ht="18" x14ac:dyDescent="0.25">
      <c r="B511" s="11"/>
      <c r="C511" s="3"/>
      <c r="D511" s="3"/>
      <c r="E511" s="3"/>
      <c r="F511" s="3"/>
      <c r="G511" s="3"/>
      <c r="H511" s="3"/>
      <c r="I511" s="3"/>
      <c r="J511" s="3"/>
      <c r="K511" s="3"/>
      <c r="L511" s="3"/>
      <c r="M511" s="3"/>
      <c r="N511" s="3"/>
    </row>
    <row r="512" spans="1:15" ht="15.75" x14ac:dyDescent="0.25">
      <c r="B512" s="1"/>
      <c r="C512" s="3"/>
      <c r="D512" s="3"/>
      <c r="E512" s="3"/>
      <c r="F512" s="3"/>
      <c r="G512" s="3"/>
      <c r="H512" s="3"/>
      <c r="I512" s="3"/>
      <c r="J512" s="3"/>
      <c r="K512" s="3"/>
      <c r="L512" s="3"/>
      <c r="M512" s="3"/>
      <c r="N512" s="3"/>
    </row>
    <row r="513" spans="2:15" ht="15.75" x14ac:dyDescent="0.25">
      <c r="B513" s="1"/>
      <c r="C513" s="3"/>
      <c r="D513" s="3"/>
      <c r="E513" s="3"/>
      <c r="F513" s="3"/>
      <c r="G513" s="3"/>
      <c r="H513" s="3"/>
      <c r="I513" s="3"/>
      <c r="J513" s="3"/>
      <c r="K513" s="1"/>
      <c r="L513" s="3"/>
      <c r="M513" s="3"/>
      <c r="N513" s="3"/>
    </row>
    <row r="514" spans="2:15" ht="23.25" x14ac:dyDescent="0.35">
      <c r="B514" s="1655" t="s">
        <v>36</v>
      </c>
      <c r="C514" s="1655"/>
      <c r="D514" s="1655"/>
      <c r="E514" s="1655"/>
      <c r="F514" s="1655"/>
      <c r="G514" s="1655"/>
      <c r="H514" s="1655"/>
      <c r="I514" s="1655"/>
      <c r="J514" s="1655"/>
      <c r="K514" s="1655"/>
      <c r="L514" s="1655"/>
      <c r="M514" s="1655"/>
      <c r="N514" s="1655"/>
      <c r="O514" s="1655"/>
    </row>
    <row r="515" spans="2:15" ht="23.25" x14ac:dyDescent="0.35">
      <c r="B515" s="1645" t="str">
        <f>$B$11</f>
        <v>W  PODZIALE  NA  DOMY  SAMORZĄDÓW  POWIATOWYCH  I  PODMIOTÓW  NIEPUBLICZNYCH  WG  ST.  NA  DZIEŃ  31. XII. 2011 r.</v>
      </c>
      <c r="C515" s="1645"/>
      <c r="D515" s="1645"/>
      <c r="E515" s="1645"/>
      <c r="F515" s="1645"/>
      <c r="G515" s="1645"/>
      <c r="H515" s="1645"/>
      <c r="I515" s="1645"/>
      <c r="J515" s="1645"/>
      <c r="K515" s="1645"/>
      <c r="L515" s="1645"/>
      <c r="M515" s="1645"/>
      <c r="N515" s="1645"/>
      <c r="O515" s="1645"/>
    </row>
    <row r="516" spans="2:15" ht="23.25" x14ac:dyDescent="0.35">
      <c r="B516" s="28"/>
      <c r="C516" s="3"/>
      <c r="D516" s="3"/>
      <c r="E516" s="3"/>
      <c r="F516" s="3"/>
      <c r="G516" s="3"/>
      <c r="H516" s="3"/>
      <c r="I516" s="3"/>
      <c r="J516" s="3"/>
      <c r="K516" s="3"/>
      <c r="L516" s="3"/>
      <c r="M516" s="3"/>
      <c r="N516" s="3"/>
    </row>
    <row r="517" spans="2:15" ht="24" thickBot="1" x14ac:dyDescent="0.4">
      <c r="B517" s="30"/>
      <c r="C517" s="30"/>
      <c r="D517" s="939"/>
      <c r="E517" s="939"/>
      <c r="F517" s="939" t="str">
        <f>IF('Tab.1. bilans_Polska'!C790=F525, "", "t1w5k1="&amp;'Tab.1. bilans_Polska'!C790)</f>
        <v/>
      </c>
      <c r="G517" s="940"/>
      <c r="H517" s="940"/>
      <c r="I517" s="940"/>
      <c r="J517" s="939" t="str">
        <f>IF('Tab.1. bilans_Polska'!D790=J525, "", "t1w5k2="&amp;'Tab.1. bilans_Polska'!D790)</f>
        <v/>
      </c>
      <c r="K517" s="940"/>
      <c r="L517" s="940"/>
      <c r="M517" s="940"/>
      <c r="N517" s="942" t="str">
        <f>IF('Tab.1. bilans_Polska'!E790=N525,"","t1w5k3="&amp;'Tab.1. bilans_Polska'!E790)</f>
        <v/>
      </c>
      <c r="O517" s="941"/>
    </row>
    <row r="518" spans="2:15" ht="24" thickTop="1" x14ac:dyDescent="0.2">
      <c r="B518" s="1660" t="s">
        <v>38</v>
      </c>
      <c r="C518" s="1661"/>
      <c r="D518" s="1677" t="s">
        <v>3</v>
      </c>
      <c r="E518" s="1678"/>
      <c r="F518" s="1678"/>
      <c r="G518" s="1679"/>
      <c r="H518" s="1668" t="s">
        <v>37</v>
      </c>
      <c r="I518" s="1669"/>
      <c r="J518" s="1669"/>
      <c r="K518" s="1669"/>
      <c r="L518" s="1669"/>
      <c r="M518" s="1669"/>
      <c r="N518" s="1669"/>
      <c r="O518" s="1670"/>
    </row>
    <row r="519" spans="2:15" ht="18" customHeight="1" thickBot="1" x14ac:dyDescent="0.25">
      <c r="B519" s="1662"/>
      <c r="C519" s="1663"/>
      <c r="D519" s="1649" t="str">
        <f>UPPER("Domy 
zareje-
strowane")</f>
        <v>DOMY 
ZAREJE-
STROWANE</v>
      </c>
      <c r="E519" s="1646" t="s">
        <v>454</v>
      </c>
      <c r="F519" s="1646" t="s">
        <v>455</v>
      </c>
      <c r="G519" s="1666" t="s">
        <v>281</v>
      </c>
      <c r="H519" s="1671"/>
      <c r="I519" s="1672"/>
      <c r="J519" s="1672"/>
      <c r="K519" s="1672"/>
      <c r="L519" s="1672"/>
      <c r="M519" s="1672"/>
      <c r="N519" s="1672"/>
      <c r="O519" s="1673"/>
    </row>
    <row r="520" spans="2:15" ht="18" x14ac:dyDescent="0.2">
      <c r="B520" s="1662"/>
      <c r="C520" s="1663"/>
      <c r="D520" s="1650"/>
      <c r="E520" s="1647"/>
      <c r="F520" s="1647"/>
      <c r="G520" s="1667"/>
      <c r="H520" s="1656" t="s">
        <v>17</v>
      </c>
      <c r="I520" s="1656"/>
      <c r="J520" s="1656"/>
      <c r="K520" s="1657"/>
      <c r="L520" s="1658" t="s">
        <v>18</v>
      </c>
      <c r="M520" s="1656"/>
      <c r="N520" s="1656"/>
      <c r="O520" s="1659"/>
    </row>
    <row r="521" spans="2:15" ht="18" customHeight="1" x14ac:dyDescent="0.2">
      <c r="B521" s="1662"/>
      <c r="C521" s="1663"/>
      <c r="D521" s="1650"/>
      <c r="E521" s="1647"/>
      <c r="F521" s="1647"/>
      <c r="G521" s="1667"/>
      <c r="H521" s="1649" t="s">
        <v>460</v>
      </c>
      <c r="I521" s="1646" t="s">
        <v>456</v>
      </c>
      <c r="J521" s="1646" t="s">
        <v>393</v>
      </c>
      <c r="K521" s="1666" t="s">
        <v>457</v>
      </c>
      <c r="L521" s="1649" t="s">
        <v>460</v>
      </c>
      <c r="M521" s="1646" t="s">
        <v>456</v>
      </c>
      <c r="N521" s="1646" t="s">
        <v>393</v>
      </c>
      <c r="O521" s="1682" t="s">
        <v>457</v>
      </c>
    </row>
    <row r="522" spans="2:15" ht="13.5" customHeight="1" thickBot="1" x14ac:dyDescent="0.25">
      <c r="B522" s="1662"/>
      <c r="C522" s="1663"/>
      <c r="D522" s="1650"/>
      <c r="E522" s="1647"/>
      <c r="F522" s="1647"/>
      <c r="G522" s="1667"/>
      <c r="H522" s="1650"/>
      <c r="I522" s="1647"/>
      <c r="J522" s="1647"/>
      <c r="K522" s="1667"/>
      <c r="L522" s="1650"/>
      <c r="M522" s="1647"/>
      <c r="N522" s="1647"/>
      <c r="O522" s="1683"/>
    </row>
    <row r="523" spans="2:15" ht="15.75" customHeight="1" x14ac:dyDescent="0.2">
      <c r="B523" s="1664"/>
      <c r="C523" s="1665"/>
      <c r="D523" s="1073" t="s">
        <v>459</v>
      </c>
      <c r="E523" s="1074" t="s">
        <v>461</v>
      </c>
      <c r="F523" s="1071" t="s">
        <v>462</v>
      </c>
      <c r="G523" s="1072" t="s">
        <v>463</v>
      </c>
      <c r="H523" s="1651"/>
      <c r="I523" s="1648"/>
      <c r="J523" s="1648"/>
      <c r="K523" s="1674"/>
      <c r="L523" s="1651"/>
      <c r="M523" s="1648"/>
      <c r="N523" s="1648"/>
      <c r="O523" s="1684"/>
    </row>
    <row r="524" spans="2:15" ht="16.5" thickBot="1" x14ac:dyDescent="0.3">
      <c r="B524" s="1680">
        <v>0</v>
      </c>
      <c r="C524" s="1681"/>
      <c r="D524" s="48">
        <v>1</v>
      </c>
      <c r="E524" s="1056">
        <v>2</v>
      </c>
      <c r="F524" s="49">
        <v>3</v>
      </c>
      <c r="G524" s="50">
        <v>4</v>
      </c>
      <c r="H524" s="1075">
        <v>5</v>
      </c>
      <c r="I524" s="1056">
        <v>6</v>
      </c>
      <c r="J524" s="49">
        <v>7</v>
      </c>
      <c r="K524" s="50">
        <v>8</v>
      </c>
      <c r="L524" s="1075">
        <v>9</v>
      </c>
      <c r="M524" s="1056">
        <v>10</v>
      </c>
      <c r="N524" s="49">
        <v>11</v>
      </c>
      <c r="O524" s="51">
        <v>12</v>
      </c>
    </row>
    <row r="525" spans="2:15" ht="47.25" thickTop="1" x14ac:dyDescent="0.2">
      <c r="B525" s="814" t="s">
        <v>431</v>
      </c>
      <c r="C525" s="1652">
        <v>1</v>
      </c>
      <c r="D525" s="1066">
        <f>SUM(D527:D536)</f>
        <v>38</v>
      </c>
      <c r="E525" s="1209">
        <f>I525+M525</f>
        <v>38</v>
      </c>
      <c r="F525" s="271">
        <f t="shared" ref="F525:O525" si="89">SUM(F527:F536)</f>
        <v>3530</v>
      </c>
      <c r="G525" s="272">
        <f t="shared" si="89"/>
        <v>3424</v>
      </c>
      <c r="H525" s="1076">
        <f t="shared" si="89"/>
        <v>28</v>
      </c>
      <c r="I525" s="1530">
        <v>28</v>
      </c>
      <c r="J525" s="279">
        <f t="shared" si="89"/>
        <v>2923</v>
      </c>
      <c r="K525" s="280">
        <f t="shared" si="89"/>
        <v>2836</v>
      </c>
      <c r="L525" s="1076">
        <f t="shared" si="89"/>
        <v>10</v>
      </c>
      <c r="M525" s="1529">
        <v>10</v>
      </c>
      <c r="N525" s="279">
        <f t="shared" si="89"/>
        <v>607</v>
      </c>
      <c r="O525" s="281">
        <f t="shared" si="89"/>
        <v>588</v>
      </c>
    </row>
    <row r="526" spans="2:15" ht="13.5" thickBot="1" x14ac:dyDescent="0.25">
      <c r="B526" s="53" t="s">
        <v>46</v>
      </c>
      <c r="C526" s="1653"/>
      <c r="D526" s="1067" t="str">
        <f>IF(H525+L525=D525, "", "Uwaga!")</f>
        <v/>
      </c>
      <c r="E526" s="1102" t="str">
        <f>IF(D525=E525, "", "Uwaga!")</f>
        <v/>
      </c>
      <c r="F526" s="399" t="str">
        <f>IF(J525+N525=F525, "", "Uwaga!")</f>
        <v/>
      </c>
      <c r="G526" s="400" t="str">
        <f>IF(K525+O525=G525, "", "Uwaga!")</f>
        <v/>
      </c>
      <c r="H526" s="1077"/>
      <c r="I526" s="1102" t="str">
        <f>IF(H525=I525, "", "Uwaga!")</f>
        <v/>
      </c>
      <c r="J526" s="185"/>
      <c r="K526" s="54"/>
      <c r="L526" s="1077"/>
      <c r="M526" s="1102" t="str">
        <f>IF(L525=M525, "", "Uwaga!")</f>
        <v/>
      </c>
      <c r="N526" s="185"/>
      <c r="O526" s="55"/>
    </row>
    <row r="527" spans="2:15" ht="21" thickTop="1" x14ac:dyDescent="0.2">
      <c r="B527" s="815" t="s">
        <v>432</v>
      </c>
      <c r="C527" s="816">
        <v>2</v>
      </c>
      <c r="D527" s="1063">
        <f t="shared" ref="D527:D532" si="90">H527+L527</f>
        <v>5</v>
      </c>
      <c r="E527" s="1057">
        <f>I527+M527</f>
        <v>5</v>
      </c>
      <c r="F527" s="273">
        <f t="shared" ref="F527:F532" si="91">J527+N527</f>
        <v>263</v>
      </c>
      <c r="G527" s="274">
        <f t="shared" ref="G527:G532" si="92">K527+O527</f>
        <v>252</v>
      </c>
      <c r="H527" s="1495">
        <v>3</v>
      </c>
      <c r="I527" s="1520">
        <v>3</v>
      </c>
      <c r="J527" s="1497">
        <v>132</v>
      </c>
      <c r="K527" s="1498">
        <v>134</v>
      </c>
      <c r="L527" s="1495">
        <v>2</v>
      </c>
      <c r="M527" s="1520">
        <v>2</v>
      </c>
      <c r="N527" s="1497">
        <v>131</v>
      </c>
      <c r="O527" s="1499">
        <v>118</v>
      </c>
    </row>
    <row r="528" spans="2:15" ht="20.25" x14ac:dyDescent="0.2">
      <c r="B528" s="817" t="s">
        <v>433</v>
      </c>
      <c r="C528" s="818">
        <v>3</v>
      </c>
      <c r="D528" s="1064">
        <f t="shared" si="90"/>
        <v>7</v>
      </c>
      <c r="E528" s="1058">
        <f t="shared" ref="E528:E536" si="93">I528+M528</f>
        <v>7</v>
      </c>
      <c r="F528" s="275">
        <f t="shared" si="91"/>
        <v>540</v>
      </c>
      <c r="G528" s="276">
        <f t="shared" si="92"/>
        <v>534</v>
      </c>
      <c r="H528" s="1500">
        <v>7</v>
      </c>
      <c r="I528" s="1501">
        <v>7</v>
      </c>
      <c r="J528" s="1502">
        <v>540</v>
      </c>
      <c r="K528" s="1503">
        <v>534</v>
      </c>
      <c r="L528" s="1500">
        <v>0</v>
      </c>
      <c r="M528" s="1501">
        <v>0</v>
      </c>
      <c r="N528" s="1502">
        <v>0</v>
      </c>
      <c r="O528" s="1504">
        <v>0</v>
      </c>
    </row>
    <row r="529" spans="1:15" ht="20.25" x14ac:dyDescent="0.2">
      <c r="B529" s="817" t="s">
        <v>434</v>
      </c>
      <c r="C529" s="818">
        <v>4</v>
      </c>
      <c r="D529" s="1064">
        <f t="shared" si="90"/>
        <v>7</v>
      </c>
      <c r="E529" s="1058">
        <f t="shared" si="93"/>
        <v>7</v>
      </c>
      <c r="F529" s="275">
        <f t="shared" si="91"/>
        <v>975</v>
      </c>
      <c r="G529" s="276">
        <f t="shared" si="92"/>
        <v>972</v>
      </c>
      <c r="H529" s="1500">
        <v>5</v>
      </c>
      <c r="I529" s="1501">
        <v>5</v>
      </c>
      <c r="J529" s="1502">
        <v>835</v>
      </c>
      <c r="K529" s="1503">
        <v>832</v>
      </c>
      <c r="L529" s="1500">
        <v>2</v>
      </c>
      <c r="M529" s="1501">
        <v>2</v>
      </c>
      <c r="N529" s="1502">
        <v>140</v>
      </c>
      <c r="O529" s="1504">
        <v>140</v>
      </c>
    </row>
    <row r="530" spans="1:15" ht="20.25" x14ac:dyDescent="0.2">
      <c r="B530" s="817" t="s">
        <v>435</v>
      </c>
      <c r="C530" s="818">
        <v>5</v>
      </c>
      <c r="D530" s="1064">
        <f t="shared" si="90"/>
        <v>6</v>
      </c>
      <c r="E530" s="1058">
        <f t="shared" si="93"/>
        <v>6</v>
      </c>
      <c r="F530" s="275">
        <f t="shared" si="91"/>
        <v>683</v>
      </c>
      <c r="G530" s="276">
        <f t="shared" si="92"/>
        <v>639</v>
      </c>
      <c r="H530" s="1500">
        <v>5</v>
      </c>
      <c r="I530" s="1501">
        <v>5</v>
      </c>
      <c r="J530" s="1502">
        <v>659</v>
      </c>
      <c r="K530" s="1503">
        <v>615</v>
      </c>
      <c r="L530" s="1500">
        <v>1</v>
      </c>
      <c r="M530" s="1501">
        <v>1</v>
      </c>
      <c r="N530" s="1502">
        <v>24</v>
      </c>
      <c r="O530" s="1504">
        <v>24</v>
      </c>
    </row>
    <row r="531" spans="1:15" ht="20.25" x14ac:dyDescent="0.2">
      <c r="B531" s="817" t="s">
        <v>436</v>
      </c>
      <c r="C531" s="818">
        <v>6</v>
      </c>
      <c r="D531" s="1064">
        <f t="shared" si="90"/>
        <v>5</v>
      </c>
      <c r="E531" s="1058">
        <f t="shared" si="93"/>
        <v>5</v>
      </c>
      <c r="F531" s="275">
        <f t="shared" si="91"/>
        <v>317</v>
      </c>
      <c r="G531" s="276">
        <f t="shared" si="92"/>
        <v>311</v>
      </c>
      <c r="H531" s="1500">
        <v>1</v>
      </c>
      <c r="I531" s="1501">
        <v>1</v>
      </c>
      <c r="J531" s="1502">
        <v>95</v>
      </c>
      <c r="K531" s="1503">
        <v>95</v>
      </c>
      <c r="L531" s="1500">
        <v>4</v>
      </c>
      <c r="M531" s="1501">
        <v>4</v>
      </c>
      <c r="N531" s="1502">
        <v>222</v>
      </c>
      <c r="O531" s="1504">
        <v>216</v>
      </c>
    </row>
    <row r="532" spans="1:15" ht="21" thickBot="1" x14ac:dyDescent="0.25">
      <c r="B532" s="819" t="s">
        <v>437</v>
      </c>
      <c r="C532" s="820">
        <v>7</v>
      </c>
      <c r="D532" s="1065">
        <f t="shared" si="90"/>
        <v>1</v>
      </c>
      <c r="E532" s="1059">
        <f t="shared" si="93"/>
        <v>1</v>
      </c>
      <c r="F532" s="277">
        <f t="shared" si="91"/>
        <v>90</v>
      </c>
      <c r="G532" s="278">
        <f t="shared" si="92"/>
        <v>90</v>
      </c>
      <c r="H532" s="1505">
        <v>0</v>
      </c>
      <c r="I532" s="1506">
        <v>0</v>
      </c>
      <c r="J532" s="1507">
        <v>0</v>
      </c>
      <c r="K532" s="1508">
        <v>0</v>
      </c>
      <c r="L532" s="1505">
        <v>1</v>
      </c>
      <c r="M532" s="1506">
        <v>1</v>
      </c>
      <c r="N532" s="1507">
        <v>90</v>
      </c>
      <c r="O532" s="1509">
        <v>90</v>
      </c>
    </row>
    <row r="533" spans="1:15" ht="32.25" thickTop="1" x14ac:dyDescent="0.2">
      <c r="B533" s="821" t="s">
        <v>438</v>
      </c>
      <c r="C533" s="822">
        <v>8</v>
      </c>
      <c r="D533" s="827">
        <f>H533+L533</f>
        <v>5</v>
      </c>
      <c r="E533" s="827">
        <f t="shared" si="93"/>
        <v>5</v>
      </c>
      <c r="F533" s="828">
        <f t="shared" ref="F533:G536" si="94">J533+N533</f>
        <v>482</v>
      </c>
      <c r="G533" s="829">
        <f t="shared" si="94"/>
        <v>447</v>
      </c>
      <c r="H533" s="1510">
        <v>5</v>
      </c>
      <c r="I533" s="1510">
        <v>5</v>
      </c>
      <c r="J533" s="1511">
        <v>482</v>
      </c>
      <c r="K533" s="1512">
        <v>447</v>
      </c>
      <c r="L533" s="1510">
        <v>0</v>
      </c>
      <c r="M533" s="1510">
        <v>0</v>
      </c>
      <c r="N533" s="1511">
        <v>0</v>
      </c>
      <c r="O533" s="1513">
        <v>0</v>
      </c>
    </row>
    <row r="534" spans="1:15" ht="31.5" x14ac:dyDescent="0.2">
      <c r="B534" s="823" t="s">
        <v>439</v>
      </c>
      <c r="C534" s="824">
        <v>9</v>
      </c>
      <c r="D534" s="830">
        <f>H534+L534</f>
        <v>1</v>
      </c>
      <c r="E534" s="830">
        <f t="shared" si="93"/>
        <v>1</v>
      </c>
      <c r="F534" s="275">
        <f t="shared" si="94"/>
        <v>90</v>
      </c>
      <c r="G534" s="831">
        <f t="shared" si="94"/>
        <v>90</v>
      </c>
      <c r="H534" s="1514">
        <v>1</v>
      </c>
      <c r="I534" s="1514">
        <v>1</v>
      </c>
      <c r="J534" s="1502">
        <v>90</v>
      </c>
      <c r="K534" s="1515">
        <v>90</v>
      </c>
      <c r="L534" s="1514">
        <v>0</v>
      </c>
      <c r="M534" s="1514">
        <v>0</v>
      </c>
      <c r="N534" s="1502">
        <v>0</v>
      </c>
      <c r="O534" s="1516">
        <v>0</v>
      </c>
    </row>
    <row r="535" spans="1:15" ht="31.5" x14ac:dyDescent="0.2">
      <c r="B535" s="823" t="s">
        <v>440</v>
      </c>
      <c r="C535" s="824">
        <v>10</v>
      </c>
      <c r="D535" s="830">
        <f>H535+L535</f>
        <v>0</v>
      </c>
      <c r="E535" s="830">
        <f t="shared" si="93"/>
        <v>0</v>
      </c>
      <c r="F535" s="275">
        <f t="shared" si="94"/>
        <v>0</v>
      </c>
      <c r="G535" s="831">
        <f t="shared" si="94"/>
        <v>0</v>
      </c>
      <c r="H535" s="1514">
        <v>0</v>
      </c>
      <c r="I535" s="1514">
        <v>0</v>
      </c>
      <c r="J535" s="1502">
        <v>0</v>
      </c>
      <c r="K535" s="1515">
        <v>0</v>
      </c>
      <c r="L535" s="1514">
        <v>0</v>
      </c>
      <c r="M535" s="1514">
        <v>0</v>
      </c>
      <c r="N535" s="1502">
        <v>0</v>
      </c>
      <c r="O535" s="1516">
        <v>0</v>
      </c>
    </row>
    <row r="536" spans="1:15" ht="48" thickBot="1" x14ac:dyDescent="0.25">
      <c r="B536" s="825" t="s">
        <v>441</v>
      </c>
      <c r="C536" s="826">
        <v>11</v>
      </c>
      <c r="D536" s="832">
        <f>H536+L536</f>
        <v>1</v>
      </c>
      <c r="E536" s="832">
        <f t="shared" si="93"/>
        <v>1</v>
      </c>
      <c r="F536" s="277">
        <f t="shared" si="94"/>
        <v>90</v>
      </c>
      <c r="G536" s="833">
        <f t="shared" si="94"/>
        <v>89</v>
      </c>
      <c r="H536" s="1517">
        <v>1</v>
      </c>
      <c r="I536" s="1517">
        <v>1</v>
      </c>
      <c r="J536" s="1507">
        <v>90</v>
      </c>
      <c r="K536" s="1518">
        <v>89</v>
      </c>
      <c r="L536" s="1517">
        <v>0</v>
      </c>
      <c r="M536" s="1517">
        <v>0</v>
      </c>
      <c r="N536" s="1507">
        <v>0</v>
      </c>
      <c r="O536" s="1519">
        <v>0</v>
      </c>
    </row>
    <row r="537" spans="1:15" ht="21" thickTop="1" x14ac:dyDescent="0.2">
      <c r="B537" s="264"/>
      <c r="C537" s="409"/>
      <c r="D537" s="410"/>
      <c r="E537" s="410"/>
      <c r="F537" s="410"/>
      <c r="G537" s="410"/>
      <c r="H537" s="410"/>
      <c r="I537" s="410"/>
      <c r="J537" s="410"/>
      <c r="K537" s="410"/>
      <c r="L537" s="410"/>
      <c r="M537" s="410"/>
      <c r="N537" s="410"/>
    </row>
    <row r="538" spans="1:15" ht="20.25" x14ac:dyDescent="0.25">
      <c r="B538" s="11" t="s">
        <v>123</v>
      </c>
      <c r="C538" s="409"/>
      <c r="D538" s="410"/>
      <c r="E538" s="410"/>
      <c r="F538" s="410"/>
      <c r="G538" s="410"/>
      <c r="H538" s="410"/>
      <c r="I538" s="410"/>
      <c r="J538" s="410"/>
      <c r="K538" s="410"/>
      <c r="L538" s="1654" t="s">
        <v>442</v>
      </c>
      <c r="M538" s="1654"/>
      <c r="N538" s="1654"/>
      <c r="O538" s="1654"/>
    </row>
    <row r="539" spans="1:15" ht="20.25" x14ac:dyDescent="0.25">
      <c r="B539" s="11" t="s">
        <v>124</v>
      </c>
      <c r="C539" s="409"/>
      <c r="D539" s="410"/>
      <c r="E539" s="410"/>
      <c r="F539" s="410"/>
      <c r="G539" s="410"/>
      <c r="H539" s="410"/>
      <c r="I539" s="410"/>
      <c r="J539" s="410"/>
      <c r="K539" s="410"/>
      <c r="L539" s="1604" t="s">
        <v>126</v>
      </c>
      <c r="M539" s="1604"/>
      <c r="N539" s="1604"/>
      <c r="O539" s="1604"/>
    </row>
    <row r="540" spans="1:15" ht="18" x14ac:dyDescent="0.25">
      <c r="B540" s="11" t="s">
        <v>125</v>
      </c>
    </row>
    <row r="541" spans="1:15" ht="26.25" x14ac:dyDescent="0.4">
      <c r="A541" s="267" t="s">
        <v>207</v>
      </c>
    </row>
    <row r="542" spans="1:15" ht="18" x14ac:dyDescent="0.25">
      <c r="N542" s="1675" t="s">
        <v>14</v>
      </c>
      <c r="O542" s="1675"/>
    </row>
    <row r="543" spans="1:15" ht="18" x14ac:dyDescent="0.25">
      <c r="B543" s="11" t="s">
        <v>116</v>
      </c>
      <c r="C543" s="3"/>
      <c r="D543" s="3"/>
      <c r="E543" s="3"/>
      <c r="F543" s="3"/>
      <c r="G543" s="3"/>
      <c r="H543" s="3"/>
      <c r="I543" s="3"/>
      <c r="J543" s="3"/>
      <c r="K543" s="11"/>
      <c r="L543" s="3"/>
      <c r="M543" s="3"/>
    </row>
    <row r="544" spans="1:15" ht="18" x14ac:dyDescent="0.25">
      <c r="B544" s="14" t="s">
        <v>129</v>
      </c>
      <c r="C544" s="29"/>
      <c r="D544" s="3"/>
      <c r="E544" s="3"/>
      <c r="F544" s="3"/>
      <c r="G544" s="3"/>
      <c r="H544" s="3"/>
      <c r="I544" s="3"/>
      <c r="N544" s="1676" t="str">
        <f>'Tab.1. bilans_Polska'!$E$59</f>
        <v>Termin: 29 luty 2012 r.</v>
      </c>
      <c r="O544" s="1676"/>
    </row>
    <row r="545" spans="2:15" ht="18" x14ac:dyDescent="0.25">
      <c r="B545" s="11" t="s">
        <v>128</v>
      </c>
      <c r="C545" s="3"/>
      <c r="D545" s="3"/>
      <c r="E545" s="3"/>
      <c r="F545" s="3"/>
      <c r="G545" s="3"/>
      <c r="H545" s="3"/>
      <c r="I545" s="3"/>
    </row>
    <row r="546" spans="2:15" ht="18" x14ac:dyDescent="0.25">
      <c r="B546" s="11"/>
      <c r="C546" s="3"/>
      <c r="D546" s="3"/>
      <c r="E546" s="3"/>
      <c r="F546" s="3"/>
      <c r="G546" s="3"/>
      <c r="H546" s="3"/>
      <c r="I546" s="3"/>
      <c r="J546" s="3"/>
      <c r="K546" s="3"/>
      <c r="L546" s="3"/>
      <c r="M546" s="3"/>
      <c r="N546" s="3"/>
    </row>
    <row r="547" spans="2:15" ht="18" x14ac:dyDescent="0.25">
      <c r="B547" s="11"/>
      <c r="C547" s="3"/>
      <c r="D547" s="3"/>
      <c r="E547" s="3"/>
      <c r="F547" s="3"/>
      <c r="G547" s="3"/>
      <c r="H547" s="3"/>
      <c r="I547" s="3"/>
      <c r="J547" s="3"/>
      <c r="K547" s="3"/>
      <c r="L547" s="3"/>
      <c r="M547" s="3"/>
      <c r="N547" s="3"/>
    </row>
    <row r="548" spans="2:15" ht="15.75" x14ac:dyDescent="0.25">
      <c r="B548" s="1"/>
      <c r="C548" s="3"/>
      <c r="D548" s="3"/>
      <c r="E548" s="3"/>
      <c r="F548" s="3"/>
      <c r="G548" s="3"/>
      <c r="H548" s="3"/>
      <c r="I548" s="3"/>
      <c r="J548" s="3"/>
      <c r="K548" s="3"/>
      <c r="L548" s="3"/>
      <c r="M548" s="3"/>
      <c r="N548" s="3"/>
    </row>
    <row r="549" spans="2:15" ht="15.75" x14ac:dyDescent="0.25">
      <c r="B549" s="1"/>
      <c r="C549" s="3"/>
      <c r="D549" s="3"/>
      <c r="E549" s="3"/>
      <c r="F549" s="3"/>
      <c r="G549" s="3"/>
      <c r="H549" s="3"/>
      <c r="I549" s="3"/>
      <c r="J549" s="3"/>
      <c r="K549" s="1"/>
      <c r="L549" s="3"/>
      <c r="M549" s="3"/>
      <c r="N549" s="3"/>
    </row>
    <row r="550" spans="2:15" ht="23.25" x14ac:dyDescent="0.35">
      <c r="B550" s="1655" t="s">
        <v>36</v>
      </c>
      <c r="C550" s="1655"/>
      <c r="D550" s="1655"/>
      <c r="E550" s="1655"/>
      <c r="F550" s="1655"/>
      <c r="G550" s="1655"/>
      <c r="H550" s="1655"/>
      <c r="I550" s="1655"/>
      <c r="J550" s="1655"/>
      <c r="K550" s="1655"/>
      <c r="L550" s="1655"/>
      <c r="M550" s="1655"/>
      <c r="N550" s="1655"/>
      <c r="O550" s="1655"/>
    </row>
    <row r="551" spans="2:15" ht="23.25" x14ac:dyDescent="0.35">
      <c r="B551" s="1645" t="str">
        <f>$B$11</f>
        <v>W  PODZIALE  NA  DOMY  SAMORZĄDÓW  POWIATOWYCH  I  PODMIOTÓW  NIEPUBLICZNYCH  WG  ST.  NA  DZIEŃ  31. XII. 2011 r.</v>
      </c>
      <c r="C551" s="1645"/>
      <c r="D551" s="1645"/>
      <c r="E551" s="1645"/>
      <c r="F551" s="1645"/>
      <c r="G551" s="1645"/>
      <c r="H551" s="1645"/>
      <c r="I551" s="1645"/>
      <c r="J551" s="1645"/>
      <c r="K551" s="1645"/>
      <c r="L551" s="1645"/>
      <c r="M551" s="1645"/>
      <c r="N551" s="1645"/>
      <c r="O551" s="1645"/>
    </row>
    <row r="552" spans="2:15" ht="23.25" x14ac:dyDescent="0.35">
      <c r="B552" s="28"/>
      <c r="C552" s="3"/>
      <c r="D552" s="3"/>
      <c r="E552" s="3"/>
      <c r="F552" s="3"/>
      <c r="G552" s="3"/>
      <c r="H552" s="3"/>
      <c r="I552" s="3"/>
      <c r="J552" s="3"/>
      <c r="K552" s="3"/>
      <c r="L552" s="3"/>
      <c r="M552" s="3"/>
      <c r="N552" s="3"/>
    </row>
    <row r="553" spans="2:15" ht="24" thickBot="1" x14ac:dyDescent="0.4">
      <c r="B553" s="30"/>
      <c r="C553" s="30"/>
      <c r="D553" s="939"/>
      <c r="E553" s="939"/>
      <c r="F553" s="939" t="str">
        <f>IF('Tab.1. bilans_Polska'!C844=F561, "", "t1w5k1="&amp;'Tab.1. bilans_Polska'!C844)</f>
        <v/>
      </c>
      <c r="G553" s="940"/>
      <c r="H553" s="940"/>
      <c r="I553" s="940"/>
      <c r="J553" s="939" t="str">
        <f>IF('Tab.1. bilans_Polska'!D844=J561, "", "t1w5k2="&amp;'Tab.1. bilans_Polska'!D844)</f>
        <v/>
      </c>
      <c r="K553" s="940"/>
      <c r="L553" s="940"/>
      <c r="M553" s="940"/>
      <c r="N553" s="942" t="str">
        <f>IF('Tab.1. bilans_Polska'!E844=N561,"","t1w5k3="&amp;'Tab.1. bilans_Polska'!E844)</f>
        <v/>
      </c>
      <c r="O553" s="941"/>
    </row>
    <row r="554" spans="2:15" ht="24" thickTop="1" x14ac:dyDescent="0.2">
      <c r="B554" s="1660" t="s">
        <v>38</v>
      </c>
      <c r="C554" s="1661"/>
      <c r="D554" s="1677" t="s">
        <v>3</v>
      </c>
      <c r="E554" s="1678"/>
      <c r="F554" s="1678"/>
      <c r="G554" s="1679"/>
      <c r="H554" s="1668" t="s">
        <v>37</v>
      </c>
      <c r="I554" s="1669"/>
      <c r="J554" s="1669"/>
      <c r="K554" s="1669"/>
      <c r="L554" s="1669"/>
      <c r="M554" s="1669"/>
      <c r="N554" s="1669"/>
      <c r="O554" s="1670"/>
    </row>
    <row r="555" spans="2:15" ht="18" customHeight="1" thickBot="1" x14ac:dyDescent="0.25">
      <c r="B555" s="1662"/>
      <c r="C555" s="1663"/>
      <c r="D555" s="1649" t="str">
        <f>UPPER("Domy 
zareje-
strowane")</f>
        <v>DOMY 
ZAREJE-
STROWANE</v>
      </c>
      <c r="E555" s="1646" t="s">
        <v>454</v>
      </c>
      <c r="F555" s="1646" t="s">
        <v>455</v>
      </c>
      <c r="G555" s="1666" t="s">
        <v>281</v>
      </c>
      <c r="H555" s="1671"/>
      <c r="I555" s="1672"/>
      <c r="J555" s="1672"/>
      <c r="K555" s="1672"/>
      <c r="L555" s="1672"/>
      <c r="M555" s="1672"/>
      <c r="N555" s="1672"/>
      <c r="O555" s="1673"/>
    </row>
    <row r="556" spans="2:15" ht="18" x14ac:dyDescent="0.2">
      <c r="B556" s="1662"/>
      <c r="C556" s="1663"/>
      <c r="D556" s="1650"/>
      <c r="E556" s="1647"/>
      <c r="F556" s="1647"/>
      <c r="G556" s="1667"/>
      <c r="H556" s="1656" t="s">
        <v>17</v>
      </c>
      <c r="I556" s="1656"/>
      <c r="J556" s="1656"/>
      <c r="K556" s="1657"/>
      <c r="L556" s="1658" t="s">
        <v>18</v>
      </c>
      <c r="M556" s="1656"/>
      <c r="N556" s="1656"/>
      <c r="O556" s="1659"/>
    </row>
    <row r="557" spans="2:15" ht="18" customHeight="1" x14ac:dyDescent="0.2">
      <c r="B557" s="1662"/>
      <c r="C557" s="1663"/>
      <c r="D557" s="1650"/>
      <c r="E557" s="1647"/>
      <c r="F557" s="1647"/>
      <c r="G557" s="1667"/>
      <c r="H557" s="1649" t="s">
        <v>460</v>
      </c>
      <c r="I557" s="1646" t="s">
        <v>456</v>
      </c>
      <c r="J557" s="1646" t="s">
        <v>393</v>
      </c>
      <c r="K557" s="1666" t="s">
        <v>457</v>
      </c>
      <c r="L557" s="1649" t="s">
        <v>460</v>
      </c>
      <c r="M557" s="1646" t="s">
        <v>456</v>
      </c>
      <c r="N557" s="1646" t="s">
        <v>393</v>
      </c>
      <c r="O557" s="1682" t="s">
        <v>457</v>
      </c>
    </row>
    <row r="558" spans="2:15" ht="13.5" customHeight="1" thickBot="1" x14ac:dyDescent="0.25">
      <c r="B558" s="1662"/>
      <c r="C558" s="1663"/>
      <c r="D558" s="1650"/>
      <c r="E558" s="1647"/>
      <c r="F558" s="1647"/>
      <c r="G558" s="1667"/>
      <c r="H558" s="1650"/>
      <c r="I558" s="1647"/>
      <c r="J558" s="1647"/>
      <c r="K558" s="1667"/>
      <c r="L558" s="1650"/>
      <c r="M558" s="1647"/>
      <c r="N558" s="1647"/>
      <c r="O558" s="1683"/>
    </row>
    <row r="559" spans="2:15" ht="15.75" customHeight="1" x14ac:dyDescent="0.2">
      <c r="B559" s="1664"/>
      <c r="C559" s="1665"/>
      <c r="D559" s="1073" t="s">
        <v>459</v>
      </c>
      <c r="E559" s="1074" t="s">
        <v>461</v>
      </c>
      <c r="F559" s="1071" t="s">
        <v>462</v>
      </c>
      <c r="G559" s="1072" t="s">
        <v>463</v>
      </c>
      <c r="H559" s="1651"/>
      <c r="I559" s="1648"/>
      <c r="J559" s="1648"/>
      <c r="K559" s="1674"/>
      <c r="L559" s="1651"/>
      <c r="M559" s="1648"/>
      <c r="N559" s="1648"/>
      <c r="O559" s="1684"/>
    </row>
    <row r="560" spans="2:15" ht="16.5" thickBot="1" x14ac:dyDescent="0.3">
      <c r="B560" s="1680">
        <v>0</v>
      </c>
      <c r="C560" s="1681"/>
      <c r="D560" s="48">
        <v>1</v>
      </c>
      <c r="E560" s="1056">
        <v>2</v>
      </c>
      <c r="F560" s="49">
        <v>3</v>
      </c>
      <c r="G560" s="50">
        <v>4</v>
      </c>
      <c r="H560" s="1075">
        <v>5</v>
      </c>
      <c r="I560" s="1056">
        <v>6</v>
      </c>
      <c r="J560" s="49">
        <v>7</v>
      </c>
      <c r="K560" s="50">
        <v>8</v>
      </c>
      <c r="L560" s="1075">
        <v>9</v>
      </c>
      <c r="M560" s="1056">
        <v>10</v>
      </c>
      <c r="N560" s="49">
        <v>11</v>
      </c>
      <c r="O560" s="51">
        <v>12</v>
      </c>
    </row>
    <row r="561" spans="2:15" ht="47.25" thickTop="1" x14ac:dyDescent="0.2">
      <c r="B561" s="814" t="s">
        <v>431</v>
      </c>
      <c r="C561" s="1652">
        <v>1</v>
      </c>
      <c r="D561" s="1066">
        <f>SUM(D563:D572)</f>
        <v>65</v>
      </c>
      <c r="E561" s="280">
        <f>I561+M561</f>
        <v>65</v>
      </c>
      <c r="F561" s="271">
        <f t="shared" ref="F561:O561" si="95">SUM(F563:F572)</f>
        <v>6293</v>
      </c>
      <c r="G561" s="272">
        <f t="shared" si="95"/>
        <v>6184</v>
      </c>
      <c r="H561" s="1076">
        <f t="shared" si="95"/>
        <v>54</v>
      </c>
      <c r="I561" s="1528">
        <v>54</v>
      </c>
      <c r="J561" s="279">
        <f t="shared" si="95"/>
        <v>5251</v>
      </c>
      <c r="K561" s="280">
        <f t="shared" si="95"/>
        <v>5180</v>
      </c>
      <c r="L561" s="1076">
        <f t="shared" si="95"/>
        <v>11</v>
      </c>
      <c r="M561" s="1531">
        <v>11</v>
      </c>
      <c r="N561" s="279">
        <f t="shared" si="95"/>
        <v>1042</v>
      </c>
      <c r="O561" s="281">
        <f t="shared" si="95"/>
        <v>1004</v>
      </c>
    </row>
    <row r="562" spans="2:15" ht="13.5" thickBot="1" x14ac:dyDescent="0.25">
      <c r="B562" s="53" t="s">
        <v>46</v>
      </c>
      <c r="C562" s="1653"/>
      <c r="D562" s="1067" t="str">
        <f>IF(H561+L561=D561, "", "Uwaga!")</f>
        <v/>
      </c>
      <c r="E562" s="1102" t="str">
        <f>IF(D561=E561, "", "Uwaga!")</f>
        <v/>
      </c>
      <c r="F562" s="399" t="str">
        <f>IF(J561+N561=F561, "", "Uwaga!")</f>
        <v/>
      </c>
      <c r="G562" s="400" t="str">
        <f>IF(K561+O561=G561, "", "Uwaga!")</f>
        <v/>
      </c>
      <c r="H562" s="1077"/>
      <c r="I562" s="1102" t="str">
        <f>IF(H561=I561, "", "Uwaga!")</f>
        <v/>
      </c>
      <c r="J562" s="185"/>
      <c r="K562" s="54"/>
      <c r="L562" s="1077"/>
      <c r="M562" s="1102" t="str">
        <f>IF(L561=M561, "", "Uwaga!")</f>
        <v/>
      </c>
      <c r="N562" s="185"/>
      <c r="O562" s="55"/>
    </row>
    <row r="563" spans="2:15" ht="21" thickTop="1" x14ac:dyDescent="0.2">
      <c r="B563" s="815" t="s">
        <v>432</v>
      </c>
      <c r="C563" s="816">
        <v>2</v>
      </c>
      <c r="D563" s="1063">
        <f t="shared" ref="D563:D568" si="96">H563+L563</f>
        <v>12</v>
      </c>
      <c r="E563" s="1057">
        <f>I563+M563</f>
        <v>12</v>
      </c>
      <c r="F563" s="273">
        <f t="shared" ref="F563:F568" si="97">J563+N563</f>
        <v>796</v>
      </c>
      <c r="G563" s="274">
        <f t="shared" ref="G563:G568" si="98">K563+O563</f>
        <v>757</v>
      </c>
      <c r="H563" s="1495">
        <v>9</v>
      </c>
      <c r="I563" s="1520">
        <v>9</v>
      </c>
      <c r="J563" s="1497">
        <v>634</v>
      </c>
      <c r="K563" s="1498">
        <v>608</v>
      </c>
      <c r="L563" s="1495">
        <v>3</v>
      </c>
      <c r="M563" s="1520">
        <v>3</v>
      </c>
      <c r="N563" s="1497">
        <v>162</v>
      </c>
      <c r="O563" s="1499">
        <v>149</v>
      </c>
    </row>
    <row r="564" spans="2:15" ht="20.25" x14ac:dyDescent="0.2">
      <c r="B564" s="817" t="s">
        <v>433</v>
      </c>
      <c r="C564" s="818">
        <v>3</v>
      </c>
      <c r="D564" s="1064">
        <f t="shared" si="96"/>
        <v>20</v>
      </c>
      <c r="E564" s="1058">
        <f t="shared" ref="E564:E572" si="99">I564+M564</f>
        <v>21</v>
      </c>
      <c r="F564" s="275">
        <f t="shared" si="97"/>
        <v>2197</v>
      </c>
      <c r="G564" s="276">
        <f t="shared" si="98"/>
        <v>2164</v>
      </c>
      <c r="H564" s="1500">
        <v>18</v>
      </c>
      <c r="I564" s="1501">
        <v>18</v>
      </c>
      <c r="J564" s="1502">
        <v>1875</v>
      </c>
      <c r="K564" s="1503">
        <v>1858</v>
      </c>
      <c r="L564" s="1500">
        <v>2</v>
      </c>
      <c r="M564" s="1501">
        <v>3</v>
      </c>
      <c r="N564" s="1502">
        <v>322</v>
      </c>
      <c r="O564" s="1504">
        <v>306</v>
      </c>
    </row>
    <row r="565" spans="2:15" ht="20.25" x14ac:dyDescent="0.2">
      <c r="B565" s="817" t="s">
        <v>434</v>
      </c>
      <c r="C565" s="818">
        <v>4</v>
      </c>
      <c r="D565" s="1064">
        <f t="shared" si="96"/>
        <v>10</v>
      </c>
      <c r="E565" s="1058">
        <f t="shared" si="99"/>
        <v>10</v>
      </c>
      <c r="F565" s="275">
        <f t="shared" si="97"/>
        <v>1096</v>
      </c>
      <c r="G565" s="276">
        <f t="shared" si="98"/>
        <v>1088</v>
      </c>
      <c r="H565" s="1500">
        <v>10</v>
      </c>
      <c r="I565" s="1501">
        <v>10</v>
      </c>
      <c r="J565" s="1502">
        <v>1096</v>
      </c>
      <c r="K565" s="1503">
        <v>1088</v>
      </c>
      <c r="L565" s="1500">
        <v>0</v>
      </c>
      <c r="M565" s="1501">
        <v>0</v>
      </c>
      <c r="N565" s="1502">
        <v>0</v>
      </c>
      <c r="O565" s="1504">
        <v>0</v>
      </c>
    </row>
    <row r="566" spans="2:15" ht="20.25" x14ac:dyDescent="0.2">
      <c r="B566" s="817" t="s">
        <v>435</v>
      </c>
      <c r="C566" s="818">
        <v>5</v>
      </c>
      <c r="D566" s="1064">
        <f t="shared" si="96"/>
        <v>15</v>
      </c>
      <c r="E566" s="1058">
        <f t="shared" si="99"/>
        <v>16</v>
      </c>
      <c r="F566" s="275">
        <f t="shared" si="97"/>
        <v>1517</v>
      </c>
      <c r="G566" s="276">
        <f t="shared" si="98"/>
        <v>1501</v>
      </c>
      <c r="H566" s="1500">
        <v>14</v>
      </c>
      <c r="I566" s="1501">
        <v>14</v>
      </c>
      <c r="J566" s="1502">
        <v>1377</v>
      </c>
      <c r="K566" s="1503">
        <v>1362</v>
      </c>
      <c r="L566" s="1500">
        <v>1</v>
      </c>
      <c r="M566" s="1501">
        <v>2</v>
      </c>
      <c r="N566" s="1502">
        <v>140</v>
      </c>
      <c r="O566" s="1504">
        <v>139</v>
      </c>
    </row>
    <row r="567" spans="2:15" ht="20.25" x14ac:dyDescent="0.2">
      <c r="B567" s="817" t="s">
        <v>436</v>
      </c>
      <c r="C567" s="818">
        <v>6</v>
      </c>
      <c r="D567" s="1064">
        <f t="shared" si="96"/>
        <v>6</v>
      </c>
      <c r="E567" s="1058">
        <f t="shared" si="99"/>
        <v>6</v>
      </c>
      <c r="F567" s="275">
        <f t="shared" si="97"/>
        <v>384</v>
      </c>
      <c r="G567" s="276">
        <f t="shared" si="98"/>
        <v>381</v>
      </c>
      <c r="H567" s="1500">
        <v>1</v>
      </c>
      <c r="I567" s="1501">
        <v>1</v>
      </c>
      <c r="J567" s="1502">
        <v>66</v>
      </c>
      <c r="K567" s="1503">
        <v>65</v>
      </c>
      <c r="L567" s="1500">
        <v>5</v>
      </c>
      <c r="M567" s="1501">
        <v>5</v>
      </c>
      <c r="N567" s="1502">
        <v>318</v>
      </c>
      <c r="O567" s="1504">
        <v>316</v>
      </c>
    </row>
    <row r="568" spans="2:15" ht="21" thickBot="1" x14ac:dyDescent="0.25">
      <c r="B568" s="819" t="s">
        <v>437</v>
      </c>
      <c r="C568" s="820">
        <v>7</v>
      </c>
      <c r="D568" s="1065">
        <f t="shared" si="96"/>
        <v>1</v>
      </c>
      <c r="E568" s="1059">
        <f t="shared" si="99"/>
        <v>2</v>
      </c>
      <c r="F568" s="277">
        <f t="shared" si="97"/>
        <v>167</v>
      </c>
      <c r="G568" s="278">
        <f t="shared" si="98"/>
        <v>160</v>
      </c>
      <c r="H568" s="1505">
        <v>1</v>
      </c>
      <c r="I568" s="1506">
        <v>1</v>
      </c>
      <c r="J568" s="1507">
        <v>67</v>
      </c>
      <c r="K568" s="1508">
        <v>66</v>
      </c>
      <c r="L568" s="1505">
        <v>0</v>
      </c>
      <c r="M568" s="1506">
        <v>1</v>
      </c>
      <c r="N568" s="1507">
        <v>100</v>
      </c>
      <c r="O568" s="1509">
        <v>94</v>
      </c>
    </row>
    <row r="569" spans="2:15" ht="32.25" thickTop="1" x14ac:dyDescent="0.2">
      <c r="B569" s="821" t="s">
        <v>438</v>
      </c>
      <c r="C569" s="822">
        <v>8</v>
      </c>
      <c r="D569" s="827">
        <f>H569+L569</f>
        <v>0</v>
      </c>
      <c r="E569" s="827">
        <f t="shared" si="99"/>
        <v>0</v>
      </c>
      <c r="F569" s="828">
        <f t="shared" ref="F569:G572" si="100">J569+N569</f>
        <v>0</v>
      </c>
      <c r="G569" s="829">
        <f t="shared" si="100"/>
        <v>0</v>
      </c>
      <c r="H569" s="1510">
        <v>0</v>
      </c>
      <c r="I569" s="1510">
        <v>0</v>
      </c>
      <c r="J569" s="1511">
        <v>0</v>
      </c>
      <c r="K569" s="1512">
        <v>0</v>
      </c>
      <c r="L569" s="1510">
        <v>0</v>
      </c>
      <c r="M569" s="1510">
        <v>0</v>
      </c>
      <c r="N569" s="1511">
        <v>0</v>
      </c>
      <c r="O569" s="1513">
        <v>0</v>
      </c>
    </row>
    <row r="570" spans="2:15" ht="31.5" x14ac:dyDescent="0.2">
      <c r="B570" s="823" t="s">
        <v>439</v>
      </c>
      <c r="C570" s="824">
        <v>9</v>
      </c>
      <c r="D570" s="830">
        <f>H570+L570</f>
        <v>0</v>
      </c>
      <c r="E570" s="830">
        <f t="shared" si="99"/>
        <v>0</v>
      </c>
      <c r="F570" s="275">
        <f t="shared" si="100"/>
        <v>0</v>
      </c>
      <c r="G570" s="831">
        <f t="shared" si="100"/>
        <v>0</v>
      </c>
      <c r="H570" s="1514">
        <v>0</v>
      </c>
      <c r="I570" s="1514">
        <v>0</v>
      </c>
      <c r="J570" s="1502">
        <v>0</v>
      </c>
      <c r="K570" s="1515">
        <v>0</v>
      </c>
      <c r="L570" s="1514">
        <v>0</v>
      </c>
      <c r="M570" s="1514">
        <v>0</v>
      </c>
      <c r="N570" s="1502">
        <v>0</v>
      </c>
      <c r="O570" s="1516">
        <v>0</v>
      </c>
    </row>
    <row r="571" spans="2:15" ht="31.5" x14ac:dyDescent="0.2">
      <c r="B571" s="823" t="s">
        <v>440</v>
      </c>
      <c r="C571" s="824">
        <v>10</v>
      </c>
      <c r="D571" s="830">
        <f>H571+L571</f>
        <v>1</v>
      </c>
      <c r="E571" s="830">
        <f t="shared" si="99"/>
        <v>1</v>
      </c>
      <c r="F571" s="275">
        <f t="shared" si="100"/>
        <v>136</v>
      </c>
      <c r="G571" s="831">
        <f t="shared" si="100"/>
        <v>133</v>
      </c>
      <c r="H571" s="1514">
        <v>1</v>
      </c>
      <c r="I571" s="1514">
        <v>1</v>
      </c>
      <c r="J571" s="1502">
        <v>136</v>
      </c>
      <c r="K571" s="1515">
        <v>133</v>
      </c>
      <c r="L571" s="1514">
        <v>0</v>
      </c>
      <c r="M571" s="1514">
        <v>0</v>
      </c>
      <c r="N571" s="1502">
        <v>0</v>
      </c>
      <c r="O571" s="1516">
        <v>0</v>
      </c>
    </row>
    <row r="572" spans="2:15" ht="48" thickBot="1" x14ac:dyDescent="0.25">
      <c r="B572" s="825" t="s">
        <v>441</v>
      </c>
      <c r="C572" s="826">
        <v>11</v>
      </c>
      <c r="D572" s="832">
        <f>H572+L572</f>
        <v>0</v>
      </c>
      <c r="E572" s="832">
        <f t="shared" si="99"/>
        <v>0</v>
      </c>
      <c r="F572" s="277">
        <f t="shared" si="100"/>
        <v>0</v>
      </c>
      <c r="G572" s="833">
        <f t="shared" si="100"/>
        <v>0</v>
      </c>
      <c r="H572" s="1517">
        <v>0</v>
      </c>
      <c r="I572" s="1517">
        <v>0</v>
      </c>
      <c r="J572" s="1507">
        <v>0</v>
      </c>
      <c r="K572" s="1518">
        <v>0</v>
      </c>
      <c r="L572" s="1517">
        <v>0</v>
      </c>
      <c r="M572" s="1517">
        <v>0</v>
      </c>
      <c r="N572" s="1507">
        <v>0</v>
      </c>
      <c r="O572" s="1519">
        <v>0</v>
      </c>
    </row>
    <row r="573" spans="2:15" ht="21" thickTop="1" x14ac:dyDescent="0.2">
      <c r="B573" s="264"/>
      <c r="C573" s="409"/>
      <c r="D573" s="410"/>
      <c r="E573" s="410"/>
      <c r="F573" s="410"/>
      <c r="G573" s="410"/>
      <c r="H573" s="410"/>
      <c r="I573" s="410"/>
      <c r="J573" s="410"/>
      <c r="K573" s="410"/>
      <c r="L573" s="410"/>
      <c r="M573" s="410"/>
      <c r="N573" s="410"/>
    </row>
    <row r="574" spans="2:15" ht="20.25" x14ac:dyDescent="0.25">
      <c r="B574" s="11" t="s">
        <v>123</v>
      </c>
      <c r="C574" s="409"/>
      <c r="D574" s="410"/>
      <c r="E574" s="410"/>
      <c r="F574" s="410"/>
      <c r="G574" s="410"/>
      <c r="H574" s="410"/>
      <c r="I574" s="410"/>
      <c r="J574" s="410"/>
      <c r="K574" s="410"/>
      <c r="L574" s="1654" t="s">
        <v>442</v>
      </c>
      <c r="M574" s="1654"/>
      <c r="N574" s="1654"/>
      <c r="O574" s="1654"/>
    </row>
    <row r="575" spans="2:15" ht="20.25" x14ac:dyDescent="0.25">
      <c r="B575" s="11" t="s">
        <v>124</v>
      </c>
      <c r="C575" s="409"/>
      <c r="D575" s="410"/>
      <c r="E575" s="410"/>
      <c r="F575" s="410"/>
      <c r="G575" s="410"/>
      <c r="H575" s="410"/>
      <c r="I575" s="410"/>
      <c r="J575" s="410"/>
      <c r="K575" s="410"/>
      <c r="L575" s="1604" t="s">
        <v>126</v>
      </c>
      <c r="M575" s="1604"/>
      <c r="N575" s="1604"/>
      <c r="O575" s="1604"/>
    </row>
    <row r="576" spans="2:15" ht="18" x14ac:dyDescent="0.25">
      <c r="B576" s="11" t="s">
        <v>125</v>
      </c>
    </row>
    <row r="578" spans="1:15" ht="26.25" x14ac:dyDescent="0.4">
      <c r="A578" s="267" t="s">
        <v>208</v>
      </c>
      <c r="N578" s="1675" t="s">
        <v>14</v>
      </c>
      <c r="O578" s="1675"/>
    </row>
    <row r="579" spans="1:15" ht="18" x14ac:dyDescent="0.25">
      <c r="B579" s="11" t="s">
        <v>116</v>
      </c>
      <c r="C579" s="3"/>
      <c r="D579" s="3"/>
      <c r="E579" s="3"/>
      <c r="F579" s="3"/>
      <c r="G579" s="3"/>
      <c r="H579" s="3"/>
      <c r="I579" s="3"/>
      <c r="J579" s="3"/>
      <c r="K579" s="11"/>
      <c r="L579" s="3"/>
      <c r="M579" s="3"/>
    </row>
    <row r="580" spans="1:15" ht="18" x14ac:dyDescent="0.25">
      <c r="B580" s="14" t="s">
        <v>129</v>
      </c>
      <c r="C580" s="29"/>
      <c r="D580" s="3"/>
      <c r="E580" s="3"/>
      <c r="F580" s="3"/>
      <c r="G580" s="3"/>
      <c r="H580" s="3"/>
      <c r="I580" s="3"/>
      <c r="N580" s="1676" t="str">
        <f>'Tab.1. bilans_Polska'!$E$59</f>
        <v>Termin: 29 luty 2012 r.</v>
      </c>
      <c r="O580" s="1676"/>
    </row>
    <row r="581" spans="1:15" ht="18" x14ac:dyDescent="0.25">
      <c r="B581" s="11" t="s">
        <v>128</v>
      </c>
      <c r="C581" s="3"/>
      <c r="D581" s="3"/>
      <c r="E581" s="3"/>
      <c r="F581" s="3"/>
      <c r="G581" s="3"/>
      <c r="H581" s="3"/>
      <c r="I581" s="3"/>
    </row>
    <row r="582" spans="1:15" ht="18" x14ac:dyDescent="0.25">
      <c r="B582" s="11"/>
      <c r="C582" s="3"/>
      <c r="D582" s="3"/>
      <c r="E582" s="3"/>
      <c r="F582" s="3"/>
      <c r="G582" s="3"/>
      <c r="H582" s="3"/>
      <c r="I582" s="3"/>
      <c r="J582" s="3"/>
      <c r="K582" s="3"/>
      <c r="L582" s="3"/>
      <c r="M582" s="3"/>
      <c r="N582" s="3"/>
    </row>
    <row r="583" spans="1:15" ht="18" x14ac:dyDescent="0.25">
      <c r="B583" s="11"/>
      <c r="C583" s="3"/>
      <c r="D583" s="3"/>
      <c r="E583" s="3"/>
      <c r="F583" s="3"/>
      <c r="G583" s="3"/>
      <c r="H583" s="3"/>
      <c r="I583" s="3"/>
      <c r="J583" s="3"/>
      <c r="K583" s="3"/>
      <c r="L583" s="3"/>
      <c r="M583" s="3"/>
      <c r="N583" s="3"/>
    </row>
    <row r="584" spans="1:15" ht="15.75" x14ac:dyDescent="0.25">
      <c r="B584" s="1"/>
      <c r="C584" s="3"/>
      <c r="D584" s="3"/>
      <c r="E584" s="3"/>
      <c r="F584" s="3"/>
      <c r="G584" s="3"/>
      <c r="H584" s="3"/>
      <c r="I584" s="3"/>
      <c r="J584" s="3"/>
      <c r="K584" s="3"/>
      <c r="L584" s="3"/>
      <c r="M584" s="3"/>
      <c r="N584" s="3"/>
    </row>
    <row r="585" spans="1:15" ht="15.75" x14ac:dyDescent="0.25">
      <c r="B585" s="1"/>
      <c r="C585" s="3"/>
      <c r="D585" s="3"/>
      <c r="E585" s="3"/>
      <c r="F585" s="3"/>
      <c r="G585" s="3"/>
      <c r="H585" s="3"/>
      <c r="I585" s="3"/>
      <c r="J585" s="3"/>
      <c r="K585" s="1"/>
      <c r="L585" s="3"/>
      <c r="M585" s="3"/>
      <c r="N585" s="3"/>
    </row>
    <row r="586" spans="1:15" ht="23.25" x14ac:dyDescent="0.35">
      <c r="B586" s="1655" t="s">
        <v>36</v>
      </c>
      <c r="C586" s="1655"/>
      <c r="D586" s="1655"/>
      <c r="E586" s="1655"/>
      <c r="F586" s="1655"/>
      <c r="G586" s="1655"/>
      <c r="H586" s="1655"/>
      <c r="I586" s="1655"/>
      <c r="J586" s="1655"/>
      <c r="K586" s="1655"/>
      <c r="L586" s="1655"/>
      <c r="M586" s="1655"/>
      <c r="N586" s="1655"/>
      <c r="O586" s="1655"/>
    </row>
    <row r="587" spans="1:15" ht="23.25" x14ac:dyDescent="0.35">
      <c r="B587" s="1645" t="str">
        <f>$B$11</f>
        <v>W  PODZIALE  NA  DOMY  SAMORZĄDÓW  POWIATOWYCH  I  PODMIOTÓW  NIEPUBLICZNYCH  WG  ST.  NA  DZIEŃ  31. XII. 2011 r.</v>
      </c>
      <c r="C587" s="1645"/>
      <c r="D587" s="1645"/>
      <c r="E587" s="1645"/>
      <c r="F587" s="1645"/>
      <c r="G587" s="1645"/>
      <c r="H587" s="1645"/>
      <c r="I587" s="1645"/>
      <c r="J587" s="1645"/>
      <c r="K587" s="1645"/>
      <c r="L587" s="1645"/>
      <c r="M587" s="1645"/>
      <c r="N587" s="1645"/>
      <c r="O587" s="1645"/>
    </row>
    <row r="588" spans="1:15" ht="23.25" x14ac:dyDescent="0.35">
      <c r="B588" s="28"/>
      <c r="C588" s="3"/>
      <c r="D588" s="3"/>
      <c r="E588" s="3"/>
      <c r="F588" s="3"/>
      <c r="G588" s="3"/>
      <c r="H588" s="3"/>
      <c r="I588" s="3"/>
      <c r="J588" s="3"/>
      <c r="K588" s="3"/>
      <c r="L588" s="3"/>
      <c r="M588" s="3"/>
      <c r="N588" s="3"/>
    </row>
    <row r="589" spans="1:15" ht="24" thickBot="1" x14ac:dyDescent="0.4">
      <c r="B589" s="30"/>
      <c r="C589" s="30"/>
      <c r="D589" s="939"/>
      <c r="E589" s="939"/>
      <c r="F589" s="939" t="str">
        <f>IF('Tab.1. bilans_Polska'!C898=F597, "", "t1w5k1="&amp;'Tab.1. bilans_Polska'!C898)</f>
        <v/>
      </c>
      <c r="G589" s="940"/>
      <c r="H589" s="940"/>
      <c r="I589" s="940"/>
      <c r="J589" s="939" t="str">
        <f>IF('Tab.1. bilans_Polska'!D898=J597, "", "t1w5k2="&amp;'Tab.1. bilans_Polska'!D898)</f>
        <v/>
      </c>
      <c r="K589" s="940"/>
      <c r="L589" s="940"/>
      <c r="M589" s="940"/>
      <c r="N589" s="942" t="str">
        <f>IF('Tab.1. bilans_Polska'!E898=N597,"","t1w5k3="&amp;'Tab.1. bilans_Polska'!E898)</f>
        <v/>
      </c>
      <c r="O589" s="941"/>
    </row>
    <row r="590" spans="1:15" ht="24" thickTop="1" x14ac:dyDescent="0.2">
      <c r="B590" s="1660" t="s">
        <v>38</v>
      </c>
      <c r="C590" s="1661"/>
      <c r="D590" s="1677" t="s">
        <v>3</v>
      </c>
      <c r="E590" s="1678"/>
      <c r="F590" s="1678"/>
      <c r="G590" s="1679"/>
      <c r="H590" s="1668" t="s">
        <v>37</v>
      </c>
      <c r="I590" s="1669"/>
      <c r="J590" s="1669"/>
      <c r="K590" s="1669"/>
      <c r="L590" s="1669"/>
      <c r="M590" s="1669"/>
      <c r="N590" s="1669"/>
      <c r="O590" s="1670"/>
    </row>
    <row r="591" spans="1:15" ht="18" customHeight="1" thickBot="1" x14ac:dyDescent="0.25">
      <c r="B591" s="1662"/>
      <c r="C591" s="1663"/>
      <c r="D591" s="1649" t="str">
        <f>UPPER("Domy 
zareje-
strowane")</f>
        <v>DOMY 
ZAREJE-
STROWANE</v>
      </c>
      <c r="E591" s="1646" t="s">
        <v>454</v>
      </c>
      <c r="F591" s="1646" t="s">
        <v>455</v>
      </c>
      <c r="G591" s="1666" t="s">
        <v>281</v>
      </c>
      <c r="H591" s="1671"/>
      <c r="I591" s="1672"/>
      <c r="J591" s="1672"/>
      <c r="K591" s="1672"/>
      <c r="L591" s="1672"/>
      <c r="M591" s="1672"/>
      <c r="N591" s="1672"/>
      <c r="O591" s="1673"/>
    </row>
    <row r="592" spans="1:15" ht="18" x14ac:dyDescent="0.2">
      <c r="B592" s="1662"/>
      <c r="C592" s="1663"/>
      <c r="D592" s="1650"/>
      <c r="E592" s="1647"/>
      <c r="F592" s="1647"/>
      <c r="G592" s="1667"/>
      <c r="H592" s="1656" t="s">
        <v>17</v>
      </c>
      <c r="I592" s="1656"/>
      <c r="J592" s="1656"/>
      <c r="K592" s="1657"/>
      <c r="L592" s="1658" t="s">
        <v>18</v>
      </c>
      <c r="M592" s="1656"/>
      <c r="N592" s="1656"/>
      <c r="O592" s="1659"/>
    </row>
    <row r="593" spans="2:15" ht="18" customHeight="1" x14ac:dyDescent="0.2">
      <c r="B593" s="1662"/>
      <c r="C593" s="1663"/>
      <c r="D593" s="1650"/>
      <c r="E593" s="1647"/>
      <c r="F593" s="1647"/>
      <c r="G593" s="1667"/>
      <c r="H593" s="1649" t="s">
        <v>460</v>
      </c>
      <c r="I593" s="1646" t="s">
        <v>456</v>
      </c>
      <c r="J593" s="1646" t="s">
        <v>393</v>
      </c>
      <c r="K593" s="1666" t="s">
        <v>457</v>
      </c>
      <c r="L593" s="1649" t="s">
        <v>460</v>
      </c>
      <c r="M593" s="1646" t="s">
        <v>456</v>
      </c>
      <c r="N593" s="1646" t="s">
        <v>393</v>
      </c>
      <c r="O593" s="1682" t="s">
        <v>457</v>
      </c>
    </row>
    <row r="594" spans="2:15" ht="13.5" customHeight="1" thickBot="1" x14ac:dyDescent="0.25">
      <c r="B594" s="1662"/>
      <c r="C594" s="1663"/>
      <c r="D594" s="1650"/>
      <c r="E594" s="1647"/>
      <c r="F594" s="1647"/>
      <c r="G594" s="1667"/>
      <c r="H594" s="1650"/>
      <c r="I594" s="1647"/>
      <c r="J594" s="1647"/>
      <c r="K594" s="1667"/>
      <c r="L594" s="1650"/>
      <c r="M594" s="1647"/>
      <c r="N594" s="1647"/>
      <c r="O594" s="1683"/>
    </row>
    <row r="595" spans="2:15" ht="15.75" customHeight="1" x14ac:dyDescent="0.2">
      <c r="B595" s="1664"/>
      <c r="C595" s="1665"/>
      <c r="D595" s="1073" t="s">
        <v>459</v>
      </c>
      <c r="E595" s="1074" t="s">
        <v>461</v>
      </c>
      <c r="F595" s="1071" t="s">
        <v>462</v>
      </c>
      <c r="G595" s="1072" t="s">
        <v>463</v>
      </c>
      <c r="H595" s="1651"/>
      <c r="I595" s="1648"/>
      <c r="J595" s="1648"/>
      <c r="K595" s="1674"/>
      <c r="L595" s="1651"/>
      <c r="M595" s="1648"/>
      <c r="N595" s="1648"/>
      <c r="O595" s="1684"/>
    </row>
    <row r="596" spans="2:15" ht="16.5" thickBot="1" x14ac:dyDescent="0.3">
      <c r="B596" s="1680">
        <v>0</v>
      </c>
      <c r="C596" s="1681"/>
      <c r="D596" s="48">
        <v>1</v>
      </c>
      <c r="E596" s="1056">
        <v>2</v>
      </c>
      <c r="F596" s="49">
        <v>3</v>
      </c>
      <c r="G596" s="50">
        <v>4</v>
      </c>
      <c r="H596" s="1075">
        <v>5</v>
      </c>
      <c r="I596" s="1056">
        <v>6</v>
      </c>
      <c r="J596" s="49">
        <v>7</v>
      </c>
      <c r="K596" s="50">
        <v>8</v>
      </c>
      <c r="L596" s="1075">
        <v>9</v>
      </c>
      <c r="M596" s="1056">
        <v>10</v>
      </c>
      <c r="N596" s="49">
        <v>11</v>
      </c>
      <c r="O596" s="51">
        <v>12</v>
      </c>
    </row>
    <row r="597" spans="2:15" ht="47.25" thickTop="1" x14ac:dyDescent="0.2">
      <c r="B597" s="814" t="s">
        <v>431</v>
      </c>
      <c r="C597" s="1652">
        <v>1</v>
      </c>
      <c r="D597" s="1066">
        <f>SUM(D599:D608)</f>
        <v>31</v>
      </c>
      <c r="E597" s="280">
        <f>I597+M597</f>
        <v>31</v>
      </c>
      <c r="F597" s="271">
        <f t="shared" ref="F597:O597" si="101">SUM(F599:F608)</f>
        <v>3745</v>
      </c>
      <c r="G597" s="272">
        <f t="shared" si="101"/>
        <v>3716</v>
      </c>
      <c r="H597" s="1076">
        <f t="shared" si="101"/>
        <v>24</v>
      </c>
      <c r="I597" s="1528">
        <v>24</v>
      </c>
      <c r="J597" s="279">
        <f t="shared" si="101"/>
        <v>3109</v>
      </c>
      <c r="K597" s="280">
        <f t="shared" si="101"/>
        <v>3083</v>
      </c>
      <c r="L597" s="1076">
        <f t="shared" si="101"/>
        <v>7</v>
      </c>
      <c r="M597" s="1529">
        <v>7</v>
      </c>
      <c r="N597" s="279">
        <f t="shared" si="101"/>
        <v>636</v>
      </c>
      <c r="O597" s="281">
        <f t="shared" si="101"/>
        <v>633</v>
      </c>
    </row>
    <row r="598" spans="2:15" ht="13.5" thickBot="1" x14ac:dyDescent="0.25">
      <c r="B598" s="53" t="s">
        <v>46</v>
      </c>
      <c r="C598" s="1653"/>
      <c r="D598" s="1067" t="str">
        <f>IF(H597+L597=D597, "", "Uwaga!")</f>
        <v/>
      </c>
      <c r="E598" s="1102" t="str">
        <f>IF(D597=E597, "", "Uwaga!")</f>
        <v/>
      </c>
      <c r="F598" s="399" t="str">
        <f>IF(J597+N597=F597, "", "Uwaga!")</f>
        <v/>
      </c>
      <c r="G598" s="400" t="str">
        <f>IF(K597+O597=G597, "", "Uwaga!")</f>
        <v/>
      </c>
      <c r="H598" s="1077"/>
      <c r="I598" s="1102" t="str">
        <f>IF(H597=I597, "", "Uwaga!")</f>
        <v/>
      </c>
      <c r="J598" s="185"/>
      <c r="K598" s="54"/>
      <c r="L598" s="1077"/>
      <c r="M598" s="1102" t="str">
        <f>IF(L597=M597, "", "Uwaga!")</f>
        <v/>
      </c>
      <c r="N598" s="185"/>
      <c r="O598" s="55"/>
    </row>
    <row r="599" spans="2:15" ht="21" thickTop="1" x14ac:dyDescent="0.2">
      <c r="B599" s="815" t="s">
        <v>432</v>
      </c>
      <c r="C599" s="816">
        <v>2</v>
      </c>
      <c r="D599" s="1063">
        <f t="shared" ref="D599:D604" si="102">H599+L599</f>
        <v>1</v>
      </c>
      <c r="E599" s="1057">
        <f>I599+M599</f>
        <v>1</v>
      </c>
      <c r="F599" s="1122">
        <f t="shared" ref="F599:F604" si="103">J599+N599</f>
        <v>60</v>
      </c>
      <c r="G599" s="274">
        <f t="shared" ref="G599:G604" si="104">K599+O599</f>
        <v>59</v>
      </c>
      <c r="H599" s="1495">
        <v>1</v>
      </c>
      <c r="I599" s="1520">
        <v>1</v>
      </c>
      <c r="J599" s="1497">
        <v>60</v>
      </c>
      <c r="K599" s="1498">
        <v>59</v>
      </c>
      <c r="L599" s="1495">
        <v>0</v>
      </c>
      <c r="M599" s="1520">
        <v>0</v>
      </c>
      <c r="N599" s="1497">
        <v>0</v>
      </c>
      <c r="O599" s="1499">
        <v>0</v>
      </c>
    </row>
    <row r="600" spans="2:15" ht="20.25" x14ac:dyDescent="0.2">
      <c r="B600" s="817" t="s">
        <v>433</v>
      </c>
      <c r="C600" s="818">
        <v>3</v>
      </c>
      <c r="D600" s="1064">
        <f t="shared" si="102"/>
        <v>12</v>
      </c>
      <c r="E600" s="1123">
        <f t="shared" ref="E600:E608" si="105">I600+M600</f>
        <v>12</v>
      </c>
      <c r="F600" s="275">
        <f t="shared" si="103"/>
        <v>1084</v>
      </c>
      <c r="G600" s="276">
        <f t="shared" si="104"/>
        <v>1068</v>
      </c>
      <c r="H600" s="1500">
        <v>9</v>
      </c>
      <c r="I600" s="1501">
        <v>9</v>
      </c>
      <c r="J600" s="1502">
        <v>841</v>
      </c>
      <c r="K600" s="1525">
        <v>824</v>
      </c>
      <c r="L600" s="1500">
        <v>3</v>
      </c>
      <c r="M600" s="1523">
        <v>3</v>
      </c>
      <c r="N600" s="1502">
        <v>243</v>
      </c>
      <c r="O600" s="1504">
        <v>244</v>
      </c>
    </row>
    <row r="601" spans="2:15" ht="20.25" x14ac:dyDescent="0.2">
      <c r="B601" s="817" t="s">
        <v>434</v>
      </c>
      <c r="C601" s="818">
        <v>4</v>
      </c>
      <c r="D601" s="1064">
        <f t="shared" si="102"/>
        <v>4</v>
      </c>
      <c r="E601" s="1058">
        <f t="shared" si="105"/>
        <v>4</v>
      </c>
      <c r="F601" s="275">
        <f t="shared" si="103"/>
        <v>799</v>
      </c>
      <c r="G601" s="276">
        <f t="shared" si="104"/>
        <v>798</v>
      </c>
      <c r="H601" s="1500">
        <v>4</v>
      </c>
      <c r="I601" s="1501">
        <v>4</v>
      </c>
      <c r="J601" s="1502">
        <v>799</v>
      </c>
      <c r="K601" s="1503">
        <v>798</v>
      </c>
      <c r="L601" s="1500">
        <v>0</v>
      </c>
      <c r="M601" s="1501">
        <v>0</v>
      </c>
      <c r="N601" s="1502">
        <v>0</v>
      </c>
      <c r="O601" s="1504">
        <v>0</v>
      </c>
    </row>
    <row r="602" spans="2:15" ht="20.25" x14ac:dyDescent="0.2">
      <c r="B602" s="817" t="s">
        <v>435</v>
      </c>
      <c r="C602" s="818">
        <v>5</v>
      </c>
      <c r="D602" s="1064">
        <f t="shared" si="102"/>
        <v>6</v>
      </c>
      <c r="E602" s="1058">
        <f t="shared" si="105"/>
        <v>6</v>
      </c>
      <c r="F602" s="275">
        <f t="shared" si="103"/>
        <v>620</v>
      </c>
      <c r="G602" s="276">
        <f t="shared" si="104"/>
        <v>615</v>
      </c>
      <c r="H602" s="1500">
        <v>4</v>
      </c>
      <c r="I602" s="1501">
        <v>4</v>
      </c>
      <c r="J602" s="1502">
        <v>472</v>
      </c>
      <c r="K602" s="1503">
        <v>471</v>
      </c>
      <c r="L602" s="1500">
        <v>2</v>
      </c>
      <c r="M602" s="1501">
        <v>2</v>
      </c>
      <c r="N602" s="1502">
        <v>148</v>
      </c>
      <c r="O602" s="1504">
        <v>144</v>
      </c>
    </row>
    <row r="603" spans="2:15" ht="20.25" x14ac:dyDescent="0.2">
      <c r="B603" s="817" t="s">
        <v>436</v>
      </c>
      <c r="C603" s="818">
        <v>6</v>
      </c>
      <c r="D603" s="1064">
        <f t="shared" si="102"/>
        <v>0</v>
      </c>
      <c r="E603" s="1058">
        <f t="shared" si="105"/>
        <v>0</v>
      </c>
      <c r="F603" s="275">
        <f t="shared" si="103"/>
        <v>0</v>
      </c>
      <c r="G603" s="276">
        <f t="shared" si="104"/>
        <v>0</v>
      </c>
      <c r="H603" s="1500">
        <v>0</v>
      </c>
      <c r="I603" s="1501">
        <v>0</v>
      </c>
      <c r="J603" s="1502">
        <v>0</v>
      </c>
      <c r="K603" s="1503">
        <v>0</v>
      </c>
      <c r="L603" s="1500">
        <v>0</v>
      </c>
      <c r="M603" s="1501">
        <v>0</v>
      </c>
      <c r="N603" s="1502">
        <v>0</v>
      </c>
      <c r="O603" s="1504">
        <v>0</v>
      </c>
    </row>
    <row r="604" spans="2:15" ht="21" thickBot="1" x14ac:dyDescent="0.25">
      <c r="B604" s="819" t="s">
        <v>437</v>
      </c>
      <c r="C604" s="820">
        <v>7</v>
      </c>
      <c r="D604" s="1065">
        <f t="shared" si="102"/>
        <v>0</v>
      </c>
      <c r="E604" s="1059">
        <f t="shared" si="105"/>
        <v>0</v>
      </c>
      <c r="F604" s="277">
        <f t="shared" si="103"/>
        <v>0</v>
      </c>
      <c r="G604" s="278">
        <f t="shared" si="104"/>
        <v>0</v>
      </c>
      <c r="H604" s="1505">
        <v>0</v>
      </c>
      <c r="I604" s="1506">
        <v>0</v>
      </c>
      <c r="J604" s="1507">
        <v>0</v>
      </c>
      <c r="K604" s="1508">
        <v>0</v>
      </c>
      <c r="L604" s="1505">
        <v>0</v>
      </c>
      <c r="M604" s="1506">
        <v>0</v>
      </c>
      <c r="N604" s="1507">
        <v>0</v>
      </c>
      <c r="O604" s="1509">
        <v>0</v>
      </c>
    </row>
    <row r="605" spans="2:15" ht="32.25" thickTop="1" x14ac:dyDescent="0.2">
      <c r="B605" s="821" t="s">
        <v>438</v>
      </c>
      <c r="C605" s="822">
        <v>8</v>
      </c>
      <c r="D605" s="827">
        <f>H605+L605</f>
        <v>5</v>
      </c>
      <c r="E605" s="827">
        <f t="shared" si="105"/>
        <v>5</v>
      </c>
      <c r="F605" s="828">
        <f t="shared" ref="F605:G608" si="106">J605+N605</f>
        <v>842</v>
      </c>
      <c r="G605" s="829">
        <f t="shared" si="106"/>
        <v>840</v>
      </c>
      <c r="H605" s="1510">
        <v>4</v>
      </c>
      <c r="I605" s="1510">
        <v>4</v>
      </c>
      <c r="J605" s="1511">
        <v>662</v>
      </c>
      <c r="K605" s="1512">
        <v>660</v>
      </c>
      <c r="L605" s="1510">
        <v>1</v>
      </c>
      <c r="M605" s="1510">
        <v>1</v>
      </c>
      <c r="N605" s="1511">
        <v>180</v>
      </c>
      <c r="O605" s="1513">
        <v>180</v>
      </c>
    </row>
    <row r="606" spans="2:15" ht="31.5" x14ac:dyDescent="0.2">
      <c r="B606" s="823" t="s">
        <v>439</v>
      </c>
      <c r="C606" s="824">
        <v>9</v>
      </c>
      <c r="D606" s="830">
        <f>H606+L606</f>
        <v>0</v>
      </c>
      <c r="E606" s="830">
        <f t="shared" si="105"/>
        <v>0</v>
      </c>
      <c r="F606" s="275">
        <f t="shared" si="106"/>
        <v>0</v>
      </c>
      <c r="G606" s="831">
        <f t="shared" si="106"/>
        <v>0</v>
      </c>
      <c r="H606" s="1514">
        <v>0</v>
      </c>
      <c r="I606" s="1514">
        <v>0</v>
      </c>
      <c r="J606" s="1502">
        <v>0</v>
      </c>
      <c r="K606" s="1515">
        <v>0</v>
      </c>
      <c r="L606" s="1514">
        <v>0</v>
      </c>
      <c r="M606" s="1514">
        <v>0</v>
      </c>
      <c r="N606" s="1502">
        <v>0</v>
      </c>
      <c r="O606" s="1516">
        <v>0</v>
      </c>
    </row>
    <row r="607" spans="2:15" ht="31.5" x14ac:dyDescent="0.2">
      <c r="B607" s="823" t="s">
        <v>440</v>
      </c>
      <c r="C607" s="824">
        <v>10</v>
      </c>
      <c r="D607" s="830">
        <f>H607+L607</f>
        <v>0</v>
      </c>
      <c r="E607" s="830">
        <f t="shared" si="105"/>
        <v>0</v>
      </c>
      <c r="F607" s="275">
        <f t="shared" si="106"/>
        <v>0</v>
      </c>
      <c r="G607" s="831">
        <f t="shared" si="106"/>
        <v>0</v>
      </c>
      <c r="H607" s="1514">
        <v>0</v>
      </c>
      <c r="I607" s="1514">
        <v>0</v>
      </c>
      <c r="J607" s="1502">
        <v>0</v>
      </c>
      <c r="K607" s="1515">
        <v>0</v>
      </c>
      <c r="L607" s="1514">
        <v>0</v>
      </c>
      <c r="M607" s="1514">
        <v>0</v>
      </c>
      <c r="N607" s="1502">
        <v>0</v>
      </c>
      <c r="O607" s="1516">
        <v>0</v>
      </c>
    </row>
    <row r="608" spans="2:15" ht="48" thickBot="1" x14ac:dyDescent="0.25">
      <c r="B608" s="825" t="s">
        <v>441</v>
      </c>
      <c r="C608" s="826">
        <v>11</v>
      </c>
      <c r="D608" s="832">
        <f>H608+L608</f>
        <v>3</v>
      </c>
      <c r="E608" s="832">
        <f t="shared" si="105"/>
        <v>3</v>
      </c>
      <c r="F608" s="277">
        <f t="shared" si="106"/>
        <v>340</v>
      </c>
      <c r="G608" s="833">
        <f t="shared" si="106"/>
        <v>336</v>
      </c>
      <c r="H608" s="1517">
        <v>2</v>
      </c>
      <c r="I608" s="1517">
        <v>2</v>
      </c>
      <c r="J608" s="1507">
        <v>275</v>
      </c>
      <c r="K608" s="1518">
        <v>271</v>
      </c>
      <c r="L608" s="1517">
        <v>1</v>
      </c>
      <c r="M608" s="1517">
        <v>1</v>
      </c>
      <c r="N608" s="1507">
        <v>65</v>
      </c>
      <c r="O608" s="1519">
        <v>65</v>
      </c>
    </row>
    <row r="609" spans="1:15" ht="21" thickTop="1" x14ac:dyDescent="0.2">
      <c r="B609" s="264"/>
      <c r="C609" s="409"/>
      <c r="D609" s="410"/>
      <c r="E609" s="410"/>
      <c r="F609" s="410"/>
      <c r="G609" s="410"/>
      <c r="H609" s="410"/>
      <c r="I609" s="410"/>
      <c r="J609" s="410"/>
      <c r="K609" s="410"/>
      <c r="L609" s="410"/>
      <c r="M609" s="410"/>
      <c r="N609" s="410"/>
    </row>
    <row r="610" spans="1:15" ht="20.25" x14ac:dyDescent="0.25">
      <c r="B610" s="11" t="s">
        <v>123</v>
      </c>
      <c r="C610" s="409"/>
      <c r="D610" s="410"/>
      <c r="E610" s="410"/>
      <c r="F610" s="410"/>
      <c r="G610" s="410"/>
      <c r="H610" s="410"/>
      <c r="I610" s="410"/>
      <c r="J610" s="410"/>
      <c r="K610" s="410"/>
      <c r="L610" s="1654" t="s">
        <v>442</v>
      </c>
      <c r="M610" s="1654"/>
      <c r="N610" s="1654"/>
      <c r="O610" s="1654"/>
    </row>
    <row r="611" spans="1:15" ht="20.25" x14ac:dyDescent="0.25">
      <c r="B611" s="11" t="s">
        <v>124</v>
      </c>
      <c r="C611" s="409"/>
      <c r="D611" s="410"/>
      <c r="E611" s="410"/>
      <c r="F611" s="410"/>
      <c r="G611" s="410"/>
      <c r="H611" s="410"/>
      <c r="I611" s="410"/>
      <c r="J611" s="410"/>
      <c r="K611" s="410"/>
      <c r="L611" s="1604" t="s">
        <v>126</v>
      </c>
      <c r="M611" s="1604"/>
      <c r="N611" s="1604"/>
      <c r="O611" s="1604"/>
    </row>
    <row r="612" spans="1:15" ht="18" x14ac:dyDescent="0.25">
      <c r="B612" s="11" t="s">
        <v>125</v>
      </c>
    </row>
    <row r="613" spans="1:15" ht="15" x14ac:dyDescent="0.2">
      <c r="A613" s="928" t="s">
        <v>412</v>
      </c>
    </row>
  </sheetData>
  <mergeCells count="424">
    <mergeCell ref="D590:G590"/>
    <mergeCell ref="H590:O591"/>
    <mergeCell ref="G591:G594"/>
    <mergeCell ref="H592:K592"/>
    <mergeCell ref="D591:D594"/>
    <mergeCell ref="I593:I595"/>
    <mergeCell ref="L592:O592"/>
    <mergeCell ref="H593:H595"/>
    <mergeCell ref="J593:J595"/>
    <mergeCell ref="K593:K595"/>
    <mergeCell ref="B586:O586"/>
    <mergeCell ref="B587:O587"/>
    <mergeCell ref="N593:N595"/>
    <mergeCell ref="O593:O595"/>
    <mergeCell ref="B590:C595"/>
    <mergeCell ref="N53:N55"/>
    <mergeCell ref="N557:N559"/>
    <mergeCell ref="M557:M559"/>
    <mergeCell ref="O53:O55"/>
    <mergeCell ref="H86:O87"/>
    <mergeCell ref="L557:L559"/>
    <mergeCell ref="I557:I559"/>
    <mergeCell ref="B190:O190"/>
    <mergeCell ref="B158:C163"/>
    <mergeCell ref="D158:G158"/>
    <mergeCell ref="B128:C128"/>
    <mergeCell ref="N254:O254"/>
    <mergeCell ref="N256:O256"/>
    <mergeCell ref="H197:H199"/>
    <mergeCell ref="N197:N199"/>
    <mergeCell ref="D50:G50"/>
    <mergeCell ref="H50:O51"/>
    <mergeCell ref="D51:D54"/>
    <mergeCell ref="F51:F54"/>
    <mergeCell ref="G51:G54"/>
    <mergeCell ref="H52:K52"/>
    <mergeCell ref="L52:O52"/>
    <mergeCell ref="H53:H55"/>
    <mergeCell ref="J53:J55"/>
    <mergeCell ref="K197:K199"/>
    <mergeCell ref="I197:I199"/>
    <mergeCell ref="B236:C236"/>
    <mergeCell ref="B200:C200"/>
    <mergeCell ref="C201:C202"/>
    <mergeCell ref="B227:O227"/>
    <mergeCell ref="N148:O148"/>
    <mergeCell ref="L196:O196"/>
    <mergeCell ref="M161:M163"/>
    <mergeCell ref="L161:L163"/>
    <mergeCell ref="N182:O182"/>
    <mergeCell ref="B191:O191"/>
    <mergeCell ref="B194:C199"/>
    <mergeCell ref="J197:J199"/>
    <mergeCell ref="B164:C164"/>
    <mergeCell ref="C165:C166"/>
    <mergeCell ref="L178:O178"/>
    <mergeCell ref="D194:G194"/>
    <mergeCell ref="D195:D198"/>
    <mergeCell ref="F195:F198"/>
    <mergeCell ref="G195:G198"/>
    <mergeCell ref="E195:E198"/>
    <mergeCell ref="L197:L199"/>
    <mergeCell ref="H194:O195"/>
    <mergeCell ref="N184:O184"/>
    <mergeCell ref="H196:K196"/>
    <mergeCell ref="I161:I163"/>
    <mergeCell ref="K161:K163"/>
    <mergeCell ref="C129:C130"/>
    <mergeCell ref="O161:O163"/>
    <mergeCell ref="N146:O146"/>
    <mergeCell ref="L160:O160"/>
    <mergeCell ref="D159:D162"/>
    <mergeCell ref="F159:F162"/>
    <mergeCell ref="G159:G162"/>
    <mergeCell ref="H160:K160"/>
    <mergeCell ref="D122:G122"/>
    <mergeCell ref="H122:O123"/>
    <mergeCell ref="D123:D126"/>
    <mergeCell ref="I125:I127"/>
    <mergeCell ref="J125:J127"/>
    <mergeCell ref="K125:K127"/>
    <mergeCell ref="N110:O110"/>
    <mergeCell ref="N112:O112"/>
    <mergeCell ref="B118:O118"/>
    <mergeCell ref="F123:F126"/>
    <mergeCell ref="G123:G126"/>
    <mergeCell ref="H125:H127"/>
    <mergeCell ref="H124:K124"/>
    <mergeCell ref="L124:O124"/>
    <mergeCell ref="E123:E126"/>
    <mergeCell ref="B122:C127"/>
    <mergeCell ref="H161:H163"/>
    <mergeCell ref="E159:E162"/>
    <mergeCell ref="J161:J163"/>
    <mergeCell ref="H158:O159"/>
    <mergeCell ref="N2:O2"/>
    <mergeCell ref="I17:I19"/>
    <mergeCell ref="N74:O74"/>
    <mergeCell ref="N76:O76"/>
    <mergeCell ref="B83:O83"/>
    <mergeCell ref="B14:C19"/>
    <mergeCell ref="D15:D18"/>
    <mergeCell ref="F15:F18"/>
    <mergeCell ref="G15:G18"/>
    <mergeCell ref="H17:H19"/>
    <mergeCell ref="E15:E18"/>
    <mergeCell ref="D14:G14"/>
    <mergeCell ref="H14:O15"/>
    <mergeCell ref="B20:C20"/>
    <mergeCell ref="N38:O38"/>
    <mergeCell ref="J17:J19"/>
    <mergeCell ref="K17:K19"/>
    <mergeCell ref="L17:L19"/>
    <mergeCell ref="N17:N19"/>
    <mergeCell ref="M17:M19"/>
    <mergeCell ref="O17:O19"/>
    <mergeCell ref="C21:C22"/>
    <mergeCell ref="L34:O34"/>
    <mergeCell ref="L323:O323"/>
    <mergeCell ref="H232:K232"/>
    <mergeCell ref="I233:I235"/>
    <mergeCell ref="M233:M235"/>
    <mergeCell ref="H233:H235"/>
    <mergeCell ref="L88:O88"/>
    <mergeCell ref="H88:K88"/>
    <mergeCell ref="H89:H91"/>
    <mergeCell ref="J89:J91"/>
    <mergeCell ref="M89:M91"/>
    <mergeCell ref="L179:O179"/>
    <mergeCell ref="B86:C91"/>
    <mergeCell ref="D86:G86"/>
    <mergeCell ref="I89:I91"/>
    <mergeCell ref="L35:O35"/>
    <mergeCell ref="N40:O40"/>
    <mergeCell ref="D87:D90"/>
    <mergeCell ref="F87:F90"/>
    <mergeCell ref="G87:G90"/>
    <mergeCell ref="L89:L91"/>
    <mergeCell ref="H302:O303"/>
    <mergeCell ref="O305:O307"/>
    <mergeCell ref="L143:O143"/>
    <mergeCell ref="M125:M127"/>
    <mergeCell ref="O125:O127"/>
    <mergeCell ref="N125:N127"/>
    <mergeCell ref="L125:L127"/>
    <mergeCell ref="L215:O215"/>
    <mergeCell ref="N161:N163"/>
    <mergeCell ref="O197:O199"/>
    <mergeCell ref="L287:O287"/>
    <mergeCell ref="B92:C92"/>
    <mergeCell ref="C93:C94"/>
    <mergeCell ref="L106:O106"/>
    <mergeCell ref="L107:O107"/>
    <mergeCell ref="J233:J235"/>
    <mergeCell ref="K233:K235"/>
    <mergeCell ref="O233:O235"/>
    <mergeCell ref="L142:O142"/>
    <mergeCell ref="M197:M199"/>
    <mergeCell ref="L269:L271"/>
    <mergeCell ref="M305:M307"/>
    <mergeCell ref="E303:E306"/>
    <mergeCell ref="B272:C272"/>
    <mergeCell ref="L286:O286"/>
    <mergeCell ref="B302:C307"/>
    <mergeCell ref="F303:F306"/>
    <mergeCell ref="G303:G306"/>
    <mergeCell ref="H304:K304"/>
    <mergeCell ref="B298:O298"/>
    <mergeCell ref="E411:E414"/>
    <mergeCell ref="G411:G414"/>
    <mergeCell ref="E483:E486"/>
    <mergeCell ref="K485:K487"/>
    <mergeCell ref="G483:G486"/>
    <mergeCell ref="H484:K484"/>
    <mergeCell ref="H485:H487"/>
    <mergeCell ref="J485:J487"/>
    <mergeCell ref="D482:G482"/>
    <mergeCell ref="D411:D414"/>
    <mergeCell ref="B596:C596"/>
    <mergeCell ref="N506:O506"/>
    <mergeCell ref="B554:C559"/>
    <mergeCell ref="D554:G554"/>
    <mergeCell ref="H554:O555"/>
    <mergeCell ref="D555:D558"/>
    <mergeCell ref="F555:F558"/>
    <mergeCell ref="E591:E594"/>
    <mergeCell ref="M593:M595"/>
    <mergeCell ref="L593:L595"/>
    <mergeCell ref="L71:O71"/>
    <mergeCell ref="C597:C598"/>
    <mergeCell ref="B338:C343"/>
    <mergeCell ref="G339:G342"/>
    <mergeCell ref="K341:K343"/>
    <mergeCell ref="D339:D342"/>
    <mergeCell ref="H482:O483"/>
    <mergeCell ref="I341:I343"/>
    <mergeCell ref="L466:O466"/>
    <mergeCell ref="L467:O467"/>
    <mergeCell ref="L610:O610"/>
    <mergeCell ref="L611:O611"/>
    <mergeCell ref="B550:O550"/>
    <mergeCell ref="G555:G558"/>
    <mergeCell ref="H556:K556"/>
    <mergeCell ref="L556:O556"/>
    <mergeCell ref="H557:H559"/>
    <mergeCell ref="E555:E558"/>
    <mergeCell ref="L574:O574"/>
    <mergeCell ref="L575:O575"/>
    <mergeCell ref="F591:F594"/>
    <mergeCell ref="L16:O16"/>
    <mergeCell ref="B82:O82"/>
    <mergeCell ref="N89:N91"/>
    <mergeCell ref="O89:O91"/>
    <mergeCell ref="B50:C55"/>
    <mergeCell ref="I53:I55"/>
    <mergeCell ref="M53:M55"/>
    <mergeCell ref="B56:C56"/>
    <mergeCell ref="N508:O508"/>
    <mergeCell ref="B335:O335"/>
    <mergeCell ref="B334:O334"/>
    <mergeCell ref="N328:O328"/>
    <mergeCell ref="L251:O251"/>
    <mergeCell ref="B263:O263"/>
    <mergeCell ref="L305:L307"/>
    <mergeCell ref="D266:G266"/>
    <mergeCell ref="H266:O267"/>
    <mergeCell ref="D267:D270"/>
    <mergeCell ref="F267:F270"/>
    <mergeCell ref="B374:C379"/>
    <mergeCell ref="D374:G374"/>
    <mergeCell ref="F375:F378"/>
    <mergeCell ref="G375:G378"/>
    <mergeCell ref="B371:O371"/>
    <mergeCell ref="E339:E342"/>
    <mergeCell ref="B370:O370"/>
    <mergeCell ref="L358:O358"/>
    <mergeCell ref="L359:O359"/>
    <mergeCell ref="J341:J343"/>
    <mergeCell ref="H338:O339"/>
    <mergeCell ref="L340:O340"/>
    <mergeCell ref="B344:C344"/>
    <mergeCell ref="C345:C346"/>
    <mergeCell ref="D338:G338"/>
    <mergeCell ref="N341:N343"/>
    <mergeCell ref="H340:K340"/>
    <mergeCell ref="L341:L343"/>
    <mergeCell ref="H341:H343"/>
    <mergeCell ref="N290:O290"/>
    <mergeCell ref="B299:O299"/>
    <mergeCell ref="D302:G302"/>
    <mergeCell ref="L304:O304"/>
    <mergeCell ref="K305:K307"/>
    <mergeCell ref="L322:O322"/>
    <mergeCell ref="C309:C310"/>
    <mergeCell ref="D303:D306"/>
    <mergeCell ref="H305:H307"/>
    <mergeCell ref="J305:J307"/>
    <mergeCell ref="N326:O326"/>
    <mergeCell ref="N305:N307"/>
    <mergeCell ref="B226:O226"/>
    <mergeCell ref="E231:E234"/>
    <mergeCell ref="L232:O232"/>
    <mergeCell ref="B230:C235"/>
    <mergeCell ref="D230:G230"/>
    <mergeCell ref="M269:M271"/>
    <mergeCell ref="I305:I307"/>
    <mergeCell ref="B308:C308"/>
    <mergeCell ref="B380:C380"/>
    <mergeCell ref="M377:M379"/>
    <mergeCell ref="O377:O379"/>
    <mergeCell ref="L376:O376"/>
    <mergeCell ref="N362:O362"/>
    <mergeCell ref="J377:J379"/>
    <mergeCell ref="H377:H379"/>
    <mergeCell ref="N377:N379"/>
    <mergeCell ref="N364:O364"/>
    <mergeCell ref="H374:O375"/>
    <mergeCell ref="H376:K376"/>
    <mergeCell ref="L377:L379"/>
    <mergeCell ref="H412:K412"/>
    <mergeCell ref="C381:C382"/>
    <mergeCell ref="K377:K379"/>
    <mergeCell ref="D375:D378"/>
    <mergeCell ref="E375:E378"/>
    <mergeCell ref="I377:I379"/>
    <mergeCell ref="B410:C415"/>
    <mergeCell ref="D410:G410"/>
    <mergeCell ref="F411:F414"/>
    <mergeCell ref="B407:O407"/>
    <mergeCell ref="B406:O406"/>
    <mergeCell ref="N398:O398"/>
    <mergeCell ref="L394:O394"/>
    <mergeCell ref="K413:K415"/>
    <mergeCell ref="J413:J415"/>
    <mergeCell ref="H413:H415"/>
    <mergeCell ref="H410:O411"/>
    <mergeCell ref="L413:L415"/>
    <mergeCell ref="L431:O431"/>
    <mergeCell ref="L448:O448"/>
    <mergeCell ref="L395:O395"/>
    <mergeCell ref="N400:O400"/>
    <mergeCell ref="B442:O442"/>
    <mergeCell ref="D446:G446"/>
    <mergeCell ref="B416:C416"/>
    <mergeCell ref="C417:C418"/>
    <mergeCell ref="B446:C451"/>
    <mergeCell ref="L430:O430"/>
    <mergeCell ref="O413:O415"/>
    <mergeCell ref="L412:O412"/>
    <mergeCell ref="M413:M415"/>
    <mergeCell ref="N413:N415"/>
    <mergeCell ref="I413:I415"/>
    <mergeCell ref="O449:O451"/>
    <mergeCell ref="N434:O434"/>
    <mergeCell ref="N436:O436"/>
    <mergeCell ref="B443:O443"/>
    <mergeCell ref="H449:H451"/>
    <mergeCell ref="H446:O447"/>
    <mergeCell ref="N449:N451"/>
    <mergeCell ref="C525:C526"/>
    <mergeCell ref="B524:C524"/>
    <mergeCell ref="B515:O515"/>
    <mergeCell ref="G519:G522"/>
    <mergeCell ref="H520:K520"/>
    <mergeCell ref="H521:H523"/>
    <mergeCell ref="O521:O523"/>
    <mergeCell ref="F519:F522"/>
    <mergeCell ref="H518:O519"/>
    <mergeCell ref="N521:N523"/>
    <mergeCell ref="N470:O470"/>
    <mergeCell ref="B478:O478"/>
    <mergeCell ref="N472:O472"/>
    <mergeCell ref="B514:O514"/>
    <mergeCell ref="L503:O503"/>
    <mergeCell ref="M485:M487"/>
    <mergeCell ref="C489:C490"/>
    <mergeCell ref="L502:O502"/>
    <mergeCell ref="B488:C488"/>
    <mergeCell ref="B482:C487"/>
    <mergeCell ref="D483:D486"/>
    <mergeCell ref="F483:F486"/>
    <mergeCell ref="C453:C454"/>
    <mergeCell ref="F447:F450"/>
    <mergeCell ref="E447:E450"/>
    <mergeCell ref="I449:I451"/>
    <mergeCell ref="B452:C452"/>
    <mergeCell ref="D447:D450"/>
    <mergeCell ref="B479:O479"/>
    <mergeCell ref="I485:I487"/>
    <mergeCell ref="L484:O484"/>
    <mergeCell ref="N485:N487"/>
    <mergeCell ref="O485:O487"/>
    <mergeCell ref="L449:L451"/>
    <mergeCell ref="J449:J451"/>
    <mergeCell ref="B11:O11"/>
    <mergeCell ref="B10:O10"/>
    <mergeCell ref="K53:K55"/>
    <mergeCell ref="O269:O271"/>
    <mergeCell ref="N292:O292"/>
    <mergeCell ref="N269:N271"/>
    <mergeCell ref="N218:O218"/>
    <mergeCell ref="N220:O220"/>
    <mergeCell ref="H16:K16"/>
    <mergeCell ref="K89:K91"/>
    <mergeCell ref="M521:M523"/>
    <mergeCell ref="L520:O520"/>
    <mergeCell ref="O341:O343"/>
    <mergeCell ref="M341:M343"/>
    <mergeCell ref="F339:F342"/>
    <mergeCell ref="K449:K451"/>
    <mergeCell ref="G447:G450"/>
    <mergeCell ref="M449:M451"/>
    <mergeCell ref="L485:L487"/>
    <mergeCell ref="H448:K448"/>
    <mergeCell ref="E519:E522"/>
    <mergeCell ref="B560:C560"/>
    <mergeCell ref="B551:O551"/>
    <mergeCell ref="N542:O542"/>
    <mergeCell ref="N544:O544"/>
    <mergeCell ref="O557:O559"/>
    <mergeCell ref="K557:K559"/>
    <mergeCell ref="J557:J559"/>
    <mergeCell ref="L538:O538"/>
    <mergeCell ref="L521:L523"/>
    <mergeCell ref="N578:O578"/>
    <mergeCell ref="N580:O580"/>
    <mergeCell ref="C561:C562"/>
    <mergeCell ref="I521:I523"/>
    <mergeCell ref="L539:O539"/>
    <mergeCell ref="B518:C523"/>
    <mergeCell ref="D518:G518"/>
    <mergeCell ref="D519:D522"/>
    <mergeCell ref="J521:J523"/>
    <mergeCell ref="K521:K523"/>
    <mergeCell ref="B266:C271"/>
    <mergeCell ref="C273:C274"/>
    <mergeCell ref="F231:F234"/>
    <mergeCell ref="D231:D234"/>
    <mergeCell ref="G231:G234"/>
    <mergeCell ref="H230:O231"/>
    <mergeCell ref="L250:O250"/>
    <mergeCell ref="G267:G270"/>
    <mergeCell ref="H269:H271"/>
    <mergeCell ref="K269:K271"/>
    <mergeCell ref="B46:O46"/>
    <mergeCell ref="B262:O262"/>
    <mergeCell ref="B155:O155"/>
    <mergeCell ref="B154:O154"/>
    <mergeCell ref="B119:O119"/>
    <mergeCell ref="H268:K268"/>
    <mergeCell ref="L268:O268"/>
    <mergeCell ref="L53:L55"/>
    <mergeCell ref="C57:C58"/>
    <mergeCell ref="L70:O70"/>
    <mergeCell ref="B47:O47"/>
    <mergeCell ref="I269:I271"/>
    <mergeCell ref="E267:E270"/>
    <mergeCell ref="J269:J271"/>
    <mergeCell ref="L233:L235"/>
    <mergeCell ref="N233:N235"/>
    <mergeCell ref="E51:E54"/>
    <mergeCell ref="E87:E90"/>
    <mergeCell ref="C237:C238"/>
    <mergeCell ref="L214:O214"/>
  </mergeCells>
  <phoneticPr fontId="82" type="noConversion"/>
  <conditionalFormatting sqref="C58:E58 C526:E526 C94:E94 C130:E130 C166:E166 C202:E202 C562:E562 C238:E238 C22:E22 C274:E274 C310:E310 C346:E346 C382:E382 C418:E418 C454:E454 C490:E490 C598:E598">
    <cfRule type="cellIs" dxfId="16" priority="1" stopIfTrue="1" operator="equal">
      <formula>"Uwaga!"</formula>
    </cfRule>
  </conditionalFormatting>
  <conditionalFormatting sqref="I309 E309 M309 I345 E345 M345 I381 E381 M381 I417 E417 M417 I453 E453 M453 I489 E489 M489 I525 E525 M525 I561 E561 M561 I597 E597 M597 I273 E273 M273 I237 E237 M237 I201 E201 M201 I165 E165 M165 I129 E129 M129 I93 E93 M93 I57 E57 M57 I21 E21 M21">
    <cfRule type="cellIs" dxfId="15" priority="2" stopIfTrue="1" operator="greaterThanOrEqual">
      <formula>D21</formula>
    </cfRule>
    <cfRule type="cellIs" dxfId="14" priority="3" stopIfTrue="1" operator="lessThan">
      <formula>D21</formula>
    </cfRule>
  </conditionalFormatting>
  <printOptions horizontalCentered="1"/>
  <pageMargins left="0.43307086614173229" right="0.47244094488188981" top="0.62992125984251968" bottom="0.39370078740157483" header="0.47244094488188981" footer="0"/>
  <pageSetup paperSize="9" scale="42" orientation="landscape" r:id="rId1"/>
  <headerFooter alignWithMargins="0"/>
  <ignoredErrors>
    <ignoredError sqref="J337:L337 F85 N337 F337:H337" emptyCellReference="1"/>
    <ignoredError sqref="A326 A362 A218 A470 A541 A74 A433 A1 A578 A110 A37 A290 A254 A181 A145 A398 A506" numberStoredAsText="1"/>
    <ignoredError sqref="E237:E238 E129 E273 E21:E22 E93:E94 E525:E526 E309:E310 E489:E490 I21:I22 M21:M22 E561:E562 E57 E345:E346 E453:E454" 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A1" s="1" t="s">
        <v>195</v>
      </c>
      <c r="B1" s="3"/>
      <c r="C1" s="4"/>
      <c r="D1" s="3"/>
      <c r="E1" s="3"/>
      <c r="F1" s="3"/>
      <c r="G1" s="413"/>
      <c r="H1" s="413"/>
      <c r="I1" s="413"/>
      <c r="J1" s="1603" t="s">
        <v>341</v>
      </c>
      <c r="K1" s="1603"/>
    </row>
    <row r="2" spans="1:12" x14ac:dyDescent="0.2">
      <c r="A2" s="3" t="s">
        <v>214</v>
      </c>
      <c r="B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604" t="s">
        <v>485</v>
      </c>
      <c r="B6" s="1604"/>
      <c r="C6" s="1604"/>
      <c r="D6" s="1604"/>
      <c r="E6" s="1604"/>
      <c r="F6" s="1604"/>
      <c r="G6" s="1604"/>
      <c r="H6" s="1604"/>
      <c r="I6" s="1604"/>
      <c r="J6" s="1604"/>
      <c r="K6" s="1604"/>
      <c r="L6" s="8"/>
    </row>
    <row r="7" spans="1:12" ht="15.75" x14ac:dyDescent="0.25">
      <c r="A7" s="1691" t="str">
        <f>"WEDŁUG FORM ZATRUDNIENIA, wg stanu na dzień 31.XII."&amp;'Tab.1. bilans_Polska'!A2&amp;" r."</f>
        <v>WEDŁUG FORM ZATRUDNIENIA, wg stanu na dzień 31.XII.2011 r.</v>
      </c>
      <c r="B7" s="1690"/>
      <c r="C7" s="1690"/>
      <c r="D7" s="1690"/>
      <c r="E7" s="1690"/>
      <c r="F7" s="1690"/>
      <c r="G7" s="1690"/>
      <c r="H7" s="1690"/>
      <c r="I7" s="1690"/>
      <c r="J7" s="1690"/>
      <c r="K7" s="1690"/>
      <c r="L7" s="8"/>
    </row>
    <row r="8" spans="1:12" ht="15.75" x14ac:dyDescent="0.25">
      <c r="A8" s="1604" t="s">
        <v>272</v>
      </c>
      <c r="B8" s="1604"/>
      <c r="C8" s="1604"/>
      <c r="D8" s="1604"/>
      <c r="E8" s="1604"/>
      <c r="F8" s="1604"/>
      <c r="G8" s="1604"/>
      <c r="H8" s="1604"/>
      <c r="I8" s="1604"/>
      <c r="J8" s="1604"/>
      <c r="K8" s="1604"/>
      <c r="L8" s="8"/>
    </row>
    <row r="10" spans="1:12" ht="13.5" thickBot="1" x14ac:dyDescent="0.25">
      <c r="A10" s="3"/>
      <c r="B10" s="3"/>
      <c r="C10" s="3"/>
      <c r="D10" s="3"/>
      <c r="E10" s="3"/>
      <c r="F10" s="3"/>
      <c r="G10" s="3"/>
      <c r="H10" s="3"/>
      <c r="I10" s="3"/>
      <c r="J10" s="3"/>
    </row>
    <row r="11" spans="1:12" ht="13.5" thickTop="1" x14ac:dyDescent="0.2">
      <c r="A11" s="1692" t="s">
        <v>226</v>
      </c>
      <c r="B11" s="1813" t="s">
        <v>256</v>
      </c>
      <c r="C11" s="1767" t="s">
        <v>334</v>
      </c>
      <c r="D11" s="1774" t="s">
        <v>49</v>
      </c>
      <c r="E11" s="1774"/>
      <c r="F11" s="1774"/>
      <c r="G11" s="1774"/>
      <c r="H11" s="1774"/>
      <c r="I11" s="1774"/>
      <c r="J11" s="1774"/>
      <c r="K11" s="1775"/>
    </row>
    <row r="12" spans="1:12" x14ac:dyDescent="0.2">
      <c r="A12" s="1693"/>
      <c r="B12" s="1814"/>
      <c r="C12" s="1768"/>
      <c r="D12" s="1816" t="s">
        <v>335</v>
      </c>
      <c r="E12" s="1816"/>
      <c r="F12" s="1816"/>
      <c r="G12" s="1816"/>
      <c r="H12" s="1816"/>
      <c r="I12" s="1817"/>
      <c r="J12" s="1783" t="s">
        <v>340</v>
      </c>
      <c r="K12" s="1785"/>
    </row>
    <row r="13" spans="1:12" ht="12.75" customHeight="1" x14ac:dyDescent="0.2">
      <c r="A13" s="1693"/>
      <c r="B13" s="1814"/>
      <c r="C13" s="1768"/>
      <c r="D13" s="1793" t="s">
        <v>336</v>
      </c>
      <c r="E13" s="1820" t="s">
        <v>294</v>
      </c>
      <c r="F13" s="1811" t="s">
        <v>338</v>
      </c>
      <c r="G13" s="1777"/>
      <c r="H13" s="1771" t="s">
        <v>339</v>
      </c>
      <c r="I13" s="1812"/>
      <c r="J13" s="1793" t="s">
        <v>0</v>
      </c>
      <c r="K13" s="1818" t="s">
        <v>294</v>
      </c>
    </row>
    <row r="14" spans="1:12" x14ac:dyDescent="0.2">
      <c r="A14" s="1694"/>
      <c r="B14" s="1815"/>
      <c r="C14" s="1769"/>
      <c r="D14" s="1795"/>
      <c r="E14" s="1821"/>
      <c r="F14" s="553" t="s">
        <v>0</v>
      </c>
      <c r="G14" s="551" t="s">
        <v>337</v>
      </c>
      <c r="H14" s="552" t="s">
        <v>0</v>
      </c>
      <c r="I14" s="554" t="s">
        <v>337</v>
      </c>
      <c r="J14" s="1795"/>
      <c r="K14" s="1819"/>
    </row>
    <row r="15" spans="1:12" ht="13.5" thickBot="1" x14ac:dyDescent="0.25">
      <c r="A15" s="425"/>
      <c r="B15" s="429">
        <v>0</v>
      </c>
      <c r="C15" s="464">
        <v>1</v>
      </c>
      <c r="D15" s="427">
        <v>2</v>
      </c>
      <c r="E15" s="429">
        <v>3</v>
      </c>
      <c r="F15" s="430">
        <v>4</v>
      </c>
      <c r="G15" s="428">
        <v>5</v>
      </c>
      <c r="H15" s="428">
        <v>6</v>
      </c>
      <c r="I15" s="429">
        <v>7</v>
      </c>
      <c r="J15" s="430">
        <v>8</v>
      </c>
      <c r="K15" s="431">
        <v>9</v>
      </c>
    </row>
    <row r="16" spans="1:12" ht="13.5" thickTop="1" x14ac:dyDescent="0.2">
      <c r="A16" s="461">
        <v>1</v>
      </c>
      <c r="B16" s="508" t="s">
        <v>236</v>
      </c>
      <c r="C16" s="473">
        <f>'Tab.4. Losóbzatr_Polska'!D47</f>
        <v>3328</v>
      </c>
      <c r="D16" s="566">
        <f t="shared" ref="D16:D31" si="0">F16+H16</f>
        <v>3313</v>
      </c>
      <c r="E16" s="557">
        <f>D16*100/$C16</f>
        <v>99.54927884615384</v>
      </c>
      <c r="F16" s="558">
        <f>'Tab.4. Losóbzatr_Polska'!D51</f>
        <v>3118</v>
      </c>
      <c r="G16" s="559">
        <f t="shared" ref="G16:G31" si="1">F16*100/$C16</f>
        <v>93.68990384615384</v>
      </c>
      <c r="H16" s="560">
        <f>'Tab.4. Losóbzatr_Polska'!D52</f>
        <v>195</v>
      </c>
      <c r="I16" s="557">
        <f t="shared" ref="I16:I31" si="2">H16*100/$C16</f>
        <v>5.859375</v>
      </c>
      <c r="J16" s="534">
        <f>'Tab.4. Losóbzatr_Polska'!D53</f>
        <v>15</v>
      </c>
      <c r="K16" s="524">
        <f t="shared" ref="K16:K31" si="3">J16*100/$C16</f>
        <v>0.45072115384615385</v>
      </c>
    </row>
    <row r="17" spans="1:12" x14ac:dyDescent="0.2">
      <c r="A17" s="462">
        <v>2</v>
      </c>
      <c r="B17" s="509" t="s">
        <v>237</v>
      </c>
      <c r="C17" s="481">
        <f>'Tab.4. Losóbzatr_Polska'!D76</f>
        <v>2410</v>
      </c>
      <c r="D17" s="567">
        <f t="shared" si="0"/>
        <v>2389</v>
      </c>
      <c r="E17" s="539">
        <f t="shared" ref="E17:E31" si="4">D17*100/C17</f>
        <v>99.128630705394187</v>
      </c>
      <c r="F17" s="535">
        <f>'Tab.4. Losóbzatr_Polska'!D80</f>
        <v>2237</v>
      </c>
      <c r="G17" s="522">
        <f t="shared" si="1"/>
        <v>92.821576763485481</v>
      </c>
      <c r="H17" s="519">
        <f>'Tab.4. Losóbzatr_Polska'!D81</f>
        <v>152</v>
      </c>
      <c r="I17" s="539">
        <f t="shared" si="2"/>
        <v>6.3070539419087135</v>
      </c>
      <c r="J17" s="535">
        <f>'Tab.4. Losóbzatr_Polska'!D82</f>
        <v>21</v>
      </c>
      <c r="K17" s="525">
        <f t="shared" si="3"/>
        <v>0.87136929460580914</v>
      </c>
    </row>
    <row r="18" spans="1:12" x14ac:dyDescent="0.2">
      <c r="A18" s="462">
        <v>3</v>
      </c>
      <c r="B18" s="509" t="s">
        <v>238</v>
      </c>
      <c r="C18" s="481">
        <f>'Tab.4. Losóbzatr_Polska'!D105</f>
        <v>2770</v>
      </c>
      <c r="D18" s="567">
        <f t="shared" si="0"/>
        <v>2735</v>
      </c>
      <c r="E18" s="539">
        <f t="shared" si="4"/>
        <v>98.736462093862812</v>
      </c>
      <c r="F18" s="535">
        <f>'Tab.4. Losóbzatr_Polska'!D109</f>
        <v>2587</v>
      </c>
      <c r="G18" s="522">
        <f t="shared" si="1"/>
        <v>93.393501805054157</v>
      </c>
      <c r="H18" s="519">
        <f>'Tab.4. Losóbzatr_Polska'!D110</f>
        <v>148</v>
      </c>
      <c r="I18" s="539">
        <f t="shared" si="2"/>
        <v>5.3429602888086647</v>
      </c>
      <c r="J18" s="535">
        <f>'Tab.4. Losóbzatr_Polska'!D111</f>
        <v>35</v>
      </c>
      <c r="K18" s="525">
        <f t="shared" si="3"/>
        <v>1.2635379061371841</v>
      </c>
    </row>
    <row r="19" spans="1:12" x14ac:dyDescent="0.2">
      <c r="A19" s="462">
        <v>4</v>
      </c>
      <c r="B19" s="509" t="s">
        <v>239</v>
      </c>
      <c r="C19" s="481">
        <f>'Tab.4. Losóbzatr_Polska'!D134</f>
        <v>1631</v>
      </c>
      <c r="D19" s="567">
        <f t="shared" si="0"/>
        <v>1571</v>
      </c>
      <c r="E19" s="539">
        <f t="shared" si="4"/>
        <v>96.321275291232368</v>
      </c>
      <c r="F19" s="535">
        <f>'Tab.4. Losóbzatr_Polska'!D138</f>
        <v>1459</v>
      </c>
      <c r="G19" s="522">
        <f t="shared" si="1"/>
        <v>89.454322501532801</v>
      </c>
      <c r="H19" s="519">
        <f>'Tab.4. Losóbzatr_Polska'!D139</f>
        <v>112</v>
      </c>
      <c r="I19" s="539">
        <f t="shared" si="2"/>
        <v>6.866952789699571</v>
      </c>
      <c r="J19" s="535">
        <f>'Tab.4. Losóbzatr_Polska'!D140</f>
        <v>60</v>
      </c>
      <c r="K19" s="525">
        <f t="shared" si="3"/>
        <v>3.6787247087676271</v>
      </c>
    </row>
    <row r="20" spans="1:12" x14ac:dyDescent="0.2">
      <c r="A20" s="462">
        <v>5</v>
      </c>
      <c r="B20" s="509" t="s">
        <v>240</v>
      </c>
      <c r="C20" s="481">
        <f>'Tab.4. Losóbzatr_Polska'!D163</f>
        <v>4074</v>
      </c>
      <c r="D20" s="567">
        <f t="shared" si="0"/>
        <v>4034</v>
      </c>
      <c r="E20" s="539">
        <f t="shared" si="4"/>
        <v>99.018163966617578</v>
      </c>
      <c r="F20" s="535">
        <f>'Tab.4. Losóbzatr_Polska'!D167</f>
        <v>3718</v>
      </c>
      <c r="G20" s="522">
        <f t="shared" si="1"/>
        <v>91.261659302896419</v>
      </c>
      <c r="H20" s="519">
        <f>'Tab.4. Losóbzatr_Polska'!D168</f>
        <v>316</v>
      </c>
      <c r="I20" s="539">
        <f t="shared" si="2"/>
        <v>7.7565046637211585</v>
      </c>
      <c r="J20" s="535">
        <f>'Tab.4. Losóbzatr_Polska'!D169</f>
        <v>40</v>
      </c>
      <c r="K20" s="525">
        <f t="shared" si="3"/>
        <v>0.98183603338242509</v>
      </c>
    </row>
    <row r="21" spans="1:12" x14ac:dyDescent="0.2">
      <c r="A21" s="462">
        <v>6</v>
      </c>
      <c r="B21" s="509" t="s">
        <v>241</v>
      </c>
      <c r="C21" s="481">
        <f>'Tab.4. Losóbzatr_Polska'!D192</f>
        <v>4490</v>
      </c>
      <c r="D21" s="567">
        <f t="shared" si="0"/>
        <v>4457</v>
      </c>
      <c r="E21" s="539">
        <f t="shared" si="4"/>
        <v>99.265033407572389</v>
      </c>
      <c r="F21" s="535">
        <f>'Tab.4. Losóbzatr_Polska'!D196</f>
        <v>4017</v>
      </c>
      <c r="G21" s="522">
        <f t="shared" si="1"/>
        <v>89.465478841870819</v>
      </c>
      <c r="H21" s="519">
        <f>'Tab.4. Losóbzatr_Polska'!D197</f>
        <v>440</v>
      </c>
      <c r="I21" s="539">
        <f t="shared" si="2"/>
        <v>9.799554565701559</v>
      </c>
      <c r="J21" s="535">
        <f>'Tab.4. Losóbzatr_Polska'!D198</f>
        <v>33</v>
      </c>
      <c r="K21" s="525">
        <f t="shared" si="3"/>
        <v>0.73496659242761697</v>
      </c>
    </row>
    <row r="22" spans="1:12" x14ac:dyDescent="0.2">
      <c r="A22" s="462">
        <v>7</v>
      </c>
      <c r="B22" s="509" t="s">
        <v>242</v>
      </c>
      <c r="C22" s="481">
        <f>'Tab.4. Losóbzatr_Polska'!D221</f>
        <v>5766</v>
      </c>
      <c r="D22" s="567">
        <f t="shared" si="0"/>
        <v>5698</v>
      </c>
      <c r="E22" s="539">
        <f t="shared" si="4"/>
        <v>98.820672910163026</v>
      </c>
      <c r="F22" s="535">
        <f>'Tab.4. Losóbzatr_Polska'!D225</f>
        <v>5074</v>
      </c>
      <c r="G22" s="522">
        <f t="shared" si="1"/>
        <v>87.998612556364904</v>
      </c>
      <c r="H22" s="519">
        <f>'Tab.4. Losóbzatr_Polska'!D226</f>
        <v>624</v>
      </c>
      <c r="I22" s="539">
        <f t="shared" si="2"/>
        <v>10.822060353798127</v>
      </c>
      <c r="J22" s="535">
        <f>'Tab.4. Losóbzatr_Polska'!D227</f>
        <v>68</v>
      </c>
      <c r="K22" s="525">
        <f t="shared" si="3"/>
        <v>1.1793270898369754</v>
      </c>
    </row>
    <row r="23" spans="1:12" x14ac:dyDescent="0.2">
      <c r="A23" s="462">
        <v>8</v>
      </c>
      <c r="B23" s="509" t="s">
        <v>243</v>
      </c>
      <c r="C23" s="481">
        <f>'Tab.4. Losóbzatr_Polska'!D250</f>
        <v>1242</v>
      </c>
      <c r="D23" s="567">
        <f t="shared" si="0"/>
        <v>1231</v>
      </c>
      <c r="E23" s="539">
        <f t="shared" si="4"/>
        <v>99.114331723027377</v>
      </c>
      <c r="F23" s="535">
        <f>'Tab.4. Losóbzatr_Polska'!D254</f>
        <v>1161</v>
      </c>
      <c r="G23" s="522">
        <f t="shared" si="1"/>
        <v>93.478260869565219</v>
      </c>
      <c r="H23" s="519">
        <f>'Tab.4. Losóbzatr_Polska'!D255</f>
        <v>70</v>
      </c>
      <c r="I23" s="539">
        <f t="shared" si="2"/>
        <v>5.636070853462158</v>
      </c>
      <c r="J23" s="535">
        <f>'Tab.4. Losóbzatr_Polska'!D256</f>
        <v>11</v>
      </c>
      <c r="K23" s="525">
        <f t="shared" si="3"/>
        <v>0.88566827697262485</v>
      </c>
    </row>
    <row r="24" spans="1:12" x14ac:dyDescent="0.2">
      <c r="A24" s="462">
        <v>9</v>
      </c>
      <c r="B24" s="509" t="s">
        <v>244</v>
      </c>
      <c r="C24" s="481">
        <f>'Tab.4. Losóbzatr_Polska'!D279</f>
        <v>2419</v>
      </c>
      <c r="D24" s="567">
        <f t="shared" si="0"/>
        <v>2389</v>
      </c>
      <c r="E24" s="539">
        <f t="shared" si="4"/>
        <v>98.759818106655644</v>
      </c>
      <c r="F24" s="535">
        <f>'Tab.4. Losóbzatr_Polska'!D283</f>
        <v>2266</v>
      </c>
      <c r="G24" s="522">
        <f t="shared" si="1"/>
        <v>93.675072343943782</v>
      </c>
      <c r="H24" s="519">
        <f>'Tab.4. Losóbzatr_Polska'!D284</f>
        <v>123</v>
      </c>
      <c r="I24" s="539">
        <f t="shared" si="2"/>
        <v>5.0847457627118642</v>
      </c>
      <c r="J24" s="535">
        <f>'Tab.4. Losóbzatr_Polska'!D285</f>
        <v>30</v>
      </c>
      <c r="K24" s="525">
        <f t="shared" si="3"/>
        <v>1.2401818933443571</v>
      </c>
    </row>
    <row r="25" spans="1:12" x14ac:dyDescent="0.2">
      <c r="A25" s="463">
        <v>10</v>
      </c>
      <c r="B25" s="509" t="s">
        <v>245</v>
      </c>
      <c r="C25" s="481">
        <f>'Tab.4. Losóbzatr_Polska'!D308</f>
        <v>1380</v>
      </c>
      <c r="D25" s="567">
        <f t="shared" si="0"/>
        <v>1351</v>
      </c>
      <c r="E25" s="539">
        <f t="shared" si="4"/>
        <v>97.898550724637687</v>
      </c>
      <c r="F25" s="535">
        <f>'Tab.4. Losóbzatr_Polska'!D312</f>
        <v>1267</v>
      </c>
      <c r="G25" s="522">
        <f t="shared" si="1"/>
        <v>91.811594202898547</v>
      </c>
      <c r="H25" s="519">
        <f>'Tab.4. Losóbzatr_Polska'!D313</f>
        <v>84</v>
      </c>
      <c r="I25" s="539">
        <f t="shared" si="2"/>
        <v>6.0869565217391308</v>
      </c>
      <c r="J25" s="535">
        <f>'Tab.4. Losóbzatr_Polska'!D314</f>
        <v>29</v>
      </c>
      <c r="K25" s="525">
        <f t="shared" si="3"/>
        <v>2.1014492753623188</v>
      </c>
    </row>
    <row r="26" spans="1:12" x14ac:dyDescent="0.2">
      <c r="A26" s="463">
        <v>11</v>
      </c>
      <c r="B26" s="509" t="s">
        <v>246</v>
      </c>
      <c r="C26" s="481">
        <f>'Tab.4. Losóbzatr_Polska'!D337</f>
        <v>2069</v>
      </c>
      <c r="D26" s="567">
        <f t="shared" si="0"/>
        <v>2046</v>
      </c>
      <c r="E26" s="539">
        <f t="shared" si="4"/>
        <v>98.888351860802317</v>
      </c>
      <c r="F26" s="535">
        <f>'Tab.4. Losóbzatr_Polska'!D341</f>
        <v>1926</v>
      </c>
      <c r="G26" s="522">
        <f t="shared" si="1"/>
        <v>93.088448525857899</v>
      </c>
      <c r="H26" s="519">
        <f>'Tab.4. Losóbzatr_Polska'!D342</f>
        <v>120</v>
      </c>
      <c r="I26" s="539">
        <f t="shared" si="2"/>
        <v>5.7999033349444176</v>
      </c>
      <c r="J26" s="535">
        <f>'Tab.4. Losóbzatr_Polska'!D343</f>
        <v>23</v>
      </c>
      <c r="K26" s="525">
        <f t="shared" si="3"/>
        <v>1.11164813919768</v>
      </c>
    </row>
    <row r="27" spans="1:12" x14ac:dyDescent="0.2">
      <c r="A27" s="463">
        <v>12</v>
      </c>
      <c r="B27" s="509" t="s">
        <v>247</v>
      </c>
      <c r="C27" s="481">
        <f>'Tab.4. Losóbzatr_Polska'!D366</f>
        <v>3465</v>
      </c>
      <c r="D27" s="567">
        <f t="shared" si="0"/>
        <v>3431</v>
      </c>
      <c r="E27" s="539">
        <f t="shared" si="4"/>
        <v>99.018759018759013</v>
      </c>
      <c r="F27" s="535">
        <f>'Tab.4. Losóbzatr_Polska'!D370</f>
        <v>3114</v>
      </c>
      <c r="G27" s="522">
        <f t="shared" si="1"/>
        <v>89.870129870129873</v>
      </c>
      <c r="H27" s="519">
        <f>'Tab.4. Losóbzatr_Polska'!D371</f>
        <v>317</v>
      </c>
      <c r="I27" s="539">
        <f t="shared" si="2"/>
        <v>9.1486291486291478</v>
      </c>
      <c r="J27" s="535">
        <f>'Tab.4. Losóbzatr_Polska'!D372</f>
        <v>34</v>
      </c>
      <c r="K27" s="525">
        <f t="shared" si="3"/>
        <v>0.98124098124098125</v>
      </c>
    </row>
    <row r="28" spans="1:12" x14ac:dyDescent="0.2">
      <c r="A28" s="463">
        <v>13</v>
      </c>
      <c r="B28" s="509" t="s">
        <v>248</v>
      </c>
      <c r="C28" s="481">
        <f>'Tab.4. Losóbzatr_Polska'!D395</f>
        <v>1893</v>
      </c>
      <c r="D28" s="567">
        <f t="shared" si="0"/>
        <v>1867</v>
      </c>
      <c r="E28" s="539">
        <f t="shared" si="4"/>
        <v>98.626518753301639</v>
      </c>
      <c r="F28" s="535">
        <f>'Tab.4. Losóbzatr_Polska'!D399</f>
        <v>1796</v>
      </c>
      <c r="G28" s="522">
        <f t="shared" si="1"/>
        <v>94.875858425779185</v>
      </c>
      <c r="H28" s="519">
        <f>'Tab.4. Losóbzatr_Polska'!D400</f>
        <v>71</v>
      </c>
      <c r="I28" s="539">
        <f t="shared" si="2"/>
        <v>3.7506603275224513</v>
      </c>
      <c r="J28" s="535">
        <f>'Tab.4. Losóbzatr_Polska'!D401</f>
        <v>26</v>
      </c>
      <c r="K28" s="525">
        <f t="shared" si="3"/>
        <v>1.3734812466983624</v>
      </c>
    </row>
    <row r="29" spans="1:12" x14ac:dyDescent="0.2">
      <c r="A29" s="463">
        <v>14</v>
      </c>
      <c r="B29" s="509" t="s">
        <v>249</v>
      </c>
      <c r="C29" s="481">
        <f>'Tab.4. Losóbzatr_Polska'!D424</f>
        <v>1840</v>
      </c>
      <c r="D29" s="567">
        <f t="shared" si="0"/>
        <v>1812</v>
      </c>
      <c r="E29" s="539">
        <f t="shared" si="4"/>
        <v>98.478260869565219</v>
      </c>
      <c r="F29" s="535">
        <f>'Tab.4. Losóbzatr_Polska'!D428</f>
        <v>1712</v>
      </c>
      <c r="G29" s="522">
        <f t="shared" si="1"/>
        <v>93.043478260869563</v>
      </c>
      <c r="H29" s="519">
        <f>'Tab.4. Losóbzatr_Polska'!D429</f>
        <v>100</v>
      </c>
      <c r="I29" s="539">
        <f t="shared" si="2"/>
        <v>5.4347826086956523</v>
      </c>
      <c r="J29" s="535">
        <f>'Tab.4. Losóbzatr_Polska'!D430</f>
        <v>28</v>
      </c>
      <c r="K29" s="525">
        <f t="shared" si="3"/>
        <v>1.5217391304347827</v>
      </c>
    </row>
    <row r="30" spans="1:12" x14ac:dyDescent="0.2">
      <c r="A30" s="463">
        <v>15</v>
      </c>
      <c r="B30" s="509" t="s">
        <v>250</v>
      </c>
      <c r="C30" s="481">
        <f>'Tab.4. Losóbzatr_Polska'!D453</f>
        <v>3783</v>
      </c>
      <c r="D30" s="567">
        <f t="shared" si="0"/>
        <v>3745</v>
      </c>
      <c r="E30" s="539">
        <f t="shared" si="4"/>
        <v>98.995506212001061</v>
      </c>
      <c r="F30" s="535">
        <f>'Tab.4. Losóbzatr_Polska'!D457</f>
        <v>3466</v>
      </c>
      <c r="G30" s="522">
        <f t="shared" si="1"/>
        <v>91.620407084324611</v>
      </c>
      <c r="H30" s="519">
        <f>'Tab.4. Losóbzatr_Polska'!D458</f>
        <v>279</v>
      </c>
      <c r="I30" s="539">
        <f t="shared" si="2"/>
        <v>7.3750991276764477</v>
      </c>
      <c r="J30" s="535">
        <f>'Tab.4. Losóbzatr_Polska'!D459</f>
        <v>38</v>
      </c>
      <c r="K30" s="525">
        <f t="shared" si="3"/>
        <v>1.0044937879989426</v>
      </c>
    </row>
    <row r="31" spans="1:12" ht="13.5" thickBot="1" x14ac:dyDescent="0.25">
      <c r="A31" s="463">
        <v>16</v>
      </c>
      <c r="B31" s="510" t="s">
        <v>251</v>
      </c>
      <c r="C31" s="555">
        <f>'Tab.4. Losóbzatr_Polska'!D482</f>
        <v>2188</v>
      </c>
      <c r="D31" s="568">
        <f t="shared" si="0"/>
        <v>2100</v>
      </c>
      <c r="E31" s="540">
        <f t="shared" si="4"/>
        <v>95.978062157221203</v>
      </c>
      <c r="F31" s="536">
        <f>'Tab.4. Losóbzatr_Polska'!D486</f>
        <v>2029</v>
      </c>
      <c r="G31" s="523">
        <f t="shared" si="1"/>
        <v>92.733089579524673</v>
      </c>
      <c r="H31" s="520">
        <f>'Tab.4. Losóbzatr_Polska'!D487</f>
        <v>71</v>
      </c>
      <c r="I31" s="540">
        <f t="shared" si="2"/>
        <v>3.2449725776965264</v>
      </c>
      <c r="J31" s="536">
        <f>'Tab.4. Losóbzatr_Polska'!D488</f>
        <v>88</v>
      </c>
      <c r="K31" s="526">
        <f t="shared" si="3"/>
        <v>4.0219378427787937</v>
      </c>
    </row>
    <row r="32" spans="1:12" ht="16.5" thickBot="1" x14ac:dyDescent="0.3">
      <c r="A32" s="445" t="s">
        <v>252</v>
      </c>
      <c r="B32" s="446"/>
      <c r="C32" s="556">
        <f>SUM(C16:C31)</f>
        <v>44748</v>
      </c>
      <c r="D32" s="561">
        <f>SUM(D16:D31)</f>
        <v>44169</v>
      </c>
      <c r="E32" s="562">
        <f>AVERAGE(E16:E31)</f>
        <v>98.537354790435458</v>
      </c>
      <c r="F32" s="563">
        <f>SUM(F16:F31)</f>
        <v>40947</v>
      </c>
      <c r="G32" s="564">
        <f>AVERAGE(G16:G31)</f>
        <v>92.017587173765733</v>
      </c>
      <c r="H32" s="565">
        <f>SUM(H16:H31)</f>
        <v>3222</v>
      </c>
      <c r="I32" s="562">
        <f>AVERAGE(I16:I31)</f>
        <v>6.5197676166697249</v>
      </c>
      <c r="J32" s="537">
        <f>SUM(J16:J31)</f>
        <v>579</v>
      </c>
      <c r="K32" s="530">
        <f>AVERAGE(K16:K31)</f>
        <v>1.4626452095645395</v>
      </c>
      <c r="L32" s="533"/>
    </row>
    <row r="33" ht="13.5" thickTop="1" x14ac:dyDescent="0.2"/>
  </sheetData>
  <mergeCells count="16">
    <mergeCell ref="K13:K14"/>
    <mergeCell ref="B11:B14"/>
    <mergeCell ref="A11:A14"/>
    <mergeCell ref="C11:C14"/>
    <mergeCell ref="D13:D14"/>
    <mergeCell ref="E13:E14"/>
    <mergeCell ref="F13:G13"/>
    <mergeCell ref="H13:I13"/>
    <mergeCell ref="J13:J14"/>
    <mergeCell ref="J12:K12"/>
    <mergeCell ref="D11:K11"/>
    <mergeCell ref="D12:I12"/>
    <mergeCell ref="J1:K1"/>
    <mergeCell ref="A6:K6"/>
    <mergeCell ref="A7:K7"/>
    <mergeCell ref="A8:K8"/>
  </mergeCells>
  <phoneticPr fontId="82"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H16:J31 F32:H32 I32:J32 F16 E32" 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A1" s="1" t="s">
        <v>195</v>
      </c>
      <c r="B1" s="3"/>
      <c r="C1" s="4"/>
      <c r="D1" s="3"/>
      <c r="E1" s="3"/>
      <c r="F1" s="3"/>
      <c r="G1" s="413"/>
      <c r="H1" s="413"/>
      <c r="I1" s="413"/>
      <c r="J1" s="1603" t="s">
        <v>342</v>
      </c>
      <c r="K1" s="1603"/>
    </row>
    <row r="2" spans="1:12" x14ac:dyDescent="0.2">
      <c r="A2" s="3" t="s">
        <v>214</v>
      </c>
      <c r="B2" s="3"/>
      <c r="C2" s="3"/>
    </row>
    <row r="3" spans="1:12" x14ac:dyDescent="0.2">
      <c r="A3" s="3" t="s">
        <v>216</v>
      </c>
      <c r="B3" s="3"/>
      <c r="C3" s="3"/>
      <c r="D3" s="3"/>
      <c r="E3" s="3"/>
      <c r="F3" s="3"/>
      <c r="G3" s="3"/>
      <c r="H3" s="3"/>
      <c r="I3" s="3"/>
      <c r="J3" s="3"/>
    </row>
    <row r="4" spans="1:12" x14ac:dyDescent="0.2">
      <c r="A4" s="3" t="s">
        <v>128</v>
      </c>
      <c r="B4" s="3"/>
      <c r="C4" s="3"/>
      <c r="D4" s="3"/>
      <c r="E4" s="3"/>
      <c r="F4" s="3"/>
      <c r="G4" s="3"/>
      <c r="H4" s="3"/>
      <c r="I4" s="3"/>
      <c r="J4" s="3"/>
    </row>
    <row r="5" spans="1:12" x14ac:dyDescent="0.2">
      <c r="A5" s="3"/>
      <c r="B5" s="3"/>
      <c r="C5" s="3"/>
      <c r="D5" s="3"/>
      <c r="E5" s="3"/>
      <c r="F5" s="3"/>
      <c r="G5" s="3"/>
      <c r="H5" s="3"/>
      <c r="I5" s="3"/>
      <c r="J5" s="3"/>
    </row>
    <row r="6" spans="1:12" ht="15.75" x14ac:dyDescent="0.25">
      <c r="A6" s="1604" t="s">
        <v>485</v>
      </c>
      <c r="B6" s="1604"/>
      <c r="C6" s="1604"/>
      <c r="D6" s="1604"/>
      <c r="E6" s="1604"/>
      <c r="F6" s="1604"/>
      <c r="G6" s="1604"/>
      <c r="H6" s="1604"/>
      <c r="I6" s="1604"/>
      <c r="J6" s="1604"/>
      <c r="K6" s="1604"/>
      <c r="L6" s="8"/>
    </row>
    <row r="7" spans="1:12" ht="15.75" x14ac:dyDescent="0.25">
      <c r="A7" s="1691" t="str">
        <f>"WEDŁUG FORM ZATRUDNIENIA, wg stanu na dzień 31.XII."&amp;'Tab.1. bilans_Polska'!A2&amp;" r."</f>
        <v>WEDŁUG FORM ZATRUDNIENIA, wg stanu na dzień 31.XII.2011 r.</v>
      </c>
      <c r="B7" s="1690"/>
      <c r="C7" s="1690"/>
      <c r="D7" s="1690"/>
      <c r="E7" s="1690"/>
      <c r="F7" s="1690"/>
      <c r="G7" s="1690"/>
      <c r="H7" s="1690"/>
      <c r="I7" s="1690"/>
      <c r="J7" s="1690"/>
      <c r="K7" s="1690"/>
      <c r="L7" s="8"/>
    </row>
    <row r="8" spans="1:12" ht="15.75" x14ac:dyDescent="0.25">
      <c r="A8" s="1604" t="s">
        <v>273</v>
      </c>
      <c r="B8" s="1604"/>
      <c r="C8" s="1604"/>
      <c r="D8" s="1604"/>
      <c r="E8" s="1604"/>
      <c r="F8" s="1604"/>
      <c r="G8" s="1604"/>
      <c r="H8" s="1604"/>
      <c r="I8" s="1604"/>
      <c r="J8" s="1604"/>
      <c r="K8" s="1604"/>
      <c r="L8" s="8"/>
    </row>
    <row r="10" spans="1:12" ht="13.5" thickBot="1" x14ac:dyDescent="0.25">
      <c r="A10" s="3"/>
      <c r="B10" s="3"/>
      <c r="C10" s="3"/>
      <c r="D10" s="3"/>
      <c r="E10" s="3"/>
      <c r="F10" s="3"/>
      <c r="G10" s="3"/>
      <c r="H10" s="3"/>
      <c r="I10" s="3"/>
      <c r="J10" s="3"/>
    </row>
    <row r="11" spans="1:12" ht="13.5" thickTop="1" x14ac:dyDescent="0.2">
      <c r="A11" s="1692" t="s">
        <v>226</v>
      </c>
      <c r="B11" s="1813" t="s">
        <v>256</v>
      </c>
      <c r="C11" s="1767" t="s">
        <v>334</v>
      </c>
      <c r="D11" s="1774" t="s">
        <v>49</v>
      </c>
      <c r="E11" s="1774"/>
      <c r="F11" s="1774"/>
      <c r="G11" s="1774"/>
      <c r="H11" s="1774"/>
      <c r="I11" s="1774"/>
      <c r="J11" s="1774"/>
      <c r="K11" s="1775"/>
    </row>
    <row r="12" spans="1:12" x14ac:dyDescent="0.2">
      <c r="A12" s="1693"/>
      <c r="B12" s="1814"/>
      <c r="C12" s="1768"/>
      <c r="D12" s="1816" t="s">
        <v>335</v>
      </c>
      <c r="E12" s="1816"/>
      <c r="F12" s="1816"/>
      <c r="G12" s="1816"/>
      <c r="H12" s="1816"/>
      <c r="I12" s="1817"/>
      <c r="J12" s="1783" t="s">
        <v>340</v>
      </c>
      <c r="K12" s="1785"/>
    </row>
    <row r="13" spans="1:12" ht="12.75" customHeight="1" x14ac:dyDescent="0.2">
      <c r="A13" s="1693"/>
      <c r="B13" s="1814"/>
      <c r="C13" s="1768"/>
      <c r="D13" s="1793" t="s">
        <v>336</v>
      </c>
      <c r="E13" s="1820" t="s">
        <v>294</v>
      </c>
      <c r="F13" s="1811" t="s">
        <v>338</v>
      </c>
      <c r="G13" s="1777"/>
      <c r="H13" s="1771" t="s">
        <v>339</v>
      </c>
      <c r="I13" s="1812"/>
      <c r="J13" s="1793" t="s">
        <v>0</v>
      </c>
      <c r="K13" s="1818" t="s">
        <v>294</v>
      </c>
    </row>
    <row r="14" spans="1:12" x14ac:dyDescent="0.2">
      <c r="A14" s="1694"/>
      <c r="B14" s="1815"/>
      <c r="C14" s="1769"/>
      <c r="D14" s="1795"/>
      <c r="E14" s="1821"/>
      <c r="F14" s="553" t="s">
        <v>0</v>
      </c>
      <c r="G14" s="551" t="s">
        <v>337</v>
      </c>
      <c r="H14" s="552" t="s">
        <v>0</v>
      </c>
      <c r="I14" s="554" t="s">
        <v>337</v>
      </c>
      <c r="J14" s="1795"/>
      <c r="K14" s="1819"/>
    </row>
    <row r="15" spans="1:12" ht="13.5" thickBot="1" x14ac:dyDescent="0.25">
      <c r="A15" s="425"/>
      <c r="B15" s="429">
        <v>0</v>
      </c>
      <c r="C15" s="464">
        <v>1</v>
      </c>
      <c r="D15" s="427">
        <v>2</v>
      </c>
      <c r="E15" s="429">
        <v>3</v>
      </c>
      <c r="F15" s="430">
        <v>4</v>
      </c>
      <c r="G15" s="428">
        <v>5</v>
      </c>
      <c r="H15" s="428">
        <v>6</v>
      </c>
      <c r="I15" s="429">
        <v>7</v>
      </c>
      <c r="J15" s="430">
        <v>8</v>
      </c>
      <c r="K15" s="431">
        <v>9</v>
      </c>
    </row>
    <row r="16" spans="1:12" ht="13.5" thickTop="1" x14ac:dyDescent="0.2">
      <c r="A16" s="461">
        <v>1</v>
      </c>
      <c r="B16" s="508" t="s">
        <v>236</v>
      </c>
      <c r="C16" s="473">
        <f>'Tab.4. Losóbzatr_Polska'!E47</f>
        <v>622</v>
      </c>
      <c r="D16" s="566">
        <f t="shared" ref="D16:D31" si="0">F16+H16</f>
        <v>588</v>
      </c>
      <c r="E16" s="557">
        <f>D16*100/$C16</f>
        <v>94.533762057877809</v>
      </c>
      <c r="F16" s="558">
        <f>'Tab.4. Losóbzatr_Polska'!E51</f>
        <v>489</v>
      </c>
      <c r="G16" s="559">
        <f t="shared" ref="G16:G31" si="1">F16*100/$C16</f>
        <v>78.617363344051441</v>
      </c>
      <c r="H16" s="560">
        <f>'Tab.4. Losóbzatr_Polska'!E52</f>
        <v>99</v>
      </c>
      <c r="I16" s="557">
        <f t="shared" ref="I16:I31" si="2">H16*100/$C16</f>
        <v>15.916398713826366</v>
      </c>
      <c r="J16" s="534">
        <f>'Tab.4. Losóbzatr_Polska'!E53</f>
        <v>34</v>
      </c>
      <c r="K16" s="524">
        <f t="shared" ref="K16:K31" si="3">J16*100/$C16</f>
        <v>5.4662379421221861</v>
      </c>
    </row>
    <row r="17" spans="1:12" x14ac:dyDescent="0.2">
      <c r="A17" s="462">
        <v>2</v>
      </c>
      <c r="B17" s="509" t="s">
        <v>237</v>
      </c>
      <c r="C17" s="481">
        <f>'Tab.4. Losóbzatr_Polska'!E76</f>
        <v>335</v>
      </c>
      <c r="D17" s="567">
        <f t="shared" si="0"/>
        <v>329</v>
      </c>
      <c r="E17" s="539">
        <f t="shared" ref="E17:E31" si="4">D17*100/C17</f>
        <v>98.208955223880594</v>
      </c>
      <c r="F17" s="535">
        <f>'Tab.4. Losóbzatr_Polska'!E80</f>
        <v>306</v>
      </c>
      <c r="G17" s="522">
        <f t="shared" si="1"/>
        <v>91.343283582089555</v>
      </c>
      <c r="H17" s="519">
        <f>'Tab.4. Losóbzatr_Polska'!E81</f>
        <v>23</v>
      </c>
      <c r="I17" s="539">
        <f t="shared" si="2"/>
        <v>6.8656716417910451</v>
      </c>
      <c r="J17" s="535">
        <f>'Tab.4. Losóbzatr_Polska'!E82</f>
        <v>6</v>
      </c>
      <c r="K17" s="525">
        <f t="shared" si="3"/>
        <v>1.791044776119403</v>
      </c>
    </row>
    <row r="18" spans="1:12" x14ac:dyDescent="0.2">
      <c r="A18" s="462">
        <v>3</v>
      </c>
      <c r="B18" s="509" t="s">
        <v>238</v>
      </c>
      <c r="C18" s="481">
        <f>'Tab.4. Losóbzatr_Polska'!E105</f>
        <v>270</v>
      </c>
      <c r="D18" s="567">
        <f t="shared" si="0"/>
        <v>258</v>
      </c>
      <c r="E18" s="539">
        <f t="shared" si="4"/>
        <v>95.555555555555557</v>
      </c>
      <c r="F18" s="535">
        <f>'Tab.4. Losóbzatr_Polska'!E109</f>
        <v>219</v>
      </c>
      <c r="G18" s="522">
        <f t="shared" si="1"/>
        <v>81.111111111111114</v>
      </c>
      <c r="H18" s="519">
        <f>'Tab.4. Losóbzatr_Polska'!E110</f>
        <v>39</v>
      </c>
      <c r="I18" s="539">
        <f t="shared" si="2"/>
        <v>14.444444444444445</v>
      </c>
      <c r="J18" s="535">
        <f>'Tab.4. Losóbzatr_Polska'!E111</f>
        <v>12</v>
      </c>
      <c r="K18" s="525">
        <f t="shared" si="3"/>
        <v>4.4444444444444446</v>
      </c>
    </row>
    <row r="19" spans="1:12" x14ac:dyDescent="0.2">
      <c r="A19" s="462">
        <v>4</v>
      </c>
      <c r="B19" s="509" t="s">
        <v>239</v>
      </c>
      <c r="C19" s="481">
        <f>'Tab.4. Losóbzatr_Polska'!E134</f>
        <v>89</v>
      </c>
      <c r="D19" s="567">
        <f t="shared" si="0"/>
        <v>87</v>
      </c>
      <c r="E19" s="539">
        <f t="shared" si="4"/>
        <v>97.752808988764045</v>
      </c>
      <c r="F19" s="535">
        <f>'Tab.4. Losóbzatr_Polska'!E138</f>
        <v>82</v>
      </c>
      <c r="G19" s="522">
        <f t="shared" si="1"/>
        <v>92.134831460674164</v>
      </c>
      <c r="H19" s="519">
        <f>'Tab.4. Losóbzatr_Polska'!E139</f>
        <v>5</v>
      </c>
      <c r="I19" s="539">
        <f t="shared" si="2"/>
        <v>5.617977528089888</v>
      </c>
      <c r="J19" s="535">
        <f>'Tab.4. Losóbzatr_Polska'!E140</f>
        <v>2</v>
      </c>
      <c r="K19" s="525">
        <f t="shared" si="3"/>
        <v>2.2471910112359552</v>
      </c>
    </row>
    <row r="20" spans="1:12" x14ac:dyDescent="0.2">
      <c r="A20" s="462">
        <v>5</v>
      </c>
      <c r="B20" s="509" t="s">
        <v>240</v>
      </c>
      <c r="C20" s="481">
        <f>'Tab.4. Losóbzatr_Polska'!E163</f>
        <v>226</v>
      </c>
      <c r="D20" s="567">
        <f t="shared" si="0"/>
        <v>207</v>
      </c>
      <c r="E20" s="539">
        <f t="shared" si="4"/>
        <v>91.592920353982308</v>
      </c>
      <c r="F20" s="535">
        <f>'Tab.4. Losóbzatr_Polska'!E167</f>
        <v>180</v>
      </c>
      <c r="G20" s="522">
        <f t="shared" si="1"/>
        <v>79.646017699115049</v>
      </c>
      <c r="H20" s="519">
        <f>'Tab.4. Losóbzatr_Polska'!E168</f>
        <v>27</v>
      </c>
      <c r="I20" s="539">
        <f t="shared" si="2"/>
        <v>11.946902654867257</v>
      </c>
      <c r="J20" s="535">
        <f>'Tab.4. Losóbzatr_Polska'!E169</f>
        <v>19</v>
      </c>
      <c r="K20" s="525">
        <f t="shared" si="3"/>
        <v>8.4070796460176993</v>
      </c>
    </row>
    <row r="21" spans="1:12" x14ac:dyDescent="0.2">
      <c r="A21" s="462">
        <v>6</v>
      </c>
      <c r="B21" s="509" t="s">
        <v>241</v>
      </c>
      <c r="C21" s="481">
        <f>'Tab.4. Losóbzatr_Polska'!E192</f>
        <v>1153</v>
      </c>
      <c r="D21" s="567">
        <f t="shared" si="0"/>
        <v>1090</v>
      </c>
      <c r="E21" s="539">
        <f t="shared" si="4"/>
        <v>94.535993061578495</v>
      </c>
      <c r="F21" s="535">
        <f>'Tab.4. Losóbzatr_Polska'!E196</f>
        <v>939</v>
      </c>
      <c r="G21" s="522">
        <f t="shared" si="1"/>
        <v>81.439722463139631</v>
      </c>
      <c r="H21" s="519">
        <f>'Tab.4. Losóbzatr_Polska'!E197</f>
        <v>151</v>
      </c>
      <c r="I21" s="539">
        <f t="shared" si="2"/>
        <v>13.096270598438855</v>
      </c>
      <c r="J21" s="535">
        <f>'Tab.4. Losóbzatr_Polska'!E198</f>
        <v>63</v>
      </c>
      <c r="K21" s="525">
        <f t="shared" si="3"/>
        <v>5.4640069384215089</v>
      </c>
    </row>
    <row r="22" spans="1:12" x14ac:dyDescent="0.2">
      <c r="A22" s="462">
        <v>7</v>
      </c>
      <c r="B22" s="509" t="s">
        <v>242</v>
      </c>
      <c r="C22" s="481">
        <f>'Tab.4. Losóbzatr_Polska'!E221</f>
        <v>859</v>
      </c>
      <c r="D22" s="567">
        <f t="shared" si="0"/>
        <v>831</v>
      </c>
      <c r="E22" s="539">
        <f t="shared" si="4"/>
        <v>96.740395809080326</v>
      </c>
      <c r="F22" s="535">
        <f>'Tab.4. Losóbzatr_Polska'!E225</f>
        <v>747</v>
      </c>
      <c r="G22" s="522">
        <f t="shared" si="1"/>
        <v>86.961583236321303</v>
      </c>
      <c r="H22" s="519">
        <f>'Tab.4. Losóbzatr_Polska'!E226</f>
        <v>84</v>
      </c>
      <c r="I22" s="539">
        <f t="shared" si="2"/>
        <v>9.7788125727590227</v>
      </c>
      <c r="J22" s="535">
        <f>'Tab.4. Losóbzatr_Polska'!E227</f>
        <v>28</v>
      </c>
      <c r="K22" s="525">
        <f t="shared" si="3"/>
        <v>3.2596041909196742</v>
      </c>
    </row>
    <row r="23" spans="1:12" x14ac:dyDescent="0.2">
      <c r="A23" s="462">
        <v>8</v>
      </c>
      <c r="B23" s="509" t="s">
        <v>243</v>
      </c>
      <c r="C23" s="481">
        <f>'Tab.4. Losóbzatr_Polska'!E250</f>
        <v>579</v>
      </c>
      <c r="D23" s="567">
        <f t="shared" si="0"/>
        <v>569</v>
      </c>
      <c r="E23" s="539">
        <f t="shared" si="4"/>
        <v>98.272884283246981</v>
      </c>
      <c r="F23" s="535">
        <f>'Tab.4. Losóbzatr_Polska'!E254</f>
        <v>497</v>
      </c>
      <c r="G23" s="522">
        <f t="shared" si="1"/>
        <v>85.837651122625218</v>
      </c>
      <c r="H23" s="519">
        <f>'Tab.4. Losóbzatr_Polska'!E255</f>
        <v>72</v>
      </c>
      <c r="I23" s="539">
        <f t="shared" si="2"/>
        <v>12.435233160621761</v>
      </c>
      <c r="J23" s="535">
        <f>'Tab.4. Losóbzatr_Polska'!E256</f>
        <v>10</v>
      </c>
      <c r="K23" s="525">
        <f t="shared" si="3"/>
        <v>1.7271157167530224</v>
      </c>
    </row>
    <row r="24" spans="1:12" x14ac:dyDescent="0.2">
      <c r="A24" s="462">
        <v>9</v>
      </c>
      <c r="B24" s="509" t="s">
        <v>244</v>
      </c>
      <c r="C24" s="481">
        <f>'Tab.4. Losóbzatr_Polska'!E279</f>
        <v>773</v>
      </c>
      <c r="D24" s="567">
        <f t="shared" si="0"/>
        <v>748</v>
      </c>
      <c r="E24" s="539">
        <f t="shared" si="4"/>
        <v>96.765847347994821</v>
      </c>
      <c r="F24" s="535">
        <f>'Tab.4. Losóbzatr_Polska'!E283</f>
        <v>687</v>
      </c>
      <c r="G24" s="522">
        <f t="shared" si="1"/>
        <v>88.8745148771022</v>
      </c>
      <c r="H24" s="519">
        <f>'Tab.4. Losóbzatr_Polska'!E284</f>
        <v>61</v>
      </c>
      <c r="I24" s="539">
        <f t="shared" si="2"/>
        <v>7.8913324708926265</v>
      </c>
      <c r="J24" s="535">
        <f>'Tab.4. Losóbzatr_Polska'!E285</f>
        <v>25</v>
      </c>
      <c r="K24" s="525">
        <f t="shared" si="3"/>
        <v>3.2341526520051747</v>
      </c>
    </row>
    <row r="25" spans="1:12" x14ac:dyDescent="0.2">
      <c r="A25" s="463">
        <v>10</v>
      </c>
      <c r="B25" s="509" t="s">
        <v>245</v>
      </c>
      <c r="C25" s="481">
        <f>'Tab.4. Losóbzatr_Polska'!E308</f>
        <v>311</v>
      </c>
      <c r="D25" s="567">
        <f t="shared" si="0"/>
        <v>308</v>
      </c>
      <c r="E25" s="539">
        <f t="shared" si="4"/>
        <v>99.035369774919616</v>
      </c>
      <c r="F25" s="535">
        <f>'Tab.4. Losóbzatr_Polska'!E312</f>
        <v>268</v>
      </c>
      <c r="G25" s="522">
        <f t="shared" si="1"/>
        <v>86.173633440514465</v>
      </c>
      <c r="H25" s="519">
        <f>'Tab.4. Losóbzatr_Polska'!E313</f>
        <v>40</v>
      </c>
      <c r="I25" s="539">
        <f t="shared" si="2"/>
        <v>12.861736334405144</v>
      </c>
      <c r="J25" s="535">
        <f>'Tab.4. Losóbzatr_Polska'!E314</f>
        <v>3</v>
      </c>
      <c r="K25" s="525">
        <f t="shared" si="3"/>
        <v>0.96463022508038587</v>
      </c>
    </row>
    <row r="26" spans="1:12" x14ac:dyDescent="0.2">
      <c r="A26" s="463">
        <v>11</v>
      </c>
      <c r="B26" s="509" t="s">
        <v>246</v>
      </c>
      <c r="C26" s="481">
        <f>'Tab.4. Losóbzatr_Polska'!E337</f>
        <v>379</v>
      </c>
      <c r="D26" s="567">
        <f t="shared" si="0"/>
        <v>365</v>
      </c>
      <c r="E26" s="539">
        <f t="shared" si="4"/>
        <v>96.306068601583107</v>
      </c>
      <c r="F26" s="535">
        <f>'Tab.4. Losóbzatr_Polska'!E341</f>
        <v>346</v>
      </c>
      <c r="G26" s="522">
        <f t="shared" si="1"/>
        <v>91.292875989445903</v>
      </c>
      <c r="H26" s="519">
        <f>'Tab.4. Losóbzatr_Polska'!E342</f>
        <v>19</v>
      </c>
      <c r="I26" s="539">
        <f t="shared" si="2"/>
        <v>5.0131926121372032</v>
      </c>
      <c r="J26" s="535">
        <f>'Tab.4. Losóbzatr_Polska'!E343</f>
        <v>14</v>
      </c>
      <c r="K26" s="525">
        <f t="shared" si="3"/>
        <v>3.6939313984168867</v>
      </c>
    </row>
    <row r="27" spans="1:12" x14ac:dyDescent="0.2">
      <c r="A27" s="463">
        <v>12</v>
      </c>
      <c r="B27" s="509" t="s">
        <v>247</v>
      </c>
      <c r="C27" s="481">
        <f>'Tab.4. Losóbzatr_Polska'!E366</f>
        <v>2007</v>
      </c>
      <c r="D27" s="567">
        <f t="shared" si="0"/>
        <v>1975</v>
      </c>
      <c r="E27" s="539">
        <f t="shared" si="4"/>
        <v>98.405580468360739</v>
      </c>
      <c r="F27" s="535">
        <f>'Tab.4. Losóbzatr_Polska'!E370</f>
        <v>1714</v>
      </c>
      <c r="G27" s="522">
        <f t="shared" si="1"/>
        <v>85.401096163428008</v>
      </c>
      <c r="H27" s="519">
        <f>'Tab.4. Losóbzatr_Polska'!E371</f>
        <v>261</v>
      </c>
      <c r="I27" s="539">
        <f t="shared" si="2"/>
        <v>13.004484304932735</v>
      </c>
      <c r="J27" s="535">
        <f>'Tab.4. Losóbzatr_Polska'!E372</f>
        <v>32</v>
      </c>
      <c r="K27" s="525">
        <f t="shared" si="3"/>
        <v>1.5944195316392626</v>
      </c>
    </row>
    <row r="28" spans="1:12" x14ac:dyDescent="0.2">
      <c r="A28" s="463">
        <v>13</v>
      </c>
      <c r="B28" s="509" t="s">
        <v>248</v>
      </c>
      <c r="C28" s="481">
        <f>'Tab.4. Losóbzatr_Polska'!E395</f>
        <v>309</v>
      </c>
      <c r="D28" s="567">
        <f t="shared" si="0"/>
        <v>293</v>
      </c>
      <c r="E28" s="539">
        <f t="shared" si="4"/>
        <v>94.822006472491907</v>
      </c>
      <c r="F28" s="535">
        <f>'Tab.4. Losóbzatr_Polska'!E399</f>
        <v>256</v>
      </c>
      <c r="G28" s="522">
        <f t="shared" si="1"/>
        <v>82.847896440129446</v>
      </c>
      <c r="H28" s="519">
        <f>'Tab.4. Losóbzatr_Polska'!E400</f>
        <v>37</v>
      </c>
      <c r="I28" s="539">
        <f t="shared" si="2"/>
        <v>11.974110032362459</v>
      </c>
      <c r="J28" s="535">
        <f>'Tab.4. Losóbzatr_Polska'!E401</f>
        <v>16</v>
      </c>
      <c r="K28" s="525">
        <f t="shared" si="3"/>
        <v>5.1779935275080904</v>
      </c>
    </row>
    <row r="29" spans="1:12" x14ac:dyDescent="0.2">
      <c r="A29" s="463">
        <v>14</v>
      </c>
      <c r="B29" s="509" t="s">
        <v>249</v>
      </c>
      <c r="C29" s="481">
        <f>'Tab.4. Losóbzatr_Polska'!E424</f>
        <v>428</v>
      </c>
      <c r="D29" s="567">
        <f t="shared" si="0"/>
        <v>409</v>
      </c>
      <c r="E29" s="539">
        <f t="shared" si="4"/>
        <v>95.560747663551396</v>
      </c>
      <c r="F29" s="535">
        <f>'Tab.4. Losóbzatr_Polska'!E428</f>
        <v>356</v>
      </c>
      <c r="G29" s="522">
        <f t="shared" si="1"/>
        <v>83.177570093457945</v>
      </c>
      <c r="H29" s="519">
        <f>'Tab.4. Losóbzatr_Polska'!E429</f>
        <v>53</v>
      </c>
      <c r="I29" s="539">
        <f t="shared" si="2"/>
        <v>12.383177570093459</v>
      </c>
      <c r="J29" s="535">
        <f>'Tab.4. Losóbzatr_Polska'!E430</f>
        <v>19</v>
      </c>
      <c r="K29" s="525">
        <f t="shared" si="3"/>
        <v>4.4392523364485985</v>
      </c>
    </row>
    <row r="30" spans="1:12" x14ac:dyDescent="0.2">
      <c r="A30" s="463">
        <v>15</v>
      </c>
      <c r="B30" s="509" t="s">
        <v>250</v>
      </c>
      <c r="C30" s="481">
        <f>'Tab.4. Losóbzatr_Polska'!E453</f>
        <v>823</v>
      </c>
      <c r="D30" s="567">
        <f t="shared" si="0"/>
        <v>806</v>
      </c>
      <c r="E30" s="539">
        <f t="shared" si="4"/>
        <v>97.934386391251522</v>
      </c>
      <c r="F30" s="535">
        <f>'Tab.4. Losóbzatr_Polska'!E457</f>
        <v>721</v>
      </c>
      <c r="G30" s="522">
        <f t="shared" si="1"/>
        <v>87.606318347509117</v>
      </c>
      <c r="H30" s="519">
        <f>'Tab.4. Losóbzatr_Polska'!E458</f>
        <v>85</v>
      </c>
      <c r="I30" s="539">
        <f t="shared" si="2"/>
        <v>10.328068043742405</v>
      </c>
      <c r="J30" s="535">
        <f>'Tab.4. Losóbzatr_Polska'!E459</f>
        <v>17</v>
      </c>
      <c r="K30" s="525">
        <f t="shared" si="3"/>
        <v>2.0656136087484813</v>
      </c>
    </row>
    <row r="31" spans="1:12" ht="13.5" thickBot="1" x14ac:dyDescent="0.25">
      <c r="A31" s="463">
        <v>16</v>
      </c>
      <c r="B31" s="510" t="s">
        <v>251</v>
      </c>
      <c r="C31" s="555">
        <f>'Tab.4. Losóbzatr_Polska'!E482</f>
        <v>423</v>
      </c>
      <c r="D31" s="568">
        <f t="shared" si="0"/>
        <v>407</v>
      </c>
      <c r="E31" s="540">
        <f t="shared" si="4"/>
        <v>96.217494089834517</v>
      </c>
      <c r="F31" s="536">
        <f>'Tab.4. Losóbzatr_Polska'!E486</f>
        <v>383</v>
      </c>
      <c r="G31" s="523">
        <f t="shared" si="1"/>
        <v>90.543735224586285</v>
      </c>
      <c r="H31" s="520">
        <f>'Tab.4. Losóbzatr_Polska'!E487</f>
        <v>24</v>
      </c>
      <c r="I31" s="540">
        <f t="shared" si="2"/>
        <v>5.6737588652482271</v>
      </c>
      <c r="J31" s="536">
        <f>'Tab.4. Losóbzatr_Polska'!E488</f>
        <v>16</v>
      </c>
      <c r="K31" s="526">
        <f t="shared" si="3"/>
        <v>3.7825059101654848</v>
      </c>
    </row>
    <row r="32" spans="1:12" ht="16.5" thickBot="1" x14ac:dyDescent="0.3">
      <c r="A32" s="445" t="s">
        <v>252</v>
      </c>
      <c r="B32" s="446"/>
      <c r="C32" s="556">
        <f>SUM(C16:C31)</f>
        <v>9586</v>
      </c>
      <c r="D32" s="561">
        <f>SUM(D16:D31)</f>
        <v>9270</v>
      </c>
      <c r="E32" s="562">
        <f>AVERAGE(E16:E31)</f>
        <v>96.390048508997111</v>
      </c>
      <c r="F32" s="563">
        <f>SUM(F16:F31)</f>
        <v>8190</v>
      </c>
      <c r="G32" s="564">
        <f>AVERAGE(G16:G31)</f>
        <v>85.813075287206303</v>
      </c>
      <c r="H32" s="565">
        <f>SUM(H16:H31)</f>
        <v>1080</v>
      </c>
      <c r="I32" s="562">
        <f>AVERAGE(I16:I31)</f>
        <v>10.576973221790807</v>
      </c>
      <c r="J32" s="537">
        <f>SUM(J16:J31)</f>
        <v>316</v>
      </c>
      <c r="K32" s="530">
        <f>AVERAGE(K16:K31)</f>
        <v>3.6099514910028905</v>
      </c>
      <c r="L32" s="533"/>
    </row>
    <row r="33" ht="13.5" thickTop="1" x14ac:dyDescent="0.2"/>
  </sheetData>
  <mergeCells count="16">
    <mergeCell ref="D11:K11"/>
    <mergeCell ref="D12:I12"/>
    <mergeCell ref="J1:K1"/>
    <mergeCell ref="A6:K6"/>
    <mergeCell ref="A7:K7"/>
    <mergeCell ref="A8:K8"/>
    <mergeCell ref="K13:K14"/>
    <mergeCell ref="B11:B14"/>
    <mergeCell ref="A11:A14"/>
    <mergeCell ref="C11:C14"/>
    <mergeCell ref="D13:D14"/>
    <mergeCell ref="E13:E14"/>
    <mergeCell ref="F13:G13"/>
    <mergeCell ref="H13:I13"/>
    <mergeCell ref="J13:J14"/>
    <mergeCell ref="J12:K12"/>
  </mergeCells>
  <phoneticPr fontId="82" type="noConversion"/>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ignoredErrors>
    <ignoredError sqref="F16 H16:H32 J16:J32 I32 F32:G32 E32"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8"/>
  <sheetViews>
    <sheetView zoomScale="75" workbookViewId="0"/>
  </sheetViews>
  <sheetFormatPr defaultRowHeight="12.75" x14ac:dyDescent="0.2"/>
  <cols>
    <col min="2" max="2" width="56.28515625" customWidth="1"/>
    <col min="3" max="3" width="16.7109375" customWidth="1"/>
    <col min="4" max="4" width="22.7109375" customWidth="1"/>
    <col min="5" max="5" width="16.7109375" customWidth="1"/>
    <col min="6" max="6" width="16.85546875" customWidth="1"/>
    <col min="7" max="7" width="16.7109375" customWidth="1"/>
    <col min="8" max="8" width="16.140625" customWidth="1"/>
    <col min="10" max="11" width="21" bestFit="1" customWidth="1"/>
    <col min="12" max="12" width="15.7109375" bestFit="1" customWidth="1"/>
  </cols>
  <sheetData>
    <row r="1" spans="1:8" ht="26.25" x14ac:dyDescent="0.4">
      <c r="A1" s="267" t="s">
        <v>196</v>
      </c>
      <c r="B1" s="266" t="s">
        <v>195</v>
      </c>
    </row>
    <row r="2" spans="1:8" ht="18" customHeight="1" x14ac:dyDescent="0.25">
      <c r="B2" s="11" t="s">
        <v>116</v>
      </c>
      <c r="G2" s="1824" t="s">
        <v>70</v>
      </c>
      <c r="H2" s="1824"/>
    </row>
    <row r="3" spans="1:8" ht="18" x14ac:dyDescent="0.25">
      <c r="B3" s="14" t="s">
        <v>129</v>
      </c>
    </row>
    <row r="4" spans="1:8" ht="18" x14ac:dyDescent="0.25">
      <c r="B4" s="11" t="s">
        <v>128</v>
      </c>
    </row>
    <row r="9" spans="1:8" ht="15.75" x14ac:dyDescent="0.25">
      <c r="B9" s="1"/>
    </row>
    <row r="10" spans="1:8" ht="23.25" x14ac:dyDescent="0.35">
      <c r="B10" s="1655" t="s">
        <v>72</v>
      </c>
      <c r="C10" s="1655"/>
      <c r="D10" s="1655"/>
      <c r="E10" s="1655"/>
      <c r="F10" s="1655"/>
      <c r="G10" s="1655"/>
      <c r="H10" s="1655"/>
    </row>
    <row r="11" spans="1:8" ht="23.25" x14ac:dyDescent="0.35">
      <c r="B11" s="1655" t="s">
        <v>73</v>
      </c>
      <c r="C11" s="1655"/>
      <c r="D11" s="1655"/>
      <c r="E11" s="1655"/>
      <c r="F11" s="1655"/>
      <c r="G11" s="1655"/>
      <c r="H11" s="1655"/>
    </row>
    <row r="12" spans="1:8" ht="23.25" x14ac:dyDescent="0.35">
      <c r="B12" s="1655" t="s">
        <v>75</v>
      </c>
      <c r="C12" s="1655"/>
      <c r="D12" s="1655"/>
      <c r="E12" s="1655"/>
      <c r="F12" s="1655"/>
      <c r="G12" s="1655"/>
      <c r="H12" s="1655"/>
    </row>
    <row r="13" spans="1:8" ht="23.25" x14ac:dyDescent="0.35">
      <c r="B13" s="1810" t="str">
        <f>"POWIATOWYCH  I  PODMIOTÓW  NIEPUBLICZNYCH  WG  STANU  NA  31. XII. "&amp;'Tab.1. bilans_Polska'!A2&amp;" r."</f>
        <v>POWIATOWYCH  I  PODMIOTÓW  NIEPUBLICZNYCH  WG  STANU  NA  31. XII. 2011 r.</v>
      </c>
      <c r="C13" s="1810"/>
      <c r="D13" s="1810"/>
      <c r="E13" s="1810"/>
      <c r="F13" s="1810"/>
      <c r="G13" s="1810"/>
      <c r="H13" s="1810"/>
    </row>
    <row r="14" spans="1:8" s="16" customFormat="1" ht="13.5" thickBot="1" x14ac:dyDescent="0.25">
      <c r="B14"/>
      <c r="C14" s="412"/>
      <c r="D14"/>
      <c r="E14"/>
      <c r="F14"/>
      <c r="G14"/>
    </row>
    <row r="15" spans="1:8" ht="15.75" customHeight="1" thickTop="1" x14ac:dyDescent="0.25">
      <c r="B15" s="58"/>
      <c r="C15" s="1828" t="s">
        <v>77</v>
      </c>
      <c r="D15" s="1829"/>
      <c r="E15" s="1832" t="s">
        <v>20</v>
      </c>
      <c r="F15" s="1833"/>
      <c r="G15" s="1833"/>
      <c r="H15" s="1834"/>
    </row>
    <row r="16" spans="1:8" ht="23.25" customHeight="1" x14ac:dyDescent="0.25">
      <c r="B16" s="60"/>
      <c r="C16" s="1830"/>
      <c r="D16" s="1831"/>
      <c r="E16" s="1826" t="s">
        <v>78</v>
      </c>
      <c r="F16" s="1827"/>
      <c r="G16" s="1827" t="s">
        <v>79</v>
      </c>
      <c r="H16" s="1835"/>
    </row>
    <row r="17" spans="2:11" ht="21.75" customHeight="1" x14ac:dyDescent="0.3">
      <c r="B17" s="59" t="s">
        <v>80</v>
      </c>
      <c r="C17" s="64" t="s">
        <v>4</v>
      </c>
      <c r="D17" s="76" t="s">
        <v>81</v>
      </c>
      <c r="E17" s="77" t="s">
        <v>0</v>
      </c>
      <c r="F17" s="78" t="s">
        <v>115</v>
      </c>
      <c r="G17" s="78" t="s">
        <v>0</v>
      </c>
      <c r="H17" s="79" t="s">
        <v>115</v>
      </c>
    </row>
    <row r="18" spans="2:11" ht="20.25" customHeight="1" x14ac:dyDescent="0.25">
      <c r="B18" s="796" t="str">
        <f>IF(E21+G21=C21, "", "Źle!")</f>
        <v/>
      </c>
      <c r="C18" s="65" t="s">
        <v>8</v>
      </c>
      <c r="D18" s="80" t="s">
        <v>16</v>
      </c>
      <c r="E18" s="81" t="s">
        <v>9</v>
      </c>
      <c r="F18" s="82" t="s">
        <v>82</v>
      </c>
      <c r="G18" s="82" t="s">
        <v>9</v>
      </c>
      <c r="H18" s="83" t="s">
        <v>82</v>
      </c>
    </row>
    <row r="19" spans="2:11" ht="21.75" customHeight="1" x14ac:dyDescent="0.25">
      <c r="B19" s="796" t="str">
        <f>IF(F21+H21=D21, "", "Źle!")</f>
        <v/>
      </c>
      <c r="C19" s="84" t="s">
        <v>83</v>
      </c>
      <c r="D19" s="85" t="s">
        <v>84</v>
      </c>
      <c r="E19" s="86"/>
      <c r="F19" s="87" t="s">
        <v>85</v>
      </c>
      <c r="G19" s="88"/>
      <c r="H19" s="89" t="s">
        <v>85</v>
      </c>
    </row>
    <row r="20" spans="2:11" ht="13.5" customHeight="1" thickBot="1" x14ac:dyDescent="0.3">
      <c r="B20" s="91">
        <v>0</v>
      </c>
      <c r="C20" s="92">
        <v>1</v>
      </c>
      <c r="D20" s="93">
        <v>2</v>
      </c>
      <c r="E20" s="94">
        <v>3</v>
      </c>
      <c r="F20" s="95">
        <v>4</v>
      </c>
      <c r="G20" s="95">
        <v>5</v>
      </c>
      <c r="H20" s="68">
        <v>6</v>
      </c>
      <c r="J20" s="802" t="str">
        <f>IF(J22="","","k1")</f>
        <v/>
      </c>
      <c r="K20" s="802" t="str">
        <f>IF(K22="","","k2")</f>
        <v/>
      </c>
    </row>
    <row r="21" spans="2:11" ht="30" customHeight="1" thickTop="1" x14ac:dyDescent="0.35">
      <c r="B21" s="96" t="s">
        <v>86</v>
      </c>
      <c r="C21" s="345">
        <f t="shared" ref="C21:H21" si="0">SUM(C23:C27)</f>
        <v>53439</v>
      </c>
      <c r="D21" s="346">
        <f t="shared" si="0"/>
        <v>51201.020000000004</v>
      </c>
      <c r="E21" s="347">
        <f t="shared" si="0"/>
        <v>44169</v>
      </c>
      <c r="F21" s="348">
        <f t="shared" si="0"/>
        <v>42477.649999999994</v>
      </c>
      <c r="G21" s="349">
        <f t="shared" si="0"/>
        <v>9270</v>
      </c>
      <c r="H21" s="350">
        <f t="shared" si="0"/>
        <v>8723.3700000000008</v>
      </c>
      <c r="J21" s="800"/>
      <c r="K21" s="800"/>
    </row>
    <row r="22" spans="2:11" ht="18.75" customHeight="1" thickBot="1" x14ac:dyDescent="0.3">
      <c r="B22" s="98" t="s">
        <v>49</v>
      </c>
      <c r="C22" s="904" t="str">
        <f>IF('Tab.4. Losóbzatr_Polska'!C20=C21,"","t4w1k1"&amp;"="&amp;'Tab.4. Losóbzatr_Polska'!C20)</f>
        <v/>
      </c>
      <c r="D22" s="905"/>
      <c r="E22" s="906" t="str">
        <f>IF('Tab.4. Losóbzatr_Polska'!D20=E21,"","t4w1k2"&amp;"="&amp;'Tab.4. Losóbzatr_Polska'!D20)</f>
        <v/>
      </c>
      <c r="F22" s="907"/>
      <c r="G22" s="908" t="str">
        <f>IF('Tab.4. Losóbzatr_Polska'!E20=G21,"","t4w1k3"&amp;"="&amp;'Tab.4. Losóbzatr_Polska'!E20)</f>
        <v/>
      </c>
      <c r="H22" s="909"/>
      <c r="J22" s="804" t="str">
        <f>IF(SUM(J23:J27)=0,"",SUM(E23:E27)+SUM(G23:G27))</f>
        <v/>
      </c>
      <c r="K22" s="804" t="str">
        <f>IF(SUM(K23:K27)=0,"",SUM(F23:F27)+SUM(H23:H27))</f>
        <v/>
      </c>
    </row>
    <row r="23" spans="2:11" ht="30" customHeight="1" thickTop="1" x14ac:dyDescent="0.25">
      <c r="B23" s="100" t="s">
        <v>87</v>
      </c>
      <c r="C23" s="1003">
        <f t="shared" ref="C23:H23" si="1">C57+C91+C125+C159+C193+C227+C261+C295+C329+C363+C397+C431+C465+C499+C533+C567</f>
        <v>925</v>
      </c>
      <c r="D23" s="1004">
        <f t="shared" si="1"/>
        <v>904.93000000000006</v>
      </c>
      <c r="E23" s="948">
        <f>E57+E91+E125+E159+E193+E227+E261+E295+E329+E363+E397+E431+E465+E499+E533+E567</f>
        <v>683</v>
      </c>
      <c r="F23" s="949">
        <f t="shared" si="1"/>
        <v>677.72</v>
      </c>
      <c r="G23" s="950">
        <f t="shared" si="1"/>
        <v>242</v>
      </c>
      <c r="H23" s="951">
        <f t="shared" si="1"/>
        <v>227.20999999999998</v>
      </c>
      <c r="I23" s="351"/>
      <c r="J23" s="803" t="str">
        <f t="shared" ref="J23:K27" si="2">IF(E23+G23=C23,"",E23+G23)</f>
        <v/>
      </c>
      <c r="K23" s="804" t="str">
        <f t="shared" si="2"/>
        <v/>
      </c>
    </row>
    <row r="24" spans="2:11" ht="30" customHeight="1" x14ac:dyDescent="0.25">
      <c r="B24" s="102" t="s">
        <v>88</v>
      </c>
      <c r="C24" s="1005">
        <f t="shared" ref="C24:H27" si="3">C58+C92+C126+C160+C194+C228+C262+C296+C330+C364+C398+C432+C466+C500+C534+C568</f>
        <v>29768</v>
      </c>
      <c r="D24" s="1006">
        <f t="shared" si="3"/>
        <v>28764.39</v>
      </c>
      <c r="E24" s="952">
        <f>E58+E92+E126+E160+E194+E228+E262+E296+E330+E364+E398+E432+E466+E500+E534+E568</f>
        <v>24331</v>
      </c>
      <c r="F24" s="953">
        <f t="shared" si="3"/>
        <v>23559.8</v>
      </c>
      <c r="G24" s="954">
        <f t="shared" si="3"/>
        <v>5437</v>
      </c>
      <c r="H24" s="955">
        <f t="shared" si="3"/>
        <v>5204.59</v>
      </c>
      <c r="J24" s="803" t="str">
        <f t="shared" si="2"/>
        <v/>
      </c>
      <c r="K24" s="804" t="str">
        <f t="shared" si="2"/>
        <v/>
      </c>
    </row>
    <row r="25" spans="2:11" ht="30" customHeight="1" x14ac:dyDescent="0.25">
      <c r="B25" s="102" t="s">
        <v>89</v>
      </c>
      <c r="C25" s="1005">
        <f t="shared" si="3"/>
        <v>7214</v>
      </c>
      <c r="D25" s="1006">
        <f t="shared" si="3"/>
        <v>6619.5099999999993</v>
      </c>
      <c r="E25" s="952">
        <f>E59+E93+E127+E161+E195+E229+E263+E297+E331+E365+E399+E433+E467+E501+E535+E569</f>
        <v>6238</v>
      </c>
      <c r="F25" s="953">
        <f t="shared" si="3"/>
        <v>5774.4999999999991</v>
      </c>
      <c r="G25" s="954">
        <f t="shared" si="3"/>
        <v>976</v>
      </c>
      <c r="H25" s="955">
        <f t="shared" si="3"/>
        <v>845.0100000000001</v>
      </c>
      <c r="J25" s="803" t="str">
        <f t="shared" si="2"/>
        <v/>
      </c>
      <c r="K25" s="804" t="str">
        <f t="shared" si="2"/>
        <v/>
      </c>
    </row>
    <row r="26" spans="2:11" ht="30" customHeight="1" x14ac:dyDescent="0.25">
      <c r="B26" s="102" t="s">
        <v>90</v>
      </c>
      <c r="C26" s="1005">
        <f t="shared" si="3"/>
        <v>4357</v>
      </c>
      <c r="D26" s="1006">
        <f t="shared" si="3"/>
        <v>4060.630000000001</v>
      </c>
      <c r="E26" s="952">
        <f>E60+E94+E128+E162+E196+E230+E264+E298+E332+E366+E400+E434+E468+E502+E536+E570</f>
        <v>3753</v>
      </c>
      <c r="F26" s="953">
        <f t="shared" si="3"/>
        <v>3525.6900000000005</v>
      </c>
      <c r="G26" s="954">
        <f t="shared" si="3"/>
        <v>604</v>
      </c>
      <c r="H26" s="955">
        <f t="shared" si="3"/>
        <v>534.94000000000005</v>
      </c>
      <c r="J26" s="803" t="str">
        <f t="shared" si="2"/>
        <v/>
      </c>
      <c r="K26" s="804" t="str">
        <f t="shared" si="2"/>
        <v/>
      </c>
    </row>
    <row r="27" spans="2:11" ht="30" customHeight="1" thickBot="1" x14ac:dyDescent="0.3">
      <c r="B27" s="104" t="s">
        <v>91</v>
      </c>
      <c r="C27" s="1007">
        <f t="shared" si="3"/>
        <v>11175</v>
      </c>
      <c r="D27" s="1008">
        <f t="shared" si="3"/>
        <v>10851.560000000001</v>
      </c>
      <c r="E27" s="956">
        <f t="shared" si="3"/>
        <v>9164</v>
      </c>
      <c r="F27" s="957">
        <f t="shared" si="3"/>
        <v>8939.9399999999987</v>
      </c>
      <c r="G27" s="958">
        <f t="shared" si="3"/>
        <v>2011</v>
      </c>
      <c r="H27" s="959">
        <f t="shared" si="3"/>
        <v>1911.6200000000001</v>
      </c>
      <c r="J27" s="803" t="str">
        <f t="shared" si="2"/>
        <v/>
      </c>
      <c r="K27" s="804" t="str">
        <f t="shared" si="2"/>
        <v/>
      </c>
    </row>
    <row r="28" spans="2:11" ht="13.5" thickTop="1" x14ac:dyDescent="0.2"/>
    <row r="29" spans="2:11" ht="15.75" customHeight="1" x14ac:dyDescent="0.25">
      <c r="B29" s="1" t="s">
        <v>92</v>
      </c>
    </row>
    <row r="31" spans="2:11" ht="15.75" x14ac:dyDescent="0.25">
      <c r="B31" s="1"/>
    </row>
    <row r="32" spans="2:11" ht="15.75" customHeight="1" x14ac:dyDescent="0.25">
      <c r="B32" s="1138" t="s">
        <v>123</v>
      </c>
      <c r="C32" s="1152"/>
      <c r="D32" s="1152"/>
      <c r="E32" s="1152"/>
      <c r="F32" s="1152"/>
    </row>
    <row r="33" spans="1:8" ht="18" customHeight="1" x14ac:dyDescent="0.25">
      <c r="B33" s="1138" t="s">
        <v>132</v>
      </c>
      <c r="C33" s="1152"/>
      <c r="D33" s="805"/>
      <c r="E33" s="1822" t="s">
        <v>133</v>
      </c>
      <c r="F33" s="1822"/>
      <c r="G33" s="1822"/>
      <c r="H33" s="1822"/>
    </row>
    <row r="34" spans="1:8" ht="18" x14ac:dyDescent="0.25">
      <c r="B34" s="1138" t="s">
        <v>137</v>
      </c>
      <c r="C34" s="1152"/>
      <c r="D34" s="805"/>
      <c r="E34" s="1822" t="s">
        <v>126</v>
      </c>
      <c r="F34" s="1822"/>
      <c r="G34" s="1822"/>
      <c r="H34" s="1822"/>
    </row>
    <row r="35" spans="1:8" ht="26.25" x14ac:dyDescent="0.2">
      <c r="A35" s="331" t="s">
        <v>166</v>
      </c>
    </row>
    <row r="36" spans="1:8" ht="18" x14ac:dyDescent="0.25">
      <c r="B36" s="11" t="s">
        <v>116</v>
      </c>
      <c r="G36" s="1824" t="s">
        <v>70</v>
      </c>
      <c r="H36" s="1824"/>
    </row>
    <row r="37" spans="1:8" ht="18" x14ac:dyDescent="0.25">
      <c r="B37" s="14" t="s">
        <v>129</v>
      </c>
    </row>
    <row r="38" spans="1:8" ht="18" x14ac:dyDescent="0.25">
      <c r="B38" s="11" t="s">
        <v>128</v>
      </c>
      <c r="F38" s="11"/>
    </row>
    <row r="39" spans="1:8" ht="18" x14ac:dyDescent="0.25">
      <c r="B39" s="11"/>
      <c r="F39" s="187"/>
      <c r="G39" s="1825" t="str">
        <f>'Tab.1. bilans_Polska'!$E$59</f>
        <v>Termin: 29 luty 2012 r.</v>
      </c>
      <c r="H39" s="1825"/>
    </row>
    <row r="40" spans="1:8" ht="18" x14ac:dyDescent="0.25">
      <c r="B40" s="11" t="s">
        <v>130</v>
      </c>
    </row>
    <row r="41" spans="1:8" ht="15.75" x14ac:dyDescent="0.25">
      <c r="B41" s="1" t="s">
        <v>131</v>
      </c>
    </row>
    <row r="42" spans="1:8" ht="15.75" x14ac:dyDescent="0.25">
      <c r="B42" s="1"/>
    </row>
    <row r="43" spans="1:8" ht="15.75" x14ac:dyDescent="0.25">
      <c r="B43" s="1"/>
    </row>
    <row r="44" spans="1:8" ht="23.25" x14ac:dyDescent="0.35">
      <c r="B44" s="1655" t="s">
        <v>72</v>
      </c>
      <c r="C44" s="1655"/>
      <c r="D44" s="1655"/>
      <c r="E44" s="1655"/>
      <c r="F44" s="1655"/>
      <c r="G44" s="1655"/>
      <c r="H44" s="1655"/>
    </row>
    <row r="45" spans="1:8" ht="23.25" x14ac:dyDescent="0.35">
      <c r="B45" s="1655" t="s">
        <v>73</v>
      </c>
      <c r="C45" s="1655"/>
      <c r="D45" s="1655"/>
      <c r="E45" s="1655"/>
      <c r="F45" s="1655"/>
      <c r="G45" s="1655"/>
      <c r="H45" s="1655"/>
    </row>
    <row r="46" spans="1:8" ht="23.25" x14ac:dyDescent="0.35">
      <c r="B46" s="1655" t="s">
        <v>75</v>
      </c>
      <c r="C46" s="1655"/>
      <c r="D46" s="1655"/>
      <c r="E46" s="1655"/>
      <c r="F46" s="1655"/>
      <c r="G46" s="1655"/>
      <c r="H46" s="1655"/>
    </row>
    <row r="47" spans="1:8" ht="23.25" x14ac:dyDescent="0.35">
      <c r="B47" s="1807" t="str">
        <f>$B$13</f>
        <v>POWIATOWYCH  I  PODMIOTÓW  NIEPUBLICZNYCH  WG  STANU  NA  31. XII. 2011 r.</v>
      </c>
      <c r="C47" s="1807"/>
      <c r="D47" s="1807"/>
      <c r="E47" s="1807"/>
      <c r="F47" s="1807"/>
      <c r="G47" s="1807"/>
      <c r="H47" s="1807"/>
    </row>
    <row r="48" spans="1:8" ht="13.5" thickBot="1" x14ac:dyDescent="0.25">
      <c r="C48" s="412"/>
      <c r="H48" s="16"/>
    </row>
    <row r="49" spans="2:11" ht="17.25" thickTop="1" x14ac:dyDescent="0.25">
      <c r="B49" s="58"/>
      <c r="C49" s="1828" t="s">
        <v>77</v>
      </c>
      <c r="D49" s="1829"/>
      <c r="E49" s="1832" t="s">
        <v>20</v>
      </c>
      <c r="F49" s="1833"/>
      <c r="G49" s="1833"/>
      <c r="H49" s="1834"/>
    </row>
    <row r="50" spans="2:11" ht="16.5" x14ac:dyDescent="0.25">
      <c r="B50" s="60"/>
      <c r="C50" s="1830"/>
      <c r="D50" s="1831"/>
      <c r="E50" s="1826" t="s">
        <v>78</v>
      </c>
      <c r="F50" s="1827"/>
      <c r="G50" s="1827" t="s">
        <v>79</v>
      </c>
      <c r="H50" s="1835"/>
    </row>
    <row r="51" spans="2:11" ht="20.25" x14ac:dyDescent="0.3">
      <c r="B51" s="59" t="s">
        <v>80</v>
      </c>
      <c r="C51" s="64" t="s">
        <v>4</v>
      </c>
      <c r="D51" s="76" t="s">
        <v>81</v>
      </c>
      <c r="E51" s="77" t="s">
        <v>0</v>
      </c>
      <c r="F51" s="78" t="s">
        <v>115</v>
      </c>
      <c r="G51" s="78" t="s">
        <v>0</v>
      </c>
      <c r="H51" s="79" t="s">
        <v>115</v>
      </c>
    </row>
    <row r="52" spans="2:11" ht="18" x14ac:dyDescent="0.25">
      <c r="B52" s="796" t="str">
        <f>IF(E55+G55=C55, "", "Źle!")</f>
        <v/>
      </c>
      <c r="C52" s="65" t="s">
        <v>8</v>
      </c>
      <c r="D52" s="80" t="s">
        <v>16</v>
      </c>
      <c r="E52" s="81" t="s">
        <v>9</v>
      </c>
      <c r="F52" s="82" t="s">
        <v>82</v>
      </c>
      <c r="G52" s="82" t="s">
        <v>9</v>
      </c>
      <c r="H52" s="83" t="s">
        <v>82</v>
      </c>
    </row>
    <row r="53" spans="2:11" ht="18" x14ac:dyDescent="0.25">
      <c r="B53" s="796" t="str">
        <f>IF(F55+H55=D55, "", "Źle!")</f>
        <v/>
      </c>
      <c r="C53" s="84" t="s">
        <v>83</v>
      </c>
      <c r="D53" s="85" t="s">
        <v>84</v>
      </c>
      <c r="E53" s="86"/>
      <c r="F53" s="87" t="s">
        <v>85</v>
      </c>
      <c r="G53" s="88"/>
      <c r="H53" s="89" t="s">
        <v>85</v>
      </c>
    </row>
    <row r="54" spans="2:11" ht="16.5" thickBot="1" x14ac:dyDescent="0.3">
      <c r="B54" s="91">
        <v>0</v>
      </c>
      <c r="C54" s="92">
        <v>1</v>
      </c>
      <c r="D54" s="93">
        <v>2</v>
      </c>
      <c r="E54" s="94">
        <v>3</v>
      </c>
      <c r="F54" s="95">
        <v>4</v>
      </c>
      <c r="G54" s="95">
        <v>5</v>
      </c>
      <c r="H54" s="68">
        <v>6</v>
      </c>
      <c r="J54" s="802" t="str">
        <f>IF(J56="","","k1")</f>
        <v/>
      </c>
      <c r="K54" s="802" t="str">
        <f>IF(K56="","","k2")</f>
        <v/>
      </c>
    </row>
    <row r="55" spans="2:11" ht="24" thickTop="1" x14ac:dyDescent="0.35">
      <c r="B55" s="96" t="s">
        <v>86</v>
      </c>
      <c r="C55" s="345">
        <f t="shared" ref="C55:H55" si="4">SUM(C57:C61)</f>
        <v>3901</v>
      </c>
      <c r="D55" s="346">
        <f t="shared" si="4"/>
        <v>3742.73</v>
      </c>
      <c r="E55" s="347">
        <f t="shared" si="4"/>
        <v>3313</v>
      </c>
      <c r="F55" s="348">
        <f t="shared" si="4"/>
        <v>3207.9</v>
      </c>
      <c r="G55" s="349">
        <f t="shared" si="4"/>
        <v>588</v>
      </c>
      <c r="H55" s="350">
        <f t="shared" si="4"/>
        <v>534.82999999999993</v>
      </c>
      <c r="J55" s="800"/>
      <c r="K55" s="800"/>
    </row>
    <row r="56" spans="2:11" ht="16.5" thickBot="1" x14ac:dyDescent="0.3">
      <c r="B56" s="98" t="s">
        <v>49</v>
      </c>
      <c r="C56" s="904" t="str">
        <f>IF('Tab.4. Losóbzatr_Polska'!C49=C55,"","t4w1k1"&amp;"="&amp;'Tab.4. Losóbzatr_Polska'!C49)</f>
        <v/>
      </c>
      <c r="D56" s="905"/>
      <c r="E56" s="906" t="str">
        <f>IF('Tab.4. Losóbzatr_Polska'!D49=E55,"","t4w1k2"&amp;"="&amp;'Tab.4. Losóbzatr_Polska'!D49)</f>
        <v/>
      </c>
      <c r="F56" s="907"/>
      <c r="G56" s="908" t="str">
        <f>IF('Tab.4. Losóbzatr_Polska'!E49=G55,"","t4w1k3"&amp;"="&amp;'Tab.4. Losóbzatr_Polska'!E49)</f>
        <v/>
      </c>
      <c r="H56" s="909"/>
      <c r="J56" s="804" t="str">
        <f>IF(SUM(J57:J61)=0,"",SUM(E57:E61)+SUM(G57:G61))</f>
        <v/>
      </c>
      <c r="K56" s="804" t="str">
        <f>IF(SUM(K57:K61)=0,"",SUM(F57:F61)+SUM(H57:H61))</f>
        <v/>
      </c>
    </row>
    <row r="57" spans="2:11" ht="19.5" thickTop="1" x14ac:dyDescent="0.3">
      <c r="B57" s="100" t="s">
        <v>87</v>
      </c>
      <c r="C57" s="1003">
        <f t="shared" ref="C57:D61" si="5">E57+G57</f>
        <v>54</v>
      </c>
      <c r="D57" s="1004">
        <f t="shared" si="5"/>
        <v>51.08</v>
      </c>
      <c r="E57" s="1343">
        <v>35</v>
      </c>
      <c r="F57" s="1344">
        <v>35</v>
      </c>
      <c r="G57" s="1345">
        <v>19</v>
      </c>
      <c r="H57" s="1346">
        <v>16.079999999999998</v>
      </c>
      <c r="J57" s="803" t="str">
        <f t="shared" ref="J57:K61" si="6">IF(E57+G57=C57,"",E57+G57)</f>
        <v/>
      </c>
      <c r="K57" s="804" t="str">
        <f t="shared" si="6"/>
        <v/>
      </c>
    </row>
    <row r="58" spans="2:11" ht="18.75" x14ac:dyDescent="0.3">
      <c r="B58" s="102" t="s">
        <v>88</v>
      </c>
      <c r="C58" s="1005">
        <f t="shared" si="5"/>
        <v>2533</v>
      </c>
      <c r="D58" s="1006">
        <f t="shared" si="5"/>
        <v>2450.29</v>
      </c>
      <c r="E58" s="1347">
        <v>2138</v>
      </c>
      <c r="F58" s="1348">
        <v>2076.13</v>
      </c>
      <c r="G58" s="1349">
        <v>395</v>
      </c>
      <c r="H58" s="1350">
        <v>374.16</v>
      </c>
      <c r="J58" s="803" t="str">
        <f t="shared" si="6"/>
        <v/>
      </c>
      <c r="K58" s="804" t="str">
        <f t="shared" si="6"/>
        <v/>
      </c>
    </row>
    <row r="59" spans="2:11" ht="18.75" x14ac:dyDescent="0.3">
      <c r="B59" s="102" t="s">
        <v>89</v>
      </c>
      <c r="C59" s="1005">
        <f t="shared" si="5"/>
        <v>380</v>
      </c>
      <c r="D59" s="1006">
        <f t="shared" si="5"/>
        <v>352.35</v>
      </c>
      <c r="E59" s="1347">
        <v>329</v>
      </c>
      <c r="F59" s="1348">
        <v>310.85000000000002</v>
      </c>
      <c r="G59" s="1349">
        <v>51</v>
      </c>
      <c r="H59" s="1350">
        <v>41.5</v>
      </c>
      <c r="J59" s="803" t="str">
        <f t="shared" si="6"/>
        <v/>
      </c>
      <c r="K59" s="804" t="str">
        <f t="shared" si="6"/>
        <v/>
      </c>
    </row>
    <row r="60" spans="2:11" ht="18.75" x14ac:dyDescent="0.3">
      <c r="B60" s="102" t="s">
        <v>90</v>
      </c>
      <c r="C60" s="1005">
        <f t="shared" si="5"/>
        <v>272</v>
      </c>
      <c r="D60" s="1006">
        <f t="shared" si="5"/>
        <v>245.38</v>
      </c>
      <c r="E60" s="1347">
        <v>233</v>
      </c>
      <c r="F60" s="1348">
        <v>217.17</v>
      </c>
      <c r="G60" s="1349">
        <v>39</v>
      </c>
      <c r="H60" s="1350">
        <v>28.21</v>
      </c>
      <c r="J60" s="803" t="str">
        <f t="shared" si="6"/>
        <v/>
      </c>
      <c r="K60" s="804" t="str">
        <f t="shared" si="6"/>
        <v/>
      </c>
    </row>
    <row r="61" spans="2:11" ht="19.5" thickBot="1" x14ac:dyDescent="0.35">
      <c r="B61" s="104" t="s">
        <v>91</v>
      </c>
      <c r="C61" s="1007">
        <f t="shared" si="5"/>
        <v>662</v>
      </c>
      <c r="D61" s="1008">
        <f t="shared" si="5"/>
        <v>643.63</v>
      </c>
      <c r="E61" s="1351">
        <v>578</v>
      </c>
      <c r="F61" s="1352">
        <v>568.75</v>
      </c>
      <c r="G61" s="1353">
        <v>84</v>
      </c>
      <c r="H61" s="1354">
        <v>74.88</v>
      </c>
      <c r="J61" s="803" t="str">
        <f t="shared" si="6"/>
        <v/>
      </c>
      <c r="K61" s="804" t="str">
        <f t="shared" si="6"/>
        <v/>
      </c>
    </row>
    <row r="62" spans="2:11" ht="13.5" thickTop="1" x14ac:dyDescent="0.2"/>
    <row r="63" spans="2:11" ht="15.75" x14ac:dyDescent="0.25">
      <c r="B63" s="1" t="s">
        <v>92</v>
      </c>
    </row>
    <row r="65" spans="1:8" ht="15.75" x14ac:dyDescent="0.25">
      <c r="B65" s="1"/>
      <c r="G65" s="1604"/>
      <c r="H65" s="1604"/>
    </row>
    <row r="66" spans="1:8" ht="18" x14ac:dyDescent="0.25">
      <c r="B66" s="11" t="s">
        <v>123</v>
      </c>
      <c r="C66" s="27"/>
      <c r="D66" s="27"/>
      <c r="E66" s="27"/>
      <c r="F66" s="27"/>
      <c r="G66" s="1823"/>
      <c r="H66" s="1823"/>
    </row>
    <row r="67" spans="1:8" ht="18" x14ac:dyDescent="0.25">
      <c r="B67" s="11" t="s">
        <v>132</v>
      </c>
      <c r="C67" s="27"/>
      <c r="E67" s="1823" t="s">
        <v>133</v>
      </c>
      <c r="F67" s="1823"/>
      <c r="G67" s="1823"/>
      <c r="H67" s="1823"/>
    </row>
    <row r="68" spans="1:8" ht="18" x14ac:dyDescent="0.25">
      <c r="B68" s="11" t="s">
        <v>137</v>
      </c>
      <c r="C68" s="27"/>
      <c r="E68" s="1823" t="s">
        <v>126</v>
      </c>
      <c r="F68" s="1823"/>
      <c r="G68" s="1823"/>
      <c r="H68" s="1823"/>
    </row>
    <row r="69" spans="1:8" ht="26.25" x14ac:dyDescent="0.2">
      <c r="A69" s="331" t="s">
        <v>168</v>
      </c>
    </row>
    <row r="70" spans="1:8" ht="18" x14ac:dyDescent="0.25">
      <c r="B70" s="11" t="s">
        <v>116</v>
      </c>
      <c r="G70" s="1824" t="s">
        <v>70</v>
      </c>
      <c r="H70" s="1824"/>
    </row>
    <row r="71" spans="1:8" ht="18" x14ac:dyDescent="0.25">
      <c r="B71" s="14" t="s">
        <v>129</v>
      </c>
    </row>
    <row r="72" spans="1:8" ht="18" x14ac:dyDescent="0.25">
      <c r="B72" s="11" t="s">
        <v>128</v>
      </c>
      <c r="F72" s="11"/>
    </row>
    <row r="73" spans="1:8" ht="18" x14ac:dyDescent="0.25">
      <c r="B73" s="11"/>
      <c r="F73" s="187"/>
      <c r="G73" s="1825" t="str">
        <f>'Tab.1. bilans_Polska'!$E$59</f>
        <v>Termin: 29 luty 2012 r.</v>
      </c>
      <c r="H73" s="1825"/>
    </row>
    <row r="74" spans="1:8" ht="18" x14ac:dyDescent="0.25">
      <c r="B74" s="11" t="s">
        <v>130</v>
      </c>
    </row>
    <row r="75" spans="1:8" ht="15.75" x14ac:dyDescent="0.25">
      <c r="B75" s="1" t="s">
        <v>131</v>
      </c>
    </row>
    <row r="76" spans="1:8" ht="15.75" x14ac:dyDescent="0.25">
      <c r="B76" s="1"/>
    </row>
    <row r="77" spans="1:8" ht="15.75" x14ac:dyDescent="0.25">
      <c r="B77" s="1"/>
    </row>
    <row r="78" spans="1:8" ht="23.25" x14ac:dyDescent="0.35">
      <c r="B78" s="1655" t="s">
        <v>72</v>
      </c>
      <c r="C78" s="1655"/>
      <c r="D78" s="1655"/>
      <c r="E78" s="1655"/>
      <c r="F78" s="1655"/>
      <c r="G78" s="1655"/>
      <c r="H78" s="1655"/>
    </row>
    <row r="79" spans="1:8" ht="23.25" x14ac:dyDescent="0.35">
      <c r="B79" s="1655" t="s">
        <v>73</v>
      </c>
      <c r="C79" s="1655"/>
      <c r="D79" s="1655"/>
      <c r="E79" s="1655"/>
      <c r="F79" s="1655"/>
      <c r="G79" s="1655"/>
      <c r="H79" s="1655"/>
    </row>
    <row r="80" spans="1:8" ht="23.25" x14ac:dyDescent="0.35">
      <c r="B80" s="1655" t="s">
        <v>75</v>
      </c>
      <c r="C80" s="1655"/>
      <c r="D80" s="1655"/>
      <c r="E80" s="1655"/>
      <c r="F80" s="1655"/>
      <c r="G80" s="1655"/>
      <c r="H80" s="1655"/>
    </row>
    <row r="81" spans="2:11" ht="23.25" x14ac:dyDescent="0.35">
      <c r="B81" s="1807" t="str">
        <f>$B$13</f>
        <v>POWIATOWYCH  I  PODMIOTÓW  NIEPUBLICZNYCH  WG  STANU  NA  31. XII. 2011 r.</v>
      </c>
      <c r="C81" s="1807"/>
      <c r="D81" s="1807"/>
      <c r="E81" s="1807"/>
      <c r="F81" s="1807"/>
      <c r="G81" s="1807"/>
      <c r="H81" s="1807"/>
    </row>
    <row r="82" spans="2:11" ht="13.5" thickBot="1" x14ac:dyDescent="0.25">
      <c r="H82" s="16"/>
    </row>
    <row r="83" spans="2:11" ht="17.25" thickTop="1" x14ac:dyDescent="0.25">
      <c r="B83" s="58"/>
      <c r="C83" s="1828" t="s">
        <v>77</v>
      </c>
      <c r="D83" s="1829"/>
      <c r="E83" s="1832" t="s">
        <v>20</v>
      </c>
      <c r="F83" s="1833"/>
      <c r="G83" s="1833"/>
      <c r="H83" s="1834"/>
    </row>
    <row r="84" spans="2:11" ht="16.5" x14ac:dyDescent="0.25">
      <c r="B84" s="60"/>
      <c r="C84" s="1830"/>
      <c r="D84" s="1831"/>
      <c r="E84" s="1826" t="s">
        <v>78</v>
      </c>
      <c r="F84" s="1827"/>
      <c r="G84" s="1827" t="s">
        <v>79</v>
      </c>
      <c r="H84" s="1835"/>
    </row>
    <row r="85" spans="2:11" ht="20.25" x14ac:dyDescent="0.3">
      <c r="B85" s="59" t="s">
        <v>80</v>
      </c>
      <c r="C85" s="64" t="s">
        <v>4</v>
      </c>
      <c r="D85" s="76" t="s">
        <v>81</v>
      </c>
      <c r="E85" s="77" t="s">
        <v>0</v>
      </c>
      <c r="F85" s="78" t="s">
        <v>115</v>
      </c>
      <c r="G85" s="78" t="s">
        <v>0</v>
      </c>
      <c r="H85" s="79" t="s">
        <v>115</v>
      </c>
    </row>
    <row r="86" spans="2:11" ht="18" x14ac:dyDescent="0.25">
      <c r="B86" s="796" t="str">
        <f>IF(E89+G89=C89, "", "Źle!")</f>
        <v/>
      </c>
      <c r="C86" s="65" t="s">
        <v>8</v>
      </c>
      <c r="D86" s="80" t="s">
        <v>16</v>
      </c>
      <c r="E86" s="81" t="s">
        <v>9</v>
      </c>
      <c r="F86" s="82" t="s">
        <v>82</v>
      </c>
      <c r="G86" s="82" t="s">
        <v>9</v>
      </c>
      <c r="H86" s="83" t="s">
        <v>82</v>
      </c>
    </row>
    <row r="87" spans="2:11" ht="18" x14ac:dyDescent="0.25">
      <c r="B87" s="796" t="str">
        <f>IF(F89+H89=D89, "", "Źle!")</f>
        <v/>
      </c>
      <c r="C87" s="84" t="s">
        <v>83</v>
      </c>
      <c r="D87" s="85" t="s">
        <v>84</v>
      </c>
      <c r="E87" s="86"/>
      <c r="F87" s="87" t="s">
        <v>85</v>
      </c>
      <c r="G87" s="88"/>
      <c r="H87" s="89" t="s">
        <v>85</v>
      </c>
    </row>
    <row r="88" spans="2:11" ht="16.5" thickBot="1" x14ac:dyDescent="0.3">
      <c r="B88" s="91">
        <v>0</v>
      </c>
      <c r="C88" s="92">
        <v>1</v>
      </c>
      <c r="D88" s="93">
        <v>2</v>
      </c>
      <c r="E88" s="94">
        <v>3</v>
      </c>
      <c r="F88" s="95">
        <v>4</v>
      </c>
      <c r="G88" s="95">
        <v>5</v>
      </c>
      <c r="H88" s="68">
        <v>6</v>
      </c>
      <c r="J88" s="802" t="str">
        <f>IF(J90="","","k1")</f>
        <v/>
      </c>
      <c r="K88" s="802" t="str">
        <f>IF(K90="","","k2")</f>
        <v/>
      </c>
    </row>
    <row r="89" spans="2:11" ht="24" thickTop="1" x14ac:dyDescent="0.35">
      <c r="B89" s="96" t="s">
        <v>86</v>
      </c>
      <c r="C89" s="1116">
        <f t="shared" ref="C89:H89" si="7">SUM(C91:C95)</f>
        <v>2718</v>
      </c>
      <c r="D89" s="346">
        <f t="shared" si="7"/>
        <v>2621</v>
      </c>
      <c r="E89" s="347">
        <f t="shared" si="7"/>
        <v>2389</v>
      </c>
      <c r="F89" s="348">
        <f t="shared" si="7"/>
        <v>2303.5500000000002</v>
      </c>
      <c r="G89" s="1114">
        <f t="shared" si="7"/>
        <v>329</v>
      </c>
      <c r="H89" s="350">
        <f t="shared" si="7"/>
        <v>317.45</v>
      </c>
      <c r="J89" s="800"/>
      <c r="K89" s="800"/>
    </row>
    <row r="90" spans="2:11" ht="16.5" thickBot="1" x14ac:dyDescent="0.3">
      <c r="B90" s="98" t="s">
        <v>49</v>
      </c>
      <c r="C90" s="904" t="str">
        <f>IF('Tab.4. Losóbzatr_Polska'!C78=C89,"","t4w1k1"&amp;"="&amp;'Tab.4. Losóbzatr_Polska'!C78)</f>
        <v/>
      </c>
      <c r="D90" s="905"/>
      <c r="E90" s="906" t="str">
        <f>IF('Tab.4. Losóbzatr_Polska'!D78=E89,"","t4w1k2"&amp;"="&amp;'Tab.4. Losóbzatr_Polska'!D78)</f>
        <v/>
      </c>
      <c r="F90" s="907"/>
      <c r="G90" s="908" t="str">
        <f>IF('Tab.4. Losóbzatr_Polska'!E78=G89,"","t4w1k3"&amp;"="&amp;'Tab.4. Losóbzatr_Polska'!E78)</f>
        <v/>
      </c>
      <c r="H90" s="909"/>
      <c r="J90" s="804" t="str">
        <f>IF(SUM(J91:J95)=0,"",SUM(E91:E95)+SUM(G91:G95))</f>
        <v/>
      </c>
      <c r="K90" s="804" t="str">
        <f>IF(SUM(K91:K95)=0,"",SUM(F91:F95)+SUM(H91:H95))</f>
        <v/>
      </c>
    </row>
    <row r="91" spans="2:11" ht="19.5" thickTop="1" x14ac:dyDescent="0.3">
      <c r="B91" s="100" t="s">
        <v>87</v>
      </c>
      <c r="C91" s="885">
        <f t="shared" ref="C91:D95" si="8">E91+G91</f>
        <v>64</v>
      </c>
      <c r="D91" s="888">
        <f t="shared" si="8"/>
        <v>62.97</v>
      </c>
      <c r="E91" s="1343">
        <v>57</v>
      </c>
      <c r="F91" s="1344">
        <v>56.22</v>
      </c>
      <c r="G91" s="1345">
        <v>7</v>
      </c>
      <c r="H91" s="1346">
        <v>6.75</v>
      </c>
      <c r="J91" s="803" t="str">
        <f t="shared" ref="J91:K95" si="9">IF(E91+G91=C91,"",E91+G91)</f>
        <v/>
      </c>
      <c r="K91" s="804" t="str">
        <f t="shared" si="9"/>
        <v/>
      </c>
    </row>
    <row r="92" spans="2:11" ht="18.75" x14ac:dyDescent="0.3">
      <c r="B92" s="102" t="s">
        <v>88</v>
      </c>
      <c r="C92" s="886">
        <f t="shared" si="8"/>
        <v>1513</v>
      </c>
      <c r="D92" s="889">
        <f t="shared" si="8"/>
        <v>1463.7</v>
      </c>
      <c r="E92" s="1347">
        <v>1313</v>
      </c>
      <c r="F92" s="1348">
        <v>1268.25</v>
      </c>
      <c r="G92" s="1349">
        <v>200</v>
      </c>
      <c r="H92" s="1350">
        <v>195.45</v>
      </c>
      <c r="J92" s="803" t="str">
        <f t="shared" si="9"/>
        <v/>
      </c>
      <c r="K92" s="804" t="str">
        <f t="shared" si="9"/>
        <v/>
      </c>
    </row>
    <row r="93" spans="2:11" ht="18.75" x14ac:dyDescent="0.3">
      <c r="B93" s="102" t="s">
        <v>89</v>
      </c>
      <c r="C93" s="886">
        <f t="shared" si="8"/>
        <v>293</v>
      </c>
      <c r="D93" s="889">
        <f t="shared" si="8"/>
        <v>273.08000000000004</v>
      </c>
      <c r="E93" s="1347">
        <v>264</v>
      </c>
      <c r="F93" s="1348">
        <v>245.83</v>
      </c>
      <c r="G93" s="1355">
        <v>29</v>
      </c>
      <c r="H93" s="1350">
        <v>27.25</v>
      </c>
      <c r="J93" s="803" t="str">
        <f t="shared" si="9"/>
        <v/>
      </c>
      <c r="K93" s="804" t="str">
        <f t="shared" si="9"/>
        <v/>
      </c>
    </row>
    <row r="94" spans="2:11" ht="18.75" x14ac:dyDescent="0.3">
      <c r="B94" s="102" t="s">
        <v>90</v>
      </c>
      <c r="C94" s="886">
        <f t="shared" si="8"/>
        <v>242</v>
      </c>
      <c r="D94" s="889">
        <f t="shared" si="8"/>
        <v>228.37</v>
      </c>
      <c r="E94" s="1347">
        <v>216</v>
      </c>
      <c r="F94" s="1348">
        <v>206.37</v>
      </c>
      <c r="G94" s="1349">
        <v>26</v>
      </c>
      <c r="H94" s="1350">
        <v>22</v>
      </c>
      <c r="J94" s="803" t="str">
        <f t="shared" si="9"/>
        <v/>
      </c>
      <c r="K94" s="804" t="str">
        <f t="shared" si="9"/>
        <v/>
      </c>
    </row>
    <row r="95" spans="2:11" ht="19.5" thickBot="1" x14ac:dyDescent="0.35">
      <c r="B95" s="104" t="s">
        <v>91</v>
      </c>
      <c r="C95" s="887">
        <f t="shared" si="8"/>
        <v>606</v>
      </c>
      <c r="D95" s="890">
        <f t="shared" si="8"/>
        <v>592.88</v>
      </c>
      <c r="E95" s="1351">
        <v>539</v>
      </c>
      <c r="F95" s="1352">
        <v>526.88</v>
      </c>
      <c r="G95" s="1353">
        <v>67</v>
      </c>
      <c r="H95" s="1354">
        <v>66</v>
      </c>
      <c r="J95" s="803" t="str">
        <f t="shared" si="9"/>
        <v/>
      </c>
      <c r="K95" s="804" t="str">
        <f t="shared" si="9"/>
        <v/>
      </c>
    </row>
    <row r="96" spans="2:11" ht="13.5" thickTop="1" x14ac:dyDescent="0.2"/>
    <row r="97" spans="1:8" ht="15.75" x14ac:dyDescent="0.25">
      <c r="B97" s="1" t="s">
        <v>92</v>
      </c>
    </row>
    <row r="99" spans="1:8" ht="15.75" x14ac:dyDescent="0.25">
      <c r="B99" s="1"/>
      <c r="G99" s="1604"/>
      <c r="H99" s="1604"/>
    </row>
    <row r="100" spans="1:8" ht="18" x14ac:dyDescent="0.25">
      <c r="B100" s="11" t="s">
        <v>123</v>
      </c>
      <c r="C100" s="27"/>
      <c r="D100" s="27"/>
      <c r="E100" s="27"/>
      <c r="F100" s="27"/>
      <c r="G100" s="1823"/>
      <c r="H100" s="1823"/>
    </row>
    <row r="101" spans="1:8" ht="18" x14ac:dyDescent="0.25">
      <c r="B101" s="11" t="s">
        <v>132</v>
      </c>
      <c r="C101" s="27"/>
      <c r="E101" s="1823" t="s">
        <v>133</v>
      </c>
      <c r="F101" s="1823"/>
      <c r="G101" s="1823"/>
      <c r="H101" s="1823"/>
    </row>
    <row r="102" spans="1:8" ht="18" x14ac:dyDescent="0.25">
      <c r="B102" s="11" t="s">
        <v>137</v>
      </c>
      <c r="C102" s="27"/>
      <c r="E102" s="1823" t="s">
        <v>126</v>
      </c>
      <c r="F102" s="1823"/>
      <c r="G102" s="1823"/>
      <c r="H102" s="1823"/>
    </row>
    <row r="104" spans="1:8" ht="26.25" x14ac:dyDescent="0.25">
      <c r="A104" s="331" t="s">
        <v>170</v>
      </c>
      <c r="B104" s="11" t="s">
        <v>116</v>
      </c>
      <c r="G104" s="1824" t="s">
        <v>70</v>
      </c>
      <c r="H104" s="1824"/>
    </row>
    <row r="105" spans="1:8" ht="18" x14ac:dyDescent="0.25">
      <c r="B105" s="14" t="s">
        <v>129</v>
      </c>
    </row>
    <row r="106" spans="1:8" ht="18" x14ac:dyDescent="0.25">
      <c r="B106" s="11" t="s">
        <v>128</v>
      </c>
      <c r="F106" s="11"/>
    </row>
    <row r="107" spans="1:8" ht="18" x14ac:dyDescent="0.25">
      <c r="B107" s="11"/>
      <c r="F107" s="187"/>
      <c r="G107" s="1825" t="str">
        <f>'Tab.1. bilans_Polska'!$E$59</f>
        <v>Termin: 29 luty 2012 r.</v>
      </c>
      <c r="H107" s="1825"/>
    </row>
    <row r="108" spans="1:8" ht="18" x14ac:dyDescent="0.25">
      <c r="B108" s="11" t="s">
        <v>130</v>
      </c>
    </row>
    <row r="109" spans="1:8" ht="15.75" x14ac:dyDescent="0.25">
      <c r="B109" s="1" t="s">
        <v>131</v>
      </c>
    </row>
    <row r="110" spans="1:8" ht="15.75" x14ac:dyDescent="0.25">
      <c r="B110" s="1"/>
    </row>
    <row r="111" spans="1:8" ht="15.75" x14ac:dyDescent="0.25">
      <c r="B111" s="1"/>
    </row>
    <row r="112" spans="1:8" ht="23.25" x14ac:dyDescent="0.35">
      <c r="B112" s="1655" t="s">
        <v>72</v>
      </c>
      <c r="C112" s="1655"/>
      <c r="D112" s="1655"/>
      <c r="E112" s="1655"/>
      <c r="F112" s="1655"/>
      <c r="G112" s="1655"/>
      <c r="H112" s="1655"/>
    </row>
    <row r="113" spans="2:11" ht="23.25" x14ac:dyDescent="0.35">
      <c r="B113" s="1655" t="s">
        <v>73</v>
      </c>
      <c r="C113" s="1655"/>
      <c r="D113" s="1655"/>
      <c r="E113" s="1655"/>
      <c r="F113" s="1655"/>
      <c r="G113" s="1655"/>
      <c r="H113" s="1655"/>
    </row>
    <row r="114" spans="2:11" ht="23.25" x14ac:dyDescent="0.35">
      <c r="B114" s="1655" t="s">
        <v>75</v>
      </c>
      <c r="C114" s="1655"/>
      <c r="D114" s="1655"/>
      <c r="E114" s="1655"/>
      <c r="F114" s="1655"/>
      <c r="G114" s="1655"/>
      <c r="H114" s="1655"/>
    </row>
    <row r="115" spans="2:11" ht="23.25" x14ac:dyDescent="0.35">
      <c r="B115" s="1807" t="str">
        <f>$B$13</f>
        <v>POWIATOWYCH  I  PODMIOTÓW  NIEPUBLICZNYCH  WG  STANU  NA  31. XII. 2011 r.</v>
      </c>
      <c r="C115" s="1807"/>
      <c r="D115" s="1807"/>
      <c r="E115" s="1807"/>
      <c r="F115" s="1807"/>
      <c r="G115" s="1807"/>
      <c r="H115" s="1807"/>
    </row>
    <row r="116" spans="2:11" ht="13.5" thickBot="1" x14ac:dyDescent="0.25">
      <c r="H116" s="16"/>
    </row>
    <row r="117" spans="2:11" ht="17.25" thickTop="1" x14ac:dyDescent="0.25">
      <c r="B117" s="58"/>
      <c r="C117" s="1828" t="s">
        <v>77</v>
      </c>
      <c r="D117" s="1829"/>
      <c r="E117" s="1832" t="s">
        <v>20</v>
      </c>
      <c r="F117" s="1833"/>
      <c r="G117" s="1833"/>
      <c r="H117" s="1834"/>
    </row>
    <row r="118" spans="2:11" ht="16.5" x14ac:dyDescent="0.25">
      <c r="B118" s="60"/>
      <c r="C118" s="1830"/>
      <c r="D118" s="1831"/>
      <c r="E118" s="1826" t="s">
        <v>78</v>
      </c>
      <c r="F118" s="1827"/>
      <c r="G118" s="1827" t="s">
        <v>79</v>
      </c>
      <c r="H118" s="1835"/>
    </row>
    <row r="119" spans="2:11" ht="20.25" x14ac:dyDescent="0.3">
      <c r="B119" s="59" t="s">
        <v>80</v>
      </c>
      <c r="C119" s="64" t="s">
        <v>4</v>
      </c>
      <c r="D119" s="76" t="s">
        <v>81</v>
      </c>
      <c r="E119" s="77" t="s">
        <v>0</v>
      </c>
      <c r="F119" s="78" t="s">
        <v>115</v>
      </c>
      <c r="G119" s="78" t="s">
        <v>0</v>
      </c>
      <c r="H119" s="79" t="s">
        <v>115</v>
      </c>
    </row>
    <row r="120" spans="2:11" ht="18" x14ac:dyDescent="0.25">
      <c r="B120" s="796" t="str">
        <f>IF(E123+G123=C123, "", "Źle!")</f>
        <v/>
      </c>
      <c r="C120" s="65" t="s">
        <v>8</v>
      </c>
      <c r="D120" s="80" t="s">
        <v>16</v>
      </c>
      <c r="E120" s="81" t="s">
        <v>9</v>
      </c>
      <c r="F120" s="82" t="s">
        <v>82</v>
      </c>
      <c r="G120" s="82" t="s">
        <v>9</v>
      </c>
      <c r="H120" s="83" t="s">
        <v>82</v>
      </c>
    </row>
    <row r="121" spans="2:11" ht="18" x14ac:dyDescent="0.25">
      <c r="B121" s="796" t="str">
        <f>IF(F123+H123=D123, "", "Źle!")</f>
        <v/>
      </c>
      <c r="C121" s="84" t="s">
        <v>83</v>
      </c>
      <c r="D121" s="85" t="s">
        <v>84</v>
      </c>
      <c r="E121" s="86"/>
      <c r="F121" s="87" t="s">
        <v>85</v>
      </c>
      <c r="G121" s="88"/>
      <c r="H121" s="89" t="s">
        <v>85</v>
      </c>
    </row>
    <row r="122" spans="2:11" ht="16.5" thickBot="1" x14ac:dyDescent="0.3">
      <c r="B122" s="91">
        <v>0</v>
      </c>
      <c r="C122" s="92">
        <v>1</v>
      </c>
      <c r="D122" s="93">
        <v>2</v>
      </c>
      <c r="E122" s="94">
        <v>3</v>
      </c>
      <c r="F122" s="95">
        <v>4</v>
      </c>
      <c r="G122" s="95">
        <v>5</v>
      </c>
      <c r="H122" s="68">
        <v>6</v>
      </c>
      <c r="J122" s="802" t="str">
        <f>IF(J124="","","k1")</f>
        <v/>
      </c>
      <c r="K122" s="802" t="str">
        <f>IF(K124="","","k2")</f>
        <v/>
      </c>
    </row>
    <row r="123" spans="2:11" ht="24" thickTop="1" x14ac:dyDescent="0.35">
      <c r="B123" s="96" t="s">
        <v>86</v>
      </c>
      <c r="C123" s="345">
        <f t="shared" ref="C123:H123" si="10">SUM(C125:C129)</f>
        <v>2993</v>
      </c>
      <c r="D123" s="346">
        <f t="shared" si="10"/>
        <v>2899.6</v>
      </c>
      <c r="E123" s="347">
        <f t="shared" si="10"/>
        <v>2735</v>
      </c>
      <c r="F123" s="348">
        <f t="shared" si="10"/>
        <v>2657.4</v>
      </c>
      <c r="G123" s="1114">
        <f t="shared" si="10"/>
        <v>258</v>
      </c>
      <c r="H123" s="350">
        <f t="shared" si="10"/>
        <v>242.2</v>
      </c>
      <c r="J123" s="800"/>
      <c r="K123" s="800"/>
    </row>
    <row r="124" spans="2:11" ht="16.5" thickBot="1" x14ac:dyDescent="0.3">
      <c r="B124" s="98" t="s">
        <v>49</v>
      </c>
      <c r="C124" s="904" t="str">
        <f>IF('Tab.4. Losóbzatr_Polska'!C107=C123,"","t4w1k1"&amp;"="&amp;'Tab.4. Losóbzatr_Polska'!C107)</f>
        <v/>
      </c>
      <c r="D124" s="905"/>
      <c r="E124" s="906" t="str">
        <f>IF('Tab.4. Losóbzatr_Polska'!D107=E123,"","t4w1k2"&amp;"="&amp;'Tab.4. Losóbzatr_Polska'!D107)</f>
        <v/>
      </c>
      <c r="F124" s="907"/>
      <c r="G124" s="908" t="str">
        <f>IF('Tab.4. Losóbzatr_Polska'!E107=G123,"","t4w1k3"&amp;"="&amp;'Tab.4. Losóbzatr_Polska'!E107)</f>
        <v/>
      </c>
      <c r="H124" s="909"/>
      <c r="J124" s="804" t="str">
        <f>IF(SUM(J125:J129)=0,"",SUM(E125:E129)+SUM(G125:G129))</f>
        <v/>
      </c>
      <c r="K124" s="804" t="str">
        <f>IF(SUM(K125:K129)=0,"",SUM(F125:F129)+SUM(H125:H129))</f>
        <v/>
      </c>
    </row>
    <row r="125" spans="2:11" ht="19.5" thickTop="1" x14ac:dyDescent="0.3">
      <c r="B125" s="100" t="s">
        <v>87</v>
      </c>
      <c r="C125" s="885">
        <f t="shared" ref="C125:D129" si="11">E125+G125</f>
        <v>57</v>
      </c>
      <c r="D125" s="888">
        <f t="shared" si="11"/>
        <v>56.5</v>
      </c>
      <c r="E125" s="1343">
        <v>49</v>
      </c>
      <c r="F125" s="1344">
        <v>49</v>
      </c>
      <c r="G125" s="1345">
        <v>8</v>
      </c>
      <c r="H125" s="1346">
        <v>7.5</v>
      </c>
      <c r="J125" s="803" t="str">
        <f t="shared" ref="J125:K129" si="12">IF(E125+G125=C125,"",E125+G125)</f>
        <v/>
      </c>
      <c r="K125" s="804" t="str">
        <f t="shared" si="12"/>
        <v/>
      </c>
    </row>
    <row r="126" spans="2:11" ht="18.75" x14ac:dyDescent="0.3">
      <c r="B126" s="102" t="s">
        <v>88</v>
      </c>
      <c r="C126" s="886">
        <f t="shared" si="11"/>
        <v>1517</v>
      </c>
      <c r="D126" s="889">
        <f t="shared" si="11"/>
        <v>1464.91</v>
      </c>
      <c r="E126" s="1347">
        <v>1370</v>
      </c>
      <c r="F126" s="1348">
        <v>1325.41</v>
      </c>
      <c r="G126" s="1349">
        <v>147</v>
      </c>
      <c r="H126" s="1350">
        <v>139.5</v>
      </c>
      <c r="J126" s="803" t="str">
        <f t="shared" si="12"/>
        <v/>
      </c>
      <c r="K126" s="804" t="str">
        <f t="shared" si="12"/>
        <v/>
      </c>
    </row>
    <row r="127" spans="2:11" ht="18.75" x14ac:dyDescent="0.3">
      <c r="B127" s="102" t="s">
        <v>89</v>
      </c>
      <c r="C127" s="1115">
        <f t="shared" si="11"/>
        <v>579</v>
      </c>
      <c r="D127" s="889">
        <f t="shared" si="11"/>
        <v>558.92999999999995</v>
      </c>
      <c r="E127" s="1347">
        <v>537</v>
      </c>
      <c r="F127" s="1348">
        <v>521.17999999999995</v>
      </c>
      <c r="G127" s="1355">
        <v>42</v>
      </c>
      <c r="H127" s="1350">
        <v>37.75</v>
      </c>
      <c r="J127" s="803" t="str">
        <f t="shared" si="12"/>
        <v/>
      </c>
      <c r="K127" s="804" t="str">
        <f t="shared" si="12"/>
        <v/>
      </c>
    </row>
    <row r="128" spans="2:11" ht="18.75" x14ac:dyDescent="0.3">
      <c r="B128" s="102" t="s">
        <v>90</v>
      </c>
      <c r="C128" s="886">
        <f t="shared" si="11"/>
        <v>268</v>
      </c>
      <c r="D128" s="889">
        <f t="shared" si="11"/>
        <v>258.18</v>
      </c>
      <c r="E128" s="1347">
        <v>251</v>
      </c>
      <c r="F128" s="1348">
        <v>242.23</v>
      </c>
      <c r="G128" s="1349">
        <v>17</v>
      </c>
      <c r="H128" s="1350">
        <v>15.95</v>
      </c>
      <c r="J128" s="803" t="str">
        <f t="shared" si="12"/>
        <v/>
      </c>
      <c r="K128" s="804" t="str">
        <f t="shared" si="12"/>
        <v/>
      </c>
    </row>
    <row r="129" spans="1:11" ht="19.5" thickBot="1" x14ac:dyDescent="0.35">
      <c r="B129" s="104" t="s">
        <v>91</v>
      </c>
      <c r="C129" s="887">
        <f t="shared" si="11"/>
        <v>572</v>
      </c>
      <c r="D129" s="890">
        <f t="shared" si="11"/>
        <v>561.08000000000004</v>
      </c>
      <c r="E129" s="1351">
        <v>528</v>
      </c>
      <c r="F129" s="1352">
        <v>519.58000000000004</v>
      </c>
      <c r="G129" s="1353">
        <v>44</v>
      </c>
      <c r="H129" s="1354">
        <v>41.5</v>
      </c>
      <c r="J129" s="803" t="str">
        <f t="shared" si="12"/>
        <v/>
      </c>
      <c r="K129" s="804" t="str">
        <f t="shared" si="12"/>
        <v/>
      </c>
    </row>
    <row r="130" spans="1:11" ht="13.5" thickTop="1" x14ac:dyDescent="0.2"/>
    <row r="131" spans="1:11" ht="15.75" x14ac:dyDescent="0.25">
      <c r="B131" s="1" t="s">
        <v>92</v>
      </c>
    </row>
    <row r="133" spans="1:11" ht="15.75" x14ac:dyDescent="0.25">
      <c r="B133" s="1"/>
      <c r="G133" s="1604"/>
      <c r="H133" s="1604"/>
    </row>
    <row r="134" spans="1:11" ht="18" x14ac:dyDescent="0.25">
      <c r="B134" s="11" t="s">
        <v>123</v>
      </c>
      <c r="C134" s="27"/>
      <c r="D134" s="27"/>
      <c r="E134" s="27"/>
      <c r="F134" s="27"/>
      <c r="G134" s="1823"/>
      <c r="H134" s="1823"/>
    </row>
    <row r="135" spans="1:11" ht="18" x14ac:dyDescent="0.25">
      <c r="B135" s="11" t="s">
        <v>132</v>
      </c>
      <c r="C135" s="27"/>
      <c r="E135" s="1823" t="s">
        <v>133</v>
      </c>
      <c r="F135" s="1823"/>
      <c r="G135" s="1823"/>
      <c r="H135" s="1823"/>
    </row>
    <row r="136" spans="1:11" ht="18" x14ac:dyDescent="0.25">
      <c r="B136" s="11" t="s">
        <v>137</v>
      </c>
      <c r="C136" s="27"/>
      <c r="E136" s="1823" t="s">
        <v>126</v>
      </c>
      <c r="F136" s="1823"/>
      <c r="G136" s="1823"/>
      <c r="H136" s="1823"/>
    </row>
    <row r="137" spans="1:11" ht="26.25" x14ac:dyDescent="0.2">
      <c r="A137" s="331" t="s">
        <v>172</v>
      </c>
    </row>
    <row r="138" spans="1:11" ht="18" x14ac:dyDescent="0.25">
      <c r="B138" s="11" t="s">
        <v>116</v>
      </c>
      <c r="G138" s="1824" t="s">
        <v>70</v>
      </c>
      <c r="H138" s="1824"/>
    </row>
    <row r="139" spans="1:11" ht="18" x14ac:dyDescent="0.25">
      <c r="B139" s="14" t="s">
        <v>129</v>
      </c>
    </row>
    <row r="140" spans="1:11" ht="18" x14ac:dyDescent="0.25">
      <c r="B140" s="11" t="s">
        <v>128</v>
      </c>
      <c r="F140" s="11"/>
    </row>
    <row r="141" spans="1:11" ht="18" x14ac:dyDescent="0.25">
      <c r="B141" s="11"/>
      <c r="F141" s="187"/>
      <c r="G141" s="1825" t="str">
        <f>'Tab.1. bilans_Polska'!$E$59</f>
        <v>Termin: 29 luty 2012 r.</v>
      </c>
      <c r="H141" s="1825"/>
    </row>
    <row r="142" spans="1:11" ht="18" x14ac:dyDescent="0.25">
      <c r="B142" s="11" t="s">
        <v>130</v>
      </c>
    </row>
    <row r="143" spans="1:11" ht="15.75" x14ac:dyDescent="0.25">
      <c r="B143" s="1" t="s">
        <v>131</v>
      </c>
    </row>
    <row r="144" spans="1:11" ht="15.75" x14ac:dyDescent="0.25">
      <c r="B144" s="1"/>
    </row>
    <row r="145" spans="2:11" ht="15.75" x14ac:dyDescent="0.25">
      <c r="B145" s="1"/>
    </row>
    <row r="146" spans="2:11" ht="23.25" x14ac:dyDescent="0.35">
      <c r="B146" s="1655" t="s">
        <v>72</v>
      </c>
      <c r="C146" s="1655"/>
      <c r="D146" s="1655"/>
      <c r="E146" s="1655"/>
      <c r="F146" s="1655"/>
      <c r="G146" s="1655"/>
      <c r="H146" s="1655"/>
    </row>
    <row r="147" spans="2:11" ht="23.25" x14ac:dyDescent="0.35">
      <c r="B147" s="1655" t="s">
        <v>73</v>
      </c>
      <c r="C147" s="1655"/>
      <c r="D147" s="1655"/>
      <c r="E147" s="1655"/>
      <c r="F147" s="1655"/>
      <c r="G147" s="1655"/>
      <c r="H147" s="1655"/>
    </row>
    <row r="148" spans="2:11" ht="23.25" x14ac:dyDescent="0.35">
      <c r="B148" s="1655" t="s">
        <v>75</v>
      </c>
      <c r="C148" s="1655"/>
      <c r="D148" s="1655"/>
      <c r="E148" s="1655"/>
      <c r="F148" s="1655"/>
      <c r="G148" s="1655"/>
      <c r="H148" s="1655"/>
    </row>
    <row r="149" spans="2:11" ht="23.25" x14ac:dyDescent="0.35">
      <c r="B149" s="1807" t="str">
        <f>$B$13</f>
        <v>POWIATOWYCH  I  PODMIOTÓW  NIEPUBLICZNYCH  WG  STANU  NA  31. XII. 2011 r.</v>
      </c>
      <c r="C149" s="1807"/>
      <c r="D149" s="1807"/>
      <c r="E149" s="1807"/>
      <c r="F149" s="1807"/>
      <c r="G149" s="1807"/>
      <c r="H149" s="1807"/>
    </row>
    <row r="150" spans="2:11" ht="13.5" thickBot="1" x14ac:dyDescent="0.25">
      <c r="H150" s="16"/>
    </row>
    <row r="151" spans="2:11" ht="17.25" thickTop="1" x14ac:dyDescent="0.25">
      <c r="B151" s="58"/>
      <c r="C151" s="1828" t="s">
        <v>77</v>
      </c>
      <c r="D151" s="1829"/>
      <c r="E151" s="1832" t="s">
        <v>20</v>
      </c>
      <c r="F151" s="1833"/>
      <c r="G151" s="1833"/>
      <c r="H151" s="1834"/>
    </row>
    <row r="152" spans="2:11" ht="16.5" x14ac:dyDescent="0.25">
      <c r="B152" s="60"/>
      <c r="C152" s="1830"/>
      <c r="D152" s="1831"/>
      <c r="E152" s="1826" t="s">
        <v>78</v>
      </c>
      <c r="F152" s="1827"/>
      <c r="G152" s="1827" t="s">
        <v>79</v>
      </c>
      <c r="H152" s="1835"/>
    </row>
    <row r="153" spans="2:11" ht="20.25" x14ac:dyDescent="0.3">
      <c r="B153" s="59" t="s">
        <v>80</v>
      </c>
      <c r="C153" s="64" t="s">
        <v>4</v>
      </c>
      <c r="D153" s="76" t="s">
        <v>81</v>
      </c>
      <c r="E153" s="77" t="s">
        <v>0</v>
      </c>
      <c r="F153" s="78" t="s">
        <v>115</v>
      </c>
      <c r="G153" s="78" t="s">
        <v>0</v>
      </c>
      <c r="H153" s="79" t="s">
        <v>115</v>
      </c>
    </row>
    <row r="154" spans="2:11" ht="18" x14ac:dyDescent="0.25">
      <c r="B154" s="796" t="str">
        <f>IF(E157+G157=C157, "", "Źle!")</f>
        <v/>
      </c>
      <c r="C154" s="65" t="s">
        <v>8</v>
      </c>
      <c r="D154" s="80" t="s">
        <v>16</v>
      </c>
      <c r="E154" s="81" t="s">
        <v>9</v>
      </c>
      <c r="F154" s="82" t="s">
        <v>82</v>
      </c>
      <c r="G154" s="82" t="s">
        <v>9</v>
      </c>
      <c r="H154" s="83" t="s">
        <v>82</v>
      </c>
    </row>
    <row r="155" spans="2:11" ht="18" x14ac:dyDescent="0.25">
      <c r="B155" s="796" t="str">
        <f>IF(F157+H157=D157, "", "Źle!")</f>
        <v/>
      </c>
      <c r="C155" s="84" t="s">
        <v>83</v>
      </c>
      <c r="D155" s="85" t="s">
        <v>84</v>
      </c>
      <c r="E155" s="86"/>
      <c r="F155" s="87" t="s">
        <v>85</v>
      </c>
      <c r="G155" s="88"/>
      <c r="H155" s="89" t="s">
        <v>85</v>
      </c>
    </row>
    <row r="156" spans="2:11" ht="16.5" thickBot="1" x14ac:dyDescent="0.3">
      <c r="B156" s="91">
        <v>0</v>
      </c>
      <c r="C156" s="92">
        <v>1</v>
      </c>
      <c r="D156" s="93">
        <v>2</v>
      </c>
      <c r="E156" s="94">
        <v>3</v>
      </c>
      <c r="F156" s="95">
        <v>4</v>
      </c>
      <c r="G156" s="95">
        <v>5</v>
      </c>
      <c r="H156" s="68">
        <v>6</v>
      </c>
      <c r="J156" s="802" t="str">
        <f>IF(J158="","","k1")</f>
        <v/>
      </c>
      <c r="K156" s="802" t="str">
        <f>IF(K158="","","k2")</f>
        <v/>
      </c>
    </row>
    <row r="157" spans="2:11" ht="24" thickTop="1" x14ac:dyDescent="0.35">
      <c r="B157" s="96" t="s">
        <v>86</v>
      </c>
      <c r="C157" s="345">
        <f t="shared" ref="C157:H157" si="13">SUM(C159:C163)</f>
        <v>1658</v>
      </c>
      <c r="D157" s="346">
        <f t="shared" si="13"/>
        <v>1604.18</v>
      </c>
      <c r="E157" s="347">
        <f t="shared" si="13"/>
        <v>1571</v>
      </c>
      <c r="F157" s="348">
        <f t="shared" si="13"/>
        <v>1519.43</v>
      </c>
      <c r="G157" s="349">
        <f t="shared" si="13"/>
        <v>87</v>
      </c>
      <c r="H157" s="350">
        <f t="shared" si="13"/>
        <v>84.75</v>
      </c>
      <c r="J157" s="800"/>
      <c r="K157" s="800"/>
    </row>
    <row r="158" spans="2:11" ht="16.5" thickBot="1" x14ac:dyDescent="0.3">
      <c r="B158" s="98" t="s">
        <v>49</v>
      </c>
      <c r="C158" s="904" t="str">
        <f>IF('Tab.4. Losóbzatr_Polska'!C136=C157,"","t4w1k1"&amp;"="&amp;'Tab.4. Losóbzatr_Polska'!C136)</f>
        <v/>
      </c>
      <c r="D158" s="905"/>
      <c r="E158" s="906" t="str">
        <f>IF('Tab.4. Losóbzatr_Polska'!D136=E157,"","t4w1k2"&amp;"="&amp;'Tab.4. Losóbzatr_Polska'!D136)</f>
        <v/>
      </c>
      <c r="F158" s="907"/>
      <c r="G158" s="908" t="str">
        <f>IF('Tab.4. Losóbzatr_Polska'!E136=G157,"","t4w1k3"&amp;"="&amp;'Tab.4. Losóbzatr_Polska'!E136)</f>
        <v/>
      </c>
      <c r="H158" s="909"/>
      <c r="J158" s="804" t="str">
        <f>IF(SUM(J159:J163)=0,"",SUM(E159:E163)+SUM(G159:G163))</f>
        <v/>
      </c>
      <c r="K158" s="804" t="str">
        <f>IF(SUM(K159:K163)=0,"",SUM(F159:F163)+SUM(H159:H163))</f>
        <v/>
      </c>
    </row>
    <row r="159" spans="2:11" ht="19.5" thickTop="1" x14ac:dyDescent="0.3">
      <c r="B159" s="100" t="s">
        <v>87</v>
      </c>
      <c r="C159" s="885">
        <f t="shared" ref="C159:D163" si="14">E159+G159</f>
        <v>25</v>
      </c>
      <c r="D159" s="888">
        <f t="shared" si="14"/>
        <v>25</v>
      </c>
      <c r="E159" s="1343">
        <v>23</v>
      </c>
      <c r="F159" s="1344">
        <v>23</v>
      </c>
      <c r="G159" s="1345">
        <v>2</v>
      </c>
      <c r="H159" s="1346">
        <v>2</v>
      </c>
      <c r="J159" s="803" t="str">
        <f t="shared" ref="J159:K163" si="15">IF(E159+G159=C159,"",E159+G159)</f>
        <v/>
      </c>
      <c r="K159" s="804" t="str">
        <f t="shared" si="15"/>
        <v/>
      </c>
    </row>
    <row r="160" spans="2:11" ht="18.75" x14ac:dyDescent="0.3">
      <c r="B160" s="102" t="s">
        <v>88</v>
      </c>
      <c r="C160" s="886">
        <f t="shared" si="14"/>
        <v>847</v>
      </c>
      <c r="D160" s="889">
        <f t="shared" si="14"/>
        <v>823.62</v>
      </c>
      <c r="E160" s="1347">
        <v>792</v>
      </c>
      <c r="F160" s="1348">
        <v>770.12</v>
      </c>
      <c r="G160" s="1349">
        <v>55</v>
      </c>
      <c r="H160" s="1350">
        <v>53.5</v>
      </c>
      <c r="J160" s="803" t="str">
        <f t="shared" si="15"/>
        <v/>
      </c>
      <c r="K160" s="804" t="str">
        <f t="shared" si="15"/>
        <v/>
      </c>
    </row>
    <row r="161" spans="1:11" ht="18.75" x14ac:dyDescent="0.3">
      <c r="B161" s="102" t="s">
        <v>89</v>
      </c>
      <c r="C161" s="886">
        <f t="shared" si="14"/>
        <v>261</v>
      </c>
      <c r="D161" s="889">
        <f t="shared" si="14"/>
        <v>240.62</v>
      </c>
      <c r="E161" s="1347">
        <v>253</v>
      </c>
      <c r="F161" s="1348">
        <v>232.37</v>
      </c>
      <c r="G161" s="1349">
        <v>8</v>
      </c>
      <c r="H161" s="1350">
        <v>8.25</v>
      </c>
      <c r="J161" s="803" t="str">
        <f t="shared" si="15"/>
        <v/>
      </c>
      <c r="K161" s="804" t="str">
        <f t="shared" si="15"/>
        <v/>
      </c>
    </row>
    <row r="162" spans="1:11" ht="18.75" x14ac:dyDescent="0.3">
      <c r="B162" s="102" t="s">
        <v>90</v>
      </c>
      <c r="C162" s="886">
        <f t="shared" si="14"/>
        <v>136</v>
      </c>
      <c r="D162" s="889">
        <f t="shared" si="14"/>
        <v>129.69</v>
      </c>
      <c r="E162" s="1347">
        <v>130</v>
      </c>
      <c r="F162" s="1348">
        <v>124.69</v>
      </c>
      <c r="G162" s="1349">
        <v>6</v>
      </c>
      <c r="H162" s="1350">
        <v>5</v>
      </c>
      <c r="J162" s="803" t="str">
        <f t="shared" si="15"/>
        <v/>
      </c>
      <c r="K162" s="804" t="str">
        <f t="shared" si="15"/>
        <v/>
      </c>
    </row>
    <row r="163" spans="1:11" ht="19.5" thickBot="1" x14ac:dyDescent="0.35">
      <c r="B163" s="104" t="s">
        <v>91</v>
      </c>
      <c r="C163" s="887">
        <f t="shared" si="14"/>
        <v>389</v>
      </c>
      <c r="D163" s="890">
        <f t="shared" si="14"/>
        <v>385.25</v>
      </c>
      <c r="E163" s="1351">
        <v>373</v>
      </c>
      <c r="F163" s="1352">
        <v>369.25</v>
      </c>
      <c r="G163" s="1353">
        <v>16</v>
      </c>
      <c r="H163" s="1354">
        <v>16</v>
      </c>
      <c r="J163" s="803" t="str">
        <f t="shared" si="15"/>
        <v/>
      </c>
      <c r="K163" s="804" t="str">
        <f t="shared" si="15"/>
        <v/>
      </c>
    </row>
    <row r="164" spans="1:11" ht="13.5" thickTop="1" x14ac:dyDescent="0.2"/>
    <row r="165" spans="1:11" ht="15.75" x14ac:dyDescent="0.25">
      <c r="B165" s="1" t="s">
        <v>92</v>
      </c>
    </row>
    <row r="167" spans="1:11" ht="15.75" x14ac:dyDescent="0.25">
      <c r="B167" s="1"/>
      <c r="G167" s="1604"/>
      <c r="H167" s="1604"/>
    </row>
    <row r="168" spans="1:11" ht="18" x14ac:dyDescent="0.25">
      <c r="B168" s="11" t="s">
        <v>123</v>
      </c>
      <c r="C168" s="27"/>
      <c r="D168" s="27"/>
      <c r="E168" s="27"/>
      <c r="F168" s="27"/>
      <c r="G168" s="1823"/>
      <c r="H168" s="1823"/>
    </row>
    <row r="169" spans="1:11" ht="18" x14ac:dyDescent="0.25">
      <c r="B169" s="11" t="s">
        <v>132</v>
      </c>
      <c r="C169" s="27"/>
      <c r="E169" s="1823" t="s">
        <v>133</v>
      </c>
      <c r="F169" s="1823"/>
      <c r="G169" s="1823"/>
      <c r="H169" s="1823"/>
    </row>
    <row r="170" spans="1:11" ht="18" x14ac:dyDescent="0.25">
      <c r="B170" s="11" t="s">
        <v>137</v>
      </c>
      <c r="C170" s="27"/>
      <c r="E170" s="1823" t="s">
        <v>126</v>
      </c>
      <c r="F170" s="1823"/>
      <c r="G170" s="1823"/>
      <c r="H170" s="1823"/>
    </row>
    <row r="172" spans="1:11" ht="26.25" x14ac:dyDescent="0.25">
      <c r="A172" s="331" t="s">
        <v>197</v>
      </c>
      <c r="B172" s="11" t="s">
        <v>116</v>
      </c>
      <c r="G172" s="1824" t="s">
        <v>70</v>
      </c>
      <c r="H172" s="1824"/>
    </row>
    <row r="173" spans="1:11" ht="18" x14ac:dyDescent="0.25">
      <c r="B173" s="14" t="s">
        <v>129</v>
      </c>
    </row>
    <row r="174" spans="1:11" ht="18" x14ac:dyDescent="0.25">
      <c r="B174" s="11" t="s">
        <v>128</v>
      </c>
      <c r="F174" s="11"/>
    </row>
    <row r="175" spans="1:11" ht="18" x14ac:dyDescent="0.25">
      <c r="B175" s="11"/>
      <c r="F175" s="187"/>
      <c r="G175" s="1825" t="str">
        <f>'Tab.1. bilans_Polska'!$E$59</f>
        <v>Termin: 29 luty 2012 r.</v>
      </c>
      <c r="H175" s="1825"/>
    </row>
    <row r="176" spans="1:11" ht="18" x14ac:dyDescent="0.25">
      <c r="B176" s="11" t="s">
        <v>130</v>
      </c>
    </row>
    <row r="177" spans="2:11" ht="15.75" x14ac:dyDescent="0.25">
      <c r="B177" s="1" t="s">
        <v>131</v>
      </c>
    </row>
    <row r="178" spans="2:11" ht="15.75" x14ac:dyDescent="0.25">
      <c r="B178" s="1"/>
    </row>
    <row r="179" spans="2:11" ht="15.75" x14ac:dyDescent="0.25">
      <c r="B179" s="1"/>
    </row>
    <row r="180" spans="2:11" ht="23.25" x14ac:dyDescent="0.35">
      <c r="B180" s="1655" t="s">
        <v>72</v>
      </c>
      <c r="C180" s="1655"/>
      <c r="D180" s="1655"/>
      <c r="E180" s="1655"/>
      <c r="F180" s="1655"/>
      <c r="G180" s="1655"/>
      <c r="H180" s="1655"/>
    </row>
    <row r="181" spans="2:11" ht="23.25" x14ac:dyDescent="0.35">
      <c r="B181" s="1655" t="s">
        <v>73</v>
      </c>
      <c r="C181" s="1655"/>
      <c r="D181" s="1655"/>
      <c r="E181" s="1655"/>
      <c r="F181" s="1655"/>
      <c r="G181" s="1655"/>
      <c r="H181" s="1655"/>
    </row>
    <row r="182" spans="2:11" ht="23.25" x14ac:dyDescent="0.35">
      <c r="B182" s="1655" t="s">
        <v>75</v>
      </c>
      <c r="C182" s="1655"/>
      <c r="D182" s="1655"/>
      <c r="E182" s="1655"/>
      <c r="F182" s="1655"/>
      <c r="G182" s="1655"/>
      <c r="H182" s="1655"/>
    </row>
    <row r="183" spans="2:11" ht="23.25" x14ac:dyDescent="0.35">
      <c r="B183" s="1807" t="str">
        <f>$B$13</f>
        <v>POWIATOWYCH  I  PODMIOTÓW  NIEPUBLICZNYCH  WG  STANU  NA  31. XII. 2011 r.</v>
      </c>
      <c r="C183" s="1807"/>
      <c r="D183" s="1807"/>
      <c r="E183" s="1807"/>
      <c r="F183" s="1807"/>
      <c r="G183" s="1807"/>
      <c r="H183" s="1807"/>
    </row>
    <row r="184" spans="2:11" ht="13.5" thickBot="1" x14ac:dyDescent="0.25">
      <c r="H184" s="16"/>
    </row>
    <row r="185" spans="2:11" ht="17.25" thickTop="1" x14ac:dyDescent="0.25">
      <c r="B185" s="58"/>
      <c r="C185" s="1828" t="s">
        <v>77</v>
      </c>
      <c r="D185" s="1829"/>
      <c r="E185" s="1832" t="s">
        <v>20</v>
      </c>
      <c r="F185" s="1833"/>
      <c r="G185" s="1833"/>
      <c r="H185" s="1834"/>
    </row>
    <row r="186" spans="2:11" ht="16.5" x14ac:dyDescent="0.25">
      <c r="B186" s="60"/>
      <c r="C186" s="1830"/>
      <c r="D186" s="1831"/>
      <c r="E186" s="1826" t="s">
        <v>78</v>
      </c>
      <c r="F186" s="1827"/>
      <c r="G186" s="1827" t="s">
        <v>79</v>
      </c>
      <c r="H186" s="1835"/>
    </row>
    <row r="187" spans="2:11" ht="20.25" x14ac:dyDescent="0.3">
      <c r="B187" s="59" t="s">
        <v>80</v>
      </c>
      <c r="C187" s="64" t="s">
        <v>4</v>
      </c>
      <c r="D187" s="76" t="s">
        <v>81</v>
      </c>
      <c r="E187" s="77" t="s">
        <v>0</v>
      </c>
      <c r="F187" s="78" t="s">
        <v>115</v>
      </c>
      <c r="G187" s="78" t="s">
        <v>0</v>
      </c>
      <c r="H187" s="79" t="s">
        <v>115</v>
      </c>
    </row>
    <row r="188" spans="2:11" ht="18" x14ac:dyDescent="0.25">
      <c r="B188" s="796" t="str">
        <f>IF(E191+G191=C191, "", "Źle!")</f>
        <v/>
      </c>
      <c r="C188" s="65" t="s">
        <v>8</v>
      </c>
      <c r="D188" s="80" t="s">
        <v>16</v>
      </c>
      <c r="E188" s="81" t="s">
        <v>9</v>
      </c>
      <c r="F188" s="82" t="s">
        <v>82</v>
      </c>
      <c r="G188" s="82" t="s">
        <v>9</v>
      </c>
      <c r="H188" s="83" t="s">
        <v>82</v>
      </c>
    </row>
    <row r="189" spans="2:11" ht="18" x14ac:dyDescent="0.25">
      <c r="B189" s="796" t="str">
        <f>IF(F191+H191=D191, "", "Źle!")</f>
        <v/>
      </c>
      <c r="C189" s="84" t="s">
        <v>83</v>
      </c>
      <c r="D189" s="85" t="s">
        <v>84</v>
      </c>
      <c r="E189" s="86"/>
      <c r="F189" s="87" t="s">
        <v>85</v>
      </c>
      <c r="G189" s="88"/>
      <c r="H189" s="89" t="s">
        <v>85</v>
      </c>
    </row>
    <row r="190" spans="2:11" ht="16.5" thickBot="1" x14ac:dyDescent="0.3">
      <c r="B190" s="91">
        <v>0</v>
      </c>
      <c r="C190" s="92">
        <v>1</v>
      </c>
      <c r="D190" s="93">
        <v>2</v>
      </c>
      <c r="E190" s="94">
        <v>3</v>
      </c>
      <c r="F190" s="95">
        <v>4</v>
      </c>
      <c r="G190" s="95">
        <v>5</v>
      </c>
      <c r="H190" s="68">
        <v>6</v>
      </c>
      <c r="J190" s="802" t="str">
        <f>IF(J192="","","k1")</f>
        <v/>
      </c>
      <c r="K190" s="802" t="str">
        <f>IF(K192="","","k2")</f>
        <v/>
      </c>
    </row>
    <row r="191" spans="2:11" ht="24" thickTop="1" x14ac:dyDescent="0.35">
      <c r="B191" s="96" t="s">
        <v>86</v>
      </c>
      <c r="C191" s="345">
        <f t="shared" ref="C191:H191" si="16">SUM(C193:C197)</f>
        <v>4241</v>
      </c>
      <c r="D191" s="346">
        <f t="shared" si="16"/>
        <v>4076.96</v>
      </c>
      <c r="E191" s="347">
        <f t="shared" si="16"/>
        <v>4034</v>
      </c>
      <c r="F191" s="348">
        <f t="shared" si="16"/>
        <v>3885.96</v>
      </c>
      <c r="G191" s="349">
        <f t="shared" si="16"/>
        <v>207</v>
      </c>
      <c r="H191" s="350">
        <f t="shared" si="16"/>
        <v>191</v>
      </c>
      <c r="J191" s="800"/>
      <c r="K191" s="800"/>
    </row>
    <row r="192" spans="2:11" ht="16.5" thickBot="1" x14ac:dyDescent="0.3">
      <c r="B192" s="98" t="s">
        <v>49</v>
      </c>
      <c r="C192" s="904" t="str">
        <f>IF('Tab.4. Losóbzatr_Polska'!C165=C191,"","t4w1k1"&amp;"="&amp;'Tab.4. Losóbzatr_Polska'!C165)</f>
        <v/>
      </c>
      <c r="D192" s="905"/>
      <c r="E192" s="906" t="str">
        <f>IF('Tab.4. Losóbzatr_Polska'!D165=E191,"","t4w1k2"&amp;"="&amp;'Tab.4. Losóbzatr_Polska'!D165)</f>
        <v/>
      </c>
      <c r="F192" s="907"/>
      <c r="G192" s="908" t="str">
        <f>IF('Tab.4. Losóbzatr_Polska'!E165=G191,"","t4w1k3"&amp;"="&amp;'Tab.4. Losóbzatr_Polska'!E165)</f>
        <v/>
      </c>
      <c r="H192" s="909"/>
      <c r="J192" s="804" t="str">
        <f>IF(SUM(J193:J197)=0,"",SUM(E193:E197)+SUM(G193:G197))</f>
        <v/>
      </c>
      <c r="K192" s="804" t="str">
        <f>IF(SUM(K193:K197)=0,"",SUM(F193:F197)+SUM(H193:H197))</f>
        <v/>
      </c>
    </row>
    <row r="193" spans="1:11" ht="19.5" thickTop="1" x14ac:dyDescent="0.3">
      <c r="B193" s="100" t="s">
        <v>87</v>
      </c>
      <c r="C193" s="885">
        <f t="shared" ref="C193:D197" si="17">E193+G193</f>
        <v>72</v>
      </c>
      <c r="D193" s="888">
        <f t="shared" si="17"/>
        <v>71.5</v>
      </c>
      <c r="E193" s="1343">
        <v>63</v>
      </c>
      <c r="F193" s="1344">
        <v>63</v>
      </c>
      <c r="G193" s="1345">
        <v>9</v>
      </c>
      <c r="H193" s="1346">
        <v>8.5</v>
      </c>
      <c r="J193" s="803" t="str">
        <f t="shared" ref="J193:K197" si="18">IF(E193+G193=C193,"",E193+G193)</f>
        <v/>
      </c>
      <c r="K193" s="804" t="str">
        <f t="shared" si="18"/>
        <v/>
      </c>
    </row>
    <row r="194" spans="1:11" ht="18.75" x14ac:dyDescent="0.3">
      <c r="B194" s="102" t="s">
        <v>88</v>
      </c>
      <c r="C194" s="886">
        <f t="shared" si="17"/>
        <v>2383</v>
      </c>
      <c r="D194" s="889">
        <f t="shared" si="17"/>
        <v>2320.9699999999998</v>
      </c>
      <c r="E194" s="1347">
        <v>2264</v>
      </c>
      <c r="F194" s="1348">
        <v>2204.9699999999998</v>
      </c>
      <c r="G194" s="1349">
        <v>119</v>
      </c>
      <c r="H194" s="1350">
        <v>116</v>
      </c>
      <c r="J194" s="803" t="str">
        <f t="shared" si="18"/>
        <v/>
      </c>
      <c r="K194" s="804" t="str">
        <f t="shared" si="18"/>
        <v/>
      </c>
    </row>
    <row r="195" spans="1:11" ht="18.75" x14ac:dyDescent="0.3">
      <c r="B195" s="102" t="s">
        <v>89</v>
      </c>
      <c r="C195" s="886">
        <f t="shared" si="17"/>
        <v>581</v>
      </c>
      <c r="D195" s="889">
        <f t="shared" si="17"/>
        <v>526.74</v>
      </c>
      <c r="E195" s="1347">
        <v>558</v>
      </c>
      <c r="F195" s="1348">
        <v>507.99</v>
      </c>
      <c r="G195" s="1349">
        <v>23</v>
      </c>
      <c r="H195" s="1350">
        <v>18.75</v>
      </c>
      <c r="J195" s="803" t="str">
        <f t="shared" si="18"/>
        <v/>
      </c>
      <c r="K195" s="804" t="str">
        <f t="shared" si="18"/>
        <v/>
      </c>
    </row>
    <row r="196" spans="1:11" ht="18.75" x14ac:dyDescent="0.3">
      <c r="B196" s="102" t="s">
        <v>90</v>
      </c>
      <c r="C196" s="886">
        <f t="shared" si="17"/>
        <v>379</v>
      </c>
      <c r="D196" s="889">
        <f t="shared" si="17"/>
        <v>354.37</v>
      </c>
      <c r="E196" s="1347">
        <v>366</v>
      </c>
      <c r="F196" s="1348">
        <v>345.62</v>
      </c>
      <c r="G196" s="1349">
        <v>13</v>
      </c>
      <c r="H196" s="1350">
        <v>8.75</v>
      </c>
      <c r="J196" s="803" t="str">
        <f t="shared" si="18"/>
        <v/>
      </c>
      <c r="K196" s="804" t="str">
        <f t="shared" si="18"/>
        <v/>
      </c>
    </row>
    <row r="197" spans="1:11" ht="19.5" thickBot="1" x14ac:dyDescent="0.35">
      <c r="B197" s="104" t="s">
        <v>91</v>
      </c>
      <c r="C197" s="887">
        <f t="shared" si="17"/>
        <v>826</v>
      </c>
      <c r="D197" s="890">
        <f t="shared" si="17"/>
        <v>803.38</v>
      </c>
      <c r="E197" s="1351">
        <v>783</v>
      </c>
      <c r="F197" s="1352">
        <v>764.38</v>
      </c>
      <c r="G197" s="1353">
        <v>43</v>
      </c>
      <c r="H197" s="1354">
        <v>39</v>
      </c>
      <c r="J197" s="803" t="str">
        <f t="shared" si="18"/>
        <v/>
      </c>
      <c r="K197" s="804" t="str">
        <f t="shared" si="18"/>
        <v/>
      </c>
    </row>
    <row r="198" spans="1:11" ht="13.5" thickTop="1" x14ac:dyDescent="0.2"/>
    <row r="199" spans="1:11" ht="15.75" x14ac:dyDescent="0.25">
      <c r="B199" s="1" t="s">
        <v>92</v>
      </c>
    </row>
    <row r="201" spans="1:11" ht="15.75" x14ac:dyDescent="0.25">
      <c r="B201" s="1"/>
      <c r="G201" s="1604"/>
      <c r="H201" s="1604"/>
    </row>
    <row r="202" spans="1:11" ht="18" x14ac:dyDescent="0.25">
      <c r="B202" s="11" t="s">
        <v>123</v>
      </c>
      <c r="C202" s="27"/>
      <c r="D202" s="27"/>
      <c r="E202" s="27"/>
      <c r="F202" s="27"/>
      <c r="G202" s="1823"/>
      <c r="H202" s="1823"/>
    </row>
    <row r="203" spans="1:11" ht="18" x14ac:dyDescent="0.25">
      <c r="B203" s="11" t="s">
        <v>132</v>
      </c>
      <c r="C203" s="27"/>
      <c r="E203" s="1823" t="s">
        <v>133</v>
      </c>
      <c r="F203" s="1823"/>
      <c r="G203" s="1823"/>
      <c r="H203" s="1823"/>
    </row>
    <row r="204" spans="1:11" ht="18" x14ac:dyDescent="0.25">
      <c r="B204" s="11" t="s">
        <v>137</v>
      </c>
      <c r="C204" s="27"/>
      <c r="E204" s="1823" t="s">
        <v>126</v>
      </c>
      <c r="F204" s="1823"/>
      <c r="G204" s="1823"/>
      <c r="H204" s="1823"/>
    </row>
    <row r="206" spans="1:11" ht="26.25" x14ac:dyDescent="0.25">
      <c r="A206" s="331" t="s">
        <v>198</v>
      </c>
      <c r="B206" s="11" t="s">
        <v>116</v>
      </c>
      <c r="G206" s="1824" t="s">
        <v>70</v>
      </c>
      <c r="H206" s="1824"/>
    </row>
    <row r="207" spans="1:11" ht="18" x14ac:dyDescent="0.25">
      <c r="B207" s="14" t="s">
        <v>129</v>
      </c>
    </row>
    <row r="208" spans="1:11" ht="18" x14ac:dyDescent="0.25">
      <c r="B208" s="11" t="s">
        <v>128</v>
      </c>
      <c r="F208" s="11"/>
    </row>
    <row r="209" spans="2:11" ht="18" x14ac:dyDescent="0.25">
      <c r="B209" s="11"/>
      <c r="F209" s="187"/>
      <c r="G209" s="1825" t="str">
        <f>'Tab.1. bilans_Polska'!$E$59</f>
        <v>Termin: 29 luty 2012 r.</v>
      </c>
      <c r="H209" s="1825"/>
    </row>
    <row r="210" spans="2:11" ht="18" x14ac:dyDescent="0.25">
      <c r="B210" s="11" t="s">
        <v>130</v>
      </c>
    </row>
    <row r="211" spans="2:11" ht="15.75" x14ac:dyDescent="0.25">
      <c r="B211" s="1" t="s">
        <v>131</v>
      </c>
    </row>
    <row r="212" spans="2:11" ht="15.75" x14ac:dyDescent="0.25">
      <c r="B212" s="1"/>
    </row>
    <row r="213" spans="2:11" ht="15.75" x14ac:dyDescent="0.25">
      <c r="B213" s="1"/>
    </row>
    <row r="214" spans="2:11" ht="23.25" x14ac:dyDescent="0.35">
      <c r="B214" s="1655" t="s">
        <v>72</v>
      </c>
      <c r="C214" s="1655"/>
      <c r="D214" s="1655"/>
      <c r="E214" s="1655"/>
      <c r="F214" s="1655"/>
      <c r="G214" s="1655"/>
      <c r="H214" s="1655"/>
    </row>
    <row r="215" spans="2:11" ht="23.25" x14ac:dyDescent="0.35">
      <c r="B215" s="1655" t="s">
        <v>73</v>
      </c>
      <c r="C215" s="1655"/>
      <c r="D215" s="1655"/>
      <c r="E215" s="1655"/>
      <c r="F215" s="1655"/>
      <c r="G215" s="1655"/>
      <c r="H215" s="1655"/>
    </row>
    <row r="216" spans="2:11" ht="23.25" x14ac:dyDescent="0.35">
      <c r="B216" s="1655" t="s">
        <v>75</v>
      </c>
      <c r="C216" s="1655"/>
      <c r="D216" s="1655"/>
      <c r="E216" s="1655"/>
      <c r="F216" s="1655"/>
      <c r="G216" s="1655"/>
      <c r="H216" s="1655"/>
    </row>
    <row r="217" spans="2:11" ht="23.25" x14ac:dyDescent="0.35">
      <c r="B217" s="1807" t="str">
        <f>$B$13</f>
        <v>POWIATOWYCH  I  PODMIOTÓW  NIEPUBLICZNYCH  WG  STANU  NA  31. XII. 2011 r.</v>
      </c>
      <c r="C217" s="1807"/>
      <c r="D217" s="1807"/>
      <c r="E217" s="1807"/>
      <c r="F217" s="1807"/>
      <c r="G217" s="1807"/>
      <c r="H217" s="1807"/>
    </row>
    <row r="218" spans="2:11" ht="13.5" thickBot="1" x14ac:dyDescent="0.25">
      <c r="H218" s="16"/>
    </row>
    <row r="219" spans="2:11" ht="17.25" thickTop="1" x14ac:dyDescent="0.25">
      <c r="B219" s="58"/>
      <c r="C219" s="1828" t="s">
        <v>77</v>
      </c>
      <c r="D219" s="1829"/>
      <c r="E219" s="1832" t="s">
        <v>20</v>
      </c>
      <c r="F219" s="1833"/>
      <c r="G219" s="1833"/>
      <c r="H219" s="1834"/>
    </row>
    <row r="220" spans="2:11" ht="16.5" x14ac:dyDescent="0.25">
      <c r="B220" s="60"/>
      <c r="C220" s="1830"/>
      <c r="D220" s="1831"/>
      <c r="E220" s="1826" t="s">
        <v>78</v>
      </c>
      <c r="F220" s="1827"/>
      <c r="G220" s="1827" t="s">
        <v>79</v>
      </c>
      <c r="H220" s="1835"/>
    </row>
    <row r="221" spans="2:11" ht="20.25" x14ac:dyDescent="0.3">
      <c r="B221" s="59" t="s">
        <v>80</v>
      </c>
      <c r="C221" s="64" t="s">
        <v>4</v>
      </c>
      <c r="D221" s="76" t="s">
        <v>81</v>
      </c>
      <c r="E221" s="77" t="s">
        <v>0</v>
      </c>
      <c r="F221" s="78" t="s">
        <v>115</v>
      </c>
      <c r="G221" s="78" t="s">
        <v>0</v>
      </c>
      <c r="H221" s="79" t="s">
        <v>115</v>
      </c>
    </row>
    <row r="222" spans="2:11" ht="18" x14ac:dyDescent="0.25">
      <c r="B222" s="796" t="str">
        <f>IF(E225+G225=C225, "", "Źle!")</f>
        <v/>
      </c>
      <c r="C222" s="65" t="s">
        <v>8</v>
      </c>
      <c r="D222" s="80" t="s">
        <v>16</v>
      </c>
      <c r="E222" s="81" t="s">
        <v>9</v>
      </c>
      <c r="F222" s="82" t="s">
        <v>82</v>
      </c>
      <c r="G222" s="82" t="s">
        <v>9</v>
      </c>
      <c r="H222" s="83" t="s">
        <v>82</v>
      </c>
    </row>
    <row r="223" spans="2:11" ht="18" x14ac:dyDescent="0.25">
      <c r="B223" s="796" t="str">
        <f>IF(F225+H225=D225, "", "Źle!")</f>
        <v/>
      </c>
      <c r="C223" s="84" t="s">
        <v>83</v>
      </c>
      <c r="D223" s="85" t="s">
        <v>84</v>
      </c>
      <c r="E223" s="86"/>
      <c r="F223" s="87" t="s">
        <v>85</v>
      </c>
      <c r="G223" s="88"/>
      <c r="H223" s="89" t="s">
        <v>85</v>
      </c>
    </row>
    <row r="224" spans="2:11" ht="16.5" thickBot="1" x14ac:dyDescent="0.3">
      <c r="B224" s="91">
        <v>0</v>
      </c>
      <c r="C224" s="92">
        <v>1</v>
      </c>
      <c r="D224" s="93">
        <v>2</v>
      </c>
      <c r="E224" s="94">
        <v>3</v>
      </c>
      <c r="F224" s="95">
        <v>4</v>
      </c>
      <c r="G224" s="95">
        <v>5</v>
      </c>
      <c r="H224" s="68">
        <v>6</v>
      </c>
      <c r="J224" s="802" t="str">
        <f>IF(J226="","","k1")</f>
        <v/>
      </c>
      <c r="K224" s="802" t="str">
        <f>IF(K226="","","k2")</f>
        <v/>
      </c>
    </row>
    <row r="225" spans="1:11" ht="24" thickTop="1" x14ac:dyDescent="0.35">
      <c r="B225" s="96" t="s">
        <v>86</v>
      </c>
      <c r="C225" s="345">
        <f t="shared" ref="C225:H225" si="19">SUM(C227:C231)</f>
        <v>5547</v>
      </c>
      <c r="D225" s="346">
        <f t="shared" si="19"/>
        <v>5246.9</v>
      </c>
      <c r="E225" s="347">
        <f t="shared" si="19"/>
        <v>4457</v>
      </c>
      <c r="F225" s="348">
        <f t="shared" si="19"/>
        <v>4231.3899999999994</v>
      </c>
      <c r="G225" s="349">
        <f t="shared" si="19"/>
        <v>1090</v>
      </c>
      <c r="H225" s="350">
        <f t="shared" si="19"/>
        <v>1015.51</v>
      </c>
      <c r="J225" s="800"/>
      <c r="K225" s="800"/>
    </row>
    <row r="226" spans="1:11" ht="16.5" thickBot="1" x14ac:dyDescent="0.3">
      <c r="B226" s="98" t="s">
        <v>49</v>
      </c>
      <c r="C226" s="898" t="str">
        <f>IF('Tab.4. Losóbzatr_Polska'!C194=C225,"","t4w1k1"&amp;"="&amp;'Tab.4. Losóbzatr_Polska'!C194)</f>
        <v/>
      </c>
      <c r="D226" s="899"/>
      <c r="E226" s="900" t="str">
        <f>IF('Tab.4. Losóbzatr_Polska'!D194=E225,"","t4w1k2"&amp;"="&amp;'Tab.4. Losóbzatr_Polska'!D194)</f>
        <v/>
      </c>
      <c r="F226" s="901"/>
      <c r="G226" s="902" t="str">
        <f>IF('Tab.4. Losóbzatr_Polska'!E194=G225,"","t4w1k3"&amp;"="&amp;'Tab.4. Losóbzatr_Polska'!E194)</f>
        <v/>
      </c>
      <c r="H226" s="903"/>
      <c r="J226" s="804" t="str">
        <f>IF(SUM(J227:J231)=0,"",SUM(E227:E231)+SUM(G227:G231))</f>
        <v/>
      </c>
      <c r="K226" s="804" t="str">
        <f>IF(SUM(K227:K231)=0,"",SUM(F227:F231)+SUM(H227:H231))</f>
        <v/>
      </c>
    </row>
    <row r="227" spans="1:11" ht="19.5" thickTop="1" x14ac:dyDescent="0.3">
      <c r="B227" s="100" t="s">
        <v>87</v>
      </c>
      <c r="C227" s="885">
        <f t="shared" ref="C227:D231" si="20">E227+G227</f>
        <v>94</v>
      </c>
      <c r="D227" s="888">
        <f t="shared" si="20"/>
        <v>89.5</v>
      </c>
      <c r="E227" s="1343">
        <v>60</v>
      </c>
      <c r="F227" s="1344">
        <v>58.75</v>
      </c>
      <c r="G227" s="1345">
        <v>34</v>
      </c>
      <c r="H227" s="1346">
        <v>30.75</v>
      </c>
      <c r="J227" s="803" t="str">
        <f t="shared" ref="J227:K231" si="21">IF(E227+G227=C227,"",E227+G227)</f>
        <v/>
      </c>
      <c r="K227" s="804" t="str">
        <f t="shared" si="21"/>
        <v/>
      </c>
    </row>
    <row r="228" spans="1:11" ht="18.75" x14ac:dyDescent="0.3">
      <c r="B228" s="102" t="s">
        <v>88</v>
      </c>
      <c r="C228" s="886">
        <f t="shared" si="20"/>
        <v>2927</v>
      </c>
      <c r="D228" s="889">
        <f t="shared" si="20"/>
        <v>2816.1</v>
      </c>
      <c r="E228" s="1347">
        <v>2313</v>
      </c>
      <c r="F228" s="1348">
        <v>2226.9299999999998</v>
      </c>
      <c r="G228" s="1349">
        <v>614</v>
      </c>
      <c r="H228" s="1350">
        <v>589.16999999999996</v>
      </c>
      <c r="J228" s="803" t="str">
        <f t="shared" si="21"/>
        <v/>
      </c>
      <c r="K228" s="804" t="str">
        <f t="shared" si="21"/>
        <v/>
      </c>
    </row>
    <row r="229" spans="1:11" ht="18.75" x14ac:dyDescent="0.3">
      <c r="B229" s="102" t="s">
        <v>89</v>
      </c>
      <c r="C229" s="886">
        <f t="shared" si="20"/>
        <v>891</v>
      </c>
      <c r="D229" s="889">
        <f t="shared" si="20"/>
        <v>804</v>
      </c>
      <c r="E229" s="1347">
        <v>738</v>
      </c>
      <c r="F229" s="1348">
        <v>671.55</v>
      </c>
      <c r="G229" s="1349">
        <v>153</v>
      </c>
      <c r="H229" s="1350">
        <v>132.44999999999999</v>
      </c>
      <c r="J229" s="803" t="str">
        <f t="shared" si="21"/>
        <v/>
      </c>
      <c r="K229" s="804" t="str">
        <f t="shared" si="21"/>
        <v/>
      </c>
    </row>
    <row r="230" spans="1:11" ht="18.75" x14ac:dyDescent="0.3">
      <c r="B230" s="102" t="s">
        <v>90</v>
      </c>
      <c r="C230" s="886">
        <f t="shared" si="20"/>
        <v>445</v>
      </c>
      <c r="D230" s="889">
        <f t="shared" si="20"/>
        <v>398.97</v>
      </c>
      <c r="E230" s="1347">
        <v>371</v>
      </c>
      <c r="F230" s="1348">
        <v>337.63</v>
      </c>
      <c r="G230" s="1349">
        <v>74</v>
      </c>
      <c r="H230" s="1350">
        <v>61.34</v>
      </c>
      <c r="J230" s="803" t="str">
        <f t="shared" si="21"/>
        <v/>
      </c>
      <c r="K230" s="804" t="str">
        <f t="shared" si="21"/>
        <v/>
      </c>
    </row>
    <row r="231" spans="1:11" ht="19.5" thickBot="1" x14ac:dyDescent="0.35">
      <c r="B231" s="104" t="s">
        <v>91</v>
      </c>
      <c r="C231" s="887">
        <f t="shared" si="20"/>
        <v>1190</v>
      </c>
      <c r="D231" s="890">
        <f t="shared" si="20"/>
        <v>1138.33</v>
      </c>
      <c r="E231" s="1351">
        <v>975</v>
      </c>
      <c r="F231" s="1352">
        <v>936.53</v>
      </c>
      <c r="G231" s="1353">
        <v>215</v>
      </c>
      <c r="H231" s="1354">
        <v>201.8</v>
      </c>
      <c r="J231" s="803" t="str">
        <f t="shared" si="21"/>
        <v/>
      </c>
      <c r="K231" s="804" t="str">
        <f t="shared" si="21"/>
        <v/>
      </c>
    </row>
    <row r="232" spans="1:11" ht="13.5" thickTop="1" x14ac:dyDescent="0.2"/>
    <row r="233" spans="1:11" ht="15.75" x14ac:dyDescent="0.25">
      <c r="B233" s="1" t="s">
        <v>92</v>
      </c>
    </row>
    <row r="235" spans="1:11" ht="15.75" x14ac:dyDescent="0.25">
      <c r="B235" s="1"/>
      <c r="G235" s="1604"/>
      <c r="H235" s="1604"/>
    </row>
    <row r="236" spans="1:11" ht="18" x14ac:dyDescent="0.25">
      <c r="B236" s="11" t="s">
        <v>123</v>
      </c>
      <c r="C236" s="27"/>
      <c r="D236" s="27"/>
      <c r="E236" s="27"/>
      <c r="F236" s="27"/>
      <c r="G236" s="1823"/>
      <c r="H236" s="1823"/>
    </row>
    <row r="237" spans="1:11" ht="18" x14ac:dyDescent="0.25">
      <c r="B237" s="11" t="s">
        <v>132</v>
      </c>
      <c r="C237" s="27"/>
      <c r="E237" s="1823" t="s">
        <v>133</v>
      </c>
      <c r="F237" s="1823"/>
      <c r="G237" s="1823"/>
      <c r="H237" s="1823"/>
    </row>
    <row r="238" spans="1:11" ht="18" x14ac:dyDescent="0.25">
      <c r="B238" s="11" t="s">
        <v>137</v>
      </c>
      <c r="C238" s="27"/>
      <c r="E238" s="1823" t="s">
        <v>126</v>
      </c>
      <c r="F238" s="1823"/>
      <c r="G238" s="1823"/>
      <c r="H238" s="1823"/>
    </row>
    <row r="240" spans="1:11" ht="26.25" x14ac:dyDescent="0.25">
      <c r="A240" s="331" t="s">
        <v>199</v>
      </c>
      <c r="B240" s="11" t="s">
        <v>116</v>
      </c>
      <c r="G240" s="1824" t="s">
        <v>70</v>
      </c>
      <c r="H240" s="1824"/>
    </row>
    <row r="241" spans="2:8" ht="18" x14ac:dyDescent="0.25">
      <c r="B241" s="14" t="s">
        <v>129</v>
      </c>
    </row>
    <row r="242" spans="2:8" ht="18" x14ac:dyDescent="0.25">
      <c r="B242" s="11" t="s">
        <v>128</v>
      </c>
      <c r="F242" s="11"/>
    </row>
    <row r="243" spans="2:8" ht="18" x14ac:dyDescent="0.25">
      <c r="B243" s="11"/>
      <c r="F243" s="187"/>
      <c r="G243" s="1825" t="str">
        <f>'Tab.1. bilans_Polska'!$E$59</f>
        <v>Termin: 29 luty 2012 r.</v>
      </c>
      <c r="H243" s="1825"/>
    </row>
    <row r="244" spans="2:8" ht="18" x14ac:dyDescent="0.25">
      <c r="B244" s="11" t="s">
        <v>130</v>
      </c>
    </row>
    <row r="245" spans="2:8" ht="15.75" x14ac:dyDescent="0.25">
      <c r="B245" s="1" t="s">
        <v>131</v>
      </c>
    </row>
    <row r="246" spans="2:8" ht="15.75" x14ac:dyDescent="0.25">
      <c r="B246" s="1"/>
    </row>
    <row r="247" spans="2:8" ht="15.75" x14ac:dyDescent="0.25">
      <c r="B247" s="1"/>
    </row>
    <row r="248" spans="2:8" ht="23.25" x14ac:dyDescent="0.35">
      <c r="B248" s="1655" t="s">
        <v>72</v>
      </c>
      <c r="C248" s="1655"/>
      <c r="D248" s="1655"/>
      <c r="E248" s="1655"/>
      <c r="F248" s="1655"/>
      <c r="G248" s="1655"/>
      <c r="H248" s="1655"/>
    </row>
    <row r="249" spans="2:8" ht="23.25" x14ac:dyDescent="0.35">
      <c r="B249" s="1655" t="s">
        <v>73</v>
      </c>
      <c r="C249" s="1655"/>
      <c r="D249" s="1655"/>
      <c r="E249" s="1655"/>
      <c r="F249" s="1655"/>
      <c r="G249" s="1655"/>
      <c r="H249" s="1655"/>
    </row>
    <row r="250" spans="2:8" ht="23.25" x14ac:dyDescent="0.35">
      <c r="B250" s="1655" t="s">
        <v>75</v>
      </c>
      <c r="C250" s="1655"/>
      <c r="D250" s="1655"/>
      <c r="E250" s="1655"/>
      <c r="F250" s="1655"/>
      <c r="G250" s="1655"/>
      <c r="H250" s="1655"/>
    </row>
    <row r="251" spans="2:8" ht="23.25" x14ac:dyDescent="0.35">
      <c r="B251" s="1807" t="str">
        <f>$B$13</f>
        <v>POWIATOWYCH  I  PODMIOTÓW  NIEPUBLICZNYCH  WG  STANU  NA  31. XII. 2011 r.</v>
      </c>
      <c r="C251" s="1807"/>
      <c r="D251" s="1807"/>
      <c r="E251" s="1807"/>
      <c r="F251" s="1807"/>
      <c r="G251" s="1807"/>
      <c r="H251" s="1807"/>
    </row>
    <row r="252" spans="2:8" ht="13.5" thickBot="1" x14ac:dyDescent="0.25">
      <c r="H252" s="16"/>
    </row>
    <row r="253" spans="2:8" ht="17.25" thickTop="1" x14ac:dyDescent="0.25">
      <c r="B253" s="58"/>
      <c r="C253" s="1828" t="s">
        <v>77</v>
      </c>
      <c r="D253" s="1829"/>
      <c r="E253" s="1832" t="s">
        <v>20</v>
      </c>
      <c r="F253" s="1833"/>
      <c r="G253" s="1833"/>
      <c r="H253" s="1834"/>
    </row>
    <row r="254" spans="2:8" ht="16.5" x14ac:dyDescent="0.25">
      <c r="B254" s="60"/>
      <c r="C254" s="1830"/>
      <c r="D254" s="1831"/>
      <c r="E254" s="1826" t="s">
        <v>78</v>
      </c>
      <c r="F254" s="1827"/>
      <c r="G254" s="1827" t="s">
        <v>79</v>
      </c>
      <c r="H254" s="1835"/>
    </row>
    <row r="255" spans="2:8" ht="20.25" x14ac:dyDescent="0.3">
      <c r="B255" s="59" t="s">
        <v>80</v>
      </c>
      <c r="C255" s="64" t="s">
        <v>4</v>
      </c>
      <c r="D255" s="76" t="s">
        <v>81</v>
      </c>
      <c r="E255" s="77" t="s">
        <v>0</v>
      </c>
      <c r="F255" s="78" t="s">
        <v>115</v>
      </c>
      <c r="G255" s="78" t="s">
        <v>0</v>
      </c>
      <c r="H255" s="79" t="s">
        <v>115</v>
      </c>
    </row>
    <row r="256" spans="2:8" ht="18" x14ac:dyDescent="0.25">
      <c r="B256" s="796" t="str">
        <f>IF(E259+G259=C259, "", "Źle!")</f>
        <v/>
      </c>
      <c r="C256" s="65" t="s">
        <v>8</v>
      </c>
      <c r="D256" s="80" t="s">
        <v>16</v>
      </c>
      <c r="E256" s="81" t="s">
        <v>9</v>
      </c>
      <c r="F256" s="82" t="s">
        <v>82</v>
      </c>
      <c r="G256" s="82" t="s">
        <v>9</v>
      </c>
      <c r="H256" s="83" t="s">
        <v>82</v>
      </c>
    </row>
    <row r="257" spans="2:11" ht="18" x14ac:dyDescent="0.25">
      <c r="B257" s="796" t="str">
        <f>IF(F259+H259=D259, "", "Źle!")</f>
        <v/>
      </c>
      <c r="C257" s="84" t="s">
        <v>83</v>
      </c>
      <c r="D257" s="85" t="s">
        <v>84</v>
      </c>
      <c r="E257" s="86"/>
      <c r="F257" s="87" t="s">
        <v>85</v>
      </c>
      <c r="G257" s="88"/>
      <c r="H257" s="89" t="s">
        <v>85</v>
      </c>
    </row>
    <row r="258" spans="2:11" ht="16.5" thickBot="1" x14ac:dyDescent="0.3">
      <c r="B258" s="91">
        <v>0</v>
      </c>
      <c r="C258" s="92">
        <v>1</v>
      </c>
      <c r="D258" s="93">
        <v>2</v>
      </c>
      <c r="E258" s="94">
        <v>3</v>
      </c>
      <c r="F258" s="95">
        <v>4</v>
      </c>
      <c r="G258" s="95">
        <v>5</v>
      </c>
      <c r="H258" s="68">
        <v>6</v>
      </c>
      <c r="J258" s="802" t="str">
        <f>IF(J260="","","k1")</f>
        <v/>
      </c>
      <c r="K258" s="802" t="str">
        <f>IF(K260="","","k2")</f>
        <v/>
      </c>
    </row>
    <row r="259" spans="2:11" ht="24" thickTop="1" x14ac:dyDescent="0.35">
      <c r="B259" s="96" t="s">
        <v>86</v>
      </c>
      <c r="C259" s="345">
        <f t="shared" ref="C259:H259" si="22">SUM(C261:C265)</f>
        <v>6529</v>
      </c>
      <c r="D259" s="346">
        <f t="shared" si="22"/>
        <v>6217.13</v>
      </c>
      <c r="E259" s="347">
        <f t="shared" si="22"/>
        <v>5698</v>
      </c>
      <c r="F259" s="348">
        <f t="shared" si="22"/>
        <v>5427.3700000000008</v>
      </c>
      <c r="G259" s="349">
        <f t="shared" si="22"/>
        <v>831</v>
      </c>
      <c r="H259" s="350">
        <f t="shared" si="22"/>
        <v>789.76</v>
      </c>
      <c r="J259" s="800"/>
      <c r="K259" s="800"/>
    </row>
    <row r="260" spans="2:11" ht="16.5" thickBot="1" x14ac:dyDescent="0.3">
      <c r="B260" s="98" t="s">
        <v>49</v>
      </c>
      <c r="C260" s="904" t="str">
        <f>IF('Tab.4. Losóbzatr_Polska'!C223=C259,"","t4w1k1"&amp;"="&amp;'Tab.4. Losóbzatr_Polska'!C223)</f>
        <v/>
      </c>
      <c r="D260" s="905"/>
      <c r="E260" s="906" t="str">
        <f>IF('Tab.4. Losóbzatr_Polska'!D223=E259,"","t4w1k2"&amp;"="&amp;'Tab.4. Losóbzatr_Polska'!D223)</f>
        <v/>
      </c>
      <c r="F260" s="907"/>
      <c r="G260" s="908" t="str">
        <f>IF('Tab.4. Losóbzatr_Polska'!E223=G259,"","t4w1k3"&amp;"="&amp;'Tab.4. Losóbzatr_Polska'!E223)</f>
        <v/>
      </c>
      <c r="H260" s="909"/>
      <c r="J260" s="804" t="str">
        <f>IF(SUM(J261:J265)=0,"",SUM(E261:E265)+SUM(G261:G265))</f>
        <v/>
      </c>
      <c r="K260" s="804" t="str">
        <f>IF(SUM(K261:K265)=0,"",SUM(F261:F265)+SUM(H261:H265))</f>
        <v/>
      </c>
    </row>
    <row r="261" spans="2:11" ht="19.5" thickTop="1" x14ac:dyDescent="0.3">
      <c r="B261" s="100" t="s">
        <v>87</v>
      </c>
      <c r="C261" s="885">
        <f t="shared" ref="C261:D265" si="23">E261+G261</f>
        <v>113</v>
      </c>
      <c r="D261" s="888">
        <f t="shared" si="23"/>
        <v>112.25</v>
      </c>
      <c r="E261" s="1343">
        <v>93</v>
      </c>
      <c r="F261" s="1344">
        <v>92.75</v>
      </c>
      <c r="G261" s="1345">
        <v>20</v>
      </c>
      <c r="H261" s="1346">
        <v>19.5</v>
      </c>
      <c r="J261" s="803" t="str">
        <f t="shared" ref="J261:K265" si="24">IF(E261+G261=C261,"",E261+G261)</f>
        <v/>
      </c>
      <c r="K261" s="804" t="str">
        <f t="shared" si="24"/>
        <v/>
      </c>
    </row>
    <row r="262" spans="2:11" ht="18.75" x14ac:dyDescent="0.3">
      <c r="B262" s="102" t="s">
        <v>88</v>
      </c>
      <c r="C262" s="886">
        <f t="shared" si="23"/>
        <v>3667</v>
      </c>
      <c r="D262" s="889">
        <f t="shared" si="23"/>
        <v>3529.3</v>
      </c>
      <c r="E262" s="1347">
        <v>3149</v>
      </c>
      <c r="F262" s="1348">
        <v>3026.3</v>
      </c>
      <c r="G262" s="1349">
        <v>518</v>
      </c>
      <c r="H262" s="1350">
        <v>503</v>
      </c>
      <c r="J262" s="803" t="str">
        <f t="shared" si="24"/>
        <v/>
      </c>
      <c r="K262" s="804" t="str">
        <f t="shared" si="24"/>
        <v/>
      </c>
    </row>
    <row r="263" spans="2:11" ht="18.75" x14ac:dyDescent="0.3">
      <c r="B263" s="102" t="s">
        <v>89</v>
      </c>
      <c r="C263" s="886">
        <f t="shared" si="23"/>
        <v>835</v>
      </c>
      <c r="D263" s="889">
        <f t="shared" si="23"/>
        <v>734.82</v>
      </c>
      <c r="E263" s="1347">
        <v>753</v>
      </c>
      <c r="F263" s="1348">
        <v>667.07</v>
      </c>
      <c r="G263" s="1349">
        <v>82</v>
      </c>
      <c r="H263" s="1350">
        <v>67.75</v>
      </c>
      <c r="J263" s="803" t="str">
        <f t="shared" si="24"/>
        <v/>
      </c>
      <c r="K263" s="804" t="str">
        <f t="shared" si="24"/>
        <v/>
      </c>
    </row>
    <row r="264" spans="2:11" ht="18.75" x14ac:dyDescent="0.3">
      <c r="B264" s="102" t="s">
        <v>90</v>
      </c>
      <c r="C264" s="886">
        <f t="shared" si="23"/>
        <v>549</v>
      </c>
      <c r="D264" s="889">
        <f t="shared" si="23"/>
        <v>512.21</v>
      </c>
      <c r="E264" s="1347">
        <v>504</v>
      </c>
      <c r="F264" s="1348">
        <v>469.7</v>
      </c>
      <c r="G264" s="1349">
        <v>45</v>
      </c>
      <c r="H264" s="1350">
        <v>42.51</v>
      </c>
      <c r="J264" s="803" t="str">
        <f t="shared" si="24"/>
        <v/>
      </c>
      <c r="K264" s="804" t="str">
        <f t="shared" si="24"/>
        <v/>
      </c>
    </row>
    <row r="265" spans="2:11" ht="19.5" thickBot="1" x14ac:dyDescent="0.35">
      <c r="B265" s="104" t="s">
        <v>91</v>
      </c>
      <c r="C265" s="887">
        <f t="shared" si="23"/>
        <v>1365</v>
      </c>
      <c r="D265" s="890">
        <f t="shared" si="23"/>
        <v>1328.55</v>
      </c>
      <c r="E265" s="1351">
        <v>1199</v>
      </c>
      <c r="F265" s="1352">
        <v>1171.55</v>
      </c>
      <c r="G265" s="1353">
        <v>166</v>
      </c>
      <c r="H265" s="1354">
        <v>157</v>
      </c>
      <c r="J265" s="803" t="str">
        <f t="shared" si="24"/>
        <v/>
      </c>
      <c r="K265" s="804" t="str">
        <f t="shared" si="24"/>
        <v/>
      </c>
    </row>
    <row r="266" spans="2:11" ht="13.5" thickTop="1" x14ac:dyDescent="0.2"/>
    <row r="267" spans="2:11" ht="15.75" x14ac:dyDescent="0.25">
      <c r="B267" s="1" t="s">
        <v>92</v>
      </c>
    </row>
    <row r="269" spans="2:11" ht="15.75" x14ac:dyDescent="0.25">
      <c r="B269" s="1"/>
      <c r="G269" s="1604"/>
      <c r="H269" s="1604"/>
    </row>
    <row r="270" spans="2:11" ht="18" x14ac:dyDescent="0.25">
      <c r="B270" s="11" t="s">
        <v>123</v>
      </c>
      <c r="C270" s="27"/>
      <c r="D270" s="27"/>
      <c r="E270" s="27"/>
      <c r="F270" s="27"/>
      <c r="G270" s="1823"/>
      <c r="H270" s="1823"/>
    </row>
    <row r="271" spans="2:11" ht="18" x14ac:dyDescent="0.25">
      <c r="B271" s="11" t="s">
        <v>132</v>
      </c>
      <c r="C271" s="27"/>
      <c r="E271" s="1823" t="s">
        <v>133</v>
      </c>
      <c r="F271" s="1823"/>
      <c r="G271" s="1823"/>
      <c r="H271" s="1823"/>
    </row>
    <row r="272" spans="2:11" ht="18" x14ac:dyDescent="0.25">
      <c r="B272" s="11" t="s">
        <v>137</v>
      </c>
      <c r="C272" s="27"/>
      <c r="E272" s="1823" t="s">
        <v>126</v>
      </c>
      <c r="F272" s="1823"/>
      <c r="G272" s="1823"/>
      <c r="H272" s="1823"/>
    </row>
    <row r="274" spans="1:8" ht="26.25" x14ac:dyDescent="0.25">
      <c r="A274" s="331" t="s">
        <v>200</v>
      </c>
      <c r="B274" s="11" t="s">
        <v>116</v>
      </c>
      <c r="G274" s="1824" t="s">
        <v>70</v>
      </c>
      <c r="H274" s="1824"/>
    </row>
    <row r="275" spans="1:8" ht="18" x14ac:dyDescent="0.25">
      <c r="B275" s="14" t="s">
        <v>129</v>
      </c>
    </row>
    <row r="276" spans="1:8" ht="18" x14ac:dyDescent="0.25">
      <c r="B276" s="11" t="s">
        <v>128</v>
      </c>
      <c r="F276" s="11"/>
    </row>
    <row r="277" spans="1:8" ht="18" x14ac:dyDescent="0.25">
      <c r="B277" s="11"/>
      <c r="F277" s="187"/>
      <c r="G277" s="1825" t="str">
        <f>'Tab.1. bilans_Polska'!$E$59</f>
        <v>Termin: 29 luty 2012 r.</v>
      </c>
      <c r="H277" s="1825"/>
    </row>
    <row r="278" spans="1:8" ht="18" x14ac:dyDescent="0.25">
      <c r="B278" s="11" t="s">
        <v>130</v>
      </c>
    </row>
    <row r="279" spans="1:8" ht="15.75" x14ac:dyDescent="0.25">
      <c r="B279" s="1" t="s">
        <v>131</v>
      </c>
    </row>
    <row r="280" spans="1:8" ht="15.75" x14ac:dyDescent="0.25">
      <c r="B280" s="1"/>
    </row>
    <row r="281" spans="1:8" ht="15.75" x14ac:dyDescent="0.25">
      <c r="B281" s="1"/>
    </row>
    <row r="282" spans="1:8" ht="23.25" x14ac:dyDescent="0.35">
      <c r="B282" s="1655" t="s">
        <v>72</v>
      </c>
      <c r="C282" s="1655"/>
      <c r="D282" s="1655"/>
      <c r="E282" s="1655"/>
      <c r="F282" s="1655"/>
      <c r="G282" s="1655"/>
      <c r="H282" s="1655"/>
    </row>
    <row r="283" spans="1:8" ht="23.25" x14ac:dyDescent="0.35">
      <c r="B283" s="1655" t="s">
        <v>73</v>
      </c>
      <c r="C283" s="1655"/>
      <c r="D283" s="1655"/>
      <c r="E283" s="1655"/>
      <c r="F283" s="1655"/>
      <c r="G283" s="1655"/>
      <c r="H283" s="1655"/>
    </row>
    <row r="284" spans="1:8" ht="23.25" x14ac:dyDescent="0.35">
      <c r="B284" s="1655" t="s">
        <v>75</v>
      </c>
      <c r="C284" s="1655"/>
      <c r="D284" s="1655"/>
      <c r="E284" s="1655"/>
      <c r="F284" s="1655"/>
      <c r="G284" s="1655"/>
      <c r="H284" s="1655"/>
    </row>
    <row r="285" spans="1:8" ht="23.25" x14ac:dyDescent="0.35">
      <c r="B285" s="1807" t="str">
        <f>$B$13</f>
        <v>POWIATOWYCH  I  PODMIOTÓW  NIEPUBLICZNYCH  WG  STANU  NA  31. XII. 2011 r.</v>
      </c>
      <c r="C285" s="1807"/>
      <c r="D285" s="1807"/>
      <c r="E285" s="1807"/>
      <c r="F285" s="1807"/>
      <c r="G285" s="1807"/>
      <c r="H285" s="1807"/>
    </row>
    <row r="286" spans="1:8" ht="13.5" thickBot="1" x14ac:dyDescent="0.25">
      <c r="H286" s="16"/>
    </row>
    <row r="287" spans="1:8" ht="17.25" thickTop="1" x14ac:dyDescent="0.25">
      <c r="B287" s="58"/>
      <c r="C287" s="1828" t="s">
        <v>77</v>
      </c>
      <c r="D287" s="1829"/>
      <c r="E287" s="1832" t="s">
        <v>20</v>
      </c>
      <c r="F287" s="1833"/>
      <c r="G287" s="1833"/>
      <c r="H287" s="1834"/>
    </row>
    <row r="288" spans="1:8" ht="16.5" x14ac:dyDescent="0.25">
      <c r="B288" s="60"/>
      <c r="C288" s="1830"/>
      <c r="D288" s="1831"/>
      <c r="E288" s="1826" t="s">
        <v>78</v>
      </c>
      <c r="F288" s="1827"/>
      <c r="G288" s="1827" t="s">
        <v>79</v>
      </c>
      <c r="H288" s="1835"/>
    </row>
    <row r="289" spans="2:11" ht="20.25" x14ac:dyDescent="0.3">
      <c r="B289" s="59" t="s">
        <v>80</v>
      </c>
      <c r="C289" s="64" t="s">
        <v>4</v>
      </c>
      <c r="D289" s="76" t="s">
        <v>81</v>
      </c>
      <c r="E289" s="77" t="s">
        <v>0</v>
      </c>
      <c r="F289" s="78" t="s">
        <v>115</v>
      </c>
      <c r="G289" s="78" t="s">
        <v>0</v>
      </c>
      <c r="H289" s="79" t="s">
        <v>115</v>
      </c>
    </row>
    <row r="290" spans="2:11" ht="18" x14ac:dyDescent="0.25">
      <c r="B290" s="796" t="str">
        <f>IF(E293+G293=C293, "", "Źle!")</f>
        <v/>
      </c>
      <c r="C290" s="65" t="s">
        <v>8</v>
      </c>
      <c r="D290" s="80" t="s">
        <v>16</v>
      </c>
      <c r="E290" s="81" t="s">
        <v>9</v>
      </c>
      <c r="F290" s="82" t="s">
        <v>82</v>
      </c>
      <c r="G290" s="82" t="s">
        <v>9</v>
      </c>
      <c r="H290" s="83" t="s">
        <v>82</v>
      </c>
    </row>
    <row r="291" spans="2:11" ht="18" x14ac:dyDescent="0.25">
      <c r="B291" s="796" t="str">
        <f>IF(F293+H293=D293, "", "Źle!")</f>
        <v/>
      </c>
      <c r="C291" s="84" t="s">
        <v>83</v>
      </c>
      <c r="D291" s="85" t="s">
        <v>84</v>
      </c>
      <c r="E291" s="86"/>
      <c r="F291" s="87" t="s">
        <v>85</v>
      </c>
      <c r="G291" s="88"/>
      <c r="H291" s="89" t="s">
        <v>85</v>
      </c>
    </row>
    <row r="292" spans="2:11" ht="16.5" thickBot="1" x14ac:dyDescent="0.3">
      <c r="B292" s="91">
        <v>0</v>
      </c>
      <c r="C292" s="92">
        <v>1</v>
      </c>
      <c r="D292" s="93">
        <v>2</v>
      </c>
      <c r="E292" s="94">
        <v>3</v>
      </c>
      <c r="F292" s="95">
        <v>4</v>
      </c>
      <c r="G292" s="95">
        <v>5</v>
      </c>
      <c r="H292" s="68">
        <v>6</v>
      </c>
      <c r="J292" s="802" t="str">
        <f>IF(J294="","","k1")</f>
        <v/>
      </c>
      <c r="K292" s="802" t="str">
        <f>IF(K294="","","k2")</f>
        <v/>
      </c>
    </row>
    <row r="293" spans="2:11" ht="24" thickTop="1" x14ac:dyDescent="0.35">
      <c r="B293" s="96" t="s">
        <v>86</v>
      </c>
      <c r="C293" s="345">
        <f t="shared" ref="C293:H293" si="25">SUM(C295:C299)</f>
        <v>1800</v>
      </c>
      <c r="D293" s="346">
        <f t="shared" si="25"/>
        <v>1723.21</v>
      </c>
      <c r="E293" s="347">
        <f t="shared" si="25"/>
        <v>1231</v>
      </c>
      <c r="F293" s="348">
        <f t="shared" si="25"/>
        <v>1191.04</v>
      </c>
      <c r="G293" s="349">
        <f t="shared" si="25"/>
        <v>569</v>
      </c>
      <c r="H293" s="350">
        <f t="shared" si="25"/>
        <v>532.16999999999996</v>
      </c>
      <c r="J293" s="800"/>
      <c r="K293" s="800"/>
    </row>
    <row r="294" spans="2:11" ht="16.5" thickBot="1" x14ac:dyDescent="0.3">
      <c r="B294" s="98" t="s">
        <v>49</v>
      </c>
      <c r="C294" s="904" t="str">
        <f>IF('Tab.4. Losóbzatr_Polska'!C252=C293,"","t4w1k1"&amp;"="&amp;'Tab.4. Losóbzatr_Polska'!C252)</f>
        <v/>
      </c>
      <c r="D294" s="905"/>
      <c r="E294" s="906" t="str">
        <f>IF('Tab.4. Losóbzatr_Polska'!D252=E293,"","t4w1k2"&amp;"="&amp;'Tab.4. Losóbzatr_Polska'!D252)</f>
        <v/>
      </c>
      <c r="F294" s="907"/>
      <c r="G294" s="908" t="str">
        <f>IF('Tab.4. Losóbzatr_Polska'!E252=G293,"","t4w1k3"&amp;"="&amp;'Tab.4. Losóbzatr_Polska'!E252)</f>
        <v/>
      </c>
      <c r="H294" s="909"/>
      <c r="J294" s="804" t="str">
        <f>IF(SUM(J295:J299)=0,"",SUM(E295:E299)+SUM(G295:G299))</f>
        <v/>
      </c>
      <c r="K294" s="804" t="str">
        <f>IF(SUM(K295:K299)=0,"",SUM(F295:F299)+SUM(H295:H299))</f>
        <v/>
      </c>
    </row>
    <row r="295" spans="2:11" ht="19.5" thickTop="1" x14ac:dyDescent="0.3">
      <c r="B295" s="100" t="s">
        <v>87</v>
      </c>
      <c r="C295" s="885">
        <f t="shared" ref="C295:D299" si="26">E295+G295</f>
        <v>29</v>
      </c>
      <c r="D295" s="888">
        <f t="shared" si="26"/>
        <v>28.880000000000003</v>
      </c>
      <c r="E295" s="1343">
        <v>17</v>
      </c>
      <c r="F295" s="1344">
        <v>17</v>
      </c>
      <c r="G295" s="1345">
        <v>12</v>
      </c>
      <c r="H295" s="1346">
        <v>11.88</v>
      </c>
      <c r="J295" s="803" t="str">
        <f t="shared" ref="J295:K299" si="27">IF(E295+G295=C295,"",E295+G295)</f>
        <v/>
      </c>
      <c r="K295" s="804" t="str">
        <f t="shared" si="27"/>
        <v/>
      </c>
    </row>
    <row r="296" spans="2:11" ht="18.75" x14ac:dyDescent="0.3">
      <c r="B296" s="102" t="s">
        <v>88</v>
      </c>
      <c r="C296" s="886">
        <f t="shared" si="26"/>
        <v>1162</v>
      </c>
      <c r="D296" s="889">
        <f t="shared" si="26"/>
        <v>1133.46</v>
      </c>
      <c r="E296" s="1347">
        <v>809</v>
      </c>
      <c r="F296" s="1348">
        <v>793.75</v>
      </c>
      <c r="G296" s="1349">
        <v>353</v>
      </c>
      <c r="H296" s="1350">
        <v>339.71</v>
      </c>
      <c r="J296" s="803" t="str">
        <f t="shared" si="27"/>
        <v/>
      </c>
      <c r="K296" s="804" t="str">
        <f t="shared" si="27"/>
        <v/>
      </c>
    </row>
    <row r="297" spans="2:11" ht="18.75" x14ac:dyDescent="0.3">
      <c r="B297" s="102" t="s">
        <v>89</v>
      </c>
      <c r="C297" s="886">
        <f t="shared" si="26"/>
        <v>116</v>
      </c>
      <c r="D297" s="889">
        <f t="shared" si="26"/>
        <v>88.99</v>
      </c>
      <c r="E297" s="1347">
        <v>58</v>
      </c>
      <c r="F297" s="1348">
        <v>42.91</v>
      </c>
      <c r="G297" s="1349">
        <v>58</v>
      </c>
      <c r="H297" s="1350">
        <v>46.08</v>
      </c>
      <c r="J297" s="803" t="str">
        <f t="shared" si="27"/>
        <v/>
      </c>
      <c r="K297" s="804" t="str">
        <f t="shared" si="27"/>
        <v/>
      </c>
    </row>
    <row r="298" spans="2:11" ht="18.75" x14ac:dyDescent="0.3">
      <c r="B298" s="102" t="s">
        <v>90</v>
      </c>
      <c r="C298" s="886">
        <f t="shared" si="26"/>
        <v>118</v>
      </c>
      <c r="D298" s="889">
        <f t="shared" si="26"/>
        <v>108.88</v>
      </c>
      <c r="E298" s="1347">
        <v>81</v>
      </c>
      <c r="F298" s="1348">
        <v>76.63</v>
      </c>
      <c r="G298" s="1349">
        <v>37</v>
      </c>
      <c r="H298" s="1350">
        <v>32.25</v>
      </c>
      <c r="J298" s="803" t="str">
        <f t="shared" si="27"/>
        <v/>
      </c>
      <c r="K298" s="804" t="str">
        <f t="shared" si="27"/>
        <v/>
      </c>
    </row>
    <row r="299" spans="2:11" ht="19.5" thickBot="1" x14ac:dyDescent="0.35">
      <c r="B299" s="104" t="s">
        <v>91</v>
      </c>
      <c r="C299" s="887">
        <f t="shared" si="26"/>
        <v>375</v>
      </c>
      <c r="D299" s="890">
        <f t="shared" si="26"/>
        <v>363</v>
      </c>
      <c r="E299" s="1351">
        <v>266</v>
      </c>
      <c r="F299" s="1352">
        <v>260.75</v>
      </c>
      <c r="G299" s="1353">
        <v>109</v>
      </c>
      <c r="H299" s="1354">
        <v>102.25</v>
      </c>
      <c r="J299" s="803" t="str">
        <f t="shared" si="27"/>
        <v/>
      </c>
      <c r="K299" s="804" t="str">
        <f t="shared" si="27"/>
        <v/>
      </c>
    </row>
    <row r="300" spans="2:11" ht="13.5" thickTop="1" x14ac:dyDescent="0.2"/>
    <row r="301" spans="2:11" ht="15.75" x14ac:dyDescent="0.25">
      <c r="B301" s="1" t="s">
        <v>92</v>
      </c>
    </row>
    <row r="303" spans="2:11" ht="15.75" x14ac:dyDescent="0.25">
      <c r="B303" s="1"/>
      <c r="G303" s="1604"/>
      <c r="H303" s="1604"/>
    </row>
    <row r="304" spans="2:11" ht="18" x14ac:dyDescent="0.25">
      <c r="B304" s="11" t="s">
        <v>123</v>
      </c>
      <c r="C304" s="27"/>
      <c r="D304" s="27"/>
      <c r="E304" s="27"/>
      <c r="F304" s="27"/>
      <c r="G304" s="1823"/>
      <c r="H304" s="1823"/>
    </row>
    <row r="305" spans="1:8" ht="18" x14ac:dyDescent="0.25">
      <c r="B305" s="11" t="s">
        <v>132</v>
      </c>
      <c r="C305" s="27"/>
      <c r="E305" s="1823" t="s">
        <v>133</v>
      </c>
      <c r="F305" s="1823"/>
      <c r="G305" s="1823"/>
      <c r="H305" s="1823"/>
    </row>
    <row r="306" spans="1:8" ht="18" x14ac:dyDescent="0.25">
      <c r="B306" s="11" t="s">
        <v>137</v>
      </c>
      <c r="C306" s="27"/>
      <c r="E306" s="1823" t="s">
        <v>126</v>
      </c>
      <c r="F306" s="1823"/>
      <c r="G306" s="1823"/>
      <c r="H306" s="1823"/>
    </row>
    <row r="308" spans="1:8" ht="26.25" x14ac:dyDescent="0.25">
      <c r="A308" s="331" t="s">
        <v>201</v>
      </c>
      <c r="B308" s="11" t="s">
        <v>116</v>
      </c>
      <c r="G308" s="1824" t="s">
        <v>70</v>
      </c>
      <c r="H308" s="1824"/>
    </row>
    <row r="309" spans="1:8" ht="18" x14ac:dyDescent="0.25">
      <c r="B309" s="14" t="s">
        <v>129</v>
      </c>
    </row>
    <row r="310" spans="1:8" ht="18" x14ac:dyDescent="0.25">
      <c r="B310" s="11" t="s">
        <v>128</v>
      </c>
      <c r="F310" s="11"/>
    </row>
    <row r="311" spans="1:8" ht="18" x14ac:dyDescent="0.25">
      <c r="B311" s="11"/>
      <c r="F311" s="187"/>
      <c r="G311" s="1825" t="str">
        <f>'Tab.1. bilans_Polska'!$E$59</f>
        <v>Termin: 29 luty 2012 r.</v>
      </c>
      <c r="H311" s="1825"/>
    </row>
    <row r="312" spans="1:8" ht="18" x14ac:dyDescent="0.25">
      <c r="B312" s="11" t="s">
        <v>130</v>
      </c>
    </row>
    <row r="313" spans="1:8" ht="15.75" x14ac:dyDescent="0.25">
      <c r="B313" s="1" t="s">
        <v>131</v>
      </c>
    </row>
    <row r="314" spans="1:8" ht="15.75" x14ac:dyDescent="0.25">
      <c r="B314" s="1"/>
    </row>
    <row r="315" spans="1:8" ht="15.75" x14ac:dyDescent="0.25">
      <c r="B315" s="1"/>
    </row>
    <row r="316" spans="1:8" ht="23.25" x14ac:dyDescent="0.35">
      <c r="B316" s="1655" t="s">
        <v>72</v>
      </c>
      <c r="C316" s="1655"/>
      <c r="D316" s="1655"/>
      <c r="E316" s="1655"/>
      <c r="F316" s="1655"/>
      <c r="G316" s="1655"/>
      <c r="H316" s="1655"/>
    </row>
    <row r="317" spans="1:8" ht="23.25" x14ac:dyDescent="0.35">
      <c r="B317" s="1655" t="s">
        <v>73</v>
      </c>
      <c r="C317" s="1655"/>
      <c r="D317" s="1655"/>
      <c r="E317" s="1655"/>
      <c r="F317" s="1655"/>
      <c r="G317" s="1655"/>
      <c r="H317" s="1655"/>
    </row>
    <row r="318" spans="1:8" ht="23.25" x14ac:dyDescent="0.35">
      <c r="B318" s="1655" t="s">
        <v>75</v>
      </c>
      <c r="C318" s="1655"/>
      <c r="D318" s="1655"/>
      <c r="E318" s="1655"/>
      <c r="F318" s="1655"/>
      <c r="G318" s="1655"/>
      <c r="H318" s="1655"/>
    </row>
    <row r="319" spans="1:8" ht="23.25" x14ac:dyDescent="0.35">
      <c r="B319" s="1807" t="str">
        <f>$B$13</f>
        <v>POWIATOWYCH  I  PODMIOTÓW  NIEPUBLICZNYCH  WG  STANU  NA  31. XII. 2011 r.</v>
      </c>
      <c r="C319" s="1807"/>
      <c r="D319" s="1807"/>
      <c r="E319" s="1807"/>
      <c r="F319" s="1807"/>
      <c r="G319" s="1807"/>
      <c r="H319" s="1807"/>
    </row>
    <row r="320" spans="1:8" ht="13.5" thickBot="1" x14ac:dyDescent="0.25">
      <c r="H320" s="16"/>
    </row>
    <row r="321" spans="2:11" ht="17.25" thickTop="1" x14ac:dyDescent="0.25">
      <c r="B321" s="58"/>
      <c r="C321" s="1828" t="s">
        <v>77</v>
      </c>
      <c r="D321" s="1829"/>
      <c r="E321" s="1832" t="s">
        <v>20</v>
      </c>
      <c r="F321" s="1833"/>
      <c r="G321" s="1833"/>
      <c r="H321" s="1834"/>
    </row>
    <row r="322" spans="2:11" ht="16.5" x14ac:dyDescent="0.25">
      <c r="B322" s="60"/>
      <c r="C322" s="1830"/>
      <c r="D322" s="1831"/>
      <c r="E322" s="1826" t="s">
        <v>78</v>
      </c>
      <c r="F322" s="1827"/>
      <c r="G322" s="1827" t="s">
        <v>79</v>
      </c>
      <c r="H322" s="1835"/>
    </row>
    <row r="323" spans="2:11" ht="20.25" x14ac:dyDescent="0.3">
      <c r="B323" s="59" t="s">
        <v>80</v>
      </c>
      <c r="C323" s="64" t="s">
        <v>4</v>
      </c>
      <c r="D323" s="76" t="s">
        <v>81</v>
      </c>
      <c r="E323" s="77" t="s">
        <v>0</v>
      </c>
      <c r="F323" s="78" t="s">
        <v>115</v>
      </c>
      <c r="G323" s="78" t="s">
        <v>0</v>
      </c>
      <c r="H323" s="79" t="s">
        <v>115</v>
      </c>
    </row>
    <row r="324" spans="2:11" ht="18" x14ac:dyDescent="0.25">
      <c r="B324" s="796" t="str">
        <f>IF(E327+G327=C327, "", "Źle!")</f>
        <v/>
      </c>
      <c r="C324" s="65" t="s">
        <v>8</v>
      </c>
      <c r="D324" s="80" t="s">
        <v>16</v>
      </c>
      <c r="E324" s="81" t="s">
        <v>9</v>
      </c>
      <c r="F324" s="82" t="s">
        <v>82</v>
      </c>
      <c r="G324" s="82" t="s">
        <v>9</v>
      </c>
      <c r="H324" s="83" t="s">
        <v>82</v>
      </c>
    </row>
    <row r="325" spans="2:11" ht="18" x14ac:dyDescent="0.25">
      <c r="B325" s="796" t="str">
        <f>IF(F327+H327=D327, "", "Źle!")</f>
        <v/>
      </c>
      <c r="C325" s="84" t="s">
        <v>83</v>
      </c>
      <c r="D325" s="85" t="s">
        <v>84</v>
      </c>
      <c r="E325" s="86"/>
      <c r="F325" s="87" t="s">
        <v>85</v>
      </c>
      <c r="G325" s="88"/>
      <c r="H325" s="89" t="s">
        <v>85</v>
      </c>
    </row>
    <row r="326" spans="2:11" ht="16.5" thickBot="1" x14ac:dyDescent="0.3">
      <c r="B326" s="91">
        <v>0</v>
      </c>
      <c r="C326" s="92">
        <v>1</v>
      </c>
      <c r="D326" s="93">
        <v>2</v>
      </c>
      <c r="E326" s="94">
        <v>3</v>
      </c>
      <c r="F326" s="95">
        <v>4</v>
      </c>
      <c r="G326" s="95">
        <v>5</v>
      </c>
      <c r="H326" s="68">
        <v>6</v>
      </c>
      <c r="J326" s="802" t="str">
        <f>IF(J328="","","k1")</f>
        <v/>
      </c>
      <c r="K326" s="802" t="str">
        <f>IF(K328="","","k2")</f>
        <v/>
      </c>
    </row>
    <row r="327" spans="2:11" ht="24" thickTop="1" x14ac:dyDescent="0.35">
      <c r="B327" s="96" t="s">
        <v>86</v>
      </c>
      <c r="C327" s="1116">
        <f t="shared" ref="C327:H327" si="28">SUM(C329:C333)</f>
        <v>3137</v>
      </c>
      <c r="D327" s="346">
        <f t="shared" si="28"/>
        <v>2970.66</v>
      </c>
      <c r="E327" s="347">
        <f t="shared" si="28"/>
        <v>2389</v>
      </c>
      <c r="F327" s="348">
        <f t="shared" si="28"/>
        <v>2254.1799999999998</v>
      </c>
      <c r="G327" s="1114">
        <f t="shared" si="28"/>
        <v>748</v>
      </c>
      <c r="H327" s="350">
        <f t="shared" si="28"/>
        <v>716.48</v>
      </c>
      <c r="J327" s="800"/>
      <c r="K327" s="800"/>
    </row>
    <row r="328" spans="2:11" ht="16.5" thickBot="1" x14ac:dyDescent="0.3">
      <c r="B328" s="98" t="s">
        <v>49</v>
      </c>
      <c r="C328" s="904" t="str">
        <f>IF('Tab.4. Losóbzatr_Polska'!C281=C327,"","t4w1k1"&amp;"="&amp;'Tab.4. Losóbzatr_Polska'!C281)</f>
        <v/>
      </c>
      <c r="D328" s="905"/>
      <c r="E328" s="906" t="str">
        <f>IF('Tab.4. Losóbzatr_Polska'!D281=E327,"","t4w1k2"&amp;"="&amp;'Tab.4. Losóbzatr_Polska'!D281)</f>
        <v/>
      </c>
      <c r="F328" s="907"/>
      <c r="G328" s="908" t="str">
        <f>IF('Tab.4. Losóbzatr_Polska'!E281=G327,"","t4w1k3"&amp;"="&amp;'Tab.4. Losóbzatr_Polska'!E281)</f>
        <v/>
      </c>
      <c r="H328" s="909"/>
      <c r="J328" s="804" t="str">
        <f>IF(SUM(J329:J333)=0,"",SUM(E329:E333)+SUM(G329:G333))</f>
        <v/>
      </c>
      <c r="K328" s="804" t="str">
        <f>IF(SUM(K329:K333)=0,"",SUM(F329:F333)+SUM(H329:H333))</f>
        <v/>
      </c>
    </row>
    <row r="329" spans="2:11" ht="19.5" thickTop="1" x14ac:dyDescent="0.3">
      <c r="B329" s="100" t="s">
        <v>87</v>
      </c>
      <c r="C329" s="885">
        <f t="shared" ref="C329:D333" si="29">E329+G329</f>
        <v>58</v>
      </c>
      <c r="D329" s="888">
        <f t="shared" si="29"/>
        <v>55.8</v>
      </c>
      <c r="E329" s="1343">
        <v>36</v>
      </c>
      <c r="F329" s="1344">
        <v>35</v>
      </c>
      <c r="G329" s="1345">
        <v>22</v>
      </c>
      <c r="H329" s="1346">
        <v>20.8</v>
      </c>
      <c r="J329" s="803" t="str">
        <f t="shared" ref="J329:K333" si="30">IF(E329+G329=C329,"",E329+G329)</f>
        <v/>
      </c>
      <c r="K329" s="804" t="str">
        <f t="shared" si="30"/>
        <v/>
      </c>
    </row>
    <row r="330" spans="2:11" ht="18.75" x14ac:dyDescent="0.3">
      <c r="B330" s="102" t="s">
        <v>88</v>
      </c>
      <c r="C330" s="886">
        <f t="shared" si="29"/>
        <v>1442</v>
      </c>
      <c r="D330" s="889">
        <f t="shared" si="29"/>
        <v>1364.24</v>
      </c>
      <c r="E330" s="1347">
        <v>1095</v>
      </c>
      <c r="F330" s="1348">
        <v>1030.56</v>
      </c>
      <c r="G330" s="1349">
        <v>347</v>
      </c>
      <c r="H330" s="1350">
        <v>333.68</v>
      </c>
      <c r="J330" s="803" t="str">
        <f t="shared" si="30"/>
        <v/>
      </c>
      <c r="K330" s="804" t="str">
        <f t="shared" si="30"/>
        <v/>
      </c>
    </row>
    <row r="331" spans="2:11" ht="18.75" x14ac:dyDescent="0.3">
      <c r="B331" s="102" t="s">
        <v>89</v>
      </c>
      <c r="C331" s="886">
        <f t="shared" si="29"/>
        <v>538</v>
      </c>
      <c r="D331" s="889">
        <f t="shared" si="29"/>
        <v>501.51</v>
      </c>
      <c r="E331" s="1347">
        <v>446</v>
      </c>
      <c r="F331" s="1348">
        <v>418.26</v>
      </c>
      <c r="G331" s="1349">
        <v>92</v>
      </c>
      <c r="H331" s="1350">
        <v>83.25</v>
      </c>
      <c r="J331" s="803" t="str">
        <f t="shared" si="30"/>
        <v/>
      </c>
      <c r="K331" s="804" t="str">
        <f t="shared" si="30"/>
        <v/>
      </c>
    </row>
    <row r="332" spans="2:11" ht="18.75" x14ac:dyDescent="0.3">
      <c r="B332" s="102" t="s">
        <v>90</v>
      </c>
      <c r="C332" s="886">
        <f t="shared" si="29"/>
        <v>285</v>
      </c>
      <c r="D332" s="889">
        <f t="shared" si="29"/>
        <v>260.86</v>
      </c>
      <c r="E332" s="1347">
        <v>232</v>
      </c>
      <c r="F332" s="1348">
        <v>211.11</v>
      </c>
      <c r="G332" s="1349">
        <v>53</v>
      </c>
      <c r="H332" s="1350">
        <v>49.75</v>
      </c>
      <c r="J332" s="803" t="str">
        <f t="shared" si="30"/>
        <v/>
      </c>
      <c r="K332" s="804" t="str">
        <f t="shared" si="30"/>
        <v/>
      </c>
    </row>
    <row r="333" spans="2:11" ht="19.5" thickBot="1" x14ac:dyDescent="0.35">
      <c r="B333" s="104" t="s">
        <v>91</v>
      </c>
      <c r="C333" s="931">
        <f t="shared" si="29"/>
        <v>814</v>
      </c>
      <c r="D333" s="890">
        <f t="shared" si="29"/>
        <v>788.25</v>
      </c>
      <c r="E333" s="1351">
        <v>580</v>
      </c>
      <c r="F333" s="1352">
        <v>559.25</v>
      </c>
      <c r="G333" s="1353">
        <v>234</v>
      </c>
      <c r="H333" s="1354">
        <v>229</v>
      </c>
      <c r="J333" s="803" t="str">
        <f t="shared" si="30"/>
        <v/>
      </c>
      <c r="K333" s="804" t="str">
        <f t="shared" si="30"/>
        <v/>
      </c>
    </row>
    <row r="334" spans="2:11" ht="13.5" thickTop="1" x14ac:dyDescent="0.2"/>
    <row r="335" spans="2:11" ht="15.75" x14ac:dyDescent="0.25">
      <c r="B335" s="1" t="s">
        <v>92</v>
      </c>
    </row>
    <row r="337" spans="1:8" ht="15.75" x14ac:dyDescent="0.25">
      <c r="B337" s="1"/>
      <c r="G337" s="1604"/>
      <c r="H337" s="1604"/>
    </row>
    <row r="338" spans="1:8" ht="18" x14ac:dyDescent="0.25">
      <c r="B338" s="11" t="s">
        <v>123</v>
      </c>
      <c r="C338" s="27"/>
      <c r="D338" s="27"/>
      <c r="E338" s="27"/>
      <c r="F338" s="27"/>
      <c r="G338" s="1823"/>
      <c r="H338" s="1823"/>
    </row>
    <row r="339" spans="1:8" ht="18" x14ac:dyDescent="0.25">
      <c r="B339" s="11" t="s">
        <v>132</v>
      </c>
      <c r="C339" s="27"/>
      <c r="E339" s="1823" t="s">
        <v>133</v>
      </c>
      <c r="F339" s="1823"/>
      <c r="G339" s="1823"/>
      <c r="H339" s="1823"/>
    </row>
    <row r="340" spans="1:8" ht="18" x14ac:dyDescent="0.25">
      <c r="B340" s="11" t="s">
        <v>137</v>
      </c>
      <c r="C340" s="27"/>
      <c r="E340" s="1823" t="s">
        <v>126</v>
      </c>
      <c r="F340" s="1823"/>
      <c r="G340" s="1823"/>
      <c r="H340" s="1823"/>
    </row>
    <row r="341" spans="1:8" ht="26.25" x14ac:dyDescent="0.2">
      <c r="A341" s="331" t="s">
        <v>202</v>
      </c>
    </row>
    <row r="342" spans="1:8" ht="18" x14ac:dyDescent="0.25">
      <c r="B342" s="11" t="s">
        <v>116</v>
      </c>
      <c r="G342" s="1824" t="s">
        <v>70</v>
      </c>
      <c r="H342" s="1824"/>
    </row>
    <row r="343" spans="1:8" ht="18" x14ac:dyDescent="0.25">
      <c r="B343" s="14" t="s">
        <v>129</v>
      </c>
    </row>
    <row r="344" spans="1:8" ht="18" x14ac:dyDescent="0.25">
      <c r="B344" s="11" t="s">
        <v>128</v>
      </c>
      <c r="F344" s="11"/>
    </row>
    <row r="345" spans="1:8" ht="18" x14ac:dyDescent="0.25">
      <c r="B345" s="11"/>
      <c r="F345" s="187"/>
      <c r="G345" s="1825" t="str">
        <f>'Tab.1. bilans_Polska'!$E$59</f>
        <v>Termin: 29 luty 2012 r.</v>
      </c>
      <c r="H345" s="1825"/>
    </row>
    <row r="346" spans="1:8" ht="18" x14ac:dyDescent="0.25">
      <c r="B346" s="11" t="s">
        <v>130</v>
      </c>
    </row>
    <row r="347" spans="1:8" ht="15.75" x14ac:dyDescent="0.25">
      <c r="B347" s="1" t="s">
        <v>131</v>
      </c>
    </row>
    <row r="348" spans="1:8" ht="15.75" x14ac:dyDescent="0.25">
      <c r="B348" s="1"/>
    </row>
    <row r="349" spans="1:8" ht="15.75" x14ac:dyDescent="0.25">
      <c r="B349" s="1"/>
    </row>
    <row r="350" spans="1:8" ht="23.25" x14ac:dyDescent="0.35">
      <c r="B350" s="1655" t="s">
        <v>72</v>
      </c>
      <c r="C350" s="1655"/>
      <c r="D350" s="1655"/>
      <c r="E350" s="1655"/>
      <c r="F350" s="1655"/>
      <c r="G350" s="1655"/>
      <c r="H350" s="1655"/>
    </row>
    <row r="351" spans="1:8" ht="23.25" x14ac:dyDescent="0.35">
      <c r="B351" s="1655" t="s">
        <v>73</v>
      </c>
      <c r="C351" s="1655"/>
      <c r="D351" s="1655"/>
      <c r="E351" s="1655"/>
      <c r="F351" s="1655"/>
      <c r="G351" s="1655"/>
      <c r="H351" s="1655"/>
    </row>
    <row r="352" spans="1:8" ht="23.25" x14ac:dyDescent="0.35">
      <c r="B352" s="1655" t="s">
        <v>75</v>
      </c>
      <c r="C352" s="1655"/>
      <c r="D352" s="1655"/>
      <c r="E352" s="1655"/>
      <c r="F352" s="1655"/>
      <c r="G352" s="1655"/>
      <c r="H352" s="1655"/>
    </row>
    <row r="353" spans="2:11" ht="23.25" x14ac:dyDescent="0.35">
      <c r="B353" s="1807" t="str">
        <f>$B$13</f>
        <v>POWIATOWYCH  I  PODMIOTÓW  NIEPUBLICZNYCH  WG  STANU  NA  31. XII. 2011 r.</v>
      </c>
      <c r="C353" s="1807"/>
      <c r="D353" s="1807"/>
      <c r="E353" s="1807"/>
      <c r="F353" s="1807"/>
      <c r="G353" s="1807"/>
      <c r="H353" s="1807"/>
    </row>
    <row r="354" spans="2:11" ht="13.5" thickBot="1" x14ac:dyDescent="0.25">
      <c r="H354" s="16"/>
    </row>
    <row r="355" spans="2:11" ht="17.25" thickTop="1" x14ac:dyDescent="0.25">
      <c r="B355" s="58"/>
      <c r="C355" s="1828" t="s">
        <v>77</v>
      </c>
      <c r="D355" s="1829"/>
      <c r="E355" s="1832" t="s">
        <v>20</v>
      </c>
      <c r="F355" s="1833"/>
      <c r="G355" s="1833"/>
      <c r="H355" s="1834"/>
    </row>
    <row r="356" spans="2:11" ht="16.5" x14ac:dyDescent="0.25">
      <c r="B356" s="60"/>
      <c r="C356" s="1830"/>
      <c r="D356" s="1831"/>
      <c r="E356" s="1826" t="s">
        <v>78</v>
      </c>
      <c r="F356" s="1827"/>
      <c r="G356" s="1827" t="s">
        <v>79</v>
      </c>
      <c r="H356" s="1835"/>
    </row>
    <row r="357" spans="2:11" ht="20.25" x14ac:dyDescent="0.3">
      <c r="B357" s="59" t="s">
        <v>80</v>
      </c>
      <c r="C357" s="64" t="s">
        <v>4</v>
      </c>
      <c r="D357" s="76" t="s">
        <v>81</v>
      </c>
      <c r="E357" s="77" t="s">
        <v>0</v>
      </c>
      <c r="F357" s="78" t="s">
        <v>115</v>
      </c>
      <c r="G357" s="78" t="s">
        <v>0</v>
      </c>
      <c r="H357" s="79" t="s">
        <v>115</v>
      </c>
    </row>
    <row r="358" spans="2:11" ht="18" x14ac:dyDescent="0.25">
      <c r="B358" s="796" t="str">
        <f>IF(E361+G361=C361, "", "Źle!")</f>
        <v/>
      </c>
      <c r="C358" s="65" t="s">
        <v>8</v>
      </c>
      <c r="D358" s="80" t="s">
        <v>16</v>
      </c>
      <c r="E358" s="81" t="s">
        <v>9</v>
      </c>
      <c r="F358" s="82" t="s">
        <v>82</v>
      </c>
      <c r="G358" s="82" t="s">
        <v>9</v>
      </c>
      <c r="H358" s="83" t="s">
        <v>82</v>
      </c>
    </row>
    <row r="359" spans="2:11" ht="18" x14ac:dyDescent="0.25">
      <c r="B359" s="796" t="str">
        <f>IF(F361+H361=D361, "", "Źle!")</f>
        <v/>
      </c>
      <c r="C359" s="84" t="s">
        <v>83</v>
      </c>
      <c r="D359" s="85" t="s">
        <v>84</v>
      </c>
      <c r="E359" s="86"/>
      <c r="F359" s="87" t="s">
        <v>85</v>
      </c>
      <c r="G359" s="88"/>
      <c r="H359" s="89" t="s">
        <v>85</v>
      </c>
    </row>
    <row r="360" spans="2:11" ht="16.5" thickBot="1" x14ac:dyDescent="0.3">
      <c r="B360" s="91">
        <v>0</v>
      </c>
      <c r="C360" s="92">
        <v>1</v>
      </c>
      <c r="D360" s="93">
        <v>2</v>
      </c>
      <c r="E360" s="94">
        <v>3</v>
      </c>
      <c r="F360" s="95">
        <v>4</v>
      </c>
      <c r="G360" s="95">
        <v>5</v>
      </c>
      <c r="H360" s="68">
        <v>6</v>
      </c>
      <c r="J360" s="802" t="str">
        <f>IF(J362="","","k1")</f>
        <v/>
      </c>
      <c r="K360" s="802" t="str">
        <f>IF(K362="","","k2")</f>
        <v/>
      </c>
    </row>
    <row r="361" spans="2:11" ht="24" thickTop="1" x14ac:dyDescent="0.35">
      <c r="B361" s="96" t="s">
        <v>86</v>
      </c>
      <c r="C361" s="345">
        <f t="shared" ref="C361:H361" si="31">SUM(C363:C367)</f>
        <v>1659</v>
      </c>
      <c r="D361" s="346">
        <f t="shared" si="31"/>
        <v>1599.27</v>
      </c>
      <c r="E361" s="347">
        <f t="shared" si="31"/>
        <v>1351</v>
      </c>
      <c r="F361" s="348">
        <f t="shared" si="31"/>
        <v>1312.0700000000002</v>
      </c>
      <c r="G361" s="349">
        <f t="shared" si="31"/>
        <v>308</v>
      </c>
      <c r="H361" s="350">
        <f t="shared" si="31"/>
        <v>287.2</v>
      </c>
      <c r="J361" s="800"/>
      <c r="K361" s="800"/>
    </row>
    <row r="362" spans="2:11" ht="16.5" thickBot="1" x14ac:dyDescent="0.3">
      <c r="B362" s="98" t="s">
        <v>49</v>
      </c>
      <c r="C362" s="910" t="str">
        <f>IF('Tab.4. Losóbzatr_Polska'!C310=C361,"","t4w1k1"&amp;"="&amp;'Tab.4. Losóbzatr_Polska'!C310)</f>
        <v/>
      </c>
      <c r="D362" s="911"/>
      <c r="E362" s="912" t="str">
        <f>IF('Tab.4. Losóbzatr_Polska'!D310=E361,"","t4w1k2"&amp;"="&amp;'Tab.4. Losóbzatr_Polska'!D310)</f>
        <v/>
      </c>
      <c r="F362" s="913"/>
      <c r="G362" s="914" t="str">
        <f>IF('Tab.4. Losóbzatr_Polska'!E310=G361,"","t4w1k3"&amp;"="&amp;'Tab.4. Losóbzatr_Polska'!E310)</f>
        <v/>
      </c>
      <c r="H362" s="915"/>
      <c r="J362" s="804" t="str">
        <f>IF(SUM(J363:J367)=0,"",SUM(E363:E367)+SUM(G363:G367))</f>
        <v/>
      </c>
      <c r="K362" s="804" t="str">
        <f>IF(SUM(K363:K367)=0,"",SUM(F363:F367)+SUM(H363:H367))</f>
        <v/>
      </c>
    </row>
    <row r="363" spans="2:11" ht="19.5" thickTop="1" x14ac:dyDescent="0.3">
      <c r="B363" s="100" t="s">
        <v>87</v>
      </c>
      <c r="C363" s="885">
        <f t="shared" ref="C363:D367" si="32">E363+G363</f>
        <v>27</v>
      </c>
      <c r="D363" s="888">
        <f t="shared" si="32"/>
        <v>26.5</v>
      </c>
      <c r="E363" s="1343">
        <v>21</v>
      </c>
      <c r="F363" s="1344">
        <v>21</v>
      </c>
      <c r="G363" s="1345">
        <v>6</v>
      </c>
      <c r="H363" s="1346">
        <v>5.5</v>
      </c>
      <c r="J363" s="803" t="str">
        <f t="shared" ref="J363:K367" si="33">IF(E363+G363=C363,"",E363+G363)</f>
        <v/>
      </c>
      <c r="K363" s="804" t="str">
        <f t="shared" si="33"/>
        <v/>
      </c>
    </row>
    <row r="364" spans="2:11" ht="18.75" x14ac:dyDescent="0.3">
      <c r="B364" s="102" t="s">
        <v>88</v>
      </c>
      <c r="C364" s="886">
        <f t="shared" si="32"/>
        <v>915</v>
      </c>
      <c r="D364" s="889">
        <f t="shared" si="32"/>
        <v>879</v>
      </c>
      <c r="E364" s="1347">
        <v>731</v>
      </c>
      <c r="F364" s="1348">
        <v>704.6</v>
      </c>
      <c r="G364" s="1349">
        <v>184</v>
      </c>
      <c r="H364" s="1350">
        <v>174.4</v>
      </c>
      <c r="J364" s="803" t="str">
        <f t="shared" si="33"/>
        <v/>
      </c>
      <c r="K364" s="804" t="str">
        <f t="shared" si="33"/>
        <v/>
      </c>
    </row>
    <row r="365" spans="2:11" ht="18.75" x14ac:dyDescent="0.3">
      <c r="B365" s="102" t="s">
        <v>89</v>
      </c>
      <c r="C365" s="886">
        <f t="shared" si="32"/>
        <v>299</v>
      </c>
      <c r="D365" s="889">
        <f t="shared" si="32"/>
        <v>286.76</v>
      </c>
      <c r="E365" s="1347">
        <v>263</v>
      </c>
      <c r="F365" s="1348">
        <v>253.5</v>
      </c>
      <c r="G365" s="1349">
        <v>36</v>
      </c>
      <c r="H365" s="1350">
        <v>33.26</v>
      </c>
      <c r="J365" s="803" t="str">
        <f t="shared" si="33"/>
        <v/>
      </c>
      <c r="K365" s="804" t="str">
        <f t="shared" si="33"/>
        <v/>
      </c>
    </row>
    <row r="366" spans="2:11" ht="18.75" x14ac:dyDescent="0.3">
      <c r="B366" s="102" t="s">
        <v>90</v>
      </c>
      <c r="C366" s="886">
        <f t="shared" si="32"/>
        <v>109</v>
      </c>
      <c r="D366" s="889">
        <f t="shared" si="32"/>
        <v>102.92</v>
      </c>
      <c r="E366" s="1347">
        <v>88</v>
      </c>
      <c r="F366" s="1348">
        <v>85.3</v>
      </c>
      <c r="G366" s="1349">
        <v>21</v>
      </c>
      <c r="H366" s="1350">
        <v>17.62</v>
      </c>
      <c r="J366" s="803" t="str">
        <f t="shared" si="33"/>
        <v/>
      </c>
      <c r="K366" s="804" t="str">
        <f t="shared" si="33"/>
        <v/>
      </c>
    </row>
    <row r="367" spans="2:11" ht="19.5" thickBot="1" x14ac:dyDescent="0.35">
      <c r="B367" s="104" t="s">
        <v>91</v>
      </c>
      <c r="C367" s="887">
        <f t="shared" si="32"/>
        <v>309</v>
      </c>
      <c r="D367" s="890">
        <f t="shared" si="32"/>
        <v>304.08999999999997</v>
      </c>
      <c r="E367" s="1351">
        <v>248</v>
      </c>
      <c r="F367" s="1352">
        <v>247.67</v>
      </c>
      <c r="G367" s="1353">
        <v>61</v>
      </c>
      <c r="H367" s="1354">
        <v>56.42</v>
      </c>
      <c r="J367" s="803" t="str">
        <f t="shared" si="33"/>
        <v/>
      </c>
      <c r="K367" s="804" t="str">
        <f t="shared" si="33"/>
        <v/>
      </c>
    </row>
    <row r="368" spans="2:11" ht="13.5" thickTop="1" x14ac:dyDescent="0.2"/>
    <row r="369" spans="1:8" ht="15.75" x14ac:dyDescent="0.25">
      <c r="B369" s="1" t="s">
        <v>92</v>
      </c>
    </row>
    <row r="371" spans="1:8" ht="15.75" x14ac:dyDescent="0.25">
      <c r="B371" s="1"/>
      <c r="G371" s="1604"/>
      <c r="H371" s="1604"/>
    </row>
    <row r="372" spans="1:8" ht="18" x14ac:dyDescent="0.25">
      <c r="B372" s="11" t="s">
        <v>123</v>
      </c>
      <c r="C372" s="27"/>
      <c r="D372" s="27"/>
      <c r="E372" s="27"/>
      <c r="F372" s="27"/>
      <c r="G372" s="1823"/>
      <c r="H372" s="1823"/>
    </row>
    <row r="373" spans="1:8" ht="18" x14ac:dyDescent="0.25">
      <c r="B373" s="11" t="s">
        <v>132</v>
      </c>
      <c r="C373" s="27"/>
      <c r="E373" s="1823" t="s">
        <v>133</v>
      </c>
      <c r="F373" s="1823"/>
      <c r="G373" s="1823"/>
      <c r="H373" s="1823"/>
    </row>
    <row r="374" spans="1:8" ht="18" x14ac:dyDescent="0.25">
      <c r="B374" s="11" t="s">
        <v>137</v>
      </c>
      <c r="C374" s="27"/>
      <c r="E374" s="1823" t="s">
        <v>126</v>
      </c>
      <c r="F374" s="1823"/>
      <c r="G374" s="1823"/>
      <c r="H374" s="1823"/>
    </row>
    <row r="375" spans="1:8" ht="26.25" x14ac:dyDescent="0.2">
      <c r="A375" s="331" t="s">
        <v>203</v>
      </c>
    </row>
    <row r="376" spans="1:8" ht="18" x14ac:dyDescent="0.25">
      <c r="B376" s="11" t="s">
        <v>116</v>
      </c>
      <c r="G376" s="1824" t="s">
        <v>70</v>
      </c>
      <c r="H376" s="1824"/>
    </row>
    <row r="377" spans="1:8" ht="18" x14ac:dyDescent="0.25">
      <c r="B377" s="14" t="s">
        <v>129</v>
      </c>
    </row>
    <row r="378" spans="1:8" ht="18" x14ac:dyDescent="0.25">
      <c r="B378" s="11" t="s">
        <v>128</v>
      </c>
      <c r="F378" s="11"/>
    </row>
    <row r="379" spans="1:8" ht="18" x14ac:dyDescent="0.25">
      <c r="B379" s="11"/>
      <c r="F379" s="187"/>
      <c r="G379" s="1825" t="str">
        <f>'Tab.1. bilans_Polska'!$E$59</f>
        <v>Termin: 29 luty 2012 r.</v>
      </c>
      <c r="H379" s="1825"/>
    </row>
    <row r="380" spans="1:8" ht="18" x14ac:dyDescent="0.25">
      <c r="B380" s="11" t="s">
        <v>130</v>
      </c>
    </row>
    <row r="381" spans="1:8" ht="15.75" x14ac:dyDescent="0.25">
      <c r="B381" s="1" t="s">
        <v>131</v>
      </c>
    </row>
    <row r="382" spans="1:8" ht="15.75" x14ac:dyDescent="0.25">
      <c r="B382" s="1"/>
    </row>
    <row r="383" spans="1:8" ht="15.75" x14ac:dyDescent="0.25">
      <c r="B383" s="1"/>
    </row>
    <row r="384" spans="1:8" ht="23.25" x14ac:dyDescent="0.35">
      <c r="B384" s="1655" t="s">
        <v>72</v>
      </c>
      <c r="C384" s="1655"/>
      <c r="D384" s="1655"/>
      <c r="E384" s="1655"/>
      <c r="F384" s="1655"/>
      <c r="G384" s="1655"/>
      <c r="H384" s="1655"/>
    </row>
    <row r="385" spans="2:11" ht="23.25" x14ac:dyDescent="0.35">
      <c r="B385" s="1655" t="s">
        <v>73</v>
      </c>
      <c r="C385" s="1655"/>
      <c r="D385" s="1655"/>
      <c r="E385" s="1655"/>
      <c r="F385" s="1655"/>
      <c r="G385" s="1655"/>
      <c r="H385" s="1655"/>
    </row>
    <row r="386" spans="2:11" ht="23.25" x14ac:dyDescent="0.35">
      <c r="B386" s="1655" t="s">
        <v>75</v>
      </c>
      <c r="C386" s="1655"/>
      <c r="D386" s="1655"/>
      <c r="E386" s="1655"/>
      <c r="F386" s="1655"/>
      <c r="G386" s="1655"/>
      <c r="H386" s="1655"/>
    </row>
    <row r="387" spans="2:11" ht="23.25" x14ac:dyDescent="0.35">
      <c r="B387" s="1807" t="str">
        <f>$B$13</f>
        <v>POWIATOWYCH  I  PODMIOTÓW  NIEPUBLICZNYCH  WG  STANU  NA  31. XII. 2011 r.</v>
      </c>
      <c r="C387" s="1807"/>
      <c r="D387" s="1807"/>
      <c r="E387" s="1807"/>
      <c r="F387" s="1807"/>
      <c r="G387" s="1807"/>
      <c r="H387" s="1807"/>
    </row>
    <row r="388" spans="2:11" ht="13.5" thickBot="1" x14ac:dyDescent="0.25">
      <c r="H388" s="16"/>
    </row>
    <row r="389" spans="2:11" ht="17.25" thickTop="1" x14ac:dyDescent="0.25">
      <c r="B389" s="58"/>
      <c r="C389" s="1828" t="s">
        <v>77</v>
      </c>
      <c r="D389" s="1829"/>
      <c r="E389" s="1832" t="s">
        <v>20</v>
      </c>
      <c r="F389" s="1833"/>
      <c r="G389" s="1833"/>
      <c r="H389" s="1834"/>
    </row>
    <row r="390" spans="2:11" ht="16.5" x14ac:dyDescent="0.25">
      <c r="B390" s="60"/>
      <c r="C390" s="1830"/>
      <c r="D390" s="1831"/>
      <c r="E390" s="1826" t="s">
        <v>78</v>
      </c>
      <c r="F390" s="1827"/>
      <c r="G390" s="1827" t="s">
        <v>79</v>
      </c>
      <c r="H390" s="1835"/>
    </row>
    <row r="391" spans="2:11" ht="20.25" x14ac:dyDescent="0.3">
      <c r="B391" s="59" t="s">
        <v>80</v>
      </c>
      <c r="C391" s="64" t="s">
        <v>4</v>
      </c>
      <c r="D391" s="76" t="s">
        <v>81</v>
      </c>
      <c r="E391" s="77" t="s">
        <v>0</v>
      </c>
      <c r="F391" s="78" t="s">
        <v>115</v>
      </c>
      <c r="G391" s="78" t="s">
        <v>0</v>
      </c>
      <c r="H391" s="79" t="s">
        <v>115</v>
      </c>
    </row>
    <row r="392" spans="2:11" ht="18" x14ac:dyDescent="0.25">
      <c r="B392" s="796" t="str">
        <f>IF(E395+G395=C395, "", "Źle!")</f>
        <v/>
      </c>
      <c r="C392" s="65" t="s">
        <v>8</v>
      </c>
      <c r="D392" s="80" t="s">
        <v>16</v>
      </c>
      <c r="E392" s="81" t="s">
        <v>9</v>
      </c>
      <c r="F392" s="82" t="s">
        <v>82</v>
      </c>
      <c r="G392" s="82" t="s">
        <v>9</v>
      </c>
      <c r="H392" s="83" t="s">
        <v>82</v>
      </c>
    </row>
    <row r="393" spans="2:11" ht="18" x14ac:dyDescent="0.25">
      <c r="B393" s="796" t="str">
        <f>IF(F395+H395=D395, "", "Źle!")</f>
        <v/>
      </c>
      <c r="C393" s="84" t="s">
        <v>83</v>
      </c>
      <c r="D393" s="85" t="s">
        <v>84</v>
      </c>
      <c r="E393" s="86"/>
      <c r="F393" s="87" t="s">
        <v>85</v>
      </c>
      <c r="G393" s="88"/>
      <c r="H393" s="89" t="s">
        <v>85</v>
      </c>
    </row>
    <row r="394" spans="2:11" ht="16.5" thickBot="1" x14ac:dyDescent="0.3">
      <c r="B394" s="91">
        <v>0</v>
      </c>
      <c r="C394" s="92">
        <v>1</v>
      </c>
      <c r="D394" s="93">
        <v>2</v>
      </c>
      <c r="E394" s="94">
        <v>3</v>
      </c>
      <c r="F394" s="95">
        <v>4</v>
      </c>
      <c r="G394" s="95">
        <v>5</v>
      </c>
      <c r="H394" s="68">
        <v>6</v>
      </c>
      <c r="J394" s="802" t="str">
        <f>IF(J396="","","k1")</f>
        <v/>
      </c>
      <c r="K394" s="802" t="str">
        <f>IF(K396="","","k2")</f>
        <v/>
      </c>
    </row>
    <row r="395" spans="2:11" ht="24" thickTop="1" x14ac:dyDescent="0.35">
      <c r="B395" s="96" t="s">
        <v>86</v>
      </c>
      <c r="C395" s="345">
        <f t="shared" ref="C395:H395" si="34">SUM(C397:C401)</f>
        <v>2411</v>
      </c>
      <c r="D395" s="929">
        <f>SUM(D397:D401)</f>
        <v>2339.06</v>
      </c>
      <c r="E395" s="347">
        <f t="shared" si="34"/>
        <v>2046</v>
      </c>
      <c r="F395" s="348">
        <f t="shared" si="34"/>
        <v>1984.02</v>
      </c>
      <c r="G395" s="349">
        <f t="shared" si="34"/>
        <v>365</v>
      </c>
      <c r="H395" s="350">
        <f t="shared" si="34"/>
        <v>355.03999999999996</v>
      </c>
      <c r="J395" s="800"/>
      <c r="K395" s="800"/>
    </row>
    <row r="396" spans="2:11" ht="16.5" thickBot="1" x14ac:dyDescent="0.3">
      <c r="B396" s="98" t="s">
        <v>49</v>
      </c>
      <c r="C396" s="904" t="str">
        <f>IF('Tab.4. Losóbzatr_Polska'!C339=C395,"","t4w1k1"&amp;"="&amp;'Tab.4. Losóbzatr_Polska'!C339)</f>
        <v/>
      </c>
      <c r="D396" s="905"/>
      <c r="E396" s="916" t="str">
        <f>IF('Tab.4. Losóbzatr_Polska'!D339=E395,"","t4w1k2"&amp;"="&amp;'Tab.4. Losóbzatr_Polska'!D339)</f>
        <v/>
      </c>
      <c r="F396" s="917"/>
      <c r="G396" s="918" t="str">
        <f>IF('Tab.4. Losóbzatr_Polska'!E339=G395,"","t4w1k3"&amp;"="&amp;'Tab.4. Losóbzatr_Polska'!E339)</f>
        <v/>
      </c>
      <c r="H396" s="919"/>
      <c r="J396" s="804" t="str">
        <f>IF(SUM(J397:J401)=0,"",SUM(E397:E401)+SUM(G397:G401))</f>
        <v/>
      </c>
      <c r="K396" s="804" t="str">
        <f>IF(SUM(K397:K401)=0,"",SUM(F397:F401)+SUM(H397:H401))</f>
        <v/>
      </c>
    </row>
    <row r="397" spans="2:11" ht="19.5" thickTop="1" x14ac:dyDescent="0.3">
      <c r="B397" s="100" t="s">
        <v>87</v>
      </c>
      <c r="C397" s="885">
        <f t="shared" ref="C397:D401" si="35">E397+G397</f>
        <v>39</v>
      </c>
      <c r="D397" s="888">
        <f t="shared" si="35"/>
        <v>37.700000000000003</v>
      </c>
      <c r="E397" s="1343">
        <v>31</v>
      </c>
      <c r="F397" s="1344">
        <v>30</v>
      </c>
      <c r="G397" s="1345">
        <v>8</v>
      </c>
      <c r="H397" s="1346">
        <v>7.7</v>
      </c>
      <c r="J397" s="803" t="str">
        <f t="shared" ref="J397:K401" si="36">IF(E397+G397=C397,"",E397+G397)</f>
        <v/>
      </c>
      <c r="K397" s="804" t="str">
        <f t="shared" si="36"/>
        <v/>
      </c>
    </row>
    <row r="398" spans="2:11" ht="18.75" x14ac:dyDescent="0.3">
      <c r="B398" s="102" t="s">
        <v>88</v>
      </c>
      <c r="C398" s="886">
        <f t="shared" si="35"/>
        <v>1454</v>
      </c>
      <c r="D398" s="889">
        <f t="shared" si="35"/>
        <v>1420.13</v>
      </c>
      <c r="E398" s="1347">
        <v>1213</v>
      </c>
      <c r="F398" s="1348">
        <v>1186</v>
      </c>
      <c r="G398" s="1349">
        <v>241</v>
      </c>
      <c r="H398" s="1350">
        <v>234.13</v>
      </c>
      <c r="J398" s="803" t="str">
        <f t="shared" si="36"/>
        <v/>
      </c>
      <c r="K398" s="804" t="str">
        <f t="shared" si="36"/>
        <v/>
      </c>
    </row>
    <row r="399" spans="2:11" ht="18.75" x14ac:dyDescent="0.3">
      <c r="B399" s="102" t="s">
        <v>89</v>
      </c>
      <c r="C399" s="886">
        <f t="shared" si="35"/>
        <v>279</v>
      </c>
      <c r="D399" s="889">
        <f t="shared" si="35"/>
        <v>256.58999999999997</v>
      </c>
      <c r="E399" s="1347">
        <v>255</v>
      </c>
      <c r="F399" s="1348">
        <v>233.38</v>
      </c>
      <c r="G399" s="1349">
        <v>24</v>
      </c>
      <c r="H399" s="1350">
        <v>23.21</v>
      </c>
      <c r="J399" s="803" t="str">
        <f t="shared" si="36"/>
        <v/>
      </c>
      <c r="K399" s="804" t="str">
        <f t="shared" si="36"/>
        <v/>
      </c>
    </row>
    <row r="400" spans="2:11" ht="18.75" x14ac:dyDescent="0.3">
      <c r="B400" s="102" t="s">
        <v>90</v>
      </c>
      <c r="C400" s="886">
        <f t="shared" si="35"/>
        <v>180</v>
      </c>
      <c r="D400" s="889">
        <f t="shared" si="35"/>
        <v>173.84</v>
      </c>
      <c r="E400" s="1347">
        <v>159</v>
      </c>
      <c r="F400" s="1348">
        <v>153.03</v>
      </c>
      <c r="G400" s="1349">
        <v>21</v>
      </c>
      <c r="H400" s="1350">
        <v>20.81</v>
      </c>
      <c r="J400" s="803" t="str">
        <f t="shared" si="36"/>
        <v/>
      </c>
      <c r="K400" s="804" t="str">
        <f t="shared" si="36"/>
        <v/>
      </c>
    </row>
    <row r="401" spans="1:11" ht="19.5" thickBot="1" x14ac:dyDescent="0.35">
      <c r="B401" s="104" t="s">
        <v>91</v>
      </c>
      <c r="C401" s="887">
        <f t="shared" si="35"/>
        <v>459</v>
      </c>
      <c r="D401" s="890">
        <f t="shared" si="35"/>
        <v>450.8</v>
      </c>
      <c r="E401" s="1351">
        <v>388</v>
      </c>
      <c r="F401" s="1352">
        <v>381.61</v>
      </c>
      <c r="G401" s="1353">
        <v>71</v>
      </c>
      <c r="H401" s="1354">
        <v>69.19</v>
      </c>
      <c r="J401" s="803" t="str">
        <f t="shared" si="36"/>
        <v/>
      </c>
      <c r="K401" s="804" t="str">
        <f t="shared" si="36"/>
        <v/>
      </c>
    </row>
    <row r="402" spans="1:11" ht="13.5" thickTop="1" x14ac:dyDescent="0.2"/>
    <row r="403" spans="1:11" ht="15.75" x14ac:dyDescent="0.25">
      <c r="B403" s="1" t="s">
        <v>92</v>
      </c>
    </row>
    <row r="405" spans="1:11" ht="15.75" x14ac:dyDescent="0.25">
      <c r="B405" s="1"/>
      <c r="G405" s="1604"/>
      <c r="H405" s="1604"/>
    </row>
    <row r="406" spans="1:11" ht="18" x14ac:dyDescent="0.25">
      <c r="B406" s="11" t="s">
        <v>123</v>
      </c>
      <c r="C406" s="27"/>
      <c r="D406" s="27"/>
      <c r="E406" s="27"/>
      <c r="F406" s="27"/>
      <c r="G406" s="1823"/>
      <c r="H406" s="1823"/>
    </row>
    <row r="407" spans="1:11" ht="18" x14ac:dyDescent="0.25">
      <c r="B407" s="11" t="s">
        <v>132</v>
      </c>
      <c r="C407" s="27"/>
      <c r="E407" s="1823" t="s">
        <v>133</v>
      </c>
      <c r="F407" s="1823"/>
      <c r="G407" s="1823"/>
      <c r="H407" s="1823"/>
    </row>
    <row r="408" spans="1:11" ht="18" x14ac:dyDescent="0.25">
      <c r="B408" s="11" t="s">
        <v>137</v>
      </c>
      <c r="C408" s="27"/>
      <c r="E408" s="1823" t="s">
        <v>126</v>
      </c>
      <c r="F408" s="1823"/>
      <c r="G408" s="1823"/>
      <c r="H408" s="1823"/>
    </row>
    <row r="409" spans="1:11" ht="26.25" x14ac:dyDescent="0.2">
      <c r="A409" s="331" t="s">
        <v>204</v>
      </c>
    </row>
    <row r="410" spans="1:11" ht="18" x14ac:dyDescent="0.25">
      <c r="B410" s="11" t="s">
        <v>116</v>
      </c>
      <c r="G410" s="1824" t="s">
        <v>70</v>
      </c>
      <c r="H410" s="1824"/>
    </row>
    <row r="411" spans="1:11" ht="18" x14ac:dyDescent="0.25">
      <c r="B411" s="14" t="s">
        <v>129</v>
      </c>
    </row>
    <row r="412" spans="1:11" ht="18" x14ac:dyDescent="0.25">
      <c r="B412" s="11" t="s">
        <v>128</v>
      </c>
      <c r="F412" s="11"/>
    </row>
    <row r="413" spans="1:11" ht="18" x14ac:dyDescent="0.25">
      <c r="B413" s="11"/>
      <c r="F413" s="187"/>
      <c r="G413" s="1825" t="str">
        <f>'Tab.1. bilans_Polska'!$E$59</f>
        <v>Termin: 29 luty 2012 r.</v>
      </c>
      <c r="H413" s="1825"/>
    </row>
    <row r="414" spans="1:11" ht="18" x14ac:dyDescent="0.25">
      <c r="B414" s="11" t="s">
        <v>130</v>
      </c>
    </row>
    <row r="415" spans="1:11" ht="15.75" x14ac:dyDescent="0.25">
      <c r="B415" s="1" t="s">
        <v>131</v>
      </c>
    </row>
    <row r="416" spans="1:11" ht="15.75" x14ac:dyDescent="0.25">
      <c r="B416" s="1"/>
    </row>
    <row r="417" spans="2:11" ht="15.75" x14ac:dyDescent="0.25">
      <c r="B417" s="1"/>
    </row>
    <row r="418" spans="2:11" ht="23.25" x14ac:dyDescent="0.35">
      <c r="B418" s="1655" t="s">
        <v>72</v>
      </c>
      <c r="C418" s="1655"/>
      <c r="D418" s="1655"/>
      <c r="E418" s="1655"/>
      <c r="F418" s="1655"/>
      <c r="G418" s="1655"/>
      <c r="H418" s="1655"/>
    </row>
    <row r="419" spans="2:11" ht="23.25" x14ac:dyDescent="0.35">
      <c r="B419" s="1655" t="s">
        <v>73</v>
      </c>
      <c r="C419" s="1655"/>
      <c r="D419" s="1655"/>
      <c r="E419" s="1655"/>
      <c r="F419" s="1655"/>
      <c r="G419" s="1655"/>
      <c r="H419" s="1655"/>
    </row>
    <row r="420" spans="2:11" ht="23.25" x14ac:dyDescent="0.35">
      <c r="B420" s="1655" t="s">
        <v>75</v>
      </c>
      <c r="C420" s="1655"/>
      <c r="D420" s="1655"/>
      <c r="E420" s="1655"/>
      <c r="F420" s="1655"/>
      <c r="G420" s="1655"/>
      <c r="H420" s="1655"/>
    </row>
    <row r="421" spans="2:11" ht="23.25" x14ac:dyDescent="0.35">
      <c r="B421" s="1807" t="str">
        <f>$B$13</f>
        <v>POWIATOWYCH  I  PODMIOTÓW  NIEPUBLICZNYCH  WG  STANU  NA  31. XII. 2011 r.</v>
      </c>
      <c r="C421" s="1807"/>
      <c r="D421" s="1807"/>
      <c r="E421" s="1807"/>
      <c r="F421" s="1807"/>
      <c r="G421" s="1807"/>
      <c r="H421" s="1807"/>
    </row>
    <row r="422" spans="2:11" ht="13.5" thickBot="1" x14ac:dyDescent="0.25">
      <c r="H422" s="16"/>
    </row>
    <row r="423" spans="2:11" ht="17.25" thickTop="1" x14ac:dyDescent="0.25">
      <c r="B423" s="58"/>
      <c r="C423" s="1828" t="s">
        <v>77</v>
      </c>
      <c r="D423" s="1829"/>
      <c r="E423" s="1832" t="s">
        <v>20</v>
      </c>
      <c r="F423" s="1833"/>
      <c r="G423" s="1833"/>
      <c r="H423" s="1834"/>
    </row>
    <row r="424" spans="2:11" ht="16.5" x14ac:dyDescent="0.25">
      <c r="B424" s="60"/>
      <c r="C424" s="1830"/>
      <c r="D424" s="1831"/>
      <c r="E424" s="1826" t="s">
        <v>78</v>
      </c>
      <c r="F424" s="1827"/>
      <c r="G424" s="1827" t="s">
        <v>79</v>
      </c>
      <c r="H424" s="1835"/>
    </row>
    <row r="425" spans="2:11" ht="20.25" x14ac:dyDescent="0.3">
      <c r="B425" s="59" t="s">
        <v>80</v>
      </c>
      <c r="C425" s="64" t="s">
        <v>4</v>
      </c>
      <c r="D425" s="76" t="s">
        <v>81</v>
      </c>
      <c r="E425" s="77" t="s">
        <v>0</v>
      </c>
      <c r="F425" s="78" t="s">
        <v>115</v>
      </c>
      <c r="G425" s="78" t="s">
        <v>0</v>
      </c>
      <c r="H425" s="79" t="s">
        <v>115</v>
      </c>
    </row>
    <row r="426" spans="2:11" ht="18" x14ac:dyDescent="0.25">
      <c r="B426" s="796" t="str">
        <f>IF(E429+G429=C429, "", "Źle!")</f>
        <v/>
      </c>
      <c r="C426" s="65" t="s">
        <v>8</v>
      </c>
      <c r="D426" s="80" t="s">
        <v>16</v>
      </c>
      <c r="E426" s="81" t="s">
        <v>9</v>
      </c>
      <c r="F426" s="82" t="s">
        <v>82</v>
      </c>
      <c r="G426" s="82" t="s">
        <v>9</v>
      </c>
      <c r="H426" s="83" t="s">
        <v>82</v>
      </c>
    </row>
    <row r="427" spans="2:11" ht="18" x14ac:dyDescent="0.25">
      <c r="B427" s="796" t="str">
        <f>IF(F429+H429=D429, "", "Źle!")</f>
        <v/>
      </c>
      <c r="C427" s="84" t="s">
        <v>83</v>
      </c>
      <c r="D427" s="85" t="s">
        <v>84</v>
      </c>
      <c r="E427" s="86"/>
      <c r="F427" s="87" t="s">
        <v>85</v>
      </c>
      <c r="G427" s="88"/>
      <c r="H427" s="89" t="s">
        <v>85</v>
      </c>
    </row>
    <row r="428" spans="2:11" ht="16.5" thickBot="1" x14ac:dyDescent="0.3">
      <c r="B428" s="91">
        <v>0</v>
      </c>
      <c r="C428" s="92">
        <v>1</v>
      </c>
      <c r="D428" s="93">
        <v>2</v>
      </c>
      <c r="E428" s="94">
        <v>3</v>
      </c>
      <c r="F428" s="95">
        <v>4</v>
      </c>
      <c r="G428" s="95">
        <v>5</v>
      </c>
      <c r="H428" s="68">
        <v>6</v>
      </c>
      <c r="J428" s="802" t="str">
        <f>IF(J430="","","k1")</f>
        <v/>
      </c>
      <c r="K428" s="802" t="str">
        <f>IF(K430="","","k2")</f>
        <v/>
      </c>
    </row>
    <row r="429" spans="2:11" ht="24" thickTop="1" x14ac:dyDescent="0.35">
      <c r="B429" s="96" t="s">
        <v>86</v>
      </c>
      <c r="C429" s="1116">
        <f t="shared" ref="C429:H429" si="37">SUM(C431:C435)</f>
        <v>5406</v>
      </c>
      <c r="D429" s="929">
        <f t="shared" si="37"/>
        <v>5119.82</v>
      </c>
      <c r="E429" s="347">
        <f t="shared" si="37"/>
        <v>3431</v>
      </c>
      <c r="F429" s="348">
        <f t="shared" si="37"/>
        <v>3273.66</v>
      </c>
      <c r="G429" s="1114">
        <f t="shared" si="37"/>
        <v>1975</v>
      </c>
      <c r="H429" s="350">
        <f t="shared" si="37"/>
        <v>1846.1599999999999</v>
      </c>
      <c r="J429" s="800"/>
      <c r="K429" s="800"/>
    </row>
    <row r="430" spans="2:11" ht="16.5" thickBot="1" x14ac:dyDescent="0.3">
      <c r="B430" s="98" t="s">
        <v>49</v>
      </c>
      <c r="C430" s="892" t="str">
        <f>IF('Tab.4. Losóbzatr_Polska'!C368=C429,"","t4w1k1"&amp;"="&amp;'Tab.4. Losóbzatr_Polska'!C368)</f>
        <v/>
      </c>
      <c r="D430" s="893"/>
      <c r="E430" s="894" t="str">
        <f>IF('Tab.4. Losóbzatr_Polska'!D368=E429,"","t4w1k2"&amp;"="&amp;'Tab.4. Losóbzatr_Polska'!D368)</f>
        <v/>
      </c>
      <c r="F430" s="895"/>
      <c r="G430" s="896" t="str">
        <f>IF('Tab.4. Losóbzatr_Polska'!E368=G429,"","t4w1k3"&amp;"="&amp;'Tab.4. Losóbzatr_Polska'!E368)</f>
        <v/>
      </c>
      <c r="H430" s="897"/>
      <c r="J430" s="804" t="str">
        <f>IF(SUM(J431:J435)=0,"",SUM(E431:E435)+SUM(G431:G435))</f>
        <v/>
      </c>
      <c r="K430" s="804" t="str">
        <f>IF(SUM(K431:K435)=0,"",SUM(F431:F435)+SUM(H431:H435))</f>
        <v/>
      </c>
    </row>
    <row r="431" spans="2:11" ht="19.5" thickTop="1" x14ac:dyDescent="0.3">
      <c r="B431" s="100" t="s">
        <v>87</v>
      </c>
      <c r="C431" s="885">
        <f t="shared" ref="C431:D435" si="38">E431+G431</f>
        <v>105</v>
      </c>
      <c r="D431" s="888">
        <f t="shared" si="38"/>
        <v>103</v>
      </c>
      <c r="E431" s="1343">
        <v>47</v>
      </c>
      <c r="F431" s="1344">
        <v>47</v>
      </c>
      <c r="G431" s="1345">
        <v>58</v>
      </c>
      <c r="H431" s="1346">
        <v>56</v>
      </c>
      <c r="J431" s="803" t="str">
        <f t="shared" ref="J431:K435" si="39">IF(E431+G431=C431,"",E431+G431)</f>
        <v/>
      </c>
      <c r="K431" s="804" t="str">
        <f t="shared" si="39"/>
        <v/>
      </c>
    </row>
    <row r="432" spans="2:11" ht="18.75" x14ac:dyDescent="0.3">
      <c r="B432" s="102" t="s">
        <v>88</v>
      </c>
      <c r="C432" s="886">
        <f t="shared" si="38"/>
        <v>2846</v>
      </c>
      <c r="D432" s="889">
        <f t="shared" si="38"/>
        <v>2727.93</v>
      </c>
      <c r="E432" s="1347">
        <v>1788</v>
      </c>
      <c r="F432" s="1348">
        <v>1724.25</v>
      </c>
      <c r="G432" s="1349">
        <v>1058</v>
      </c>
      <c r="H432" s="1350">
        <v>1003.68</v>
      </c>
      <c r="J432" s="803" t="str">
        <f t="shared" si="39"/>
        <v/>
      </c>
      <c r="K432" s="804" t="str">
        <f t="shared" si="39"/>
        <v/>
      </c>
    </row>
    <row r="433" spans="1:11" ht="18.75" x14ac:dyDescent="0.3">
      <c r="B433" s="102" t="s">
        <v>89</v>
      </c>
      <c r="C433" s="1115">
        <f t="shared" si="38"/>
        <v>640</v>
      </c>
      <c r="D433" s="934">
        <f t="shared" si="38"/>
        <v>573.49</v>
      </c>
      <c r="E433" s="1347">
        <v>416</v>
      </c>
      <c r="F433" s="1356">
        <v>386.27</v>
      </c>
      <c r="G433" s="1355">
        <v>224</v>
      </c>
      <c r="H433" s="1350">
        <v>187.22</v>
      </c>
      <c r="J433" s="803" t="str">
        <f t="shared" si="39"/>
        <v/>
      </c>
      <c r="K433" s="804" t="str">
        <f t="shared" si="39"/>
        <v/>
      </c>
    </row>
    <row r="434" spans="1:11" ht="18.75" x14ac:dyDescent="0.3">
      <c r="B434" s="102" t="s">
        <v>90</v>
      </c>
      <c r="C434" s="886">
        <f t="shared" si="38"/>
        <v>463</v>
      </c>
      <c r="D434" s="889">
        <f t="shared" si="38"/>
        <v>426.24</v>
      </c>
      <c r="E434" s="1347">
        <v>338</v>
      </c>
      <c r="F434" s="1348">
        <v>308.48</v>
      </c>
      <c r="G434" s="1349">
        <v>125</v>
      </c>
      <c r="H434" s="1350">
        <v>117.76</v>
      </c>
      <c r="J434" s="803" t="str">
        <f t="shared" si="39"/>
        <v/>
      </c>
      <c r="K434" s="804" t="str">
        <f t="shared" si="39"/>
        <v/>
      </c>
    </row>
    <row r="435" spans="1:11" ht="19.5" thickBot="1" x14ac:dyDescent="0.35">
      <c r="B435" s="104" t="s">
        <v>91</v>
      </c>
      <c r="C435" s="887">
        <f t="shared" si="38"/>
        <v>1352</v>
      </c>
      <c r="D435" s="890">
        <f t="shared" si="38"/>
        <v>1289.1599999999999</v>
      </c>
      <c r="E435" s="1351">
        <v>842</v>
      </c>
      <c r="F435" s="1352">
        <v>807.66</v>
      </c>
      <c r="G435" s="1353">
        <v>510</v>
      </c>
      <c r="H435" s="1354">
        <v>481.5</v>
      </c>
      <c r="J435" s="803" t="str">
        <f t="shared" si="39"/>
        <v/>
      </c>
      <c r="K435" s="804" t="str">
        <f t="shared" si="39"/>
        <v/>
      </c>
    </row>
    <row r="436" spans="1:11" ht="13.5" thickTop="1" x14ac:dyDescent="0.2"/>
    <row r="437" spans="1:11" ht="15.75" x14ac:dyDescent="0.25">
      <c r="B437" s="1" t="s">
        <v>92</v>
      </c>
    </row>
    <row r="439" spans="1:11" ht="15.75" x14ac:dyDescent="0.25">
      <c r="B439" s="1"/>
      <c r="G439" s="1604"/>
      <c r="H439" s="1604"/>
    </row>
    <row r="440" spans="1:11" ht="18" x14ac:dyDescent="0.25">
      <c r="B440" s="11" t="s">
        <v>123</v>
      </c>
      <c r="C440" s="27"/>
      <c r="D440" s="27"/>
      <c r="E440" s="27"/>
      <c r="F440" s="27"/>
      <c r="G440" s="1823"/>
      <c r="H440" s="1823"/>
    </row>
    <row r="441" spans="1:11" ht="18" x14ac:dyDescent="0.25">
      <c r="B441" s="11" t="s">
        <v>132</v>
      </c>
      <c r="C441" s="27"/>
      <c r="E441" s="1823" t="s">
        <v>133</v>
      </c>
      <c r="F441" s="1823"/>
      <c r="G441" s="1823"/>
      <c r="H441" s="1823"/>
    </row>
    <row r="442" spans="1:11" ht="18" x14ac:dyDescent="0.25">
      <c r="B442" s="11" t="s">
        <v>137</v>
      </c>
      <c r="C442" s="27"/>
      <c r="E442" s="1823" t="s">
        <v>126</v>
      </c>
      <c r="F442" s="1823"/>
      <c r="G442" s="1823"/>
      <c r="H442" s="1823"/>
    </row>
    <row r="444" spans="1:11" ht="26.25" x14ac:dyDescent="0.25">
      <c r="A444" s="331" t="s">
        <v>205</v>
      </c>
      <c r="B444" s="11" t="s">
        <v>116</v>
      </c>
      <c r="G444" s="1824" t="s">
        <v>70</v>
      </c>
      <c r="H444" s="1824"/>
    </row>
    <row r="445" spans="1:11" ht="18" x14ac:dyDescent="0.25">
      <c r="B445" s="14" t="s">
        <v>129</v>
      </c>
    </row>
    <row r="446" spans="1:11" ht="18" x14ac:dyDescent="0.25">
      <c r="B446" s="11" t="s">
        <v>128</v>
      </c>
      <c r="F446" s="11"/>
    </row>
    <row r="447" spans="1:11" ht="18" x14ac:dyDescent="0.25">
      <c r="B447" s="11"/>
      <c r="F447" s="187"/>
      <c r="G447" s="1825" t="str">
        <f>'Tab.1. bilans_Polska'!$E$59</f>
        <v>Termin: 29 luty 2012 r.</v>
      </c>
      <c r="H447" s="1825"/>
    </row>
    <row r="448" spans="1:11" ht="18" x14ac:dyDescent="0.25">
      <c r="B448" s="11" t="s">
        <v>130</v>
      </c>
    </row>
    <row r="449" spans="2:12" ht="15.75" x14ac:dyDescent="0.25">
      <c r="B449" s="1" t="s">
        <v>131</v>
      </c>
    </row>
    <row r="450" spans="2:12" ht="15.75" x14ac:dyDescent="0.25">
      <c r="B450" s="1"/>
    </row>
    <row r="451" spans="2:12" ht="15.75" x14ac:dyDescent="0.25">
      <c r="B451" s="1"/>
    </row>
    <row r="452" spans="2:12" ht="23.25" x14ac:dyDescent="0.35">
      <c r="B452" s="1655" t="s">
        <v>72</v>
      </c>
      <c r="C452" s="1655"/>
      <c r="D452" s="1655"/>
      <c r="E452" s="1655"/>
      <c r="F452" s="1655"/>
      <c r="G452" s="1655"/>
      <c r="H452" s="1655"/>
    </row>
    <row r="453" spans="2:12" ht="23.25" x14ac:dyDescent="0.35">
      <c r="B453" s="1655" t="s">
        <v>73</v>
      </c>
      <c r="C453" s="1655"/>
      <c r="D453" s="1655"/>
      <c r="E453" s="1655"/>
      <c r="F453" s="1655"/>
      <c r="G453" s="1655"/>
      <c r="H453" s="1655"/>
    </row>
    <row r="454" spans="2:12" ht="23.25" x14ac:dyDescent="0.35">
      <c r="B454" s="1655" t="s">
        <v>75</v>
      </c>
      <c r="C454" s="1655"/>
      <c r="D454" s="1655"/>
      <c r="E454" s="1655"/>
      <c r="F454" s="1655"/>
      <c r="G454" s="1655"/>
      <c r="H454" s="1655"/>
    </row>
    <row r="455" spans="2:12" ht="23.25" x14ac:dyDescent="0.35">
      <c r="B455" s="1807" t="str">
        <f>$B$13</f>
        <v>POWIATOWYCH  I  PODMIOTÓW  NIEPUBLICZNYCH  WG  STANU  NA  31. XII. 2011 r.</v>
      </c>
      <c r="C455" s="1807"/>
      <c r="D455" s="1807"/>
      <c r="E455" s="1807"/>
      <c r="F455" s="1807"/>
      <c r="G455" s="1807"/>
      <c r="H455" s="1807"/>
    </row>
    <row r="456" spans="2:12" ht="13.5" thickBot="1" x14ac:dyDescent="0.25">
      <c r="H456" s="16"/>
    </row>
    <row r="457" spans="2:12" ht="17.25" thickTop="1" x14ac:dyDescent="0.25">
      <c r="B457" s="58"/>
      <c r="C457" s="1828" t="s">
        <v>77</v>
      </c>
      <c r="D457" s="1829"/>
      <c r="E457" s="1832" t="s">
        <v>20</v>
      </c>
      <c r="F457" s="1833"/>
      <c r="G457" s="1833"/>
      <c r="H457" s="1834"/>
    </row>
    <row r="458" spans="2:12" ht="16.5" x14ac:dyDescent="0.25">
      <c r="B458" s="60"/>
      <c r="C458" s="1830"/>
      <c r="D458" s="1831"/>
      <c r="E458" s="1826" t="s">
        <v>78</v>
      </c>
      <c r="F458" s="1827"/>
      <c r="G458" s="1827" t="s">
        <v>79</v>
      </c>
      <c r="H458" s="1835"/>
    </row>
    <row r="459" spans="2:12" ht="20.25" x14ac:dyDescent="0.3">
      <c r="B459" s="59" t="s">
        <v>80</v>
      </c>
      <c r="C459" s="64" t="s">
        <v>4</v>
      </c>
      <c r="D459" s="76" t="s">
        <v>81</v>
      </c>
      <c r="E459" s="77" t="s">
        <v>0</v>
      </c>
      <c r="F459" s="78" t="s">
        <v>115</v>
      </c>
      <c r="G459" s="78" t="s">
        <v>0</v>
      </c>
      <c r="H459" s="79" t="s">
        <v>115</v>
      </c>
    </row>
    <row r="460" spans="2:12" ht="18" x14ac:dyDescent="0.25">
      <c r="B460" s="796" t="str">
        <f>IF(E463+G463=C463, "", "Źle!")</f>
        <v/>
      </c>
      <c r="C460" s="65" t="s">
        <v>8</v>
      </c>
      <c r="D460" s="80" t="s">
        <v>16</v>
      </c>
      <c r="E460" s="81" t="s">
        <v>9</v>
      </c>
      <c r="F460" s="82" t="s">
        <v>82</v>
      </c>
      <c r="G460" s="82" t="s">
        <v>9</v>
      </c>
      <c r="H460" s="83" t="s">
        <v>82</v>
      </c>
    </row>
    <row r="461" spans="2:12" ht="18" x14ac:dyDescent="0.25">
      <c r="B461" s="796" t="str">
        <f>IF(F463+H463=D463, "", "Źle!")</f>
        <v/>
      </c>
      <c r="C461" s="84" t="s">
        <v>83</v>
      </c>
      <c r="D461" s="85" t="s">
        <v>84</v>
      </c>
      <c r="E461" s="86"/>
      <c r="F461" s="87" t="s">
        <v>85</v>
      </c>
      <c r="G461" s="88"/>
      <c r="H461" s="89" t="s">
        <v>85</v>
      </c>
    </row>
    <row r="462" spans="2:12" ht="16.5" thickBot="1" x14ac:dyDescent="0.3">
      <c r="B462" s="91">
        <v>0</v>
      </c>
      <c r="C462" s="92">
        <v>1</v>
      </c>
      <c r="D462" s="93">
        <v>2</v>
      </c>
      <c r="E462" s="94">
        <v>3</v>
      </c>
      <c r="F462" s="95">
        <v>4</v>
      </c>
      <c r="G462" s="95">
        <v>5</v>
      </c>
      <c r="H462" s="68">
        <v>6</v>
      </c>
      <c r="J462" s="802" t="str">
        <f>IF(J464="","","k1")</f>
        <v/>
      </c>
      <c r="K462" s="802" t="str">
        <f>IF(K464="","","k2")</f>
        <v/>
      </c>
    </row>
    <row r="463" spans="2:12" ht="24" thickTop="1" x14ac:dyDescent="0.35">
      <c r="B463" s="96" t="s">
        <v>86</v>
      </c>
      <c r="C463" s="345">
        <f t="shared" ref="C463:H463" si="40">SUM(C465:C469)</f>
        <v>2160</v>
      </c>
      <c r="D463" s="346">
        <f>SUM(D465:D469)</f>
        <v>2103.1000000000004</v>
      </c>
      <c r="E463" s="347">
        <f t="shared" si="40"/>
        <v>1867</v>
      </c>
      <c r="F463" s="348">
        <f t="shared" si="40"/>
        <v>1830.17</v>
      </c>
      <c r="G463" s="349">
        <f t="shared" si="40"/>
        <v>293</v>
      </c>
      <c r="H463" s="350">
        <f t="shared" si="40"/>
        <v>272.93000000000006</v>
      </c>
      <c r="J463" s="800"/>
      <c r="K463" s="800"/>
      <c r="L463" s="411"/>
    </row>
    <row r="464" spans="2:12" ht="16.5" thickBot="1" x14ac:dyDescent="0.3">
      <c r="B464" s="98" t="s">
        <v>49</v>
      </c>
      <c r="C464" s="904" t="str">
        <f>IF('Tab.4. Losóbzatr_Polska'!C397=C463,"","t4w1k1"&amp;"="&amp;'Tab.4. Losóbzatr_Polska'!C397)</f>
        <v/>
      </c>
      <c r="D464" s="905"/>
      <c r="E464" s="906" t="str">
        <f>IF('Tab.4. Losóbzatr_Polska'!D397=E463,"","t4w1k2"&amp;"="&amp;'Tab.4. Losóbzatr_Polska'!D397)</f>
        <v/>
      </c>
      <c r="F464" s="907"/>
      <c r="G464" s="908" t="str">
        <f>IF('Tab.4. Losóbzatr_Polska'!E397=G463,"","t4w1k3"&amp;"="&amp;'Tab.4. Losóbzatr_Polska'!E397)</f>
        <v/>
      </c>
      <c r="H464" s="909"/>
      <c r="J464" s="804" t="str">
        <f>IF(SUM(J465:J469)=0,"",SUM(E465:E469)+SUM(G465:G469))</f>
        <v/>
      </c>
      <c r="K464" s="804" t="str">
        <f>IF(SUM(K465:K469)=0,"",SUM(F465:F469)+SUM(H465:H469))</f>
        <v/>
      </c>
    </row>
    <row r="465" spans="1:11" ht="19.5" thickTop="1" x14ac:dyDescent="0.3">
      <c r="B465" s="100" t="s">
        <v>87</v>
      </c>
      <c r="C465" s="885">
        <f t="shared" ref="C465:D469" si="41">E465+G465</f>
        <v>36</v>
      </c>
      <c r="D465" s="888">
        <f t="shared" si="41"/>
        <v>35.25</v>
      </c>
      <c r="E465" s="1343">
        <v>29</v>
      </c>
      <c r="F465" s="1344">
        <v>29</v>
      </c>
      <c r="G465" s="1345">
        <v>7</v>
      </c>
      <c r="H465" s="1346">
        <v>6.25</v>
      </c>
      <c r="J465" s="803" t="str">
        <f t="shared" ref="J465:K469" si="42">IF(E465+G465=C465,"",E465+G465)</f>
        <v/>
      </c>
      <c r="K465" s="804" t="str">
        <f t="shared" si="42"/>
        <v/>
      </c>
    </row>
    <row r="466" spans="1:11" ht="18.75" x14ac:dyDescent="0.3">
      <c r="B466" s="102" t="s">
        <v>88</v>
      </c>
      <c r="C466" s="886">
        <f t="shared" si="41"/>
        <v>938</v>
      </c>
      <c r="D466" s="889">
        <f t="shared" si="41"/>
        <v>911.96</v>
      </c>
      <c r="E466" s="1347">
        <v>790</v>
      </c>
      <c r="F466" s="1348">
        <v>774.38</v>
      </c>
      <c r="G466" s="1349">
        <v>148</v>
      </c>
      <c r="H466" s="1350">
        <v>137.58000000000001</v>
      </c>
      <c r="J466" s="803" t="str">
        <f t="shared" si="42"/>
        <v/>
      </c>
      <c r="K466" s="804" t="str">
        <f t="shared" si="42"/>
        <v/>
      </c>
    </row>
    <row r="467" spans="1:11" ht="18.75" x14ac:dyDescent="0.3">
      <c r="B467" s="102" t="s">
        <v>89</v>
      </c>
      <c r="C467" s="886">
        <f t="shared" si="41"/>
        <v>521</v>
      </c>
      <c r="D467" s="889">
        <f t="shared" si="41"/>
        <v>500.24</v>
      </c>
      <c r="E467" s="1347">
        <v>473</v>
      </c>
      <c r="F467" s="1348">
        <v>457.66</v>
      </c>
      <c r="G467" s="1349">
        <v>48</v>
      </c>
      <c r="H467" s="1350">
        <v>42.58</v>
      </c>
      <c r="J467" s="803" t="str">
        <f t="shared" si="42"/>
        <v/>
      </c>
      <c r="K467" s="804" t="str">
        <f t="shared" si="42"/>
        <v/>
      </c>
    </row>
    <row r="468" spans="1:11" ht="18.75" x14ac:dyDescent="0.3">
      <c r="B468" s="102" t="s">
        <v>90</v>
      </c>
      <c r="C468" s="886">
        <f t="shared" si="41"/>
        <v>183</v>
      </c>
      <c r="D468" s="889">
        <f t="shared" si="41"/>
        <v>178.87</v>
      </c>
      <c r="E468" s="1347">
        <v>162</v>
      </c>
      <c r="F468" s="1348">
        <v>159.75</v>
      </c>
      <c r="G468" s="1349">
        <v>21</v>
      </c>
      <c r="H468" s="1350">
        <v>19.12</v>
      </c>
      <c r="J468" s="803" t="str">
        <f t="shared" si="42"/>
        <v/>
      </c>
      <c r="K468" s="804" t="str">
        <f t="shared" si="42"/>
        <v/>
      </c>
    </row>
    <row r="469" spans="1:11" ht="19.5" thickBot="1" x14ac:dyDescent="0.35">
      <c r="B469" s="104" t="s">
        <v>91</v>
      </c>
      <c r="C469" s="887">
        <f t="shared" si="41"/>
        <v>482</v>
      </c>
      <c r="D469" s="890">
        <f t="shared" si="41"/>
        <v>476.78</v>
      </c>
      <c r="E469" s="1351">
        <v>413</v>
      </c>
      <c r="F469" s="1352">
        <v>409.38</v>
      </c>
      <c r="G469" s="1353">
        <v>69</v>
      </c>
      <c r="H469" s="1354">
        <v>67.400000000000006</v>
      </c>
      <c r="J469" s="803" t="str">
        <f t="shared" si="42"/>
        <v/>
      </c>
      <c r="K469" s="804" t="str">
        <f t="shared" si="42"/>
        <v/>
      </c>
    </row>
    <row r="470" spans="1:11" ht="13.5" thickTop="1" x14ac:dyDescent="0.2"/>
    <row r="471" spans="1:11" ht="15.75" x14ac:dyDescent="0.25">
      <c r="B471" s="1" t="s">
        <v>92</v>
      </c>
    </row>
    <row r="473" spans="1:11" ht="15.75" x14ac:dyDescent="0.25">
      <c r="B473" s="1"/>
      <c r="G473" s="1604"/>
      <c r="H473" s="1604"/>
    </row>
    <row r="474" spans="1:11" ht="18" x14ac:dyDescent="0.25">
      <c r="B474" s="11" t="s">
        <v>123</v>
      </c>
      <c r="C474" s="27"/>
      <c r="D474" s="27"/>
      <c r="E474" s="27"/>
      <c r="F474" s="27"/>
      <c r="G474" s="1823"/>
      <c r="H474" s="1823"/>
    </row>
    <row r="475" spans="1:11" ht="18" x14ac:dyDescent="0.25">
      <c r="B475" s="11" t="s">
        <v>132</v>
      </c>
      <c r="C475" s="27"/>
      <c r="E475" s="1823" t="s">
        <v>133</v>
      </c>
      <c r="F475" s="1823"/>
      <c r="G475" s="1823"/>
      <c r="H475" s="1823"/>
    </row>
    <row r="476" spans="1:11" ht="18" x14ac:dyDescent="0.25">
      <c r="B476" s="11" t="s">
        <v>137</v>
      </c>
      <c r="C476" s="27"/>
      <c r="E476" s="1823" t="s">
        <v>126</v>
      </c>
      <c r="F476" s="1823"/>
      <c r="G476" s="1823"/>
      <c r="H476" s="1823"/>
    </row>
    <row r="478" spans="1:11" ht="26.25" x14ac:dyDescent="0.25">
      <c r="A478" s="331" t="s">
        <v>206</v>
      </c>
      <c r="B478" s="11" t="s">
        <v>116</v>
      </c>
      <c r="G478" s="1824" t="s">
        <v>70</v>
      </c>
      <c r="H478" s="1824"/>
    </row>
    <row r="479" spans="1:11" ht="18" x14ac:dyDescent="0.25">
      <c r="B479" s="14" t="s">
        <v>129</v>
      </c>
    </row>
    <row r="480" spans="1:11" ht="18" x14ac:dyDescent="0.25">
      <c r="B480" s="11" t="s">
        <v>128</v>
      </c>
      <c r="F480" s="11"/>
    </row>
    <row r="481" spans="2:11" ht="18" x14ac:dyDescent="0.25">
      <c r="B481" s="11"/>
      <c r="F481" s="187"/>
      <c r="G481" s="1825" t="str">
        <f>'Tab.1. bilans_Polska'!$E$59</f>
        <v>Termin: 29 luty 2012 r.</v>
      </c>
      <c r="H481" s="1825"/>
    </row>
    <row r="482" spans="2:11" ht="18" x14ac:dyDescent="0.25">
      <c r="B482" s="11" t="s">
        <v>130</v>
      </c>
    </row>
    <row r="483" spans="2:11" ht="15.75" x14ac:dyDescent="0.25">
      <c r="B483" s="1" t="s">
        <v>131</v>
      </c>
    </row>
    <row r="484" spans="2:11" ht="15.75" x14ac:dyDescent="0.25">
      <c r="B484" s="1"/>
    </row>
    <row r="485" spans="2:11" ht="15.75" x14ac:dyDescent="0.25">
      <c r="B485" s="1"/>
    </row>
    <row r="486" spans="2:11" ht="23.25" x14ac:dyDescent="0.35">
      <c r="B486" s="1655" t="s">
        <v>72</v>
      </c>
      <c r="C486" s="1655"/>
      <c r="D486" s="1655"/>
      <c r="E486" s="1655"/>
      <c r="F486" s="1655"/>
      <c r="G486" s="1655"/>
      <c r="H486" s="1655"/>
    </row>
    <row r="487" spans="2:11" ht="23.25" x14ac:dyDescent="0.35">
      <c r="B487" s="1655" t="s">
        <v>73</v>
      </c>
      <c r="C487" s="1655"/>
      <c r="D487" s="1655"/>
      <c r="E487" s="1655"/>
      <c r="F487" s="1655"/>
      <c r="G487" s="1655"/>
      <c r="H487" s="1655"/>
    </row>
    <row r="488" spans="2:11" ht="23.25" x14ac:dyDescent="0.35">
      <c r="B488" s="1655" t="s">
        <v>75</v>
      </c>
      <c r="C488" s="1655"/>
      <c r="D488" s="1655"/>
      <c r="E488" s="1655"/>
      <c r="F488" s="1655"/>
      <c r="G488" s="1655"/>
      <c r="H488" s="1655"/>
    </row>
    <row r="489" spans="2:11" ht="23.25" x14ac:dyDescent="0.35">
      <c r="B489" s="1807" t="str">
        <f>$B$13</f>
        <v>POWIATOWYCH  I  PODMIOTÓW  NIEPUBLICZNYCH  WG  STANU  NA  31. XII. 2011 r.</v>
      </c>
      <c r="C489" s="1807"/>
      <c r="D489" s="1807"/>
      <c r="E489" s="1807"/>
      <c r="F489" s="1807"/>
      <c r="G489" s="1807"/>
      <c r="H489" s="1807"/>
    </row>
    <row r="490" spans="2:11" ht="13.5" thickBot="1" x14ac:dyDescent="0.25">
      <c r="H490" s="16"/>
    </row>
    <row r="491" spans="2:11" ht="17.25" thickTop="1" x14ac:dyDescent="0.25">
      <c r="B491" s="58"/>
      <c r="C491" s="1828" t="s">
        <v>77</v>
      </c>
      <c r="D491" s="1829"/>
      <c r="E491" s="1832" t="s">
        <v>20</v>
      </c>
      <c r="F491" s="1833"/>
      <c r="G491" s="1833"/>
      <c r="H491" s="1834"/>
    </row>
    <row r="492" spans="2:11" ht="16.5" x14ac:dyDescent="0.25">
      <c r="B492" s="60"/>
      <c r="C492" s="1830"/>
      <c r="D492" s="1831"/>
      <c r="E492" s="1826" t="s">
        <v>78</v>
      </c>
      <c r="F492" s="1827"/>
      <c r="G492" s="1827" t="s">
        <v>79</v>
      </c>
      <c r="H492" s="1835"/>
    </row>
    <row r="493" spans="2:11" ht="20.25" x14ac:dyDescent="0.3">
      <c r="B493" s="59" t="s">
        <v>80</v>
      </c>
      <c r="C493" s="64" t="s">
        <v>4</v>
      </c>
      <c r="D493" s="76" t="s">
        <v>81</v>
      </c>
      <c r="E493" s="77" t="s">
        <v>0</v>
      </c>
      <c r="F493" s="78" t="s">
        <v>115</v>
      </c>
      <c r="G493" s="78" t="s">
        <v>0</v>
      </c>
      <c r="H493" s="79" t="s">
        <v>115</v>
      </c>
    </row>
    <row r="494" spans="2:11" ht="18" x14ac:dyDescent="0.25">
      <c r="B494" s="796" t="str">
        <f>IF(E497+G497=C497, "", "Źle!")</f>
        <v/>
      </c>
      <c r="C494" s="65" t="s">
        <v>8</v>
      </c>
      <c r="D494" s="80" t="s">
        <v>16</v>
      </c>
      <c r="E494" s="81" t="s">
        <v>9</v>
      </c>
      <c r="F494" s="82" t="s">
        <v>82</v>
      </c>
      <c r="G494" s="82" t="s">
        <v>9</v>
      </c>
      <c r="H494" s="83" t="s">
        <v>82</v>
      </c>
    </row>
    <row r="495" spans="2:11" ht="18" x14ac:dyDescent="0.25">
      <c r="B495" s="796" t="str">
        <f>IF(F497+H497=D497, "", "Źle!")</f>
        <v/>
      </c>
      <c r="C495" s="84" t="s">
        <v>83</v>
      </c>
      <c r="D495" s="85" t="s">
        <v>84</v>
      </c>
      <c r="E495" s="86"/>
      <c r="F495" s="87" t="s">
        <v>85</v>
      </c>
      <c r="G495" s="88"/>
      <c r="H495" s="89" t="s">
        <v>85</v>
      </c>
    </row>
    <row r="496" spans="2:11" ht="16.5" thickBot="1" x14ac:dyDescent="0.3">
      <c r="B496" s="91">
        <v>0</v>
      </c>
      <c r="C496" s="92">
        <v>1</v>
      </c>
      <c r="D496" s="93">
        <v>2</v>
      </c>
      <c r="E496" s="94">
        <v>3</v>
      </c>
      <c r="F496" s="95">
        <v>4</v>
      </c>
      <c r="G496" s="95">
        <v>5</v>
      </c>
      <c r="H496" s="68">
        <v>6</v>
      </c>
      <c r="J496" s="802" t="str">
        <f>IF(J498="","","k1")</f>
        <v/>
      </c>
      <c r="K496" s="802" t="str">
        <f>IF(K498="","","k2")</f>
        <v/>
      </c>
    </row>
    <row r="497" spans="1:11" ht="24" thickTop="1" x14ac:dyDescent="0.35">
      <c r="B497" s="96" t="s">
        <v>86</v>
      </c>
      <c r="C497" s="1116">
        <f t="shared" ref="C497:H497" si="43">SUM(C499:C503)</f>
        <v>2221</v>
      </c>
      <c r="D497" s="346">
        <f t="shared" si="43"/>
        <v>2134.29</v>
      </c>
      <c r="E497" s="347">
        <f t="shared" si="43"/>
        <v>1812</v>
      </c>
      <c r="F497" s="348">
        <f t="shared" si="43"/>
        <v>1754.53</v>
      </c>
      <c r="G497" s="1114">
        <f t="shared" si="43"/>
        <v>409</v>
      </c>
      <c r="H497" s="350">
        <f t="shared" si="43"/>
        <v>379.76</v>
      </c>
      <c r="J497" s="800"/>
      <c r="K497" s="800"/>
    </row>
    <row r="498" spans="1:11" ht="16.5" thickBot="1" x14ac:dyDescent="0.3">
      <c r="B498" s="98" t="s">
        <v>49</v>
      </c>
      <c r="C498" s="904" t="str">
        <f>IF('Tab.4. Losóbzatr_Polska'!C426=C497,"","t4w1k1"&amp;"="&amp;'Tab.4. Losóbzatr_Polska'!C426)</f>
        <v/>
      </c>
      <c r="D498" s="905"/>
      <c r="E498" s="906" t="str">
        <f>IF('Tab.4. Losóbzatr_Polska'!D426=E497,"","t4w1k2"&amp;"="&amp;'Tab.4. Losóbzatr_Polska'!D426)</f>
        <v/>
      </c>
      <c r="F498" s="907"/>
      <c r="G498" s="908" t="str">
        <f>IF('Tab.4. Losóbzatr_Polska'!E426=G497,"","t4w1k3"&amp;"="&amp;'Tab.4. Losóbzatr_Polska'!E426)</f>
        <v/>
      </c>
      <c r="H498" s="909"/>
      <c r="J498" s="804" t="str">
        <f>IF(SUM(J499:J503)=0,"",SUM(E499:E503)+SUM(G499:G503))</f>
        <v/>
      </c>
      <c r="K498" s="804" t="str">
        <f>IF(SUM(K499:K503)=0,"",SUM(F499:F503)+SUM(H499:H503))</f>
        <v/>
      </c>
    </row>
    <row r="499" spans="1:11" ht="19.5" thickTop="1" x14ac:dyDescent="0.3">
      <c r="B499" s="100" t="s">
        <v>87</v>
      </c>
      <c r="C499" s="885">
        <f t="shared" ref="C499:D503" si="44">E499+G499</f>
        <v>42</v>
      </c>
      <c r="D499" s="888">
        <f t="shared" si="44"/>
        <v>40</v>
      </c>
      <c r="E499" s="1343">
        <v>31</v>
      </c>
      <c r="F499" s="1344">
        <v>30.5</v>
      </c>
      <c r="G499" s="1345">
        <v>11</v>
      </c>
      <c r="H499" s="1346">
        <v>9.5</v>
      </c>
      <c r="J499" s="803" t="str">
        <f t="shared" ref="J499:K503" si="45">IF(E499+G499=C499,"",E499+G499)</f>
        <v/>
      </c>
      <c r="K499" s="804" t="str">
        <f t="shared" si="45"/>
        <v/>
      </c>
    </row>
    <row r="500" spans="1:11" ht="18.75" x14ac:dyDescent="0.3">
      <c r="B500" s="102" t="s">
        <v>88</v>
      </c>
      <c r="C500" s="886">
        <f t="shared" si="44"/>
        <v>1163</v>
      </c>
      <c r="D500" s="889">
        <f t="shared" si="44"/>
        <v>1126.43</v>
      </c>
      <c r="E500" s="1347">
        <v>950</v>
      </c>
      <c r="F500" s="1348">
        <v>928.5</v>
      </c>
      <c r="G500" s="1349">
        <v>213</v>
      </c>
      <c r="H500" s="1350">
        <v>197.93</v>
      </c>
      <c r="J500" s="803" t="str">
        <f t="shared" si="45"/>
        <v/>
      </c>
      <c r="K500" s="804" t="str">
        <f t="shared" si="45"/>
        <v/>
      </c>
    </row>
    <row r="501" spans="1:11" ht="18.75" x14ac:dyDescent="0.3">
      <c r="B501" s="102" t="s">
        <v>89</v>
      </c>
      <c r="C501" s="1115">
        <f t="shared" si="44"/>
        <v>344</v>
      </c>
      <c r="D501" s="889">
        <f t="shared" si="44"/>
        <v>318.95</v>
      </c>
      <c r="E501" s="1347">
        <v>290</v>
      </c>
      <c r="F501" s="1348">
        <v>269.75</v>
      </c>
      <c r="G501" s="1355">
        <v>54</v>
      </c>
      <c r="H501" s="1350">
        <v>49.2</v>
      </c>
      <c r="J501" s="803" t="str">
        <f t="shared" si="45"/>
        <v/>
      </c>
      <c r="K501" s="804" t="str">
        <f t="shared" si="45"/>
        <v/>
      </c>
    </row>
    <row r="502" spans="1:11" ht="18.75" x14ac:dyDescent="0.3">
      <c r="B502" s="102" t="s">
        <v>90</v>
      </c>
      <c r="C502" s="886">
        <f t="shared" si="44"/>
        <v>190</v>
      </c>
      <c r="D502" s="889">
        <f t="shared" si="44"/>
        <v>177.88000000000002</v>
      </c>
      <c r="E502" s="1347">
        <v>158</v>
      </c>
      <c r="F502" s="1348">
        <v>151.83000000000001</v>
      </c>
      <c r="G502" s="1349">
        <v>32</v>
      </c>
      <c r="H502" s="1350">
        <v>26.05</v>
      </c>
      <c r="J502" s="803" t="str">
        <f t="shared" si="45"/>
        <v/>
      </c>
      <c r="K502" s="804" t="str">
        <f t="shared" si="45"/>
        <v/>
      </c>
    </row>
    <row r="503" spans="1:11" ht="19.5" thickBot="1" x14ac:dyDescent="0.35">
      <c r="B503" s="104" t="s">
        <v>91</v>
      </c>
      <c r="C503" s="887">
        <f t="shared" si="44"/>
        <v>482</v>
      </c>
      <c r="D503" s="890">
        <f t="shared" si="44"/>
        <v>471.03</v>
      </c>
      <c r="E503" s="1351">
        <v>383</v>
      </c>
      <c r="F503" s="1352">
        <v>373.95</v>
      </c>
      <c r="G503" s="1353">
        <v>99</v>
      </c>
      <c r="H503" s="1354">
        <v>97.08</v>
      </c>
      <c r="J503" s="803" t="str">
        <f t="shared" si="45"/>
        <v/>
      </c>
      <c r="K503" s="804" t="str">
        <f t="shared" si="45"/>
        <v/>
      </c>
    </row>
    <row r="504" spans="1:11" ht="13.5" thickTop="1" x14ac:dyDescent="0.2"/>
    <row r="505" spans="1:11" ht="15.75" x14ac:dyDescent="0.25">
      <c r="B505" s="1" t="s">
        <v>92</v>
      </c>
    </row>
    <row r="507" spans="1:11" ht="15.75" x14ac:dyDescent="0.25">
      <c r="B507" s="1"/>
      <c r="G507" s="1604"/>
      <c r="H507" s="1604"/>
    </row>
    <row r="508" spans="1:11" ht="18" x14ac:dyDescent="0.25">
      <c r="B508" s="11" t="s">
        <v>123</v>
      </c>
      <c r="C508" s="27"/>
      <c r="D508" s="27"/>
      <c r="E508" s="27"/>
      <c r="F508" s="27"/>
      <c r="G508" s="1823"/>
      <c r="H508" s="1823"/>
    </row>
    <row r="509" spans="1:11" ht="18" x14ac:dyDescent="0.25">
      <c r="B509" s="11" t="s">
        <v>132</v>
      </c>
      <c r="C509" s="27"/>
      <c r="E509" s="1823" t="s">
        <v>133</v>
      </c>
      <c r="F509" s="1823"/>
      <c r="G509" s="1823"/>
      <c r="H509" s="1823"/>
    </row>
    <row r="510" spans="1:11" ht="18" x14ac:dyDescent="0.25">
      <c r="B510" s="11" t="s">
        <v>137</v>
      </c>
      <c r="C510" s="27"/>
      <c r="E510" s="1823" t="s">
        <v>126</v>
      </c>
      <c r="F510" s="1823"/>
      <c r="G510" s="1823"/>
      <c r="H510" s="1823"/>
    </row>
    <row r="512" spans="1:11" ht="26.25" x14ac:dyDescent="0.25">
      <c r="A512" s="331" t="s">
        <v>207</v>
      </c>
      <c r="B512" s="11" t="s">
        <v>116</v>
      </c>
      <c r="G512" s="1824" t="s">
        <v>70</v>
      </c>
      <c r="H512" s="1824"/>
    </row>
    <row r="513" spans="2:8" ht="18" x14ac:dyDescent="0.25">
      <c r="B513" s="14" t="s">
        <v>129</v>
      </c>
    </row>
    <row r="514" spans="2:8" ht="18" x14ac:dyDescent="0.25">
      <c r="B514" s="11" t="s">
        <v>128</v>
      </c>
      <c r="F514" s="11"/>
    </row>
    <row r="515" spans="2:8" ht="18" x14ac:dyDescent="0.25">
      <c r="B515" s="11"/>
      <c r="F515" s="187"/>
      <c r="G515" s="1825" t="str">
        <f>'Tab.1. bilans_Polska'!$E$59</f>
        <v>Termin: 29 luty 2012 r.</v>
      </c>
      <c r="H515" s="1825"/>
    </row>
    <row r="516" spans="2:8" ht="18" x14ac:dyDescent="0.25">
      <c r="B516" s="11" t="s">
        <v>130</v>
      </c>
    </row>
    <row r="517" spans="2:8" ht="15.75" x14ac:dyDescent="0.25">
      <c r="B517" s="1" t="s">
        <v>131</v>
      </c>
    </row>
    <row r="518" spans="2:8" ht="15.75" x14ac:dyDescent="0.25">
      <c r="B518" s="1"/>
    </row>
    <row r="519" spans="2:8" ht="15.75" x14ac:dyDescent="0.25">
      <c r="B519" s="1"/>
    </row>
    <row r="520" spans="2:8" ht="23.25" x14ac:dyDescent="0.35">
      <c r="B520" s="1655" t="s">
        <v>72</v>
      </c>
      <c r="C520" s="1655"/>
      <c r="D520" s="1655"/>
      <c r="E520" s="1655"/>
      <c r="F520" s="1655"/>
      <c r="G520" s="1655"/>
      <c r="H520" s="1655"/>
    </row>
    <row r="521" spans="2:8" ht="23.25" x14ac:dyDescent="0.35">
      <c r="B521" s="1655" t="s">
        <v>73</v>
      </c>
      <c r="C521" s="1655"/>
      <c r="D521" s="1655"/>
      <c r="E521" s="1655"/>
      <c r="F521" s="1655"/>
      <c r="G521" s="1655"/>
      <c r="H521" s="1655"/>
    </row>
    <row r="522" spans="2:8" ht="23.25" x14ac:dyDescent="0.35">
      <c r="B522" s="1655" t="s">
        <v>75</v>
      </c>
      <c r="C522" s="1655"/>
      <c r="D522" s="1655"/>
      <c r="E522" s="1655"/>
      <c r="F522" s="1655"/>
      <c r="G522" s="1655"/>
      <c r="H522" s="1655"/>
    </row>
    <row r="523" spans="2:8" ht="23.25" x14ac:dyDescent="0.35">
      <c r="B523" s="1807" t="str">
        <f>$B$13</f>
        <v>POWIATOWYCH  I  PODMIOTÓW  NIEPUBLICZNYCH  WG  STANU  NA  31. XII. 2011 r.</v>
      </c>
      <c r="C523" s="1807"/>
      <c r="D523" s="1807"/>
      <c r="E523" s="1807"/>
      <c r="F523" s="1807"/>
      <c r="G523" s="1807"/>
      <c r="H523" s="1807"/>
    </row>
    <row r="524" spans="2:8" ht="13.5" thickBot="1" x14ac:dyDescent="0.25">
      <c r="H524" s="16"/>
    </row>
    <row r="525" spans="2:8" ht="17.25" thickTop="1" x14ac:dyDescent="0.25">
      <c r="B525" s="58"/>
      <c r="C525" s="1828" t="s">
        <v>77</v>
      </c>
      <c r="D525" s="1829"/>
      <c r="E525" s="1832" t="s">
        <v>20</v>
      </c>
      <c r="F525" s="1833"/>
      <c r="G525" s="1833"/>
      <c r="H525" s="1834"/>
    </row>
    <row r="526" spans="2:8" ht="16.5" x14ac:dyDescent="0.25">
      <c r="B526" s="60"/>
      <c r="C526" s="1830"/>
      <c r="D526" s="1831"/>
      <c r="E526" s="1826" t="s">
        <v>78</v>
      </c>
      <c r="F526" s="1827"/>
      <c r="G526" s="1827" t="s">
        <v>79</v>
      </c>
      <c r="H526" s="1835"/>
    </row>
    <row r="527" spans="2:8" ht="20.25" x14ac:dyDescent="0.3">
      <c r="B527" s="59" t="s">
        <v>80</v>
      </c>
      <c r="C527" s="64" t="s">
        <v>4</v>
      </c>
      <c r="D527" s="76" t="s">
        <v>81</v>
      </c>
      <c r="E527" s="77" t="s">
        <v>0</v>
      </c>
      <c r="F527" s="78" t="s">
        <v>115</v>
      </c>
      <c r="G527" s="78" t="s">
        <v>0</v>
      </c>
      <c r="H527" s="79" t="s">
        <v>115</v>
      </c>
    </row>
    <row r="528" spans="2:8" ht="18" x14ac:dyDescent="0.25">
      <c r="B528" s="796" t="str">
        <f>IF(E531+G531=C531, "", "Źle!")</f>
        <v/>
      </c>
      <c r="C528" s="65" t="s">
        <v>8</v>
      </c>
      <c r="D528" s="80" t="s">
        <v>16</v>
      </c>
      <c r="E528" s="81" t="s">
        <v>9</v>
      </c>
      <c r="F528" s="82" t="s">
        <v>82</v>
      </c>
      <c r="G528" s="82" t="s">
        <v>9</v>
      </c>
      <c r="H528" s="83" t="s">
        <v>82</v>
      </c>
    </row>
    <row r="529" spans="2:11" ht="18" x14ac:dyDescent="0.25">
      <c r="B529" s="801" t="str">
        <f>IF(F531+H531=D531, "", "Źle!")</f>
        <v/>
      </c>
      <c r="C529" s="84" t="s">
        <v>83</v>
      </c>
      <c r="D529" s="85" t="s">
        <v>84</v>
      </c>
      <c r="E529" s="86"/>
      <c r="F529" s="87" t="s">
        <v>85</v>
      </c>
      <c r="G529" s="88"/>
      <c r="H529" s="89" t="s">
        <v>85</v>
      </c>
    </row>
    <row r="530" spans="2:11" ht="16.5" thickBot="1" x14ac:dyDescent="0.3">
      <c r="B530" s="91">
        <v>0</v>
      </c>
      <c r="C530" s="92">
        <v>1</v>
      </c>
      <c r="D530" s="93">
        <v>2</v>
      </c>
      <c r="E530" s="94">
        <v>3</v>
      </c>
      <c r="F530" s="95">
        <v>4</v>
      </c>
      <c r="G530" s="95">
        <v>5</v>
      </c>
      <c r="H530" s="68">
        <v>6</v>
      </c>
      <c r="J530" s="802" t="str">
        <f>IF(J532="","","k1")</f>
        <v/>
      </c>
      <c r="K530" s="802" t="str">
        <f>IF(K532="","","k2")</f>
        <v/>
      </c>
    </row>
    <row r="531" spans="2:11" ht="24" thickTop="1" x14ac:dyDescent="0.35">
      <c r="B531" s="96" t="s">
        <v>86</v>
      </c>
      <c r="C531" s="345">
        <f t="shared" ref="C531:H531" si="46">SUM(C533:C537)</f>
        <v>4551</v>
      </c>
      <c r="D531" s="346">
        <f t="shared" si="46"/>
        <v>4356.18</v>
      </c>
      <c r="E531" s="347">
        <f t="shared" si="46"/>
        <v>3745</v>
      </c>
      <c r="F531" s="348">
        <f t="shared" si="46"/>
        <v>3592.48</v>
      </c>
      <c r="G531" s="349">
        <f t="shared" si="46"/>
        <v>806</v>
      </c>
      <c r="H531" s="350">
        <f t="shared" si="46"/>
        <v>763.7</v>
      </c>
      <c r="J531" s="800"/>
      <c r="K531" s="800"/>
    </row>
    <row r="532" spans="2:11" ht="16.5" thickBot="1" x14ac:dyDescent="0.3">
      <c r="B532" s="98" t="s">
        <v>49</v>
      </c>
      <c r="C532" s="904" t="str">
        <f>IF('Tab.4. Losóbzatr_Polska'!C455=C531,"","t4w1k1"&amp;"="&amp;'Tab.4. Losóbzatr_Polska'!C455)</f>
        <v/>
      </c>
      <c r="D532" s="905"/>
      <c r="E532" s="906" t="str">
        <f>IF('Tab.4. Losóbzatr_Polska'!D455=E531,"","t4w1k2"&amp;"="&amp;'Tab.4. Losóbzatr_Polska'!D455)</f>
        <v/>
      </c>
      <c r="F532" s="907"/>
      <c r="G532" s="908" t="str">
        <f>IF('Tab.4. Losóbzatr_Polska'!E455=G531,"","t4w1k3"&amp;"="&amp;'Tab.4. Losóbzatr_Polska'!E455)</f>
        <v/>
      </c>
      <c r="H532" s="909"/>
      <c r="J532" s="804" t="str">
        <f>IF(SUM(J533:J537)=0,"",SUM(E533:E537)+SUM(G533:G537))</f>
        <v/>
      </c>
      <c r="K532" s="804" t="str">
        <f>IF(SUM(K533:K537)=0,"",SUM(F533:F537)+SUM(H533:H537))</f>
        <v/>
      </c>
    </row>
    <row r="533" spans="2:11" ht="19.5" thickTop="1" x14ac:dyDescent="0.3">
      <c r="B533" s="100" t="s">
        <v>87</v>
      </c>
      <c r="C533" s="885">
        <f t="shared" ref="C533:D537" si="47">E533+G533</f>
        <v>75</v>
      </c>
      <c r="D533" s="888">
        <f t="shared" si="47"/>
        <v>74.5</v>
      </c>
      <c r="E533" s="1343">
        <v>63</v>
      </c>
      <c r="F533" s="1344">
        <v>62.5</v>
      </c>
      <c r="G533" s="1345">
        <v>12</v>
      </c>
      <c r="H533" s="1346">
        <v>12</v>
      </c>
      <c r="J533" s="803" t="str">
        <f t="shared" ref="J533:K537" si="48">IF(E533+G533=C533,"",E533+G533)</f>
        <v/>
      </c>
      <c r="K533" s="804" t="str">
        <f t="shared" si="48"/>
        <v/>
      </c>
    </row>
    <row r="534" spans="2:11" ht="18.75" x14ac:dyDescent="0.3">
      <c r="B534" s="102" t="s">
        <v>88</v>
      </c>
      <c r="C534" s="886">
        <f t="shared" si="47"/>
        <v>2687</v>
      </c>
      <c r="D534" s="889">
        <f t="shared" si="47"/>
        <v>2594.5200000000004</v>
      </c>
      <c r="E534" s="1347">
        <v>2147</v>
      </c>
      <c r="F534" s="1348">
        <v>2078.5500000000002</v>
      </c>
      <c r="G534" s="1349">
        <v>540</v>
      </c>
      <c r="H534" s="1350">
        <v>515.97</v>
      </c>
      <c r="J534" s="803" t="str">
        <f t="shared" si="48"/>
        <v/>
      </c>
      <c r="K534" s="804" t="str">
        <f t="shared" si="48"/>
        <v/>
      </c>
    </row>
    <row r="535" spans="2:11" ht="18.75" x14ac:dyDescent="0.3">
      <c r="B535" s="102" t="s">
        <v>89</v>
      </c>
      <c r="C535" s="886">
        <f t="shared" si="47"/>
        <v>547</v>
      </c>
      <c r="D535" s="889">
        <f t="shared" si="47"/>
        <v>502.53999999999996</v>
      </c>
      <c r="E535" s="1347">
        <v>511</v>
      </c>
      <c r="F535" s="1348">
        <v>471.03</v>
      </c>
      <c r="G535" s="1349">
        <v>36</v>
      </c>
      <c r="H535" s="1350">
        <v>31.51</v>
      </c>
      <c r="J535" s="803" t="str">
        <f t="shared" si="48"/>
        <v/>
      </c>
      <c r="K535" s="804" t="str">
        <f t="shared" si="48"/>
        <v/>
      </c>
    </row>
    <row r="536" spans="2:11" ht="18.75" x14ac:dyDescent="0.3">
      <c r="B536" s="102" t="s">
        <v>90</v>
      </c>
      <c r="C536" s="886">
        <f t="shared" si="47"/>
        <v>366</v>
      </c>
      <c r="D536" s="889">
        <f t="shared" si="47"/>
        <v>340.15</v>
      </c>
      <c r="E536" s="1347">
        <v>318</v>
      </c>
      <c r="F536" s="1348">
        <v>296.89999999999998</v>
      </c>
      <c r="G536" s="1349">
        <v>48</v>
      </c>
      <c r="H536" s="1350">
        <v>43.25</v>
      </c>
      <c r="J536" s="803" t="str">
        <f t="shared" si="48"/>
        <v/>
      </c>
      <c r="K536" s="804" t="str">
        <f t="shared" si="48"/>
        <v/>
      </c>
    </row>
    <row r="537" spans="2:11" ht="19.5" thickBot="1" x14ac:dyDescent="0.35">
      <c r="B537" s="104" t="s">
        <v>91</v>
      </c>
      <c r="C537" s="887">
        <f t="shared" si="47"/>
        <v>876</v>
      </c>
      <c r="D537" s="890">
        <f t="shared" si="47"/>
        <v>844.47</v>
      </c>
      <c r="E537" s="1351">
        <v>706</v>
      </c>
      <c r="F537" s="1352">
        <v>683.5</v>
      </c>
      <c r="G537" s="1353">
        <v>170</v>
      </c>
      <c r="H537" s="1354">
        <v>160.97</v>
      </c>
      <c r="J537" s="803" t="str">
        <f t="shared" si="48"/>
        <v/>
      </c>
      <c r="K537" s="804" t="str">
        <f t="shared" si="48"/>
        <v/>
      </c>
    </row>
    <row r="538" spans="2:11" ht="13.5" thickTop="1" x14ac:dyDescent="0.2"/>
    <row r="539" spans="2:11" ht="15.75" x14ac:dyDescent="0.25">
      <c r="B539" s="1" t="s">
        <v>92</v>
      </c>
    </row>
    <row r="541" spans="2:11" ht="15.75" x14ac:dyDescent="0.25">
      <c r="B541" s="1"/>
      <c r="G541" s="1604"/>
      <c r="H541" s="1604"/>
    </row>
    <row r="542" spans="2:11" ht="18" x14ac:dyDescent="0.25">
      <c r="B542" s="11" t="s">
        <v>123</v>
      </c>
      <c r="C542" s="27"/>
      <c r="D542" s="27"/>
      <c r="E542" s="27"/>
      <c r="F542" s="27"/>
      <c r="G542" s="1823"/>
      <c r="H542" s="1823"/>
    </row>
    <row r="543" spans="2:11" ht="18" x14ac:dyDescent="0.25">
      <c r="B543" s="11" t="s">
        <v>132</v>
      </c>
      <c r="C543" s="27"/>
      <c r="E543" s="1823" t="s">
        <v>133</v>
      </c>
      <c r="F543" s="1823"/>
      <c r="G543" s="1823"/>
      <c r="H543" s="1823"/>
    </row>
    <row r="544" spans="2:11" ht="18" x14ac:dyDescent="0.25">
      <c r="B544" s="11" t="s">
        <v>137</v>
      </c>
      <c r="C544" s="27"/>
      <c r="E544" s="1823" t="s">
        <v>126</v>
      </c>
      <c r="F544" s="1823"/>
      <c r="G544" s="1823"/>
      <c r="H544" s="1823"/>
    </row>
    <row r="546" spans="1:8" ht="26.25" x14ac:dyDescent="0.25">
      <c r="A546" s="331" t="s">
        <v>208</v>
      </c>
      <c r="B546" s="11" t="s">
        <v>116</v>
      </c>
      <c r="G546" s="1824" t="s">
        <v>70</v>
      </c>
      <c r="H546" s="1824"/>
    </row>
    <row r="547" spans="1:8" ht="18" x14ac:dyDescent="0.25">
      <c r="B547" s="14" t="s">
        <v>129</v>
      </c>
    </row>
    <row r="548" spans="1:8" ht="18" x14ac:dyDescent="0.25">
      <c r="B548" s="11" t="s">
        <v>128</v>
      </c>
      <c r="F548" s="11"/>
    </row>
    <row r="549" spans="1:8" ht="18" x14ac:dyDescent="0.25">
      <c r="B549" s="11"/>
      <c r="F549" s="187"/>
      <c r="G549" s="1825" t="str">
        <f>'Tab.1. bilans_Polska'!$E$59</f>
        <v>Termin: 29 luty 2012 r.</v>
      </c>
      <c r="H549" s="1825"/>
    </row>
    <row r="550" spans="1:8" ht="18" x14ac:dyDescent="0.25">
      <c r="B550" s="11" t="s">
        <v>130</v>
      </c>
    </row>
    <row r="551" spans="1:8" ht="15.75" x14ac:dyDescent="0.25">
      <c r="B551" s="1" t="s">
        <v>131</v>
      </c>
    </row>
    <row r="552" spans="1:8" ht="15.75" x14ac:dyDescent="0.25">
      <c r="B552" s="1"/>
    </row>
    <row r="553" spans="1:8" ht="15.75" x14ac:dyDescent="0.25">
      <c r="B553" s="1"/>
    </row>
    <row r="554" spans="1:8" ht="23.25" x14ac:dyDescent="0.35">
      <c r="B554" s="1655" t="s">
        <v>72</v>
      </c>
      <c r="C554" s="1655"/>
      <c r="D554" s="1655"/>
      <c r="E554" s="1655"/>
      <c r="F554" s="1655"/>
      <c r="G554" s="1655"/>
      <c r="H554" s="1655"/>
    </row>
    <row r="555" spans="1:8" ht="23.25" x14ac:dyDescent="0.35">
      <c r="B555" s="1655" t="s">
        <v>73</v>
      </c>
      <c r="C555" s="1655"/>
      <c r="D555" s="1655"/>
      <c r="E555" s="1655"/>
      <c r="F555" s="1655"/>
      <c r="G555" s="1655"/>
      <c r="H555" s="1655"/>
    </row>
    <row r="556" spans="1:8" ht="23.25" x14ac:dyDescent="0.35">
      <c r="B556" s="1655" t="s">
        <v>75</v>
      </c>
      <c r="C556" s="1655"/>
      <c r="D556" s="1655"/>
      <c r="E556" s="1655"/>
      <c r="F556" s="1655"/>
      <c r="G556" s="1655"/>
      <c r="H556" s="1655"/>
    </row>
    <row r="557" spans="1:8" ht="23.25" x14ac:dyDescent="0.35">
      <c r="B557" s="1807" t="str">
        <f>$B$13</f>
        <v>POWIATOWYCH  I  PODMIOTÓW  NIEPUBLICZNYCH  WG  STANU  NA  31. XII. 2011 r.</v>
      </c>
      <c r="C557" s="1807"/>
      <c r="D557" s="1807"/>
      <c r="E557" s="1807"/>
      <c r="F557" s="1807"/>
      <c r="G557" s="1807"/>
      <c r="H557" s="1807"/>
    </row>
    <row r="558" spans="1:8" ht="13.5" thickBot="1" x14ac:dyDescent="0.25">
      <c r="H558" s="16"/>
    </row>
    <row r="559" spans="1:8" ht="17.25" thickTop="1" x14ac:dyDescent="0.25">
      <c r="B559" s="58"/>
      <c r="C559" s="1828" t="s">
        <v>77</v>
      </c>
      <c r="D559" s="1829"/>
      <c r="E559" s="1832" t="s">
        <v>20</v>
      </c>
      <c r="F559" s="1833"/>
      <c r="G559" s="1833"/>
      <c r="H559" s="1834"/>
    </row>
    <row r="560" spans="1:8" ht="16.5" x14ac:dyDescent="0.25">
      <c r="B560" s="60"/>
      <c r="C560" s="1830"/>
      <c r="D560" s="1831"/>
      <c r="E560" s="1826" t="s">
        <v>78</v>
      </c>
      <c r="F560" s="1827"/>
      <c r="G560" s="1827" t="s">
        <v>79</v>
      </c>
      <c r="H560" s="1835"/>
    </row>
    <row r="561" spans="2:11" ht="20.25" x14ac:dyDescent="0.3">
      <c r="B561" s="59" t="s">
        <v>80</v>
      </c>
      <c r="C561" s="64" t="s">
        <v>4</v>
      </c>
      <c r="D561" s="76" t="s">
        <v>81</v>
      </c>
      <c r="E561" s="77" t="s">
        <v>0</v>
      </c>
      <c r="F561" s="78" t="s">
        <v>115</v>
      </c>
      <c r="G561" s="78" t="s">
        <v>0</v>
      </c>
      <c r="H561" s="79" t="s">
        <v>115</v>
      </c>
    </row>
    <row r="562" spans="2:11" ht="18" x14ac:dyDescent="0.25">
      <c r="B562" s="796" t="str">
        <f>IF(E565+G565=C565, "", "Źle!")</f>
        <v/>
      </c>
      <c r="C562" s="65" t="s">
        <v>8</v>
      </c>
      <c r="D562" s="80" t="s">
        <v>16</v>
      </c>
      <c r="E562" s="81" t="s">
        <v>9</v>
      </c>
      <c r="F562" s="82" t="s">
        <v>82</v>
      </c>
      <c r="G562" s="82" t="s">
        <v>9</v>
      </c>
      <c r="H562" s="83" t="s">
        <v>82</v>
      </c>
    </row>
    <row r="563" spans="2:11" ht="18" x14ac:dyDescent="0.25">
      <c r="B563" s="796" t="str">
        <f>IF(F565+H565=D565, "", "Źle!")</f>
        <v/>
      </c>
      <c r="C563" s="84" t="s">
        <v>83</v>
      </c>
      <c r="D563" s="85" t="s">
        <v>84</v>
      </c>
      <c r="E563" s="86"/>
      <c r="F563" s="87" t="s">
        <v>85</v>
      </c>
      <c r="G563" s="88"/>
      <c r="H563" s="89" t="s">
        <v>85</v>
      </c>
    </row>
    <row r="564" spans="2:11" ht="16.5" thickBot="1" x14ac:dyDescent="0.3">
      <c r="B564" s="91">
        <v>0</v>
      </c>
      <c r="C564" s="92">
        <v>1</v>
      </c>
      <c r="D564" s="93">
        <v>2</v>
      </c>
      <c r="E564" s="94">
        <v>3</v>
      </c>
      <c r="F564" s="95">
        <v>4</v>
      </c>
      <c r="G564" s="95">
        <v>5</v>
      </c>
      <c r="H564" s="68">
        <v>6</v>
      </c>
      <c r="J564" s="802" t="str">
        <f>IF(J566="","","k1")</f>
        <v/>
      </c>
      <c r="K564" s="802" t="str">
        <f>IF(K566="","","k2")</f>
        <v/>
      </c>
    </row>
    <row r="565" spans="2:11" ht="24" thickTop="1" x14ac:dyDescent="0.35">
      <c r="B565" s="96" t="s">
        <v>86</v>
      </c>
      <c r="C565" s="1116">
        <f t="shared" ref="C565:H565" si="49">SUM(C567:C571)</f>
        <v>2507</v>
      </c>
      <c r="D565" s="346">
        <f t="shared" si="49"/>
        <v>2446.9299999999998</v>
      </c>
      <c r="E565" s="1126">
        <f t="shared" si="49"/>
        <v>2100</v>
      </c>
      <c r="F565" s="1125">
        <f t="shared" si="49"/>
        <v>2052.5</v>
      </c>
      <c r="G565" s="1114">
        <f t="shared" si="49"/>
        <v>407</v>
      </c>
      <c r="H565" s="1124">
        <f t="shared" si="49"/>
        <v>394.43</v>
      </c>
      <c r="J565" s="800"/>
      <c r="K565" s="800"/>
    </row>
    <row r="566" spans="2:11" ht="16.5" thickBot="1" x14ac:dyDescent="0.3">
      <c r="B566" s="98" t="s">
        <v>49</v>
      </c>
      <c r="C566" s="904" t="str">
        <f>IF('Tab.4. Losóbzatr_Polska'!C484=C565,"","t4w1k1"&amp;"="&amp;'Tab.4. Losóbzatr_Polska'!C484)</f>
        <v/>
      </c>
      <c r="D566" s="905"/>
      <c r="E566" s="916" t="str">
        <f>IF('Tab.4. Losóbzatr_Polska'!D484=E565,"","t4w1k2"&amp;"="&amp;'Tab.4. Losóbzatr_Polska'!D484)</f>
        <v/>
      </c>
      <c r="F566" s="917"/>
      <c r="G566" s="918" t="str">
        <f>IF('Tab.4. Losóbzatr_Polska'!E484=G565,"","t4w1k3"&amp;"="&amp;'Tab.4. Losóbzatr_Polska'!E484)</f>
        <v/>
      </c>
      <c r="H566" s="919"/>
      <c r="J566" s="804" t="str">
        <f>IF(SUM(J567:J571)=0,"",SUM(E567:E571)+SUM(G567:G571))</f>
        <v/>
      </c>
      <c r="K566" s="804" t="str">
        <f>IF(SUM(K567:K571)=0,"",SUM(F567:F571)+SUM(H567:H571))</f>
        <v/>
      </c>
    </row>
    <row r="567" spans="2:11" ht="19.5" thickTop="1" x14ac:dyDescent="0.3">
      <c r="B567" s="100" t="s">
        <v>87</v>
      </c>
      <c r="C567" s="885">
        <f>E567+G567</f>
        <v>35</v>
      </c>
      <c r="D567" s="1127">
        <f t="shared" ref="C567:D571" si="50">F567+H567</f>
        <v>34.5</v>
      </c>
      <c r="E567" s="1343">
        <v>28</v>
      </c>
      <c r="F567" s="1344">
        <v>28</v>
      </c>
      <c r="G567" s="1345">
        <v>7</v>
      </c>
      <c r="H567" s="1346">
        <v>6.5</v>
      </c>
      <c r="J567" s="803" t="str">
        <f>IF(E567+G567=C567,"",E567+G567)</f>
        <v/>
      </c>
      <c r="K567" s="804" t="str">
        <f t="shared" ref="J567:K571" si="51">IF(F567+H567=D567,"",F567+H567)</f>
        <v/>
      </c>
    </row>
    <row r="568" spans="2:11" ht="18.75" x14ac:dyDescent="0.3">
      <c r="B568" s="102" t="s">
        <v>88</v>
      </c>
      <c r="C568" s="886">
        <f>E568+G568</f>
        <v>1774</v>
      </c>
      <c r="D568" s="889">
        <f t="shared" si="50"/>
        <v>1737.83</v>
      </c>
      <c r="E568" s="1347">
        <v>1469</v>
      </c>
      <c r="F568" s="1348">
        <v>1441.1</v>
      </c>
      <c r="G568" s="1349">
        <v>305</v>
      </c>
      <c r="H568" s="1350">
        <v>296.73</v>
      </c>
      <c r="J568" s="803" t="str">
        <f>IF(E568+G568=C568,"",E568+G568)</f>
        <v/>
      </c>
      <c r="K568" s="804" t="str">
        <f t="shared" si="51"/>
        <v/>
      </c>
    </row>
    <row r="569" spans="2:11" ht="18.75" x14ac:dyDescent="0.3">
      <c r="B569" s="102" t="s">
        <v>89</v>
      </c>
      <c r="C569" s="886">
        <f>E569+G569</f>
        <v>110</v>
      </c>
      <c r="D569" s="889">
        <f t="shared" si="50"/>
        <v>99.9</v>
      </c>
      <c r="E569" s="1347">
        <v>94</v>
      </c>
      <c r="F569" s="1348">
        <v>84.9</v>
      </c>
      <c r="G569" s="1349">
        <v>16</v>
      </c>
      <c r="H569" s="1350">
        <v>15</v>
      </c>
      <c r="J569" s="803" t="str">
        <f>IF(E569+G569=C569,"",E569+G569)</f>
        <v/>
      </c>
      <c r="K569" s="804" t="str">
        <f t="shared" si="51"/>
        <v/>
      </c>
    </row>
    <row r="570" spans="2:11" ht="18.75" x14ac:dyDescent="0.3">
      <c r="B570" s="102" t="s">
        <v>90</v>
      </c>
      <c r="C570" s="886">
        <f>E570+G570</f>
        <v>172</v>
      </c>
      <c r="D570" s="889">
        <f t="shared" si="50"/>
        <v>163.82</v>
      </c>
      <c r="E570" s="1347">
        <v>146</v>
      </c>
      <c r="F570" s="1348">
        <v>139.25</v>
      </c>
      <c r="G570" s="1349">
        <v>26</v>
      </c>
      <c r="H570" s="1350">
        <v>24.57</v>
      </c>
      <c r="J570" s="803" t="str">
        <f>IF(E570+G570=C570,"",E570+G570)</f>
        <v/>
      </c>
      <c r="K570" s="804" t="str">
        <f t="shared" si="51"/>
        <v/>
      </c>
    </row>
    <row r="571" spans="2:11" ht="19.5" thickBot="1" x14ac:dyDescent="0.35">
      <c r="B571" s="104" t="s">
        <v>91</v>
      </c>
      <c r="C571" s="887">
        <f t="shared" si="50"/>
        <v>416</v>
      </c>
      <c r="D571" s="890">
        <f t="shared" si="50"/>
        <v>410.88</v>
      </c>
      <c r="E571" s="1351">
        <v>363</v>
      </c>
      <c r="F571" s="1352">
        <v>359.25</v>
      </c>
      <c r="G571" s="1353">
        <v>53</v>
      </c>
      <c r="H571" s="1354">
        <v>51.63</v>
      </c>
      <c r="J571" s="803" t="str">
        <f t="shared" si="51"/>
        <v/>
      </c>
      <c r="K571" s="804" t="str">
        <f t="shared" si="51"/>
        <v/>
      </c>
    </row>
    <row r="572" spans="2:11" ht="13.5" thickTop="1" x14ac:dyDescent="0.2"/>
    <row r="573" spans="2:11" ht="15.75" x14ac:dyDescent="0.25">
      <c r="B573" s="1" t="s">
        <v>92</v>
      </c>
    </row>
    <row r="575" spans="2:11" ht="15.75" x14ac:dyDescent="0.25">
      <c r="B575" s="1"/>
      <c r="G575" s="1604"/>
      <c r="H575" s="1604"/>
    </row>
    <row r="576" spans="2:11" ht="18" x14ac:dyDescent="0.25">
      <c r="B576" s="11" t="s">
        <v>123</v>
      </c>
      <c r="C576" s="27"/>
      <c r="D576" s="27"/>
      <c r="E576" s="27"/>
      <c r="F576" s="27"/>
      <c r="G576" s="1823"/>
      <c r="H576" s="1823"/>
    </row>
    <row r="577" spans="2:8" ht="18" x14ac:dyDescent="0.25">
      <c r="B577" s="11" t="s">
        <v>132</v>
      </c>
      <c r="C577" s="27"/>
      <c r="E577" s="1823" t="s">
        <v>133</v>
      </c>
      <c r="F577" s="1823"/>
      <c r="G577" s="1823"/>
      <c r="H577" s="1823"/>
    </row>
    <row r="578" spans="2:8" ht="18" x14ac:dyDescent="0.25">
      <c r="B578" s="11" t="s">
        <v>137</v>
      </c>
      <c r="C578" s="27"/>
      <c r="E578" s="1823" t="s">
        <v>126</v>
      </c>
      <c r="F578" s="1823"/>
      <c r="G578" s="1823"/>
      <c r="H578" s="1823"/>
    </row>
  </sheetData>
  <mergeCells count="235">
    <mergeCell ref="G50:H50"/>
    <mergeCell ref="G2:H2"/>
    <mergeCell ref="B10:H10"/>
    <mergeCell ref="B13:H13"/>
    <mergeCell ref="B12:H12"/>
    <mergeCell ref="B11:H11"/>
    <mergeCell ref="C15:D16"/>
    <mergeCell ref="E16:F16"/>
    <mergeCell ref="G16:H16"/>
    <mergeCell ref="E15:H15"/>
    <mergeCell ref="B78:H78"/>
    <mergeCell ref="B79:H79"/>
    <mergeCell ref="B80:H80"/>
    <mergeCell ref="B81:H81"/>
    <mergeCell ref="B44:H44"/>
    <mergeCell ref="B45:H45"/>
    <mergeCell ref="B46:H46"/>
    <mergeCell ref="B47:H47"/>
    <mergeCell ref="C49:D50"/>
    <mergeCell ref="E49:H49"/>
    <mergeCell ref="C83:D84"/>
    <mergeCell ref="E83:H83"/>
    <mergeCell ref="E84:F84"/>
    <mergeCell ref="G84:H84"/>
    <mergeCell ref="B146:H146"/>
    <mergeCell ref="B147:H147"/>
    <mergeCell ref="B114:H114"/>
    <mergeCell ref="B115:H115"/>
    <mergeCell ref="C117:D118"/>
    <mergeCell ref="E117:H117"/>
    <mergeCell ref="G118:H118"/>
    <mergeCell ref="B148:H148"/>
    <mergeCell ref="B149:H149"/>
    <mergeCell ref="C151:D152"/>
    <mergeCell ref="E151:H151"/>
    <mergeCell ref="E152:F152"/>
    <mergeCell ref="G152:H152"/>
    <mergeCell ref="G167:H167"/>
    <mergeCell ref="G168:H168"/>
    <mergeCell ref="B180:H180"/>
    <mergeCell ref="B181:H181"/>
    <mergeCell ref="G175:H175"/>
    <mergeCell ref="G172:H172"/>
    <mergeCell ref="E169:H169"/>
    <mergeCell ref="E170:H170"/>
    <mergeCell ref="B182:H182"/>
    <mergeCell ref="B183:H183"/>
    <mergeCell ref="C185:D186"/>
    <mergeCell ref="E185:H185"/>
    <mergeCell ref="E186:F186"/>
    <mergeCell ref="G186:H186"/>
    <mergeCell ref="G201:H201"/>
    <mergeCell ref="G202:H202"/>
    <mergeCell ref="B214:H214"/>
    <mergeCell ref="B215:H215"/>
    <mergeCell ref="G209:H209"/>
    <mergeCell ref="G206:H206"/>
    <mergeCell ref="E203:H203"/>
    <mergeCell ref="E204:H204"/>
    <mergeCell ref="B216:H216"/>
    <mergeCell ref="B217:H217"/>
    <mergeCell ref="C219:D220"/>
    <mergeCell ref="E219:H219"/>
    <mergeCell ref="E220:F220"/>
    <mergeCell ref="G220:H220"/>
    <mergeCell ref="G235:H235"/>
    <mergeCell ref="G236:H236"/>
    <mergeCell ref="B248:H248"/>
    <mergeCell ref="B249:H249"/>
    <mergeCell ref="G243:H243"/>
    <mergeCell ref="G240:H240"/>
    <mergeCell ref="E237:H237"/>
    <mergeCell ref="E238:H238"/>
    <mergeCell ref="B250:H250"/>
    <mergeCell ref="B251:H251"/>
    <mergeCell ref="C253:D254"/>
    <mergeCell ref="E253:H253"/>
    <mergeCell ref="E254:F254"/>
    <mergeCell ref="G254:H254"/>
    <mergeCell ref="G269:H269"/>
    <mergeCell ref="G270:H270"/>
    <mergeCell ref="B282:H282"/>
    <mergeCell ref="B283:H283"/>
    <mergeCell ref="G277:H277"/>
    <mergeCell ref="G274:H274"/>
    <mergeCell ref="E271:H271"/>
    <mergeCell ref="E272:H272"/>
    <mergeCell ref="B284:H284"/>
    <mergeCell ref="B285:H285"/>
    <mergeCell ref="C287:D288"/>
    <mergeCell ref="E287:H287"/>
    <mergeCell ref="E288:F288"/>
    <mergeCell ref="G288:H288"/>
    <mergeCell ref="G303:H303"/>
    <mergeCell ref="G304:H304"/>
    <mergeCell ref="B316:H316"/>
    <mergeCell ref="B317:H317"/>
    <mergeCell ref="G311:H311"/>
    <mergeCell ref="G308:H308"/>
    <mergeCell ref="E305:H305"/>
    <mergeCell ref="E306:H306"/>
    <mergeCell ref="B318:H318"/>
    <mergeCell ref="B319:H319"/>
    <mergeCell ref="C321:D322"/>
    <mergeCell ref="E321:H321"/>
    <mergeCell ref="E322:F322"/>
    <mergeCell ref="G322:H322"/>
    <mergeCell ref="G337:H337"/>
    <mergeCell ref="G338:H338"/>
    <mergeCell ref="B350:H350"/>
    <mergeCell ref="B351:H351"/>
    <mergeCell ref="G345:H345"/>
    <mergeCell ref="G342:H342"/>
    <mergeCell ref="E339:H339"/>
    <mergeCell ref="E340:H340"/>
    <mergeCell ref="B352:H352"/>
    <mergeCell ref="B353:H353"/>
    <mergeCell ref="C355:D356"/>
    <mergeCell ref="E355:H355"/>
    <mergeCell ref="E356:F356"/>
    <mergeCell ref="G356:H356"/>
    <mergeCell ref="G371:H371"/>
    <mergeCell ref="G372:H372"/>
    <mergeCell ref="B384:H384"/>
    <mergeCell ref="B385:H385"/>
    <mergeCell ref="G379:H379"/>
    <mergeCell ref="G376:H376"/>
    <mergeCell ref="E373:H373"/>
    <mergeCell ref="E374:H374"/>
    <mergeCell ref="B386:H386"/>
    <mergeCell ref="B387:H387"/>
    <mergeCell ref="C389:D390"/>
    <mergeCell ref="E389:H389"/>
    <mergeCell ref="E390:F390"/>
    <mergeCell ref="G390:H390"/>
    <mergeCell ref="G405:H405"/>
    <mergeCell ref="G406:H406"/>
    <mergeCell ref="B418:H418"/>
    <mergeCell ref="B419:H419"/>
    <mergeCell ref="G413:H413"/>
    <mergeCell ref="G410:H410"/>
    <mergeCell ref="E407:H407"/>
    <mergeCell ref="E408:H408"/>
    <mergeCell ref="B420:H420"/>
    <mergeCell ref="B421:H421"/>
    <mergeCell ref="C423:D424"/>
    <mergeCell ref="E423:H423"/>
    <mergeCell ref="E424:F424"/>
    <mergeCell ref="G424:H424"/>
    <mergeCell ref="G439:H439"/>
    <mergeCell ref="G440:H440"/>
    <mergeCell ref="B452:H452"/>
    <mergeCell ref="B453:H453"/>
    <mergeCell ref="G447:H447"/>
    <mergeCell ref="G444:H444"/>
    <mergeCell ref="E441:H441"/>
    <mergeCell ref="E442:H442"/>
    <mergeCell ref="B454:H454"/>
    <mergeCell ref="B455:H455"/>
    <mergeCell ref="C457:D458"/>
    <mergeCell ref="E457:H457"/>
    <mergeCell ref="E458:F458"/>
    <mergeCell ref="G458:H458"/>
    <mergeCell ref="G473:H473"/>
    <mergeCell ref="G474:H474"/>
    <mergeCell ref="B486:H486"/>
    <mergeCell ref="B487:H487"/>
    <mergeCell ref="G481:H481"/>
    <mergeCell ref="G478:H478"/>
    <mergeCell ref="E475:H475"/>
    <mergeCell ref="E476:H476"/>
    <mergeCell ref="B488:H488"/>
    <mergeCell ref="B489:H489"/>
    <mergeCell ref="C491:D492"/>
    <mergeCell ref="E491:H491"/>
    <mergeCell ref="E492:F492"/>
    <mergeCell ref="G492:H492"/>
    <mergeCell ref="G507:H507"/>
    <mergeCell ref="G508:H508"/>
    <mergeCell ref="B520:H520"/>
    <mergeCell ref="B521:H521"/>
    <mergeCell ref="G515:H515"/>
    <mergeCell ref="G512:H512"/>
    <mergeCell ref="E509:H509"/>
    <mergeCell ref="E510:H510"/>
    <mergeCell ref="B522:H522"/>
    <mergeCell ref="B523:H523"/>
    <mergeCell ref="C525:D526"/>
    <mergeCell ref="E525:H525"/>
    <mergeCell ref="E526:F526"/>
    <mergeCell ref="G526:H526"/>
    <mergeCell ref="G541:H541"/>
    <mergeCell ref="G542:H542"/>
    <mergeCell ref="B554:H554"/>
    <mergeCell ref="B555:H555"/>
    <mergeCell ref="G549:H549"/>
    <mergeCell ref="G546:H546"/>
    <mergeCell ref="E543:H543"/>
    <mergeCell ref="E544:H544"/>
    <mergeCell ref="B556:H556"/>
    <mergeCell ref="B557:H557"/>
    <mergeCell ref="C559:D560"/>
    <mergeCell ref="E559:H559"/>
    <mergeCell ref="E560:F560"/>
    <mergeCell ref="G560:H560"/>
    <mergeCell ref="G73:H73"/>
    <mergeCell ref="G107:H107"/>
    <mergeCell ref="G141:H141"/>
    <mergeCell ref="G133:H133"/>
    <mergeCell ref="G134:H134"/>
    <mergeCell ref="G99:H99"/>
    <mergeCell ref="G100:H100"/>
    <mergeCell ref="B112:H112"/>
    <mergeCell ref="B113:H113"/>
    <mergeCell ref="E118:F118"/>
    <mergeCell ref="E101:H101"/>
    <mergeCell ref="E102:H102"/>
    <mergeCell ref="E135:H135"/>
    <mergeCell ref="E136:H136"/>
    <mergeCell ref="E577:H577"/>
    <mergeCell ref="E578:H578"/>
    <mergeCell ref="G104:H104"/>
    <mergeCell ref="G138:H138"/>
    <mergeCell ref="G575:H575"/>
    <mergeCell ref="G576:H576"/>
    <mergeCell ref="E33:H33"/>
    <mergeCell ref="E67:H67"/>
    <mergeCell ref="E34:H34"/>
    <mergeCell ref="E68:H68"/>
    <mergeCell ref="G36:H36"/>
    <mergeCell ref="G70:H70"/>
    <mergeCell ref="G39:H39"/>
    <mergeCell ref="G65:H65"/>
    <mergeCell ref="G66:H66"/>
    <mergeCell ref="E50:F50"/>
  </mergeCells>
  <phoneticPr fontId="82" type="noConversion"/>
  <printOptions horizontalCentered="1"/>
  <pageMargins left="0.86614173228346458" right="0.78740157480314965" top="1.2598425196850394" bottom="0.39370078740157483" header="0.23622047244094491" footer="0.15748031496062992"/>
  <pageSetup paperSize="9" scale="80" orientation="landscape" r:id="rId1"/>
  <headerFooter alignWithMargins="0"/>
  <ignoredErrors>
    <ignoredError sqref="A206 A240 A546 A308 A444 A137 A512 A409 A375 A341 A478 A69 A1 A35 A104 A274 A172"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A1" s="1" t="s">
        <v>195</v>
      </c>
      <c r="B1" s="3"/>
      <c r="C1" s="4"/>
      <c r="D1" s="3"/>
      <c r="E1" s="3"/>
      <c r="F1" s="3"/>
      <c r="G1" s="413"/>
      <c r="H1" s="413"/>
      <c r="I1" s="413"/>
      <c r="J1" s="413"/>
      <c r="L1" s="1603" t="s">
        <v>343</v>
      </c>
      <c r="M1" s="1603"/>
    </row>
    <row r="2" spans="1:14" x14ac:dyDescent="0.2">
      <c r="A2" s="3" t="s">
        <v>214</v>
      </c>
      <c r="B2" s="3"/>
      <c r="C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485</v>
      </c>
      <c r="B6" s="1604"/>
      <c r="C6" s="1604"/>
      <c r="D6" s="1604"/>
      <c r="E6" s="1604"/>
      <c r="F6" s="1604"/>
      <c r="G6" s="1604"/>
      <c r="H6" s="1604"/>
      <c r="I6" s="1604"/>
      <c r="J6" s="1604"/>
      <c r="K6" s="1604"/>
      <c r="L6" s="1604"/>
      <c r="M6" s="1604"/>
      <c r="N6" s="504"/>
    </row>
    <row r="7" spans="1:14" ht="15.75" x14ac:dyDescent="0.25">
      <c r="A7" s="1691" t="str">
        <f>"NA PODSTAWIE UMOWY O PRACĘ WEDŁUG DZIAŁÓW, wg stanu na dzień 31.XII."&amp;'Tab.1. bilans_Polska'!A2&amp;" r."</f>
        <v>NA PODSTAWIE UMOWY O PRACĘ WEDŁUG DZIAŁÓW, wg stanu na dzień 31.XII.2011 r.</v>
      </c>
      <c r="B7" s="1690"/>
      <c r="C7" s="1690"/>
      <c r="D7" s="1690"/>
      <c r="E7" s="1690"/>
      <c r="F7" s="1690"/>
      <c r="G7" s="1690"/>
      <c r="H7" s="1690"/>
      <c r="I7" s="1690"/>
      <c r="J7" s="1690"/>
      <c r="K7" s="1690"/>
      <c r="L7" s="1690"/>
      <c r="M7" s="1690"/>
      <c r="N7" s="504"/>
    </row>
    <row r="8" spans="1:14" ht="15.75" x14ac:dyDescent="0.25">
      <c r="A8" s="1604" t="s">
        <v>7</v>
      </c>
      <c r="B8" s="1604"/>
      <c r="C8" s="1604"/>
      <c r="D8" s="1604"/>
      <c r="E8" s="1604"/>
      <c r="F8" s="1604"/>
      <c r="G8" s="1604"/>
      <c r="H8" s="1604"/>
      <c r="I8" s="1604"/>
      <c r="J8" s="1604"/>
      <c r="K8" s="1604"/>
      <c r="L8" s="1604"/>
      <c r="M8" s="1604"/>
    </row>
    <row r="9" spans="1:14" ht="13.5" thickBot="1" x14ac:dyDescent="0.25">
      <c r="A9" s="3"/>
      <c r="B9" s="3"/>
      <c r="C9" s="3"/>
      <c r="D9" s="3"/>
      <c r="E9" s="3"/>
      <c r="F9" s="3"/>
      <c r="G9" s="3"/>
      <c r="H9" s="3"/>
      <c r="I9" s="3"/>
      <c r="J9" s="3"/>
      <c r="K9" s="3"/>
      <c r="L9" s="3"/>
    </row>
    <row r="10" spans="1:14" ht="13.5" thickTop="1" x14ac:dyDescent="0.2">
      <c r="A10" s="5"/>
      <c r="B10" s="1695" t="s">
        <v>256</v>
      </c>
      <c r="C10" s="1767" t="s">
        <v>344</v>
      </c>
      <c r="D10" s="1750" t="s">
        <v>49</v>
      </c>
      <c r="E10" s="1751"/>
      <c r="F10" s="1751"/>
      <c r="G10" s="1751"/>
      <c r="H10" s="1751"/>
      <c r="I10" s="1751"/>
      <c r="J10" s="1751"/>
      <c r="K10" s="1751"/>
      <c r="L10" s="1751"/>
      <c r="M10" s="1752"/>
    </row>
    <row r="11" spans="1:14" ht="39.75" customHeight="1" x14ac:dyDescent="0.2">
      <c r="A11" s="415" t="s">
        <v>226</v>
      </c>
      <c r="B11" s="1696"/>
      <c r="C11" s="1768"/>
      <c r="D11" s="1776" t="s">
        <v>345</v>
      </c>
      <c r="E11" s="1777"/>
      <c r="F11" s="1749" t="s">
        <v>346</v>
      </c>
      <c r="G11" s="1749"/>
      <c r="H11" s="1749" t="s">
        <v>347</v>
      </c>
      <c r="I11" s="1749"/>
      <c r="J11" s="1749" t="s">
        <v>348</v>
      </c>
      <c r="K11" s="1749"/>
      <c r="L11" s="1749" t="s">
        <v>349</v>
      </c>
      <c r="M11" s="1758"/>
    </row>
    <row r="12" spans="1:14" x14ac:dyDescent="0.2">
      <c r="A12" s="415"/>
      <c r="B12" s="1696"/>
      <c r="C12" s="1768"/>
      <c r="D12" s="1760" t="s">
        <v>0</v>
      </c>
      <c r="E12" s="1748" t="s">
        <v>294</v>
      </c>
      <c r="F12" s="1749" t="s">
        <v>0</v>
      </c>
      <c r="G12" s="1748" t="s">
        <v>294</v>
      </c>
      <c r="H12" s="1749" t="s">
        <v>0</v>
      </c>
      <c r="I12" s="1748" t="s">
        <v>294</v>
      </c>
      <c r="J12" s="1749" t="s">
        <v>0</v>
      </c>
      <c r="K12" s="1748" t="s">
        <v>294</v>
      </c>
      <c r="L12" s="1749" t="s">
        <v>0</v>
      </c>
      <c r="M12" s="1757" t="s">
        <v>294</v>
      </c>
    </row>
    <row r="13" spans="1:14" x14ac:dyDescent="0.2">
      <c r="A13" s="417"/>
      <c r="B13" s="1697"/>
      <c r="C13" s="1769"/>
      <c r="D13" s="1760"/>
      <c r="E13" s="1749"/>
      <c r="F13" s="1749"/>
      <c r="G13" s="1749"/>
      <c r="H13" s="1749"/>
      <c r="I13" s="1749"/>
      <c r="J13" s="1749"/>
      <c r="K13" s="1749"/>
      <c r="L13" s="1749"/>
      <c r="M13" s="1758"/>
    </row>
    <row r="14" spans="1:14"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14" ht="13.5" thickTop="1" x14ac:dyDescent="0.2">
      <c r="A15" s="461">
        <v>1</v>
      </c>
      <c r="B15" s="508" t="s">
        <v>236</v>
      </c>
      <c r="C15" s="488">
        <f>'Tab.5. zatr.umowa,etaty_Polska'!C55</f>
        <v>3901</v>
      </c>
      <c r="D15" s="515">
        <f>'Tab.5. zatr.umowa,etaty_Polska'!C57</f>
        <v>54</v>
      </c>
      <c r="E15" s="521">
        <f t="shared" ref="E15:E30" si="0">ROUND(D15*100/$C15, 1)</f>
        <v>1.4</v>
      </c>
      <c r="F15" s="518">
        <f>'Tab.5. zatr.umowa,etaty_Polska'!C58</f>
        <v>2533</v>
      </c>
      <c r="G15" s="521">
        <f t="shared" ref="G15:G30" si="1">ROUND(F15*100/$C15, 1)</f>
        <v>64.900000000000006</v>
      </c>
      <c r="H15" s="518">
        <f>'Tab.5. zatr.umowa,etaty_Polska'!C59</f>
        <v>380</v>
      </c>
      <c r="I15" s="521">
        <f t="shared" ref="I15:I30" si="2">ROUND(H15*100/$C15, 1)</f>
        <v>9.6999999999999993</v>
      </c>
      <c r="J15" s="518">
        <f>'Tab.5. zatr.umowa,etaty_Polska'!C60</f>
        <v>272</v>
      </c>
      <c r="K15" s="521">
        <f t="shared" ref="K15:K30" si="3">ROUND(J15*100/$C15, 1)</f>
        <v>7</v>
      </c>
      <c r="L15" s="518">
        <f>'Tab.5. zatr.umowa,etaty_Polska'!C61</f>
        <v>662</v>
      </c>
      <c r="M15" s="524">
        <f t="shared" ref="M15:M30" si="4">ROUND(L15*100/$C15, 1)</f>
        <v>17</v>
      </c>
    </row>
    <row r="16" spans="1:14" x14ac:dyDescent="0.2">
      <c r="A16" s="462">
        <v>2</v>
      </c>
      <c r="B16" s="509" t="s">
        <v>237</v>
      </c>
      <c r="C16" s="489">
        <f>'Tab.5. zatr.umowa,etaty_Polska'!C89</f>
        <v>2718</v>
      </c>
      <c r="D16" s="516">
        <f>'Tab.5. zatr.umowa,etaty_Polska'!C91</f>
        <v>64</v>
      </c>
      <c r="E16" s="522">
        <f t="shared" si="0"/>
        <v>2.4</v>
      </c>
      <c r="F16" s="519">
        <f>'Tab.5. zatr.umowa,etaty_Polska'!C92</f>
        <v>1513</v>
      </c>
      <c r="G16" s="522">
        <f t="shared" si="1"/>
        <v>55.7</v>
      </c>
      <c r="H16" s="519">
        <f>'Tab.5. zatr.umowa,etaty_Polska'!C93</f>
        <v>293</v>
      </c>
      <c r="I16" s="522">
        <f t="shared" si="2"/>
        <v>10.8</v>
      </c>
      <c r="J16" s="519">
        <f>'Tab.5. zatr.umowa,etaty_Polska'!C94</f>
        <v>242</v>
      </c>
      <c r="K16" s="522">
        <f t="shared" si="3"/>
        <v>8.9</v>
      </c>
      <c r="L16" s="519">
        <f>'Tab.5. zatr.umowa,etaty_Polska'!C95</f>
        <v>606</v>
      </c>
      <c r="M16" s="525">
        <f t="shared" si="4"/>
        <v>22.3</v>
      </c>
    </row>
    <row r="17" spans="1:13" x14ac:dyDescent="0.2">
      <c r="A17" s="462">
        <v>3</v>
      </c>
      <c r="B17" s="509" t="s">
        <v>238</v>
      </c>
      <c r="C17" s="489">
        <f>'Tab.5. zatr.umowa,etaty_Polska'!C123</f>
        <v>2993</v>
      </c>
      <c r="D17" s="516">
        <f>'Tab.5. zatr.umowa,etaty_Polska'!C125</f>
        <v>57</v>
      </c>
      <c r="E17" s="522">
        <f t="shared" si="0"/>
        <v>1.9</v>
      </c>
      <c r="F17" s="519">
        <f>'Tab.5. zatr.umowa,etaty_Polska'!C126</f>
        <v>1517</v>
      </c>
      <c r="G17" s="522">
        <f t="shared" si="1"/>
        <v>50.7</v>
      </c>
      <c r="H17" s="519">
        <f>'Tab.5. zatr.umowa,etaty_Polska'!C127</f>
        <v>579</v>
      </c>
      <c r="I17" s="522">
        <f t="shared" si="2"/>
        <v>19.3</v>
      </c>
      <c r="J17" s="519">
        <f>'Tab.5. zatr.umowa,etaty_Polska'!C128</f>
        <v>268</v>
      </c>
      <c r="K17" s="522">
        <f t="shared" si="3"/>
        <v>9</v>
      </c>
      <c r="L17" s="519">
        <f>'Tab.5. zatr.umowa,etaty_Polska'!C129</f>
        <v>572</v>
      </c>
      <c r="M17" s="525">
        <f t="shared" si="4"/>
        <v>19.100000000000001</v>
      </c>
    </row>
    <row r="18" spans="1:13" x14ac:dyDescent="0.2">
      <c r="A18" s="462">
        <v>4</v>
      </c>
      <c r="B18" s="509" t="s">
        <v>239</v>
      </c>
      <c r="C18" s="489">
        <f>'Tab.5. zatr.umowa,etaty_Polska'!C157</f>
        <v>1658</v>
      </c>
      <c r="D18" s="516">
        <f>'Tab.5. zatr.umowa,etaty_Polska'!C159</f>
        <v>25</v>
      </c>
      <c r="E18" s="522">
        <f t="shared" si="0"/>
        <v>1.5</v>
      </c>
      <c r="F18" s="519">
        <f>'Tab.5. zatr.umowa,etaty_Polska'!C160</f>
        <v>847</v>
      </c>
      <c r="G18" s="522">
        <f t="shared" si="1"/>
        <v>51.1</v>
      </c>
      <c r="H18" s="519">
        <f>'Tab.5. zatr.umowa,etaty_Polska'!C161</f>
        <v>261</v>
      </c>
      <c r="I18" s="522">
        <f t="shared" si="2"/>
        <v>15.7</v>
      </c>
      <c r="J18" s="519">
        <f>'Tab.5. zatr.umowa,etaty_Polska'!C162</f>
        <v>136</v>
      </c>
      <c r="K18" s="522">
        <f t="shared" si="3"/>
        <v>8.1999999999999993</v>
      </c>
      <c r="L18" s="519">
        <f>'Tab.5. zatr.umowa,etaty_Polska'!C163</f>
        <v>389</v>
      </c>
      <c r="M18" s="525">
        <f t="shared" si="4"/>
        <v>23.5</v>
      </c>
    </row>
    <row r="19" spans="1:13" x14ac:dyDescent="0.2">
      <c r="A19" s="462">
        <v>5</v>
      </c>
      <c r="B19" s="509" t="s">
        <v>240</v>
      </c>
      <c r="C19" s="489">
        <f>'Tab.5. zatr.umowa,etaty_Polska'!C191</f>
        <v>4241</v>
      </c>
      <c r="D19" s="516">
        <f>'Tab.5. zatr.umowa,etaty_Polska'!C193</f>
        <v>72</v>
      </c>
      <c r="E19" s="522">
        <f t="shared" si="0"/>
        <v>1.7</v>
      </c>
      <c r="F19" s="519">
        <f>'Tab.5. zatr.umowa,etaty_Polska'!C194</f>
        <v>2383</v>
      </c>
      <c r="G19" s="522">
        <f t="shared" si="1"/>
        <v>56.2</v>
      </c>
      <c r="H19" s="519">
        <f>'Tab.5. zatr.umowa,etaty_Polska'!C195</f>
        <v>581</v>
      </c>
      <c r="I19" s="522">
        <f t="shared" si="2"/>
        <v>13.7</v>
      </c>
      <c r="J19" s="519">
        <f>'Tab.5. zatr.umowa,etaty_Polska'!C196</f>
        <v>379</v>
      </c>
      <c r="K19" s="522">
        <f t="shared" si="3"/>
        <v>8.9</v>
      </c>
      <c r="L19" s="519">
        <f>'Tab.5. zatr.umowa,etaty_Polska'!C197</f>
        <v>826</v>
      </c>
      <c r="M19" s="525">
        <f t="shared" si="4"/>
        <v>19.5</v>
      </c>
    </row>
    <row r="20" spans="1:13" x14ac:dyDescent="0.2">
      <c r="A20" s="462">
        <v>6</v>
      </c>
      <c r="B20" s="509" t="s">
        <v>241</v>
      </c>
      <c r="C20" s="489">
        <f>'Tab.5. zatr.umowa,etaty_Polska'!C225</f>
        <v>5547</v>
      </c>
      <c r="D20" s="516">
        <f>'Tab.5. zatr.umowa,etaty_Polska'!C227</f>
        <v>94</v>
      </c>
      <c r="E20" s="522">
        <f t="shared" si="0"/>
        <v>1.7</v>
      </c>
      <c r="F20" s="519">
        <f>'Tab.5. zatr.umowa,etaty_Polska'!C228</f>
        <v>2927</v>
      </c>
      <c r="G20" s="522">
        <f t="shared" si="1"/>
        <v>52.8</v>
      </c>
      <c r="H20" s="519">
        <f>'Tab.5. zatr.umowa,etaty_Polska'!C229</f>
        <v>891</v>
      </c>
      <c r="I20" s="522">
        <f t="shared" si="2"/>
        <v>16.100000000000001</v>
      </c>
      <c r="J20" s="519">
        <f>'Tab.5. zatr.umowa,etaty_Polska'!C230</f>
        <v>445</v>
      </c>
      <c r="K20" s="522">
        <f t="shared" si="3"/>
        <v>8</v>
      </c>
      <c r="L20" s="519">
        <f>'Tab.5. zatr.umowa,etaty_Polska'!C231</f>
        <v>1190</v>
      </c>
      <c r="M20" s="525">
        <f t="shared" si="4"/>
        <v>21.5</v>
      </c>
    </row>
    <row r="21" spans="1:13" x14ac:dyDescent="0.2">
      <c r="A21" s="462">
        <v>7</v>
      </c>
      <c r="B21" s="509" t="s">
        <v>242</v>
      </c>
      <c r="C21" s="489">
        <f>'Tab.5. zatr.umowa,etaty_Polska'!C259</f>
        <v>6529</v>
      </c>
      <c r="D21" s="516">
        <f>'Tab.5. zatr.umowa,etaty_Polska'!C261</f>
        <v>113</v>
      </c>
      <c r="E21" s="522">
        <f t="shared" si="0"/>
        <v>1.7</v>
      </c>
      <c r="F21" s="519">
        <f>'Tab.5. zatr.umowa,etaty_Polska'!C262</f>
        <v>3667</v>
      </c>
      <c r="G21" s="522">
        <f t="shared" si="1"/>
        <v>56.2</v>
      </c>
      <c r="H21" s="519">
        <f>'Tab.5. zatr.umowa,etaty_Polska'!C263</f>
        <v>835</v>
      </c>
      <c r="I21" s="522">
        <f t="shared" si="2"/>
        <v>12.8</v>
      </c>
      <c r="J21" s="519">
        <f>'Tab.5. zatr.umowa,etaty_Polska'!C264</f>
        <v>549</v>
      </c>
      <c r="K21" s="522">
        <f t="shared" si="3"/>
        <v>8.4</v>
      </c>
      <c r="L21" s="519">
        <f>'Tab.5. zatr.umowa,etaty_Polska'!C265</f>
        <v>1365</v>
      </c>
      <c r="M21" s="525">
        <f t="shared" si="4"/>
        <v>20.9</v>
      </c>
    </row>
    <row r="22" spans="1:13" x14ac:dyDescent="0.2">
      <c r="A22" s="462">
        <v>8</v>
      </c>
      <c r="B22" s="509" t="s">
        <v>243</v>
      </c>
      <c r="C22" s="489">
        <f>'Tab.5. zatr.umowa,etaty_Polska'!C293</f>
        <v>1800</v>
      </c>
      <c r="D22" s="516">
        <f>'Tab.5. zatr.umowa,etaty_Polska'!C295</f>
        <v>29</v>
      </c>
      <c r="E22" s="522">
        <f t="shared" si="0"/>
        <v>1.6</v>
      </c>
      <c r="F22" s="519">
        <f>'Tab.5. zatr.umowa,etaty_Polska'!C296</f>
        <v>1162</v>
      </c>
      <c r="G22" s="522">
        <f t="shared" si="1"/>
        <v>64.599999999999994</v>
      </c>
      <c r="H22" s="519">
        <f>'Tab.5. zatr.umowa,etaty_Polska'!C297</f>
        <v>116</v>
      </c>
      <c r="I22" s="522">
        <f t="shared" si="2"/>
        <v>6.4</v>
      </c>
      <c r="J22" s="519">
        <f>'Tab.5. zatr.umowa,etaty_Polska'!C298</f>
        <v>118</v>
      </c>
      <c r="K22" s="522">
        <f t="shared" si="3"/>
        <v>6.6</v>
      </c>
      <c r="L22" s="519">
        <f>'Tab.5. zatr.umowa,etaty_Polska'!C299</f>
        <v>375</v>
      </c>
      <c r="M22" s="525">
        <f t="shared" si="4"/>
        <v>20.8</v>
      </c>
    </row>
    <row r="23" spans="1:13" x14ac:dyDescent="0.2">
      <c r="A23" s="462">
        <v>9</v>
      </c>
      <c r="B23" s="509" t="s">
        <v>244</v>
      </c>
      <c r="C23" s="489">
        <f>'Tab.5. zatr.umowa,etaty_Polska'!C327</f>
        <v>3137</v>
      </c>
      <c r="D23" s="516">
        <f>'Tab.5. zatr.umowa,etaty_Polska'!C329</f>
        <v>58</v>
      </c>
      <c r="E23" s="522">
        <f t="shared" si="0"/>
        <v>1.8</v>
      </c>
      <c r="F23" s="519">
        <f>'Tab.5. zatr.umowa,etaty_Polska'!C330</f>
        <v>1442</v>
      </c>
      <c r="G23" s="522">
        <f t="shared" si="1"/>
        <v>46</v>
      </c>
      <c r="H23" s="519">
        <f>'Tab.5. zatr.umowa,etaty_Polska'!C331</f>
        <v>538</v>
      </c>
      <c r="I23" s="522">
        <f t="shared" si="2"/>
        <v>17.2</v>
      </c>
      <c r="J23" s="519">
        <f>'Tab.5. zatr.umowa,etaty_Polska'!C332</f>
        <v>285</v>
      </c>
      <c r="K23" s="522">
        <f t="shared" si="3"/>
        <v>9.1</v>
      </c>
      <c r="L23" s="519">
        <f>'Tab.5. zatr.umowa,etaty_Polska'!C333</f>
        <v>814</v>
      </c>
      <c r="M23" s="525">
        <f t="shared" si="4"/>
        <v>25.9</v>
      </c>
    </row>
    <row r="24" spans="1:13" x14ac:dyDescent="0.2">
      <c r="A24" s="463">
        <v>10</v>
      </c>
      <c r="B24" s="509" t="s">
        <v>245</v>
      </c>
      <c r="C24" s="489">
        <f>'Tab.5. zatr.umowa,etaty_Polska'!C361</f>
        <v>1659</v>
      </c>
      <c r="D24" s="516">
        <f>'Tab.5. zatr.umowa,etaty_Polska'!C363</f>
        <v>27</v>
      </c>
      <c r="E24" s="522">
        <f t="shared" si="0"/>
        <v>1.6</v>
      </c>
      <c r="F24" s="519">
        <f>'Tab.5. zatr.umowa,etaty_Polska'!C364</f>
        <v>915</v>
      </c>
      <c r="G24" s="522">
        <f t="shared" si="1"/>
        <v>55.2</v>
      </c>
      <c r="H24" s="519">
        <f>'Tab.5. zatr.umowa,etaty_Polska'!C365</f>
        <v>299</v>
      </c>
      <c r="I24" s="522">
        <f t="shared" si="2"/>
        <v>18</v>
      </c>
      <c r="J24" s="519">
        <f>'Tab.5. zatr.umowa,etaty_Polska'!C366</f>
        <v>109</v>
      </c>
      <c r="K24" s="522">
        <f t="shared" si="3"/>
        <v>6.6</v>
      </c>
      <c r="L24" s="519">
        <f>'Tab.5. zatr.umowa,etaty_Polska'!C367</f>
        <v>309</v>
      </c>
      <c r="M24" s="525">
        <f t="shared" si="4"/>
        <v>18.600000000000001</v>
      </c>
    </row>
    <row r="25" spans="1:13" x14ac:dyDescent="0.2">
      <c r="A25" s="463">
        <v>11</v>
      </c>
      <c r="B25" s="509" t="s">
        <v>246</v>
      </c>
      <c r="C25" s="489">
        <f>'Tab.5. zatr.umowa,etaty_Polska'!C395</f>
        <v>2411</v>
      </c>
      <c r="D25" s="516">
        <f>'Tab.5. zatr.umowa,etaty_Polska'!C397</f>
        <v>39</v>
      </c>
      <c r="E25" s="522">
        <f t="shared" si="0"/>
        <v>1.6</v>
      </c>
      <c r="F25" s="519">
        <f>'Tab.5. zatr.umowa,etaty_Polska'!C398</f>
        <v>1454</v>
      </c>
      <c r="G25" s="522">
        <f t="shared" si="1"/>
        <v>60.3</v>
      </c>
      <c r="H25" s="519">
        <f>'Tab.5. zatr.umowa,etaty_Polska'!C399</f>
        <v>279</v>
      </c>
      <c r="I25" s="522">
        <f t="shared" si="2"/>
        <v>11.6</v>
      </c>
      <c r="J25" s="519">
        <f>'Tab.5. zatr.umowa,etaty_Polska'!C400</f>
        <v>180</v>
      </c>
      <c r="K25" s="522">
        <f t="shared" si="3"/>
        <v>7.5</v>
      </c>
      <c r="L25" s="519">
        <f>'Tab.5. zatr.umowa,etaty_Polska'!C401</f>
        <v>459</v>
      </c>
      <c r="M25" s="525">
        <f t="shared" si="4"/>
        <v>19</v>
      </c>
    </row>
    <row r="26" spans="1:13" x14ac:dyDescent="0.2">
      <c r="A26" s="463">
        <v>12</v>
      </c>
      <c r="B26" s="509" t="s">
        <v>247</v>
      </c>
      <c r="C26" s="489">
        <f>'Tab.5. zatr.umowa,etaty_Polska'!C429</f>
        <v>5406</v>
      </c>
      <c r="D26" s="516">
        <f>'Tab.5. zatr.umowa,etaty_Polska'!C431</f>
        <v>105</v>
      </c>
      <c r="E26" s="522">
        <f t="shared" si="0"/>
        <v>1.9</v>
      </c>
      <c r="F26" s="519">
        <f>'Tab.5. zatr.umowa,etaty_Polska'!C432</f>
        <v>2846</v>
      </c>
      <c r="G26" s="522">
        <f t="shared" si="1"/>
        <v>52.6</v>
      </c>
      <c r="H26" s="519">
        <f>'Tab.5. zatr.umowa,etaty_Polska'!C433</f>
        <v>640</v>
      </c>
      <c r="I26" s="522">
        <f t="shared" si="2"/>
        <v>11.8</v>
      </c>
      <c r="J26" s="519">
        <f>'Tab.5. zatr.umowa,etaty_Polska'!C434</f>
        <v>463</v>
      </c>
      <c r="K26" s="522">
        <f t="shared" si="3"/>
        <v>8.6</v>
      </c>
      <c r="L26" s="519">
        <f>'Tab.5. zatr.umowa,etaty_Polska'!C435</f>
        <v>1352</v>
      </c>
      <c r="M26" s="525">
        <f t="shared" si="4"/>
        <v>25</v>
      </c>
    </row>
    <row r="27" spans="1:13" x14ac:dyDescent="0.2">
      <c r="A27" s="463">
        <v>13</v>
      </c>
      <c r="B27" s="509" t="s">
        <v>248</v>
      </c>
      <c r="C27" s="489">
        <f>'Tab.5. zatr.umowa,etaty_Polska'!C463</f>
        <v>2160</v>
      </c>
      <c r="D27" s="516">
        <f>'Tab.5. zatr.umowa,etaty_Polska'!C465</f>
        <v>36</v>
      </c>
      <c r="E27" s="522">
        <f t="shared" si="0"/>
        <v>1.7</v>
      </c>
      <c r="F27" s="519">
        <f>'Tab.5. zatr.umowa,etaty_Polska'!C466</f>
        <v>938</v>
      </c>
      <c r="G27" s="522">
        <f t="shared" si="1"/>
        <v>43.4</v>
      </c>
      <c r="H27" s="519">
        <f>'Tab.5. zatr.umowa,etaty_Polska'!C467</f>
        <v>521</v>
      </c>
      <c r="I27" s="522">
        <f t="shared" si="2"/>
        <v>24.1</v>
      </c>
      <c r="J27" s="519">
        <f>'Tab.5. zatr.umowa,etaty_Polska'!C468</f>
        <v>183</v>
      </c>
      <c r="K27" s="522">
        <f t="shared" si="3"/>
        <v>8.5</v>
      </c>
      <c r="L27" s="519">
        <f>'Tab.5. zatr.umowa,etaty_Polska'!C469</f>
        <v>482</v>
      </c>
      <c r="M27" s="525">
        <f t="shared" si="4"/>
        <v>22.3</v>
      </c>
    </row>
    <row r="28" spans="1:13" x14ac:dyDescent="0.2">
      <c r="A28" s="463">
        <v>14</v>
      </c>
      <c r="B28" s="509" t="s">
        <v>249</v>
      </c>
      <c r="C28" s="489">
        <f>'Tab.5. zatr.umowa,etaty_Polska'!C497</f>
        <v>2221</v>
      </c>
      <c r="D28" s="516">
        <f>'Tab.5. zatr.umowa,etaty_Polska'!C499</f>
        <v>42</v>
      </c>
      <c r="E28" s="522">
        <f t="shared" si="0"/>
        <v>1.9</v>
      </c>
      <c r="F28" s="519">
        <f>'Tab.5. zatr.umowa,etaty_Polska'!C500</f>
        <v>1163</v>
      </c>
      <c r="G28" s="522">
        <f t="shared" si="1"/>
        <v>52.4</v>
      </c>
      <c r="H28" s="519">
        <f>'Tab.5. zatr.umowa,etaty_Polska'!C501</f>
        <v>344</v>
      </c>
      <c r="I28" s="522">
        <f t="shared" si="2"/>
        <v>15.5</v>
      </c>
      <c r="J28" s="519">
        <f>'Tab.5. zatr.umowa,etaty_Polska'!C502</f>
        <v>190</v>
      </c>
      <c r="K28" s="522">
        <f t="shared" si="3"/>
        <v>8.6</v>
      </c>
      <c r="L28" s="519">
        <f>'Tab.5. zatr.umowa,etaty_Polska'!C503</f>
        <v>482</v>
      </c>
      <c r="M28" s="525">
        <f t="shared" si="4"/>
        <v>21.7</v>
      </c>
    </row>
    <row r="29" spans="1:13" x14ac:dyDescent="0.2">
      <c r="A29" s="463">
        <v>15</v>
      </c>
      <c r="B29" s="509" t="s">
        <v>250</v>
      </c>
      <c r="C29" s="489">
        <f>'Tab.5. zatr.umowa,etaty_Polska'!C531</f>
        <v>4551</v>
      </c>
      <c r="D29" s="516">
        <f>'Tab.5. zatr.umowa,etaty_Polska'!C533</f>
        <v>75</v>
      </c>
      <c r="E29" s="522">
        <f t="shared" si="0"/>
        <v>1.6</v>
      </c>
      <c r="F29" s="519">
        <f>'Tab.5. zatr.umowa,etaty_Polska'!C534</f>
        <v>2687</v>
      </c>
      <c r="G29" s="522">
        <f t="shared" si="1"/>
        <v>59</v>
      </c>
      <c r="H29" s="519">
        <f>'Tab.5. zatr.umowa,etaty_Polska'!C535</f>
        <v>547</v>
      </c>
      <c r="I29" s="522">
        <f t="shared" si="2"/>
        <v>12</v>
      </c>
      <c r="J29" s="519">
        <f>'Tab.5. zatr.umowa,etaty_Polska'!C536</f>
        <v>366</v>
      </c>
      <c r="K29" s="522">
        <f t="shared" si="3"/>
        <v>8</v>
      </c>
      <c r="L29" s="519">
        <f>'Tab.5. zatr.umowa,etaty_Polska'!C537</f>
        <v>876</v>
      </c>
      <c r="M29" s="525">
        <f t="shared" si="4"/>
        <v>19.2</v>
      </c>
    </row>
    <row r="30" spans="1:13" ht="13.5" thickBot="1" x14ac:dyDescent="0.25">
      <c r="A30" s="463">
        <v>16</v>
      </c>
      <c r="B30" s="510" t="s">
        <v>251</v>
      </c>
      <c r="C30" s="489">
        <f>'Tab.5. zatr.umowa,etaty_Polska'!C565</f>
        <v>2507</v>
      </c>
      <c r="D30" s="517">
        <f>'Tab.5. zatr.umowa,etaty_Polska'!C567</f>
        <v>35</v>
      </c>
      <c r="E30" s="523">
        <f t="shared" si="0"/>
        <v>1.4</v>
      </c>
      <c r="F30" s="520">
        <f>'Tab.5. zatr.umowa,etaty_Polska'!C568</f>
        <v>1774</v>
      </c>
      <c r="G30" s="523">
        <f t="shared" si="1"/>
        <v>70.8</v>
      </c>
      <c r="H30" s="520">
        <f>'Tab.5. zatr.umowa,etaty_Polska'!C569</f>
        <v>110</v>
      </c>
      <c r="I30" s="523">
        <f t="shared" si="2"/>
        <v>4.4000000000000004</v>
      </c>
      <c r="J30" s="520">
        <f>'Tab.5. zatr.umowa,etaty_Polska'!C570</f>
        <v>172</v>
      </c>
      <c r="K30" s="523">
        <f t="shared" si="3"/>
        <v>6.9</v>
      </c>
      <c r="L30" s="520">
        <f>'Tab.5. zatr.umowa,etaty_Polska'!C571</f>
        <v>416</v>
      </c>
      <c r="M30" s="526">
        <f t="shared" si="4"/>
        <v>16.600000000000001</v>
      </c>
    </row>
    <row r="31" spans="1:13" ht="16.5" thickBot="1" x14ac:dyDescent="0.3">
      <c r="A31" s="445" t="s">
        <v>252</v>
      </c>
      <c r="B31" s="446"/>
      <c r="C31" s="514">
        <f>SUM(C15:C30)</f>
        <v>53439</v>
      </c>
      <c r="D31" s="527">
        <f>SUM(D15:D30)</f>
        <v>925</v>
      </c>
      <c r="E31" s="528">
        <f>AVERAGE(E15:E30)</f>
        <v>1.7124999999999997</v>
      </c>
      <c r="F31" s="529">
        <f>SUM(F15:F30)</f>
        <v>29768</v>
      </c>
      <c r="G31" s="528">
        <f>AVERAGE(G15:G30)</f>
        <v>55.743749999999999</v>
      </c>
      <c r="H31" s="529">
        <f>SUM(H15:H30)</f>
        <v>7214</v>
      </c>
      <c r="I31" s="528">
        <f>AVERAGE(I15:I30)</f>
        <v>13.693750000000001</v>
      </c>
      <c r="J31" s="529">
        <f>SUM(J15:J30)</f>
        <v>4357</v>
      </c>
      <c r="K31" s="528">
        <f>AVERAGE(K15:K30)</f>
        <v>8.0499999999999972</v>
      </c>
      <c r="L31" s="529">
        <f>SUM(L15:L30)</f>
        <v>11175</v>
      </c>
      <c r="M31" s="530">
        <f>AVERAGE(M15:M30)</f>
        <v>20.806250000000002</v>
      </c>
    </row>
    <row r="32" spans="1:13" ht="13.5" thickTop="1" x14ac:dyDescent="0.2"/>
  </sheetData>
  <mergeCells count="22">
    <mergeCell ref="J11:K11"/>
    <mergeCell ref="L11:M11"/>
    <mergeCell ref="F11:G11"/>
    <mergeCell ref="H11:I11"/>
    <mergeCell ref="D10:M10"/>
    <mergeCell ref="D11:E11"/>
    <mergeCell ref="F12:F13"/>
    <mergeCell ref="G12:G13"/>
    <mergeCell ref="L12:L13"/>
    <mergeCell ref="M12:M13"/>
    <mergeCell ref="J12:J13"/>
    <mergeCell ref="K12:K13"/>
    <mergeCell ref="L1:M1"/>
    <mergeCell ref="A6:M6"/>
    <mergeCell ref="A7:M7"/>
    <mergeCell ref="A8:M8"/>
    <mergeCell ref="H12:H13"/>
    <mergeCell ref="I12:I13"/>
    <mergeCell ref="C10:C13"/>
    <mergeCell ref="B10:B13"/>
    <mergeCell ref="D12:D13"/>
    <mergeCell ref="E12:E13"/>
  </mergeCells>
  <phoneticPr fontId="82"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ignoredErrors>
    <ignoredError sqref="F15:L30 E31:F31 G31:H31 I31:J31 K31" 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A6" sqref="A6:M6"/>
    </sheetView>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A1" s="1" t="s">
        <v>195</v>
      </c>
      <c r="B1" s="3"/>
      <c r="C1" s="4"/>
      <c r="D1" s="3"/>
      <c r="E1" s="3"/>
      <c r="F1" s="3"/>
      <c r="G1" s="413"/>
      <c r="H1" s="413"/>
      <c r="I1" s="413"/>
      <c r="J1" s="413"/>
      <c r="L1" s="1603" t="s">
        <v>350</v>
      </c>
      <c r="M1" s="1603"/>
    </row>
    <row r="2" spans="1:14" x14ac:dyDescent="0.2">
      <c r="A2" s="3" t="s">
        <v>214</v>
      </c>
      <c r="B2" s="3"/>
      <c r="C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485</v>
      </c>
      <c r="B6" s="1604"/>
      <c r="C6" s="1604"/>
      <c r="D6" s="1604"/>
      <c r="E6" s="1604"/>
      <c r="F6" s="1604"/>
      <c r="G6" s="1604"/>
      <c r="H6" s="1604"/>
      <c r="I6" s="1604"/>
      <c r="J6" s="1604"/>
      <c r="K6" s="1604"/>
      <c r="L6" s="1604"/>
      <c r="M6" s="1604"/>
      <c r="N6" s="504"/>
    </row>
    <row r="7" spans="1:14" ht="15.75" x14ac:dyDescent="0.25">
      <c r="A7" s="1691" t="str">
        <f>"NA PODSTAWIE UMOWY O PRACĘ WEDŁUG DZIAŁÓW, wg stanu na dzień 31.XII."&amp;'Tab.1. bilans_Polska'!A2&amp;" r."</f>
        <v>NA PODSTAWIE UMOWY O PRACĘ WEDŁUG DZIAŁÓW, wg stanu na dzień 31.XII.2011 r.</v>
      </c>
      <c r="B7" s="1690"/>
      <c r="C7" s="1690"/>
      <c r="D7" s="1690"/>
      <c r="E7" s="1690"/>
      <c r="F7" s="1690"/>
      <c r="G7" s="1690"/>
      <c r="H7" s="1690"/>
      <c r="I7" s="1690"/>
      <c r="J7" s="1690"/>
      <c r="K7" s="1690"/>
      <c r="L7" s="1690"/>
      <c r="M7" s="1690"/>
      <c r="N7" s="504"/>
    </row>
    <row r="8" spans="1:14" ht="15.75" x14ac:dyDescent="0.25">
      <c r="A8" s="1604" t="s">
        <v>272</v>
      </c>
      <c r="B8" s="1604"/>
      <c r="C8" s="1604"/>
      <c r="D8" s="1604"/>
      <c r="E8" s="1604"/>
      <c r="F8" s="1604"/>
      <c r="G8" s="1604"/>
      <c r="H8" s="1604"/>
      <c r="I8" s="1604"/>
      <c r="J8" s="1604"/>
      <c r="K8" s="1604"/>
      <c r="L8" s="1604"/>
      <c r="M8" s="1604"/>
    </row>
    <row r="9" spans="1:14" ht="13.5" thickBot="1" x14ac:dyDescent="0.25">
      <c r="A9" s="3"/>
      <c r="B9" s="3"/>
      <c r="C9" s="3"/>
      <c r="D9" s="3"/>
      <c r="E9" s="3"/>
      <c r="F9" s="3"/>
      <c r="G9" s="3"/>
      <c r="H9" s="3"/>
      <c r="I9" s="3"/>
      <c r="J9" s="3"/>
      <c r="K9" s="3"/>
      <c r="L9" s="3"/>
    </row>
    <row r="10" spans="1:14" ht="13.5" thickTop="1" x14ac:dyDescent="0.2">
      <c r="A10" s="5"/>
      <c r="B10" s="1695" t="s">
        <v>256</v>
      </c>
      <c r="C10" s="1767" t="s">
        <v>344</v>
      </c>
      <c r="D10" s="1750" t="s">
        <v>49</v>
      </c>
      <c r="E10" s="1751"/>
      <c r="F10" s="1751"/>
      <c r="G10" s="1751"/>
      <c r="H10" s="1751"/>
      <c r="I10" s="1751"/>
      <c r="J10" s="1751"/>
      <c r="K10" s="1751"/>
      <c r="L10" s="1751"/>
      <c r="M10" s="1752"/>
    </row>
    <row r="11" spans="1:14" ht="39.75" customHeight="1" x14ac:dyDescent="0.2">
      <c r="A11" s="415" t="s">
        <v>226</v>
      </c>
      <c r="B11" s="1696"/>
      <c r="C11" s="1768"/>
      <c r="D11" s="1776" t="s">
        <v>345</v>
      </c>
      <c r="E11" s="1777"/>
      <c r="F11" s="1749" t="s">
        <v>346</v>
      </c>
      <c r="G11" s="1749"/>
      <c r="H11" s="1749" t="s">
        <v>347</v>
      </c>
      <c r="I11" s="1749"/>
      <c r="J11" s="1749" t="s">
        <v>348</v>
      </c>
      <c r="K11" s="1749"/>
      <c r="L11" s="1749" t="s">
        <v>349</v>
      </c>
      <c r="M11" s="1758"/>
    </row>
    <row r="12" spans="1:14" x14ac:dyDescent="0.2">
      <c r="A12" s="415"/>
      <c r="B12" s="1696"/>
      <c r="C12" s="1768"/>
      <c r="D12" s="1760" t="s">
        <v>0</v>
      </c>
      <c r="E12" s="1748" t="s">
        <v>294</v>
      </c>
      <c r="F12" s="1749" t="s">
        <v>0</v>
      </c>
      <c r="G12" s="1748" t="s">
        <v>294</v>
      </c>
      <c r="H12" s="1749" t="s">
        <v>0</v>
      </c>
      <c r="I12" s="1748" t="s">
        <v>294</v>
      </c>
      <c r="J12" s="1749" t="s">
        <v>0</v>
      </c>
      <c r="K12" s="1748" t="s">
        <v>294</v>
      </c>
      <c r="L12" s="1749" t="s">
        <v>0</v>
      </c>
      <c r="M12" s="1757" t="s">
        <v>294</v>
      </c>
    </row>
    <row r="13" spans="1:14" x14ac:dyDescent="0.2">
      <c r="A13" s="417"/>
      <c r="B13" s="1697"/>
      <c r="C13" s="1769"/>
      <c r="D13" s="1760"/>
      <c r="E13" s="1749"/>
      <c r="F13" s="1749"/>
      <c r="G13" s="1749"/>
      <c r="H13" s="1749"/>
      <c r="I13" s="1749"/>
      <c r="J13" s="1749"/>
      <c r="K13" s="1749"/>
      <c r="L13" s="1749"/>
      <c r="M13" s="1758"/>
    </row>
    <row r="14" spans="1:14"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14" ht="13.5" thickTop="1" x14ac:dyDescent="0.2">
      <c r="A15" s="461">
        <v>1</v>
      </c>
      <c r="B15" s="508" t="s">
        <v>236</v>
      </c>
      <c r="C15" s="488">
        <f>'Tab.5. zatr.umowa,etaty_Polska'!E55</f>
        <v>3313</v>
      </c>
      <c r="D15" s="515">
        <f>'Tab.5. zatr.umowa,etaty_Polska'!E57</f>
        <v>35</v>
      </c>
      <c r="E15" s="521">
        <f t="shared" ref="E15:E30" si="0">ROUND(D15*100/$C15, 1)</f>
        <v>1.1000000000000001</v>
      </c>
      <c r="F15" s="518">
        <f>'Tab.5. zatr.umowa,etaty_Polska'!E58</f>
        <v>2138</v>
      </c>
      <c r="G15" s="521">
        <f t="shared" ref="G15:G30" si="1">ROUND(F15*100/$C15, 1)</f>
        <v>64.5</v>
      </c>
      <c r="H15" s="518">
        <f>'Tab.5. zatr.umowa,etaty_Polska'!E59</f>
        <v>329</v>
      </c>
      <c r="I15" s="521">
        <f t="shared" ref="I15:I30" si="2">ROUND(H15*100/$C15, 1)</f>
        <v>9.9</v>
      </c>
      <c r="J15" s="518">
        <f>'Tab.5. zatr.umowa,etaty_Polska'!E60</f>
        <v>233</v>
      </c>
      <c r="K15" s="521">
        <f t="shared" ref="K15:K30" si="3">ROUND(J15*100/$C15, 1)</f>
        <v>7</v>
      </c>
      <c r="L15" s="518">
        <f>'Tab.5. zatr.umowa,etaty_Polska'!E61</f>
        <v>578</v>
      </c>
      <c r="M15" s="524">
        <f t="shared" ref="M15:M30" si="4">ROUND(L15*100/$C15, 1)</f>
        <v>17.399999999999999</v>
      </c>
    </row>
    <row r="16" spans="1:14" x14ac:dyDescent="0.2">
      <c r="A16" s="462">
        <v>2</v>
      </c>
      <c r="B16" s="509" t="s">
        <v>237</v>
      </c>
      <c r="C16" s="489">
        <f>'Tab.5. zatr.umowa,etaty_Polska'!E89</f>
        <v>2389</v>
      </c>
      <c r="D16" s="516">
        <f>'Tab.5. zatr.umowa,etaty_Polska'!E91</f>
        <v>57</v>
      </c>
      <c r="E16" s="522">
        <f t="shared" si="0"/>
        <v>2.4</v>
      </c>
      <c r="F16" s="519">
        <f>'Tab.5. zatr.umowa,etaty_Polska'!E92</f>
        <v>1313</v>
      </c>
      <c r="G16" s="522">
        <f t="shared" si="1"/>
        <v>55</v>
      </c>
      <c r="H16" s="519">
        <f>'Tab.5. zatr.umowa,etaty_Polska'!E93</f>
        <v>264</v>
      </c>
      <c r="I16" s="522">
        <f t="shared" si="2"/>
        <v>11.1</v>
      </c>
      <c r="J16" s="519">
        <f>'Tab.5. zatr.umowa,etaty_Polska'!E94</f>
        <v>216</v>
      </c>
      <c r="K16" s="522">
        <f t="shared" si="3"/>
        <v>9</v>
      </c>
      <c r="L16" s="519">
        <f>'Tab.5. zatr.umowa,etaty_Polska'!E95</f>
        <v>539</v>
      </c>
      <c r="M16" s="525">
        <f t="shared" si="4"/>
        <v>22.6</v>
      </c>
    </row>
    <row r="17" spans="1:13" x14ac:dyDescent="0.2">
      <c r="A17" s="462">
        <v>3</v>
      </c>
      <c r="B17" s="509" t="s">
        <v>238</v>
      </c>
      <c r="C17" s="489">
        <f>'Tab.5. zatr.umowa,etaty_Polska'!E123</f>
        <v>2735</v>
      </c>
      <c r="D17" s="516">
        <f>'Tab.5. zatr.umowa,etaty_Polska'!E125</f>
        <v>49</v>
      </c>
      <c r="E17" s="522">
        <f t="shared" si="0"/>
        <v>1.8</v>
      </c>
      <c r="F17" s="519">
        <f>'Tab.5. zatr.umowa,etaty_Polska'!E126</f>
        <v>1370</v>
      </c>
      <c r="G17" s="522">
        <f t="shared" si="1"/>
        <v>50.1</v>
      </c>
      <c r="H17" s="519">
        <f>'Tab.5. zatr.umowa,etaty_Polska'!E127</f>
        <v>537</v>
      </c>
      <c r="I17" s="522">
        <f t="shared" si="2"/>
        <v>19.600000000000001</v>
      </c>
      <c r="J17" s="519">
        <f>'Tab.5. zatr.umowa,etaty_Polska'!E128</f>
        <v>251</v>
      </c>
      <c r="K17" s="522">
        <f t="shared" si="3"/>
        <v>9.1999999999999993</v>
      </c>
      <c r="L17" s="519">
        <f>'Tab.5. zatr.umowa,etaty_Polska'!E129</f>
        <v>528</v>
      </c>
      <c r="M17" s="525">
        <f t="shared" si="4"/>
        <v>19.3</v>
      </c>
    </row>
    <row r="18" spans="1:13" x14ac:dyDescent="0.2">
      <c r="A18" s="462">
        <v>4</v>
      </c>
      <c r="B18" s="509" t="s">
        <v>239</v>
      </c>
      <c r="C18" s="489">
        <f>'Tab.5. zatr.umowa,etaty_Polska'!E157</f>
        <v>1571</v>
      </c>
      <c r="D18" s="516">
        <f>'Tab.5. zatr.umowa,etaty_Polska'!E159</f>
        <v>23</v>
      </c>
      <c r="E18" s="522">
        <f t="shared" si="0"/>
        <v>1.5</v>
      </c>
      <c r="F18" s="519">
        <f>'Tab.5. zatr.umowa,etaty_Polska'!E160</f>
        <v>792</v>
      </c>
      <c r="G18" s="522">
        <f t="shared" si="1"/>
        <v>50.4</v>
      </c>
      <c r="H18" s="519">
        <f>'Tab.5. zatr.umowa,etaty_Polska'!E161</f>
        <v>253</v>
      </c>
      <c r="I18" s="522">
        <f t="shared" si="2"/>
        <v>16.100000000000001</v>
      </c>
      <c r="J18" s="519">
        <f>'Tab.5. zatr.umowa,etaty_Polska'!E162</f>
        <v>130</v>
      </c>
      <c r="K18" s="522">
        <f t="shared" si="3"/>
        <v>8.3000000000000007</v>
      </c>
      <c r="L18" s="519">
        <f>'Tab.5. zatr.umowa,etaty_Polska'!E163</f>
        <v>373</v>
      </c>
      <c r="M18" s="525">
        <f t="shared" si="4"/>
        <v>23.7</v>
      </c>
    </row>
    <row r="19" spans="1:13" x14ac:dyDescent="0.2">
      <c r="A19" s="462">
        <v>5</v>
      </c>
      <c r="B19" s="509" t="s">
        <v>240</v>
      </c>
      <c r="C19" s="489">
        <f>'Tab.5. zatr.umowa,etaty_Polska'!E191</f>
        <v>4034</v>
      </c>
      <c r="D19" s="516">
        <f>'Tab.5. zatr.umowa,etaty_Polska'!E193</f>
        <v>63</v>
      </c>
      <c r="E19" s="522">
        <f t="shared" si="0"/>
        <v>1.6</v>
      </c>
      <c r="F19" s="519">
        <f>'Tab.5. zatr.umowa,etaty_Polska'!E194</f>
        <v>2264</v>
      </c>
      <c r="G19" s="522">
        <f t="shared" si="1"/>
        <v>56.1</v>
      </c>
      <c r="H19" s="519">
        <f>'Tab.5. zatr.umowa,etaty_Polska'!E195</f>
        <v>558</v>
      </c>
      <c r="I19" s="522">
        <f t="shared" si="2"/>
        <v>13.8</v>
      </c>
      <c r="J19" s="519">
        <f>'Tab.5. zatr.umowa,etaty_Polska'!E196</f>
        <v>366</v>
      </c>
      <c r="K19" s="522">
        <f t="shared" si="3"/>
        <v>9.1</v>
      </c>
      <c r="L19" s="519">
        <f>'Tab.5. zatr.umowa,etaty_Polska'!E197</f>
        <v>783</v>
      </c>
      <c r="M19" s="525">
        <f t="shared" si="4"/>
        <v>19.399999999999999</v>
      </c>
    </row>
    <row r="20" spans="1:13" x14ac:dyDescent="0.2">
      <c r="A20" s="462">
        <v>6</v>
      </c>
      <c r="B20" s="509" t="s">
        <v>241</v>
      </c>
      <c r="C20" s="489">
        <f>'Tab.5. zatr.umowa,etaty_Polska'!E225</f>
        <v>4457</v>
      </c>
      <c r="D20" s="516">
        <f>'Tab.5. zatr.umowa,etaty_Polska'!E227</f>
        <v>60</v>
      </c>
      <c r="E20" s="522">
        <f t="shared" si="0"/>
        <v>1.3</v>
      </c>
      <c r="F20" s="519">
        <f>'Tab.5. zatr.umowa,etaty_Polska'!E228</f>
        <v>2313</v>
      </c>
      <c r="G20" s="522">
        <f t="shared" si="1"/>
        <v>51.9</v>
      </c>
      <c r="H20" s="519">
        <f>'Tab.5. zatr.umowa,etaty_Polska'!E229</f>
        <v>738</v>
      </c>
      <c r="I20" s="522">
        <f t="shared" si="2"/>
        <v>16.600000000000001</v>
      </c>
      <c r="J20" s="519">
        <f>'Tab.5. zatr.umowa,etaty_Polska'!E230</f>
        <v>371</v>
      </c>
      <c r="K20" s="522">
        <f t="shared" si="3"/>
        <v>8.3000000000000007</v>
      </c>
      <c r="L20" s="519">
        <f>'Tab.5. zatr.umowa,etaty_Polska'!E231</f>
        <v>975</v>
      </c>
      <c r="M20" s="525">
        <f t="shared" si="4"/>
        <v>21.9</v>
      </c>
    </row>
    <row r="21" spans="1:13" x14ac:dyDescent="0.2">
      <c r="A21" s="462">
        <v>7</v>
      </c>
      <c r="B21" s="509" t="s">
        <v>242</v>
      </c>
      <c r="C21" s="489">
        <f>'Tab.5. zatr.umowa,etaty_Polska'!E259</f>
        <v>5698</v>
      </c>
      <c r="D21" s="516">
        <f>'Tab.5. zatr.umowa,etaty_Polska'!E261</f>
        <v>93</v>
      </c>
      <c r="E21" s="522">
        <f t="shared" si="0"/>
        <v>1.6</v>
      </c>
      <c r="F21" s="519">
        <f>'Tab.5. zatr.umowa,etaty_Polska'!E262</f>
        <v>3149</v>
      </c>
      <c r="G21" s="522">
        <f t="shared" si="1"/>
        <v>55.3</v>
      </c>
      <c r="H21" s="519">
        <f>'Tab.5. zatr.umowa,etaty_Polska'!E263</f>
        <v>753</v>
      </c>
      <c r="I21" s="522">
        <f t="shared" si="2"/>
        <v>13.2</v>
      </c>
      <c r="J21" s="519">
        <f>'Tab.5. zatr.umowa,etaty_Polska'!E264</f>
        <v>504</v>
      </c>
      <c r="K21" s="522">
        <f t="shared" si="3"/>
        <v>8.8000000000000007</v>
      </c>
      <c r="L21" s="519">
        <f>'Tab.5. zatr.umowa,etaty_Polska'!E265</f>
        <v>1199</v>
      </c>
      <c r="M21" s="525">
        <f t="shared" si="4"/>
        <v>21</v>
      </c>
    </row>
    <row r="22" spans="1:13" x14ac:dyDescent="0.2">
      <c r="A22" s="462">
        <v>8</v>
      </c>
      <c r="B22" s="509" t="s">
        <v>243</v>
      </c>
      <c r="C22" s="489">
        <f>'Tab.5. zatr.umowa,etaty_Polska'!E293</f>
        <v>1231</v>
      </c>
      <c r="D22" s="516">
        <f>'Tab.5. zatr.umowa,etaty_Polska'!E295</f>
        <v>17</v>
      </c>
      <c r="E22" s="522">
        <f t="shared" si="0"/>
        <v>1.4</v>
      </c>
      <c r="F22" s="519">
        <f>'Tab.5. zatr.umowa,etaty_Polska'!E296</f>
        <v>809</v>
      </c>
      <c r="G22" s="522">
        <f t="shared" si="1"/>
        <v>65.7</v>
      </c>
      <c r="H22" s="519">
        <f>'Tab.5. zatr.umowa,etaty_Polska'!E297</f>
        <v>58</v>
      </c>
      <c r="I22" s="522">
        <f t="shared" si="2"/>
        <v>4.7</v>
      </c>
      <c r="J22" s="519">
        <f>'Tab.5. zatr.umowa,etaty_Polska'!E298</f>
        <v>81</v>
      </c>
      <c r="K22" s="522">
        <f t="shared" si="3"/>
        <v>6.6</v>
      </c>
      <c r="L22" s="519">
        <f>'Tab.5. zatr.umowa,etaty_Polska'!E299</f>
        <v>266</v>
      </c>
      <c r="M22" s="525">
        <f t="shared" si="4"/>
        <v>21.6</v>
      </c>
    </row>
    <row r="23" spans="1:13" x14ac:dyDescent="0.2">
      <c r="A23" s="462">
        <v>9</v>
      </c>
      <c r="B23" s="509" t="s">
        <v>244</v>
      </c>
      <c r="C23" s="489">
        <f>'Tab.5. zatr.umowa,etaty_Polska'!E327</f>
        <v>2389</v>
      </c>
      <c r="D23" s="516">
        <f>'Tab.5. zatr.umowa,etaty_Polska'!E329</f>
        <v>36</v>
      </c>
      <c r="E23" s="522">
        <f t="shared" si="0"/>
        <v>1.5</v>
      </c>
      <c r="F23" s="519">
        <f>'Tab.5. zatr.umowa,etaty_Polska'!E330</f>
        <v>1095</v>
      </c>
      <c r="G23" s="522">
        <f t="shared" si="1"/>
        <v>45.8</v>
      </c>
      <c r="H23" s="519">
        <f>'Tab.5. zatr.umowa,etaty_Polska'!E331</f>
        <v>446</v>
      </c>
      <c r="I23" s="522">
        <f t="shared" si="2"/>
        <v>18.7</v>
      </c>
      <c r="J23" s="519">
        <f>'Tab.5. zatr.umowa,etaty_Polska'!E332</f>
        <v>232</v>
      </c>
      <c r="K23" s="522">
        <f t="shared" si="3"/>
        <v>9.6999999999999993</v>
      </c>
      <c r="L23" s="519">
        <f>'Tab.5. zatr.umowa,etaty_Polska'!E333</f>
        <v>580</v>
      </c>
      <c r="M23" s="525">
        <f t="shared" si="4"/>
        <v>24.3</v>
      </c>
    </row>
    <row r="24" spans="1:13" x14ac:dyDescent="0.2">
      <c r="A24" s="463">
        <v>10</v>
      </c>
      <c r="B24" s="509" t="s">
        <v>245</v>
      </c>
      <c r="C24" s="489">
        <f>'Tab.5. zatr.umowa,etaty_Polska'!E361</f>
        <v>1351</v>
      </c>
      <c r="D24" s="516">
        <f>'Tab.5. zatr.umowa,etaty_Polska'!E363</f>
        <v>21</v>
      </c>
      <c r="E24" s="522">
        <f t="shared" si="0"/>
        <v>1.6</v>
      </c>
      <c r="F24" s="519">
        <f>'Tab.5. zatr.umowa,etaty_Polska'!E364</f>
        <v>731</v>
      </c>
      <c r="G24" s="522">
        <f t="shared" si="1"/>
        <v>54.1</v>
      </c>
      <c r="H24" s="519">
        <f>'Tab.5. zatr.umowa,etaty_Polska'!E365</f>
        <v>263</v>
      </c>
      <c r="I24" s="522">
        <f t="shared" si="2"/>
        <v>19.5</v>
      </c>
      <c r="J24" s="519">
        <f>'Tab.5. zatr.umowa,etaty_Polska'!E366</f>
        <v>88</v>
      </c>
      <c r="K24" s="522">
        <f t="shared" si="3"/>
        <v>6.5</v>
      </c>
      <c r="L24" s="519">
        <f>'Tab.5. zatr.umowa,etaty_Polska'!E367</f>
        <v>248</v>
      </c>
      <c r="M24" s="525">
        <f t="shared" si="4"/>
        <v>18.399999999999999</v>
      </c>
    </row>
    <row r="25" spans="1:13" x14ac:dyDescent="0.2">
      <c r="A25" s="463">
        <v>11</v>
      </c>
      <c r="B25" s="509" t="s">
        <v>246</v>
      </c>
      <c r="C25" s="489">
        <f>'Tab.5. zatr.umowa,etaty_Polska'!E395</f>
        <v>2046</v>
      </c>
      <c r="D25" s="516">
        <f>'Tab.5. zatr.umowa,etaty_Polska'!E397</f>
        <v>31</v>
      </c>
      <c r="E25" s="522">
        <f t="shared" si="0"/>
        <v>1.5</v>
      </c>
      <c r="F25" s="519">
        <f>'Tab.5. zatr.umowa,etaty_Polska'!E398</f>
        <v>1213</v>
      </c>
      <c r="G25" s="522">
        <f t="shared" si="1"/>
        <v>59.3</v>
      </c>
      <c r="H25" s="519">
        <f>'Tab.5. zatr.umowa,etaty_Polska'!E399</f>
        <v>255</v>
      </c>
      <c r="I25" s="522">
        <f t="shared" si="2"/>
        <v>12.5</v>
      </c>
      <c r="J25" s="519">
        <f>'Tab.5. zatr.umowa,etaty_Polska'!E400</f>
        <v>159</v>
      </c>
      <c r="K25" s="522">
        <f t="shared" si="3"/>
        <v>7.8</v>
      </c>
      <c r="L25" s="519">
        <f>'Tab.5. zatr.umowa,etaty_Polska'!E401</f>
        <v>388</v>
      </c>
      <c r="M25" s="525">
        <f t="shared" si="4"/>
        <v>19</v>
      </c>
    </row>
    <row r="26" spans="1:13" x14ac:dyDescent="0.2">
      <c r="A26" s="463">
        <v>12</v>
      </c>
      <c r="B26" s="509" t="s">
        <v>247</v>
      </c>
      <c r="C26" s="489">
        <f>'Tab.5. zatr.umowa,etaty_Polska'!E429</f>
        <v>3431</v>
      </c>
      <c r="D26" s="516">
        <f>'Tab.5. zatr.umowa,etaty_Polska'!E431</f>
        <v>47</v>
      </c>
      <c r="E26" s="522">
        <f t="shared" si="0"/>
        <v>1.4</v>
      </c>
      <c r="F26" s="519">
        <f>'Tab.5. zatr.umowa,etaty_Polska'!E432</f>
        <v>1788</v>
      </c>
      <c r="G26" s="522">
        <f t="shared" si="1"/>
        <v>52.1</v>
      </c>
      <c r="H26" s="519">
        <f>'Tab.5. zatr.umowa,etaty_Polska'!E433</f>
        <v>416</v>
      </c>
      <c r="I26" s="522">
        <f t="shared" si="2"/>
        <v>12.1</v>
      </c>
      <c r="J26" s="519">
        <f>'Tab.5. zatr.umowa,etaty_Polska'!E434</f>
        <v>338</v>
      </c>
      <c r="K26" s="522">
        <f t="shared" si="3"/>
        <v>9.9</v>
      </c>
      <c r="L26" s="519">
        <f>'Tab.5. zatr.umowa,etaty_Polska'!E435</f>
        <v>842</v>
      </c>
      <c r="M26" s="525">
        <f t="shared" si="4"/>
        <v>24.5</v>
      </c>
    </row>
    <row r="27" spans="1:13" x14ac:dyDescent="0.2">
      <c r="A27" s="463">
        <v>13</v>
      </c>
      <c r="B27" s="509" t="s">
        <v>248</v>
      </c>
      <c r="C27" s="489">
        <f>'Tab.5. zatr.umowa,etaty_Polska'!E463</f>
        <v>1867</v>
      </c>
      <c r="D27" s="516">
        <f>'Tab.5. zatr.umowa,etaty_Polska'!E465</f>
        <v>29</v>
      </c>
      <c r="E27" s="522">
        <f t="shared" si="0"/>
        <v>1.6</v>
      </c>
      <c r="F27" s="519">
        <f>'Tab.5. zatr.umowa,etaty_Polska'!E466</f>
        <v>790</v>
      </c>
      <c r="G27" s="522">
        <f t="shared" si="1"/>
        <v>42.3</v>
      </c>
      <c r="H27" s="519">
        <f>'Tab.5. zatr.umowa,etaty_Polska'!E467</f>
        <v>473</v>
      </c>
      <c r="I27" s="522">
        <f t="shared" si="2"/>
        <v>25.3</v>
      </c>
      <c r="J27" s="519">
        <f>'Tab.5. zatr.umowa,etaty_Polska'!E468</f>
        <v>162</v>
      </c>
      <c r="K27" s="522">
        <f t="shared" si="3"/>
        <v>8.6999999999999993</v>
      </c>
      <c r="L27" s="519">
        <f>'Tab.5. zatr.umowa,etaty_Polska'!E469</f>
        <v>413</v>
      </c>
      <c r="M27" s="525">
        <f t="shared" si="4"/>
        <v>22.1</v>
      </c>
    </row>
    <row r="28" spans="1:13" x14ac:dyDescent="0.2">
      <c r="A28" s="463">
        <v>14</v>
      </c>
      <c r="B28" s="509" t="s">
        <v>249</v>
      </c>
      <c r="C28" s="489">
        <f>'Tab.5. zatr.umowa,etaty_Polska'!E497</f>
        <v>1812</v>
      </c>
      <c r="D28" s="516">
        <f>'Tab.5. zatr.umowa,etaty_Polska'!E499</f>
        <v>31</v>
      </c>
      <c r="E28" s="522">
        <f t="shared" si="0"/>
        <v>1.7</v>
      </c>
      <c r="F28" s="519">
        <f>'Tab.5. zatr.umowa,etaty_Polska'!E500</f>
        <v>950</v>
      </c>
      <c r="G28" s="522">
        <f t="shared" si="1"/>
        <v>52.4</v>
      </c>
      <c r="H28" s="519">
        <f>'Tab.5. zatr.umowa,etaty_Polska'!E501</f>
        <v>290</v>
      </c>
      <c r="I28" s="522">
        <f t="shared" si="2"/>
        <v>16</v>
      </c>
      <c r="J28" s="519">
        <f>'Tab.5. zatr.umowa,etaty_Polska'!E502</f>
        <v>158</v>
      </c>
      <c r="K28" s="522">
        <f t="shared" si="3"/>
        <v>8.6999999999999993</v>
      </c>
      <c r="L28" s="519">
        <f>'Tab.5. zatr.umowa,etaty_Polska'!E503</f>
        <v>383</v>
      </c>
      <c r="M28" s="525">
        <f t="shared" si="4"/>
        <v>21.1</v>
      </c>
    </row>
    <row r="29" spans="1:13" x14ac:dyDescent="0.2">
      <c r="A29" s="463">
        <v>15</v>
      </c>
      <c r="B29" s="509" t="s">
        <v>250</v>
      </c>
      <c r="C29" s="489">
        <f>'Tab.5. zatr.umowa,etaty_Polska'!E531</f>
        <v>3745</v>
      </c>
      <c r="D29" s="516">
        <f>'Tab.5. zatr.umowa,etaty_Polska'!E533</f>
        <v>63</v>
      </c>
      <c r="E29" s="522">
        <f t="shared" si="0"/>
        <v>1.7</v>
      </c>
      <c r="F29" s="519">
        <f>'Tab.5. zatr.umowa,etaty_Polska'!E534</f>
        <v>2147</v>
      </c>
      <c r="G29" s="522">
        <f t="shared" si="1"/>
        <v>57.3</v>
      </c>
      <c r="H29" s="519">
        <f>'Tab.5. zatr.umowa,etaty_Polska'!E535</f>
        <v>511</v>
      </c>
      <c r="I29" s="522">
        <f t="shared" si="2"/>
        <v>13.6</v>
      </c>
      <c r="J29" s="519">
        <f>'Tab.5. zatr.umowa,etaty_Polska'!E536</f>
        <v>318</v>
      </c>
      <c r="K29" s="522">
        <f t="shared" si="3"/>
        <v>8.5</v>
      </c>
      <c r="L29" s="519">
        <f>'Tab.5. zatr.umowa,etaty_Polska'!E537</f>
        <v>706</v>
      </c>
      <c r="M29" s="525">
        <f t="shared" si="4"/>
        <v>18.899999999999999</v>
      </c>
    </row>
    <row r="30" spans="1:13" ht="13.5" thickBot="1" x14ac:dyDescent="0.25">
      <c r="A30" s="463">
        <v>16</v>
      </c>
      <c r="B30" s="510" t="s">
        <v>251</v>
      </c>
      <c r="C30" s="489">
        <f>'Tab.5. zatr.umowa,etaty_Polska'!E565</f>
        <v>2100</v>
      </c>
      <c r="D30" s="517">
        <f>'Tab.5. zatr.umowa,etaty_Polska'!E567</f>
        <v>28</v>
      </c>
      <c r="E30" s="523">
        <f t="shared" si="0"/>
        <v>1.3</v>
      </c>
      <c r="F30" s="520">
        <f>'Tab.5. zatr.umowa,etaty_Polska'!E568</f>
        <v>1469</v>
      </c>
      <c r="G30" s="523">
        <f t="shared" si="1"/>
        <v>70</v>
      </c>
      <c r="H30" s="520">
        <f>'Tab.5. zatr.umowa,etaty_Polska'!E569</f>
        <v>94</v>
      </c>
      <c r="I30" s="523">
        <f t="shared" si="2"/>
        <v>4.5</v>
      </c>
      <c r="J30" s="520">
        <f>'Tab.5. zatr.umowa,etaty_Polska'!E570</f>
        <v>146</v>
      </c>
      <c r="K30" s="523">
        <f t="shared" si="3"/>
        <v>7</v>
      </c>
      <c r="L30" s="520">
        <f>'Tab.5. zatr.umowa,etaty_Polska'!E571</f>
        <v>363</v>
      </c>
      <c r="M30" s="526">
        <f t="shared" si="4"/>
        <v>17.3</v>
      </c>
    </row>
    <row r="31" spans="1:13" ht="16.5" thickBot="1" x14ac:dyDescent="0.3">
      <c r="A31" s="445" t="s">
        <v>252</v>
      </c>
      <c r="B31" s="446"/>
      <c r="C31" s="514">
        <f>SUM(C15:C30)</f>
        <v>44169</v>
      </c>
      <c r="D31" s="527">
        <f>SUM(D15:D30)</f>
        <v>683</v>
      </c>
      <c r="E31" s="528">
        <f>AVERAGE(E15:E30)</f>
        <v>1.5625</v>
      </c>
      <c r="F31" s="529">
        <f>SUM(F15:F30)</f>
        <v>24331</v>
      </c>
      <c r="G31" s="528">
        <f>AVERAGE(G15:G30)</f>
        <v>55.14374999999999</v>
      </c>
      <c r="H31" s="529">
        <f>SUM(H15:H30)</f>
        <v>6238</v>
      </c>
      <c r="I31" s="528">
        <f>AVERAGE(I15:I30)</f>
        <v>14.2</v>
      </c>
      <c r="J31" s="529">
        <f>SUM(J15:J30)</f>
        <v>3753</v>
      </c>
      <c r="K31" s="528">
        <f>AVERAGE(K15:K30)</f>
        <v>8.3187500000000014</v>
      </c>
      <c r="L31" s="529">
        <f>SUM(L15:L30)</f>
        <v>9164</v>
      </c>
      <c r="M31" s="530">
        <f>AVERAGE(M15:M30)</f>
        <v>20.781250000000004</v>
      </c>
    </row>
    <row r="32" spans="1:13" ht="13.5" thickTop="1" x14ac:dyDescent="0.2"/>
  </sheetData>
  <mergeCells count="22">
    <mergeCell ref="D10:M10"/>
    <mergeCell ref="D11:E11"/>
    <mergeCell ref="C10:C13"/>
    <mergeCell ref="B10:B13"/>
    <mergeCell ref="L1:M1"/>
    <mergeCell ref="A6:M6"/>
    <mergeCell ref="A7:M7"/>
    <mergeCell ref="A8:M8"/>
    <mergeCell ref="L12:L13"/>
    <mergeCell ref="M12:M13"/>
    <mergeCell ref="F11:G11"/>
    <mergeCell ref="H11:I11"/>
    <mergeCell ref="J11:K11"/>
    <mergeCell ref="L11:M11"/>
    <mergeCell ref="J12:J13"/>
    <mergeCell ref="K12:K13"/>
    <mergeCell ref="D12:D13"/>
    <mergeCell ref="E12:E13"/>
    <mergeCell ref="F12:F13"/>
    <mergeCell ref="G12:G13"/>
    <mergeCell ref="H12:H13"/>
    <mergeCell ref="I12:I13"/>
  </mergeCells>
  <phoneticPr fontId="82" type="noConversion"/>
  <pageMargins left="0.51181102362204722" right="0.39370078740157483" top="0.98425196850393704" bottom="0.98425196850393704" header="0.51181102362204722" footer="0.51181102362204722"/>
  <pageSetup paperSize="9" orientation="landscape" r:id="rId1"/>
  <headerFooter alignWithMargins="0"/>
  <ignoredErrors>
    <ignoredError sqref="F15:L30 E31 G31 I31 K31"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heetViews>
  <sheetFormatPr defaultRowHeight="12.75" x14ac:dyDescent="0.2"/>
  <cols>
    <col min="1" max="1" width="3.7109375" customWidth="1"/>
    <col min="2" max="2" width="24.5703125" bestFit="1" customWidth="1"/>
    <col min="3" max="13" width="9.7109375" customWidth="1"/>
    <col min="14" max="14" width="15.7109375" customWidth="1"/>
  </cols>
  <sheetData>
    <row r="1" spans="1:14" ht="15.75" x14ac:dyDescent="0.25">
      <c r="A1" s="1" t="s">
        <v>195</v>
      </c>
      <c r="B1" s="3"/>
      <c r="C1" s="4"/>
      <c r="D1" s="3"/>
      <c r="E1" s="3"/>
      <c r="F1" s="3"/>
      <c r="G1" s="413"/>
      <c r="H1" s="413"/>
      <c r="I1" s="413"/>
      <c r="J1" s="413"/>
      <c r="L1" s="1603" t="s">
        <v>351</v>
      </c>
      <c r="M1" s="1603"/>
    </row>
    <row r="2" spans="1:14" x14ac:dyDescent="0.2">
      <c r="A2" s="3" t="s">
        <v>214</v>
      </c>
      <c r="B2" s="3"/>
      <c r="C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485</v>
      </c>
      <c r="B6" s="1604"/>
      <c r="C6" s="1604"/>
      <c r="D6" s="1604"/>
      <c r="E6" s="1604"/>
      <c r="F6" s="1604"/>
      <c r="G6" s="1604"/>
      <c r="H6" s="1604"/>
      <c r="I6" s="1604"/>
      <c r="J6" s="1604"/>
      <c r="K6" s="1604"/>
      <c r="L6" s="1604"/>
      <c r="M6" s="1604"/>
      <c r="N6" s="8"/>
    </row>
    <row r="7" spans="1:14" ht="15.75" x14ac:dyDescent="0.25">
      <c r="A7" s="1691" t="str">
        <f>"NA PODSTAWIE UMOWY O PRACĘ WEDŁUG DZIAŁÓW, wg stanu na dzień 31.XII."&amp;'Tab.1. bilans_Polska'!A2&amp;" r."</f>
        <v>NA PODSTAWIE UMOWY O PRACĘ WEDŁUG DZIAŁÓW, wg stanu na dzień 31.XII.2011 r.</v>
      </c>
      <c r="B7" s="1690"/>
      <c r="C7" s="1690"/>
      <c r="D7" s="1690"/>
      <c r="E7" s="1690"/>
      <c r="F7" s="1690"/>
      <c r="G7" s="1690"/>
      <c r="H7" s="1690"/>
      <c r="I7" s="1690"/>
      <c r="J7" s="1690"/>
      <c r="K7" s="1690"/>
      <c r="L7" s="1690"/>
      <c r="M7" s="1690"/>
      <c r="N7" s="504"/>
    </row>
    <row r="8" spans="1:14" ht="15.75" x14ac:dyDescent="0.25">
      <c r="A8" s="1604" t="s">
        <v>273</v>
      </c>
      <c r="B8" s="1604"/>
      <c r="C8" s="1604"/>
      <c r="D8" s="1604"/>
      <c r="E8" s="1604"/>
      <c r="F8" s="1604"/>
      <c r="G8" s="1604"/>
      <c r="H8" s="1604"/>
      <c r="I8" s="1604"/>
      <c r="J8" s="1604"/>
      <c r="K8" s="1604"/>
      <c r="L8" s="1604"/>
      <c r="M8" s="1604"/>
    </row>
    <row r="9" spans="1:14" ht="13.5" thickBot="1" x14ac:dyDescent="0.25">
      <c r="A9" s="3"/>
      <c r="B9" s="3"/>
      <c r="C9" s="3"/>
      <c r="D9" s="3"/>
      <c r="E9" s="3"/>
      <c r="F9" s="3"/>
      <c r="G9" s="3"/>
      <c r="H9" s="3"/>
      <c r="I9" s="3"/>
      <c r="J9" s="3"/>
      <c r="K9" s="3"/>
      <c r="L9" s="3"/>
    </row>
    <row r="10" spans="1:14" ht="13.5" thickTop="1" x14ac:dyDescent="0.2">
      <c r="A10" s="5"/>
      <c r="B10" s="1695" t="s">
        <v>256</v>
      </c>
      <c r="C10" s="1767" t="s">
        <v>344</v>
      </c>
      <c r="D10" s="1750" t="s">
        <v>49</v>
      </c>
      <c r="E10" s="1751"/>
      <c r="F10" s="1751"/>
      <c r="G10" s="1751"/>
      <c r="H10" s="1751"/>
      <c r="I10" s="1751"/>
      <c r="J10" s="1751"/>
      <c r="K10" s="1751"/>
      <c r="L10" s="1751"/>
      <c r="M10" s="1752"/>
    </row>
    <row r="11" spans="1:14" ht="39.75" customHeight="1" x14ac:dyDescent="0.2">
      <c r="A11" s="415" t="s">
        <v>226</v>
      </c>
      <c r="B11" s="1696"/>
      <c r="C11" s="1768"/>
      <c r="D11" s="1776" t="s">
        <v>345</v>
      </c>
      <c r="E11" s="1777"/>
      <c r="F11" s="1749" t="s">
        <v>346</v>
      </c>
      <c r="G11" s="1749"/>
      <c r="H11" s="1749" t="s">
        <v>347</v>
      </c>
      <c r="I11" s="1749"/>
      <c r="J11" s="1749" t="s">
        <v>348</v>
      </c>
      <c r="K11" s="1749"/>
      <c r="L11" s="1749" t="s">
        <v>349</v>
      </c>
      <c r="M11" s="1758"/>
    </row>
    <row r="12" spans="1:14" x14ac:dyDescent="0.2">
      <c r="A12" s="415"/>
      <c r="B12" s="1696"/>
      <c r="C12" s="1768"/>
      <c r="D12" s="1760" t="s">
        <v>0</v>
      </c>
      <c r="E12" s="1748" t="s">
        <v>294</v>
      </c>
      <c r="F12" s="1749" t="s">
        <v>0</v>
      </c>
      <c r="G12" s="1748" t="s">
        <v>294</v>
      </c>
      <c r="H12" s="1749" t="s">
        <v>0</v>
      </c>
      <c r="I12" s="1748" t="s">
        <v>294</v>
      </c>
      <c r="J12" s="1749" t="s">
        <v>0</v>
      </c>
      <c r="K12" s="1748" t="s">
        <v>294</v>
      </c>
      <c r="L12" s="1749" t="s">
        <v>0</v>
      </c>
      <c r="M12" s="1757" t="s">
        <v>294</v>
      </c>
    </row>
    <row r="13" spans="1:14" x14ac:dyDescent="0.2">
      <c r="A13" s="417"/>
      <c r="B13" s="1697"/>
      <c r="C13" s="1769"/>
      <c r="D13" s="1760"/>
      <c r="E13" s="1749"/>
      <c r="F13" s="1749"/>
      <c r="G13" s="1749"/>
      <c r="H13" s="1749"/>
      <c r="I13" s="1749"/>
      <c r="J13" s="1749"/>
      <c r="K13" s="1749"/>
      <c r="L13" s="1749"/>
      <c r="M13" s="1758"/>
    </row>
    <row r="14" spans="1:14"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14" ht="13.5" thickTop="1" x14ac:dyDescent="0.2">
      <c r="A15" s="461">
        <v>1</v>
      </c>
      <c r="B15" s="508" t="s">
        <v>236</v>
      </c>
      <c r="C15" s="488">
        <f>'Tab.5. zatr.umowa,etaty_Polska'!G55</f>
        <v>588</v>
      </c>
      <c r="D15" s="515">
        <f>'Tab.5. zatr.umowa,etaty_Polska'!G57</f>
        <v>19</v>
      </c>
      <c r="E15" s="521">
        <f t="shared" ref="E15:E30" si="0">ROUND(D15*100/$C15, 1)</f>
        <v>3.2</v>
      </c>
      <c r="F15" s="518">
        <f>'Tab.5. zatr.umowa,etaty_Polska'!G58</f>
        <v>395</v>
      </c>
      <c r="G15" s="521">
        <f t="shared" ref="G15:G30" si="1">ROUND(F15*100/$C15, 1)</f>
        <v>67.2</v>
      </c>
      <c r="H15" s="518">
        <f>'Tab.5. zatr.umowa,etaty_Polska'!G59</f>
        <v>51</v>
      </c>
      <c r="I15" s="521">
        <f t="shared" ref="I15:I30" si="2">ROUND(H15*100/$C15, 1)</f>
        <v>8.6999999999999993</v>
      </c>
      <c r="J15" s="518">
        <f>'Tab.5. zatr.umowa,etaty_Polska'!G60</f>
        <v>39</v>
      </c>
      <c r="K15" s="521">
        <f t="shared" ref="K15:K30" si="3">ROUND(J15*100/$C15, 1)</f>
        <v>6.6</v>
      </c>
      <c r="L15" s="518">
        <f>'Tab.5. zatr.umowa,etaty_Polska'!G61</f>
        <v>84</v>
      </c>
      <c r="M15" s="524">
        <f t="shared" ref="M15:M30" si="4">ROUND(L15*100/$C15, 1)</f>
        <v>14.3</v>
      </c>
    </row>
    <row r="16" spans="1:14" x14ac:dyDescent="0.2">
      <c r="A16" s="462">
        <v>2</v>
      </c>
      <c r="B16" s="509" t="s">
        <v>237</v>
      </c>
      <c r="C16" s="489">
        <f>'Tab.5. zatr.umowa,etaty_Polska'!G89</f>
        <v>329</v>
      </c>
      <c r="D16" s="516">
        <f>'Tab.5. zatr.umowa,etaty_Polska'!G91</f>
        <v>7</v>
      </c>
      <c r="E16" s="522">
        <f t="shared" si="0"/>
        <v>2.1</v>
      </c>
      <c r="F16" s="519">
        <f>'Tab.5. zatr.umowa,etaty_Polska'!G92</f>
        <v>200</v>
      </c>
      <c r="G16" s="522">
        <f t="shared" si="1"/>
        <v>60.8</v>
      </c>
      <c r="H16" s="519">
        <f>'Tab.5. zatr.umowa,etaty_Polska'!G93</f>
        <v>29</v>
      </c>
      <c r="I16" s="522">
        <f t="shared" si="2"/>
        <v>8.8000000000000007</v>
      </c>
      <c r="J16" s="519">
        <f>'Tab.5. zatr.umowa,etaty_Polska'!G94</f>
        <v>26</v>
      </c>
      <c r="K16" s="522">
        <f t="shared" si="3"/>
        <v>7.9</v>
      </c>
      <c r="L16" s="519">
        <f>'Tab.5. zatr.umowa,etaty_Polska'!G95</f>
        <v>67</v>
      </c>
      <c r="M16" s="525">
        <f t="shared" si="4"/>
        <v>20.399999999999999</v>
      </c>
    </row>
    <row r="17" spans="1:13" x14ac:dyDescent="0.2">
      <c r="A17" s="462">
        <v>3</v>
      </c>
      <c r="B17" s="509" t="s">
        <v>238</v>
      </c>
      <c r="C17" s="489">
        <f>'Tab.5. zatr.umowa,etaty_Polska'!G123</f>
        <v>258</v>
      </c>
      <c r="D17" s="516">
        <f>'Tab.5. zatr.umowa,etaty_Polska'!G125</f>
        <v>8</v>
      </c>
      <c r="E17" s="522">
        <f t="shared" si="0"/>
        <v>3.1</v>
      </c>
      <c r="F17" s="519">
        <f>'Tab.5. zatr.umowa,etaty_Polska'!G126</f>
        <v>147</v>
      </c>
      <c r="G17" s="522">
        <f t="shared" si="1"/>
        <v>57</v>
      </c>
      <c r="H17" s="519">
        <f>'Tab.5. zatr.umowa,etaty_Polska'!G127</f>
        <v>42</v>
      </c>
      <c r="I17" s="522">
        <f t="shared" si="2"/>
        <v>16.3</v>
      </c>
      <c r="J17" s="519">
        <f>'Tab.5. zatr.umowa,etaty_Polska'!G128</f>
        <v>17</v>
      </c>
      <c r="K17" s="522">
        <f t="shared" si="3"/>
        <v>6.6</v>
      </c>
      <c r="L17" s="519">
        <f>'Tab.5. zatr.umowa,etaty_Polska'!G129</f>
        <v>44</v>
      </c>
      <c r="M17" s="525">
        <f t="shared" si="4"/>
        <v>17.100000000000001</v>
      </c>
    </row>
    <row r="18" spans="1:13" x14ac:dyDescent="0.2">
      <c r="A18" s="462">
        <v>4</v>
      </c>
      <c r="B18" s="509" t="s">
        <v>239</v>
      </c>
      <c r="C18" s="489">
        <f>'Tab.5. zatr.umowa,etaty_Polska'!G157</f>
        <v>87</v>
      </c>
      <c r="D18" s="516">
        <f>'Tab.5. zatr.umowa,etaty_Polska'!G159</f>
        <v>2</v>
      </c>
      <c r="E18" s="522">
        <f t="shared" si="0"/>
        <v>2.2999999999999998</v>
      </c>
      <c r="F18" s="519">
        <f>'Tab.5. zatr.umowa,etaty_Polska'!G160</f>
        <v>55</v>
      </c>
      <c r="G18" s="522">
        <f t="shared" si="1"/>
        <v>63.2</v>
      </c>
      <c r="H18" s="519">
        <f>'Tab.5. zatr.umowa,etaty_Polska'!G161</f>
        <v>8</v>
      </c>
      <c r="I18" s="522">
        <f t="shared" si="2"/>
        <v>9.1999999999999993</v>
      </c>
      <c r="J18" s="519">
        <f>'Tab.5. zatr.umowa,etaty_Polska'!G162</f>
        <v>6</v>
      </c>
      <c r="K18" s="522">
        <f t="shared" si="3"/>
        <v>6.9</v>
      </c>
      <c r="L18" s="519">
        <f>'Tab.5. zatr.umowa,etaty_Polska'!G163</f>
        <v>16</v>
      </c>
      <c r="M18" s="525">
        <f t="shared" si="4"/>
        <v>18.399999999999999</v>
      </c>
    </row>
    <row r="19" spans="1:13" x14ac:dyDescent="0.2">
      <c r="A19" s="462">
        <v>5</v>
      </c>
      <c r="B19" s="509" t="s">
        <v>240</v>
      </c>
      <c r="C19" s="489">
        <f>'Tab.5. zatr.umowa,etaty_Polska'!G191</f>
        <v>207</v>
      </c>
      <c r="D19" s="516">
        <f>'Tab.5. zatr.umowa,etaty_Polska'!G193</f>
        <v>9</v>
      </c>
      <c r="E19" s="522">
        <f t="shared" si="0"/>
        <v>4.3</v>
      </c>
      <c r="F19" s="519">
        <f>'Tab.5. zatr.umowa,etaty_Polska'!G194</f>
        <v>119</v>
      </c>
      <c r="G19" s="522">
        <f t="shared" si="1"/>
        <v>57.5</v>
      </c>
      <c r="H19" s="519">
        <f>'Tab.5. zatr.umowa,etaty_Polska'!G195</f>
        <v>23</v>
      </c>
      <c r="I19" s="522">
        <f t="shared" si="2"/>
        <v>11.1</v>
      </c>
      <c r="J19" s="519">
        <f>'Tab.5. zatr.umowa,etaty_Polska'!G196</f>
        <v>13</v>
      </c>
      <c r="K19" s="522">
        <f t="shared" si="3"/>
        <v>6.3</v>
      </c>
      <c r="L19" s="519">
        <f>'Tab.5. zatr.umowa,etaty_Polska'!G197</f>
        <v>43</v>
      </c>
      <c r="M19" s="525">
        <f t="shared" si="4"/>
        <v>20.8</v>
      </c>
    </row>
    <row r="20" spans="1:13" x14ac:dyDescent="0.2">
      <c r="A20" s="462">
        <v>6</v>
      </c>
      <c r="B20" s="509" t="s">
        <v>241</v>
      </c>
      <c r="C20" s="489">
        <f>'Tab.5. zatr.umowa,etaty_Polska'!G225</f>
        <v>1090</v>
      </c>
      <c r="D20" s="516">
        <f>'Tab.5. zatr.umowa,etaty_Polska'!G227</f>
        <v>34</v>
      </c>
      <c r="E20" s="522">
        <f t="shared" si="0"/>
        <v>3.1</v>
      </c>
      <c r="F20" s="519">
        <f>'Tab.5. zatr.umowa,etaty_Polska'!G228</f>
        <v>614</v>
      </c>
      <c r="G20" s="522">
        <f t="shared" si="1"/>
        <v>56.3</v>
      </c>
      <c r="H20" s="519">
        <f>'Tab.5. zatr.umowa,etaty_Polska'!G229</f>
        <v>153</v>
      </c>
      <c r="I20" s="522">
        <f t="shared" si="2"/>
        <v>14</v>
      </c>
      <c r="J20" s="519">
        <f>'Tab.5. zatr.umowa,etaty_Polska'!G230</f>
        <v>74</v>
      </c>
      <c r="K20" s="522">
        <f t="shared" si="3"/>
        <v>6.8</v>
      </c>
      <c r="L20" s="519">
        <f>'Tab.5. zatr.umowa,etaty_Polska'!G231</f>
        <v>215</v>
      </c>
      <c r="M20" s="525">
        <f t="shared" si="4"/>
        <v>19.7</v>
      </c>
    </row>
    <row r="21" spans="1:13" x14ac:dyDescent="0.2">
      <c r="A21" s="462">
        <v>7</v>
      </c>
      <c r="B21" s="509" t="s">
        <v>242</v>
      </c>
      <c r="C21" s="489">
        <f>'Tab.5. zatr.umowa,etaty_Polska'!G259</f>
        <v>831</v>
      </c>
      <c r="D21" s="516">
        <f>'Tab.5. zatr.umowa,etaty_Polska'!G261</f>
        <v>20</v>
      </c>
      <c r="E21" s="522">
        <f t="shared" si="0"/>
        <v>2.4</v>
      </c>
      <c r="F21" s="519">
        <f>'Tab.5. zatr.umowa,etaty_Polska'!G262</f>
        <v>518</v>
      </c>
      <c r="G21" s="522">
        <f t="shared" si="1"/>
        <v>62.3</v>
      </c>
      <c r="H21" s="519">
        <f>'Tab.5. zatr.umowa,etaty_Polska'!G263</f>
        <v>82</v>
      </c>
      <c r="I21" s="522">
        <f t="shared" si="2"/>
        <v>9.9</v>
      </c>
      <c r="J21" s="519">
        <f>'Tab.5. zatr.umowa,etaty_Polska'!G264</f>
        <v>45</v>
      </c>
      <c r="K21" s="522">
        <f t="shared" si="3"/>
        <v>5.4</v>
      </c>
      <c r="L21" s="519">
        <f>'Tab.5. zatr.umowa,etaty_Polska'!G265</f>
        <v>166</v>
      </c>
      <c r="M21" s="525">
        <f t="shared" si="4"/>
        <v>20</v>
      </c>
    </row>
    <row r="22" spans="1:13" x14ac:dyDescent="0.2">
      <c r="A22" s="462">
        <v>8</v>
      </c>
      <c r="B22" s="509" t="s">
        <v>243</v>
      </c>
      <c r="C22" s="489">
        <f>'Tab.5. zatr.umowa,etaty_Polska'!G293</f>
        <v>569</v>
      </c>
      <c r="D22" s="516">
        <f>'Tab.5. zatr.umowa,etaty_Polska'!G295</f>
        <v>12</v>
      </c>
      <c r="E22" s="522">
        <f t="shared" si="0"/>
        <v>2.1</v>
      </c>
      <c r="F22" s="519">
        <f>'Tab.5. zatr.umowa,etaty_Polska'!G296</f>
        <v>353</v>
      </c>
      <c r="G22" s="522">
        <f t="shared" si="1"/>
        <v>62</v>
      </c>
      <c r="H22" s="519">
        <f>'Tab.5. zatr.umowa,etaty_Polska'!G297</f>
        <v>58</v>
      </c>
      <c r="I22" s="522">
        <f t="shared" si="2"/>
        <v>10.199999999999999</v>
      </c>
      <c r="J22" s="519">
        <f>'Tab.5. zatr.umowa,etaty_Polska'!G298</f>
        <v>37</v>
      </c>
      <c r="K22" s="522">
        <f t="shared" si="3"/>
        <v>6.5</v>
      </c>
      <c r="L22" s="519">
        <f>'Tab.5. zatr.umowa,etaty_Polska'!G299</f>
        <v>109</v>
      </c>
      <c r="M22" s="525">
        <f t="shared" si="4"/>
        <v>19.2</v>
      </c>
    </row>
    <row r="23" spans="1:13" x14ac:dyDescent="0.2">
      <c r="A23" s="462">
        <v>9</v>
      </c>
      <c r="B23" s="509" t="s">
        <v>244</v>
      </c>
      <c r="C23" s="489">
        <f>'Tab.5. zatr.umowa,etaty_Polska'!G327</f>
        <v>748</v>
      </c>
      <c r="D23" s="516">
        <f>'Tab.5. zatr.umowa,etaty_Polska'!G329</f>
        <v>22</v>
      </c>
      <c r="E23" s="522">
        <f t="shared" si="0"/>
        <v>2.9</v>
      </c>
      <c r="F23" s="519">
        <f>'Tab.5. zatr.umowa,etaty_Polska'!G330</f>
        <v>347</v>
      </c>
      <c r="G23" s="522">
        <f t="shared" si="1"/>
        <v>46.4</v>
      </c>
      <c r="H23" s="519">
        <f>'Tab.5. zatr.umowa,etaty_Polska'!G331</f>
        <v>92</v>
      </c>
      <c r="I23" s="522">
        <f t="shared" si="2"/>
        <v>12.3</v>
      </c>
      <c r="J23" s="519">
        <f>'Tab.5. zatr.umowa,etaty_Polska'!G332</f>
        <v>53</v>
      </c>
      <c r="K23" s="522">
        <f t="shared" si="3"/>
        <v>7.1</v>
      </c>
      <c r="L23" s="519">
        <f>'Tab.5. zatr.umowa,etaty_Polska'!G333</f>
        <v>234</v>
      </c>
      <c r="M23" s="525">
        <f t="shared" si="4"/>
        <v>31.3</v>
      </c>
    </row>
    <row r="24" spans="1:13" x14ac:dyDescent="0.2">
      <c r="A24" s="463">
        <v>10</v>
      </c>
      <c r="B24" s="509" t="s">
        <v>245</v>
      </c>
      <c r="C24" s="489">
        <f>'Tab.5. zatr.umowa,etaty_Polska'!G361</f>
        <v>308</v>
      </c>
      <c r="D24" s="516">
        <f>'Tab.5. zatr.umowa,etaty_Polska'!G363</f>
        <v>6</v>
      </c>
      <c r="E24" s="522">
        <f t="shared" si="0"/>
        <v>1.9</v>
      </c>
      <c r="F24" s="519">
        <f>'Tab.5. zatr.umowa,etaty_Polska'!G364</f>
        <v>184</v>
      </c>
      <c r="G24" s="522">
        <f t="shared" si="1"/>
        <v>59.7</v>
      </c>
      <c r="H24" s="519">
        <f>'Tab.5. zatr.umowa,etaty_Polska'!G365</f>
        <v>36</v>
      </c>
      <c r="I24" s="522">
        <f t="shared" si="2"/>
        <v>11.7</v>
      </c>
      <c r="J24" s="519">
        <f>'Tab.5. zatr.umowa,etaty_Polska'!G366</f>
        <v>21</v>
      </c>
      <c r="K24" s="522">
        <f t="shared" si="3"/>
        <v>6.8</v>
      </c>
      <c r="L24" s="519">
        <f>'Tab.5. zatr.umowa,etaty_Polska'!G367</f>
        <v>61</v>
      </c>
      <c r="M24" s="525">
        <f t="shared" si="4"/>
        <v>19.8</v>
      </c>
    </row>
    <row r="25" spans="1:13" x14ac:dyDescent="0.2">
      <c r="A25" s="463">
        <v>11</v>
      </c>
      <c r="B25" s="509" t="s">
        <v>246</v>
      </c>
      <c r="C25" s="489">
        <f>'Tab.5. zatr.umowa,etaty_Polska'!G395</f>
        <v>365</v>
      </c>
      <c r="D25" s="516">
        <f>'Tab.5. zatr.umowa,etaty_Polska'!G397</f>
        <v>8</v>
      </c>
      <c r="E25" s="522">
        <f t="shared" si="0"/>
        <v>2.2000000000000002</v>
      </c>
      <c r="F25" s="519">
        <f>'Tab.5. zatr.umowa,etaty_Polska'!G398</f>
        <v>241</v>
      </c>
      <c r="G25" s="522">
        <f t="shared" si="1"/>
        <v>66</v>
      </c>
      <c r="H25" s="519">
        <f>'Tab.5. zatr.umowa,etaty_Polska'!G399</f>
        <v>24</v>
      </c>
      <c r="I25" s="522">
        <f t="shared" si="2"/>
        <v>6.6</v>
      </c>
      <c r="J25" s="519">
        <f>'Tab.5. zatr.umowa,etaty_Polska'!G400</f>
        <v>21</v>
      </c>
      <c r="K25" s="522">
        <f t="shared" si="3"/>
        <v>5.8</v>
      </c>
      <c r="L25" s="519">
        <f>'Tab.5. zatr.umowa,etaty_Polska'!G401</f>
        <v>71</v>
      </c>
      <c r="M25" s="525">
        <f t="shared" si="4"/>
        <v>19.5</v>
      </c>
    </row>
    <row r="26" spans="1:13" x14ac:dyDescent="0.2">
      <c r="A26" s="463">
        <v>12</v>
      </c>
      <c r="B26" s="509" t="s">
        <v>247</v>
      </c>
      <c r="C26" s="489">
        <f>'Tab.5. zatr.umowa,etaty_Polska'!G429</f>
        <v>1975</v>
      </c>
      <c r="D26" s="516">
        <f>'Tab.5. zatr.umowa,etaty_Polska'!G431</f>
        <v>58</v>
      </c>
      <c r="E26" s="522">
        <f t="shared" si="0"/>
        <v>2.9</v>
      </c>
      <c r="F26" s="519">
        <f>'Tab.5. zatr.umowa,etaty_Polska'!G432</f>
        <v>1058</v>
      </c>
      <c r="G26" s="522">
        <f t="shared" si="1"/>
        <v>53.6</v>
      </c>
      <c r="H26" s="519">
        <f>'Tab.5. zatr.umowa,etaty_Polska'!G433</f>
        <v>224</v>
      </c>
      <c r="I26" s="522">
        <f t="shared" si="2"/>
        <v>11.3</v>
      </c>
      <c r="J26" s="519">
        <f>'Tab.5. zatr.umowa,etaty_Polska'!G434</f>
        <v>125</v>
      </c>
      <c r="K26" s="522">
        <f t="shared" si="3"/>
        <v>6.3</v>
      </c>
      <c r="L26" s="519">
        <f>'Tab.5. zatr.umowa,etaty_Polska'!G435</f>
        <v>510</v>
      </c>
      <c r="M26" s="525">
        <f t="shared" si="4"/>
        <v>25.8</v>
      </c>
    </row>
    <row r="27" spans="1:13" x14ac:dyDescent="0.2">
      <c r="A27" s="463">
        <v>13</v>
      </c>
      <c r="B27" s="509" t="s">
        <v>248</v>
      </c>
      <c r="C27" s="489">
        <f>'Tab.5. zatr.umowa,etaty_Polska'!G463</f>
        <v>293</v>
      </c>
      <c r="D27" s="516">
        <f>'Tab.5. zatr.umowa,etaty_Polska'!G465</f>
        <v>7</v>
      </c>
      <c r="E27" s="522">
        <f t="shared" si="0"/>
        <v>2.4</v>
      </c>
      <c r="F27" s="519">
        <f>'Tab.5. zatr.umowa,etaty_Polska'!G466</f>
        <v>148</v>
      </c>
      <c r="G27" s="522">
        <f t="shared" si="1"/>
        <v>50.5</v>
      </c>
      <c r="H27" s="519">
        <f>'Tab.5. zatr.umowa,etaty_Polska'!G467</f>
        <v>48</v>
      </c>
      <c r="I27" s="522">
        <f t="shared" si="2"/>
        <v>16.399999999999999</v>
      </c>
      <c r="J27" s="519">
        <f>'Tab.5. zatr.umowa,etaty_Polska'!G468</f>
        <v>21</v>
      </c>
      <c r="K27" s="522">
        <f t="shared" si="3"/>
        <v>7.2</v>
      </c>
      <c r="L27" s="519">
        <f>'Tab.5. zatr.umowa,etaty_Polska'!G469</f>
        <v>69</v>
      </c>
      <c r="M27" s="525">
        <f t="shared" si="4"/>
        <v>23.5</v>
      </c>
    </row>
    <row r="28" spans="1:13" x14ac:dyDescent="0.2">
      <c r="A28" s="463">
        <v>14</v>
      </c>
      <c r="B28" s="509" t="s">
        <v>249</v>
      </c>
      <c r="C28" s="489">
        <f>'Tab.5. zatr.umowa,etaty_Polska'!G497</f>
        <v>409</v>
      </c>
      <c r="D28" s="516">
        <f>'Tab.5. zatr.umowa,etaty_Polska'!G499</f>
        <v>11</v>
      </c>
      <c r="E28" s="522">
        <f t="shared" si="0"/>
        <v>2.7</v>
      </c>
      <c r="F28" s="519">
        <f>'Tab.5. zatr.umowa,etaty_Polska'!G500</f>
        <v>213</v>
      </c>
      <c r="G28" s="522">
        <f t="shared" si="1"/>
        <v>52.1</v>
      </c>
      <c r="H28" s="519">
        <f>'Tab.5. zatr.umowa,etaty_Polska'!G501</f>
        <v>54</v>
      </c>
      <c r="I28" s="522">
        <f t="shared" si="2"/>
        <v>13.2</v>
      </c>
      <c r="J28" s="519">
        <f>'Tab.5. zatr.umowa,etaty_Polska'!G502</f>
        <v>32</v>
      </c>
      <c r="K28" s="522">
        <f t="shared" si="3"/>
        <v>7.8</v>
      </c>
      <c r="L28" s="519">
        <f>'Tab.5. zatr.umowa,etaty_Polska'!G503</f>
        <v>99</v>
      </c>
      <c r="M28" s="525">
        <f t="shared" si="4"/>
        <v>24.2</v>
      </c>
    </row>
    <row r="29" spans="1:13" x14ac:dyDescent="0.2">
      <c r="A29" s="463">
        <v>15</v>
      </c>
      <c r="B29" s="509" t="s">
        <v>250</v>
      </c>
      <c r="C29" s="489">
        <f>'Tab.5. zatr.umowa,etaty_Polska'!G531</f>
        <v>806</v>
      </c>
      <c r="D29" s="516">
        <f>'Tab.5. zatr.umowa,etaty_Polska'!G533</f>
        <v>12</v>
      </c>
      <c r="E29" s="522">
        <f t="shared" si="0"/>
        <v>1.5</v>
      </c>
      <c r="F29" s="519">
        <f>'Tab.5. zatr.umowa,etaty_Polska'!G534</f>
        <v>540</v>
      </c>
      <c r="G29" s="522">
        <f t="shared" si="1"/>
        <v>67</v>
      </c>
      <c r="H29" s="519">
        <f>'Tab.5. zatr.umowa,etaty_Polska'!G535</f>
        <v>36</v>
      </c>
      <c r="I29" s="522">
        <f t="shared" si="2"/>
        <v>4.5</v>
      </c>
      <c r="J29" s="519">
        <f>'Tab.5. zatr.umowa,etaty_Polska'!G536</f>
        <v>48</v>
      </c>
      <c r="K29" s="522">
        <f t="shared" si="3"/>
        <v>6</v>
      </c>
      <c r="L29" s="519">
        <f>'Tab.5. zatr.umowa,etaty_Polska'!G537</f>
        <v>170</v>
      </c>
      <c r="M29" s="525">
        <f t="shared" si="4"/>
        <v>21.1</v>
      </c>
    </row>
    <row r="30" spans="1:13" ht="13.5" thickBot="1" x14ac:dyDescent="0.25">
      <c r="A30" s="463">
        <v>16</v>
      </c>
      <c r="B30" s="510" t="s">
        <v>251</v>
      </c>
      <c r="C30" s="489">
        <f>'Tab.5. zatr.umowa,etaty_Polska'!G565</f>
        <v>407</v>
      </c>
      <c r="D30" s="517">
        <f>'Tab.5. zatr.umowa,etaty_Polska'!G567</f>
        <v>7</v>
      </c>
      <c r="E30" s="523">
        <f t="shared" si="0"/>
        <v>1.7</v>
      </c>
      <c r="F30" s="520">
        <f>'Tab.5. zatr.umowa,etaty_Polska'!G568</f>
        <v>305</v>
      </c>
      <c r="G30" s="523">
        <f t="shared" si="1"/>
        <v>74.900000000000006</v>
      </c>
      <c r="H30" s="520">
        <f>'Tab.5. zatr.umowa,etaty_Polska'!G569</f>
        <v>16</v>
      </c>
      <c r="I30" s="523">
        <f t="shared" si="2"/>
        <v>3.9</v>
      </c>
      <c r="J30" s="520">
        <f>'Tab.5. zatr.umowa,etaty_Polska'!G570</f>
        <v>26</v>
      </c>
      <c r="K30" s="523">
        <f t="shared" si="3"/>
        <v>6.4</v>
      </c>
      <c r="L30" s="520">
        <f>'Tab.5. zatr.umowa,etaty_Polska'!G571</f>
        <v>53</v>
      </c>
      <c r="M30" s="526">
        <f t="shared" si="4"/>
        <v>13</v>
      </c>
    </row>
    <row r="31" spans="1:13" ht="16.5" thickBot="1" x14ac:dyDescent="0.3">
      <c r="A31" s="445" t="s">
        <v>252</v>
      </c>
      <c r="B31" s="446"/>
      <c r="C31" s="514">
        <f>SUM(C15:C30)</f>
        <v>9270</v>
      </c>
      <c r="D31" s="527">
        <f>SUM(D15:D30)</f>
        <v>242</v>
      </c>
      <c r="E31" s="528">
        <f>AVERAGE(E15:E30)</f>
        <v>2.5500000000000003</v>
      </c>
      <c r="F31" s="529">
        <f>SUM(F15:F30)</f>
        <v>5437</v>
      </c>
      <c r="G31" s="528">
        <f>AVERAGE(G15:G30)</f>
        <v>59.781250000000007</v>
      </c>
      <c r="H31" s="529">
        <f>SUM(H15:H30)</f>
        <v>976</v>
      </c>
      <c r="I31" s="528">
        <f>AVERAGE(I15:I30)</f>
        <v>10.50625</v>
      </c>
      <c r="J31" s="529">
        <f>SUM(J15:J30)</f>
        <v>604</v>
      </c>
      <c r="K31" s="528">
        <f>AVERAGE(K15:K30)</f>
        <v>6.6499999999999995</v>
      </c>
      <c r="L31" s="529">
        <f>SUM(L15:L30)</f>
        <v>2011</v>
      </c>
      <c r="M31" s="530">
        <f>AVERAGE(M15:M30)</f>
        <v>20.506250000000001</v>
      </c>
    </row>
    <row r="32" spans="1:13" ht="13.5" thickTop="1" x14ac:dyDescent="0.2"/>
  </sheetData>
  <mergeCells count="22">
    <mergeCell ref="J11:K11"/>
    <mergeCell ref="L11:M11"/>
    <mergeCell ref="F11:G11"/>
    <mergeCell ref="H11:I11"/>
    <mergeCell ref="D10:M10"/>
    <mergeCell ref="D11:E11"/>
    <mergeCell ref="F12:F13"/>
    <mergeCell ref="G12:G13"/>
    <mergeCell ref="L12:L13"/>
    <mergeCell ref="M12:M13"/>
    <mergeCell ref="J12:J13"/>
    <mergeCell ref="K12:K13"/>
    <mergeCell ref="L1:M1"/>
    <mergeCell ref="A6:M6"/>
    <mergeCell ref="A7:M7"/>
    <mergeCell ref="A8:M8"/>
    <mergeCell ref="H12:H13"/>
    <mergeCell ref="I12:I13"/>
    <mergeCell ref="C10:C13"/>
    <mergeCell ref="B10:B13"/>
    <mergeCell ref="D12:D13"/>
    <mergeCell ref="E12:E13"/>
  </mergeCells>
  <phoneticPr fontId="82" type="noConversion"/>
  <printOptions horizontalCentered="1" verticalCentered="1"/>
  <pageMargins left="0.51181102362204722" right="0.54" top="0.98425196850393704" bottom="0.98425196850393704" header="0.51181102362204722" footer="0.51181102362204722"/>
  <pageSetup paperSize="9" orientation="landscape" r:id="rId1"/>
  <headerFooter alignWithMargins="0"/>
  <ignoredErrors>
    <ignoredError sqref="F15:L30 E31 G31 I31 K31" formula="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heetViews>
  <sheetFormatPr defaultRowHeight="12.75" x14ac:dyDescent="0.2"/>
  <cols>
    <col min="1" max="1" width="3.7109375" customWidth="1"/>
    <col min="2" max="2" width="24.5703125" bestFit="1" customWidth="1"/>
    <col min="3" max="3" width="11.42578125" bestFit="1" customWidth="1"/>
    <col min="4" max="13" width="9.7109375" customWidth="1"/>
    <col min="14" max="14" width="15.7109375" customWidth="1"/>
  </cols>
  <sheetData>
    <row r="1" spans="1:14" ht="15.75" x14ac:dyDescent="0.25">
      <c r="A1" s="1" t="s">
        <v>195</v>
      </c>
      <c r="B1" s="3"/>
      <c r="C1" s="4"/>
      <c r="D1" s="3"/>
      <c r="E1" s="3"/>
      <c r="F1" s="3"/>
      <c r="G1" s="413"/>
      <c r="H1" s="413"/>
      <c r="I1" s="413"/>
      <c r="J1" s="413"/>
      <c r="L1" s="1603" t="s">
        <v>352</v>
      </c>
      <c r="M1" s="1603"/>
    </row>
    <row r="2" spans="1:14" x14ac:dyDescent="0.2">
      <c r="A2" s="3" t="s">
        <v>214</v>
      </c>
      <c r="B2" s="3"/>
      <c r="C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485</v>
      </c>
      <c r="B6" s="1604"/>
      <c r="C6" s="1604"/>
      <c r="D6" s="1604"/>
      <c r="E6" s="1604"/>
      <c r="F6" s="1604"/>
      <c r="G6" s="1604"/>
      <c r="H6" s="1604"/>
      <c r="I6" s="1604"/>
      <c r="J6" s="1604"/>
      <c r="K6" s="1604"/>
      <c r="L6" s="1604"/>
      <c r="M6" s="1604"/>
      <c r="N6" s="504"/>
    </row>
    <row r="7" spans="1:14" ht="15.75" x14ac:dyDescent="0.25">
      <c r="A7" s="1691" t="str">
        <f>"NA PODSTAWIE UMOWY O PRACĘ W PRZELICZENIU NA PEŁNE ETATY WEDŁUG DZIAŁÓW, wg stanu na dzień 31.XII."&amp;'Tab.1. bilans_Polska'!A2&amp;" r."</f>
        <v>NA PODSTAWIE UMOWY O PRACĘ W PRZELICZENIU NA PEŁNE ETATY WEDŁUG DZIAŁÓW, wg stanu na dzień 31.XII.2011 r.</v>
      </c>
      <c r="B7" s="1690"/>
      <c r="C7" s="1690"/>
      <c r="D7" s="1690"/>
      <c r="E7" s="1690"/>
      <c r="F7" s="1690"/>
      <c r="G7" s="1690"/>
      <c r="H7" s="1690"/>
      <c r="I7" s="1690"/>
      <c r="J7" s="1690"/>
      <c r="K7" s="1690"/>
      <c r="L7" s="1690"/>
      <c r="M7" s="1690"/>
      <c r="N7" s="504"/>
    </row>
    <row r="8" spans="1:14" ht="15.75" x14ac:dyDescent="0.25">
      <c r="A8" s="1604" t="s">
        <v>7</v>
      </c>
      <c r="B8" s="1604"/>
      <c r="C8" s="1604"/>
      <c r="D8" s="1604"/>
      <c r="E8" s="1604"/>
      <c r="F8" s="1604"/>
      <c r="G8" s="1604"/>
      <c r="H8" s="1604"/>
      <c r="I8" s="1604"/>
      <c r="J8" s="1604"/>
      <c r="K8" s="1604"/>
      <c r="L8" s="1604"/>
      <c r="M8" s="1604"/>
    </row>
    <row r="9" spans="1:14" ht="13.5" thickBot="1" x14ac:dyDescent="0.25">
      <c r="A9" s="3"/>
      <c r="B9" s="3"/>
      <c r="C9" s="3"/>
      <c r="D9" s="3"/>
      <c r="E9" s="3"/>
      <c r="F9" s="3"/>
      <c r="G9" s="3"/>
      <c r="H9" s="3"/>
      <c r="I9" s="3"/>
      <c r="J9" s="3"/>
      <c r="K9" s="3"/>
      <c r="L9" s="3"/>
    </row>
    <row r="10" spans="1:14" ht="13.5" thickTop="1" x14ac:dyDescent="0.2">
      <c r="A10" s="5"/>
      <c r="B10" s="1695" t="s">
        <v>256</v>
      </c>
      <c r="C10" s="1767" t="s">
        <v>344</v>
      </c>
      <c r="D10" s="1750" t="s">
        <v>49</v>
      </c>
      <c r="E10" s="1751"/>
      <c r="F10" s="1751"/>
      <c r="G10" s="1751"/>
      <c r="H10" s="1751"/>
      <c r="I10" s="1751"/>
      <c r="J10" s="1751"/>
      <c r="K10" s="1751"/>
      <c r="L10" s="1751"/>
      <c r="M10" s="1752"/>
    </row>
    <row r="11" spans="1:14" ht="39.75" customHeight="1" x14ac:dyDescent="0.2">
      <c r="A11" s="415" t="s">
        <v>226</v>
      </c>
      <c r="B11" s="1696"/>
      <c r="C11" s="1768"/>
      <c r="D11" s="1776" t="s">
        <v>345</v>
      </c>
      <c r="E11" s="1777"/>
      <c r="F11" s="1749" t="s">
        <v>346</v>
      </c>
      <c r="G11" s="1749"/>
      <c r="H11" s="1749" t="s">
        <v>347</v>
      </c>
      <c r="I11" s="1749"/>
      <c r="J11" s="1749" t="s">
        <v>348</v>
      </c>
      <c r="K11" s="1749"/>
      <c r="L11" s="1749" t="s">
        <v>349</v>
      </c>
      <c r="M11" s="1758"/>
    </row>
    <row r="12" spans="1:14" x14ac:dyDescent="0.2">
      <c r="A12" s="415"/>
      <c r="B12" s="1696"/>
      <c r="C12" s="1768"/>
      <c r="D12" s="1760" t="s">
        <v>0</v>
      </c>
      <c r="E12" s="1748" t="s">
        <v>294</v>
      </c>
      <c r="F12" s="1749" t="s">
        <v>0</v>
      </c>
      <c r="G12" s="1748" t="s">
        <v>294</v>
      </c>
      <c r="H12" s="1749" t="s">
        <v>0</v>
      </c>
      <c r="I12" s="1748" t="s">
        <v>294</v>
      </c>
      <c r="J12" s="1749" t="s">
        <v>0</v>
      </c>
      <c r="K12" s="1748" t="s">
        <v>294</v>
      </c>
      <c r="L12" s="1749" t="s">
        <v>0</v>
      </c>
      <c r="M12" s="1757" t="s">
        <v>294</v>
      </c>
    </row>
    <row r="13" spans="1:14" x14ac:dyDescent="0.2">
      <c r="A13" s="417"/>
      <c r="B13" s="1697"/>
      <c r="C13" s="1769"/>
      <c r="D13" s="1760"/>
      <c r="E13" s="1749"/>
      <c r="F13" s="1749"/>
      <c r="G13" s="1749"/>
      <c r="H13" s="1749"/>
      <c r="I13" s="1749"/>
      <c r="J13" s="1749"/>
      <c r="K13" s="1749"/>
      <c r="L13" s="1749"/>
      <c r="M13" s="1758"/>
    </row>
    <row r="14" spans="1:14"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14" ht="13.5" thickTop="1" x14ac:dyDescent="0.2">
      <c r="A15" s="461">
        <v>1</v>
      </c>
      <c r="B15" s="508" t="s">
        <v>236</v>
      </c>
      <c r="C15" s="570">
        <f>'Tab.5. zatr.umowa,etaty_Polska'!D55</f>
        <v>3742.73</v>
      </c>
      <c r="D15" s="571">
        <f>'Tab.5. zatr.umowa,etaty_Polska'!D57</f>
        <v>51.08</v>
      </c>
      <c r="E15" s="521">
        <f t="shared" ref="E15:E30" si="0">ROUND(D15*100/$C15, 1)</f>
        <v>1.4</v>
      </c>
      <c r="F15" s="577">
        <f>'Tab.5. zatr.umowa,etaty_Polska'!D58</f>
        <v>2450.29</v>
      </c>
      <c r="G15" s="521">
        <f t="shared" ref="G15:G30" si="1">ROUND(F15*100/$C15, 1)</f>
        <v>65.5</v>
      </c>
      <c r="H15" s="577">
        <f>'Tab.5. zatr.umowa,etaty_Polska'!D59</f>
        <v>352.35</v>
      </c>
      <c r="I15" s="521">
        <f t="shared" ref="I15:I30" si="2">ROUND(H15*100/$C15, 1)</f>
        <v>9.4</v>
      </c>
      <c r="J15" s="577">
        <f>'Tab.5. zatr.umowa,etaty_Polska'!D60</f>
        <v>245.38</v>
      </c>
      <c r="K15" s="521">
        <f t="shared" ref="K15:K30" si="3">ROUND(J15*100/$C15, 1)</f>
        <v>6.6</v>
      </c>
      <c r="L15" s="577">
        <f>'Tab.5. zatr.umowa,etaty_Polska'!D61</f>
        <v>643.63</v>
      </c>
      <c r="M15" s="524">
        <f t="shared" ref="M15:M30" si="4">ROUND(L15*100/$C15, 1)</f>
        <v>17.2</v>
      </c>
    </row>
    <row r="16" spans="1:14" x14ac:dyDescent="0.2">
      <c r="A16" s="462">
        <v>2</v>
      </c>
      <c r="B16" s="509" t="s">
        <v>237</v>
      </c>
      <c r="C16" s="572">
        <f>'Tab.5. zatr.umowa,etaty_Polska'!D89</f>
        <v>2621</v>
      </c>
      <c r="D16" s="573">
        <f>'Tab.5. zatr.umowa,etaty_Polska'!D91</f>
        <v>62.97</v>
      </c>
      <c r="E16" s="522">
        <f t="shared" si="0"/>
        <v>2.4</v>
      </c>
      <c r="F16" s="578">
        <f>'Tab.5. zatr.umowa,etaty_Polska'!D92</f>
        <v>1463.7</v>
      </c>
      <c r="G16" s="522">
        <f t="shared" si="1"/>
        <v>55.8</v>
      </c>
      <c r="H16" s="578">
        <f>'Tab.5. zatr.umowa,etaty_Polska'!D93</f>
        <v>273.08000000000004</v>
      </c>
      <c r="I16" s="522">
        <f t="shared" si="2"/>
        <v>10.4</v>
      </c>
      <c r="J16" s="578">
        <f>'Tab.5. zatr.umowa,etaty_Polska'!D94</f>
        <v>228.37</v>
      </c>
      <c r="K16" s="522">
        <f t="shared" si="3"/>
        <v>8.6999999999999993</v>
      </c>
      <c r="L16" s="578">
        <f>'Tab.5. zatr.umowa,etaty_Polska'!D95</f>
        <v>592.88</v>
      </c>
      <c r="M16" s="525">
        <f t="shared" si="4"/>
        <v>22.6</v>
      </c>
    </row>
    <row r="17" spans="1:13" x14ac:dyDescent="0.2">
      <c r="A17" s="462">
        <v>3</v>
      </c>
      <c r="B17" s="509" t="s">
        <v>238</v>
      </c>
      <c r="C17" s="572">
        <f>'Tab.5. zatr.umowa,etaty_Polska'!D123</f>
        <v>2899.6</v>
      </c>
      <c r="D17" s="573">
        <f>'Tab.5. zatr.umowa,etaty_Polska'!D125</f>
        <v>56.5</v>
      </c>
      <c r="E17" s="522">
        <f t="shared" si="0"/>
        <v>1.9</v>
      </c>
      <c r="F17" s="578">
        <f>'Tab.5. zatr.umowa,etaty_Polska'!D126</f>
        <v>1464.91</v>
      </c>
      <c r="G17" s="522">
        <f t="shared" si="1"/>
        <v>50.5</v>
      </c>
      <c r="H17" s="578">
        <f>'Tab.5. zatr.umowa,etaty_Polska'!D127</f>
        <v>558.92999999999995</v>
      </c>
      <c r="I17" s="522">
        <f t="shared" si="2"/>
        <v>19.3</v>
      </c>
      <c r="J17" s="578">
        <f>'Tab.5. zatr.umowa,etaty_Polska'!D128</f>
        <v>258.18</v>
      </c>
      <c r="K17" s="522">
        <f t="shared" si="3"/>
        <v>8.9</v>
      </c>
      <c r="L17" s="578">
        <f>'Tab.5. zatr.umowa,etaty_Polska'!D129</f>
        <v>561.08000000000004</v>
      </c>
      <c r="M17" s="525">
        <f t="shared" si="4"/>
        <v>19.399999999999999</v>
      </c>
    </row>
    <row r="18" spans="1:13" x14ac:dyDescent="0.2">
      <c r="A18" s="462">
        <v>4</v>
      </c>
      <c r="B18" s="509" t="s">
        <v>239</v>
      </c>
      <c r="C18" s="572">
        <f>'Tab.5. zatr.umowa,etaty_Polska'!D157</f>
        <v>1604.18</v>
      </c>
      <c r="D18" s="573">
        <f>'Tab.5. zatr.umowa,etaty_Polska'!D159</f>
        <v>25</v>
      </c>
      <c r="E18" s="522">
        <f t="shared" si="0"/>
        <v>1.6</v>
      </c>
      <c r="F18" s="578">
        <f>'Tab.5. zatr.umowa,etaty_Polska'!D160</f>
        <v>823.62</v>
      </c>
      <c r="G18" s="522">
        <f t="shared" si="1"/>
        <v>51.3</v>
      </c>
      <c r="H18" s="578">
        <f>'Tab.5. zatr.umowa,etaty_Polska'!D161</f>
        <v>240.62</v>
      </c>
      <c r="I18" s="522">
        <f t="shared" si="2"/>
        <v>15</v>
      </c>
      <c r="J18" s="578">
        <f>'Tab.5. zatr.umowa,etaty_Polska'!D162</f>
        <v>129.69</v>
      </c>
      <c r="K18" s="522">
        <f t="shared" si="3"/>
        <v>8.1</v>
      </c>
      <c r="L18" s="578">
        <f>'Tab.5. zatr.umowa,etaty_Polska'!D163</f>
        <v>385.25</v>
      </c>
      <c r="M18" s="525">
        <f t="shared" si="4"/>
        <v>24</v>
      </c>
    </row>
    <row r="19" spans="1:13" x14ac:dyDescent="0.2">
      <c r="A19" s="462">
        <v>5</v>
      </c>
      <c r="B19" s="509" t="s">
        <v>240</v>
      </c>
      <c r="C19" s="572">
        <f>'Tab.5. zatr.umowa,etaty_Polska'!D191</f>
        <v>4076.96</v>
      </c>
      <c r="D19" s="573">
        <f>'Tab.5. zatr.umowa,etaty_Polska'!D193</f>
        <v>71.5</v>
      </c>
      <c r="E19" s="522">
        <f t="shared" si="0"/>
        <v>1.8</v>
      </c>
      <c r="F19" s="578">
        <f>'Tab.5. zatr.umowa,etaty_Polska'!D194</f>
        <v>2320.9699999999998</v>
      </c>
      <c r="G19" s="522">
        <f t="shared" si="1"/>
        <v>56.9</v>
      </c>
      <c r="H19" s="578">
        <f>'Tab.5. zatr.umowa,etaty_Polska'!D195</f>
        <v>526.74</v>
      </c>
      <c r="I19" s="522">
        <f t="shared" si="2"/>
        <v>12.9</v>
      </c>
      <c r="J19" s="578">
        <f>'Tab.5. zatr.umowa,etaty_Polska'!D196</f>
        <v>354.37</v>
      </c>
      <c r="K19" s="522">
        <f t="shared" si="3"/>
        <v>8.6999999999999993</v>
      </c>
      <c r="L19" s="578">
        <f>'Tab.5. zatr.umowa,etaty_Polska'!D197</f>
        <v>803.38</v>
      </c>
      <c r="M19" s="525">
        <f t="shared" si="4"/>
        <v>19.7</v>
      </c>
    </row>
    <row r="20" spans="1:13" x14ac:dyDescent="0.2">
      <c r="A20" s="462">
        <v>6</v>
      </c>
      <c r="B20" s="509" t="s">
        <v>241</v>
      </c>
      <c r="C20" s="572">
        <f>'Tab.5. zatr.umowa,etaty_Polska'!D225</f>
        <v>5246.9</v>
      </c>
      <c r="D20" s="573">
        <f>'Tab.5. zatr.umowa,etaty_Polska'!D227</f>
        <v>89.5</v>
      </c>
      <c r="E20" s="522">
        <f t="shared" si="0"/>
        <v>1.7</v>
      </c>
      <c r="F20" s="578">
        <f>'Tab.5. zatr.umowa,etaty_Polska'!D228</f>
        <v>2816.1</v>
      </c>
      <c r="G20" s="522">
        <f t="shared" si="1"/>
        <v>53.7</v>
      </c>
      <c r="H20" s="578">
        <f>'Tab.5. zatr.umowa,etaty_Polska'!D229</f>
        <v>804</v>
      </c>
      <c r="I20" s="522">
        <f t="shared" si="2"/>
        <v>15.3</v>
      </c>
      <c r="J20" s="578">
        <f>'Tab.5. zatr.umowa,etaty_Polska'!D230</f>
        <v>398.97</v>
      </c>
      <c r="K20" s="522">
        <f t="shared" si="3"/>
        <v>7.6</v>
      </c>
      <c r="L20" s="578">
        <f>'Tab.5. zatr.umowa,etaty_Polska'!D231</f>
        <v>1138.33</v>
      </c>
      <c r="M20" s="525">
        <f t="shared" si="4"/>
        <v>21.7</v>
      </c>
    </row>
    <row r="21" spans="1:13" x14ac:dyDescent="0.2">
      <c r="A21" s="462">
        <v>7</v>
      </c>
      <c r="B21" s="509" t="s">
        <v>242</v>
      </c>
      <c r="C21" s="572">
        <f>'Tab.5. zatr.umowa,etaty_Polska'!D259</f>
        <v>6217.13</v>
      </c>
      <c r="D21" s="573">
        <f>'Tab.5. zatr.umowa,etaty_Polska'!D261</f>
        <v>112.25</v>
      </c>
      <c r="E21" s="522">
        <f t="shared" si="0"/>
        <v>1.8</v>
      </c>
      <c r="F21" s="578">
        <f>'Tab.5. zatr.umowa,etaty_Polska'!D262</f>
        <v>3529.3</v>
      </c>
      <c r="G21" s="522">
        <f t="shared" si="1"/>
        <v>56.8</v>
      </c>
      <c r="H21" s="578">
        <f>'Tab.5. zatr.umowa,etaty_Polska'!D263</f>
        <v>734.82</v>
      </c>
      <c r="I21" s="522">
        <f t="shared" si="2"/>
        <v>11.8</v>
      </c>
      <c r="J21" s="578">
        <f>'Tab.5. zatr.umowa,etaty_Polska'!D264</f>
        <v>512.21</v>
      </c>
      <c r="K21" s="522">
        <f t="shared" si="3"/>
        <v>8.1999999999999993</v>
      </c>
      <c r="L21" s="578">
        <f>'Tab.5. zatr.umowa,etaty_Polska'!D265</f>
        <v>1328.55</v>
      </c>
      <c r="M21" s="525">
        <f t="shared" si="4"/>
        <v>21.4</v>
      </c>
    </row>
    <row r="22" spans="1:13" x14ac:dyDescent="0.2">
      <c r="A22" s="462">
        <v>8</v>
      </c>
      <c r="B22" s="509" t="s">
        <v>243</v>
      </c>
      <c r="C22" s="572">
        <f>'Tab.5. zatr.umowa,etaty_Polska'!D293</f>
        <v>1723.21</v>
      </c>
      <c r="D22" s="573">
        <f>'Tab.5. zatr.umowa,etaty_Polska'!D295</f>
        <v>28.880000000000003</v>
      </c>
      <c r="E22" s="522">
        <f t="shared" si="0"/>
        <v>1.7</v>
      </c>
      <c r="F22" s="578">
        <f>'Tab.5. zatr.umowa,etaty_Polska'!D296</f>
        <v>1133.46</v>
      </c>
      <c r="G22" s="522">
        <f t="shared" si="1"/>
        <v>65.8</v>
      </c>
      <c r="H22" s="578">
        <f>'Tab.5. zatr.umowa,etaty_Polska'!D297</f>
        <v>88.99</v>
      </c>
      <c r="I22" s="522">
        <f t="shared" si="2"/>
        <v>5.2</v>
      </c>
      <c r="J22" s="578">
        <f>'Tab.5. zatr.umowa,etaty_Polska'!D298</f>
        <v>108.88</v>
      </c>
      <c r="K22" s="522">
        <f t="shared" si="3"/>
        <v>6.3</v>
      </c>
      <c r="L22" s="578">
        <f>'Tab.5. zatr.umowa,etaty_Polska'!D299</f>
        <v>363</v>
      </c>
      <c r="M22" s="525">
        <f t="shared" si="4"/>
        <v>21.1</v>
      </c>
    </row>
    <row r="23" spans="1:13" x14ac:dyDescent="0.2">
      <c r="A23" s="462">
        <v>9</v>
      </c>
      <c r="B23" s="509" t="s">
        <v>244</v>
      </c>
      <c r="C23" s="572">
        <f>'Tab.5. zatr.umowa,etaty_Polska'!D327</f>
        <v>2970.66</v>
      </c>
      <c r="D23" s="573">
        <f>'Tab.5. zatr.umowa,etaty_Polska'!D329</f>
        <v>55.8</v>
      </c>
      <c r="E23" s="522">
        <f t="shared" si="0"/>
        <v>1.9</v>
      </c>
      <c r="F23" s="578">
        <f>'Tab.5. zatr.umowa,etaty_Polska'!D330</f>
        <v>1364.24</v>
      </c>
      <c r="G23" s="522">
        <f t="shared" si="1"/>
        <v>45.9</v>
      </c>
      <c r="H23" s="578">
        <f>'Tab.5. zatr.umowa,etaty_Polska'!D331</f>
        <v>501.51</v>
      </c>
      <c r="I23" s="522">
        <f t="shared" si="2"/>
        <v>16.899999999999999</v>
      </c>
      <c r="J23" s="578">
        <f>'Tab.5. zatr.umowa,etaty_Polska'!D332</f>
        <v>260.86</v>
      </c>
      <c r="K23" s="522">
        <f t="shared" si="3"/>
        <v>8.8000000000000007</v>
      </c>
      <c r="L23" s="578">
        <f>'Tab.5. zatr.umowa,etaty_Polska'!D333</f>
        <v>788.25</v>
      </c>
      <c r="M23" s="525">
        <f t="shared" si="4"/>
        <v>26.5</v>
      </c>
    </row>
    <row r="24" spans="1:13" x14ac:dyDescent="0.2">
      <c r="A24" s="463">
        <v>10</v>
      </c>
      <c r="B24" s="509" t="s">
        <v>245</v>
      </c>
      <c r="C24" s="572">
        <f>'Tab.5. zatr.umowa,etaty_Polska'!D361</f>
        <v>1599.27</v>
      </c>
      <c r="D24" s="573">
        <f>'Tab.5. zatr.umowa,etaty_Polska'!D363</f>
        <v>26.5</v>
      </c>
      <c r="E24" s="522">
        <f t="shared" si="0"/>
        <v>1.7</v>
      </c>
      <c r="F24" s="578">
        <f>'Tab.5. zatr.umowa,etaty_Polska'!D364</f>
        <v>879</v>
      </c>
      <c r="G24" s="522">
        <f t="shared" si="1"/>
        <v>55</v>
      </c>
      <c r="H24" s="578">
        <f>'Tab.5. zatr.umowa,etaty_Polska'!D365</f>
        <v>286.76</v>
      </c>
      <c r="I24" s="522">
        <f t="shared" si="2"/>
        <v>17.899999999999999</v>
      </c>
      <c r="J24" s="578">
        <f>'Tab.5. zatr.umowa,etaty_Polska'!D366</f>
        <v>102.92</v>
      </c>
      <c r="K24" s="522">
        <f t="shared" si="3"/>
        <v>6.4</v>
      </c>
      <c r="L24" s="578">
        <f>'Tab.5. zatr.umowa,etaty_Polska'!D367</f>
        <v>304.08999999999997</v>
      </c>
      <c r="M24" s="525">
        <f t="shared" si="4"/>
        <v>19</v>
      </c>
    </row>
    <row r="25" spans="1:13" x14ac:dyDescent="0.2">
      <c r="A25" s="463">
        <v>11</v>
      </c>
      <c r="B25" s="509" t="s">
        <v>246</v>
      </c>
      <c r="C25" s="572">
        <f>'Tab.5. zatr.umowa,etaty_Polska'!D395</f>
        <v>2339.06</v>
      </c>
      <c r="D25" s="573">
        <f>'Tab.5. zatr.umowa,etaty_Polska'!D397</f>
        <v>37.700000000000003</v>
      </c>
      <c r="E25" s="522">
        <f t="shared" si="0"/>
        <v>1.6</v>
      </c>
      <c r="F25" s="578">
        <f>'Tab.5. zatr.umowa,etaty_Polska'!D398</f>
        <v>1420.13</v>
      </c>
      <c r="G25" s="522">
        <f t="shared" si="1"/>
        <v>60.7</v>
      </c>
      <c r="H25" s="578">
        <f>'Tab.5. zatr.umowa,etaty_Polska'!D399</f>
        <v>256.58999999999997</v>
      </c>
      <c r="I25" s="522">
        <f t="shared" si="2"/>
        <v>11</v>
      </c>
      <c r="J25" s="578">
        <f>'Tab.5. zatr.umowa,etaty_Polska'!D400</f>
        <v>173.84</v>
      </c>
      <c r="K25" s="522">
        <f t="shared" si="3"/>
        <v>7.4</v>
      </c>
      <c r="L25" s="578">
        <f>'Tab.5. zatr.umowa,etaty_Polska'!D401</f>
        <v>450.8</v>
      </c>
      <c r="M25" s="525">
        <f t="shared" si="4"/>
        <v>19.3</v>
      </c>
    </row>
    <row r="26" spans="1:13" x14ac:dyDescent="0.2">
      <c r="A26" s="463">
        <v>12</v>
      </c>
      <c r="B26" s="509" t="s">
        <v>247</v>
      </c>
      <c r="C26" s="572">
        <f>'Tab.5. zatr.umowa,etaty_Polska'!D429</f>
        <v>5119.82</v>
      </c>
      <c r="D26" s="573">
        <f>'Tab.5. zatr.umowa,etaty_Polska'!D431</f>
        <v>103</v>
      </c>
      <c r="E26" s="522">
        <f t="shared" si="0"/>
        <v>2</v>
      </c>
      <c r="F26" s="578">
        <f>'Tab.5. zatr.umowa,etaty_Polska'!D432</f>
        <v>2727.93</v>
      </c>
      <c r="G26" s="522">
        <f t="shared" si="1"/>
        <v>53.3</v>
      </c>
      <c r="H26" s="578">
        <f>'Tab.5. zatr.umowa,etaty_Polska'!D433</f>
        <v>573.49</v>
      </c>
      <c r="I26" s="522">
        <f t="shared" si="2"/>
        <v>11.2</v>
      </c>
      <c r="J26" s="578">
        <f>'Tab.5. zatr.umowa,etaty_Polska'!D434</f>
        <v>426.24</v>
      </c>
      <c r="K26" s="522">
        <f t="shared" si="3"/>
        <v>8.3000000000000007</v>
      </c>
      <c r="L26" s="578">
        <f>'Tab.5. zatr.umowa,etaty_Polska'!D435</f>
        <v>1289.1599999999999</v>
      </c>
      <c r="M26" s="525">
        <f t="shared" si="4"/>
        <v>25.2</v>
      </c>
    </row>
    <row r="27" spans="1:13" x14ac:dyDescent="0.2">
      <c r="A27" s="463">
        <v>13</v>
      </c>
      <c r="B27" s="509" t="s">
        <v>248</v>
      </c>
      <c r="C27" s="572">
        <f>'Tab.5. zatr.umowa,etaty_Polska'!D463</f>
        <v>2103.1000000000004</v>
      </c>
      <c r="D27" s="573">
        <f>'Tab.5. zatr.umowa,etaty_Polska'!D465</f>
        <v>35.25</v>
      </c>
      <c r="E27" s="522">
        <f t="shared" si="0"/>
        <v>1.7</v>
      </c>
      <c r="F27" s="578">
        <f>'Tab.5. zatr.umowa,etaty_Polska'!D466</f>
        <v>911.96</v>
      </c>
      <c r="G27" s="522">
        <f t="shared" si="1"/>
        <v>43.4</v>
      </c>
      <c r="H27" s="578">
        <f>'Tab.5. zatr.umowa,etaty_Polska'!D467</f>
        <v>500.24</v>
      </c>
      <c r="I27" s="522">
        <f t="shared" si="2"/>
        <v>23.8</v>
      </c>
      <c r="J27" s="578">
        <f>'Tab.5. zatr.umowa,etaty_Polska'!D468</f>
        <v>178.87</v>
      </c>
      <c r="K27" s="522">
        <f t="shared" si="3"/>
        <v>8.5</v>
      </c>
      <c r="L27" s="578">
        <f>'Tab.5. zatr.umowa,etaty_Polska'!D469</f>
        <v>476.78</v>
      </c>
      <c r="M27" s="525">
        <f t="shared" si="4"/>
        <v>22.7</v>
      </c>
    </row>
    <row r="28" spans="1:13" x14ac:dyDescent="0.2">
      <c r="A28" s="463">
        <v>14</v>
      </c>
      <c r="B28" s="509" t="s">
        <v>249</v>
      </c>
      <c r="C28" s="572">
        <f>'Tab.5. zatr.umowa,etaty_Polska'!D497</f>
        <v>2134.29</v>
      </c>
      <c r="D28" s="573">
        <f>'Tab.5. zatr.umowa,etaty_Polska'!D499</f>
        <v>40</v>
      </c>
      <c r="E28" s="522">
        <f t="shared" si="0"/>
        <v>1.9</v>
      </c>
      <c r="F28" s="578">
        <f>'Tab.5. zatr.umowa,etaty_Polska'!D500</f>
        <v>1126.43</v>
      </c>
      <c r="G28" s="522">
        <f t="shared" si="1"/>
        <v>52.8</v>
      </c>
      <c r="H28" s="578">
        <f>'Tab.5. zatr.umowa,etaty_Polska'!D501</f>
        <v>318.95</v>
      </c>
      <c r="I28" s="522">
        <f t="shared" si="2"/>
        <v>14.9</v>
      </c>
      <c r="J28" s="578">
        <f>'Tab.5. zatr.umowa,etaty_Polska'!D502</f>
        <v>177.88000000000002</v>
      </c>
      <c r="K28" s="522">
        <f t="shared" si="3"/>
        <v>8.3000000000000007</v>
      </c>
      <c r="L28" s="578">
        <f>'Tab.5. zatr.umowa,etaty_Polska'!D503</f>
        <v>471.03</v>
      </c>
      <c r="M28" s="525">
        <f t="shared" si="4"/>
        <v>22.1</v>
      </c>
    </row>
    <row r="29" spans="1:13" x14ac:dyDescent="0.2">
      <c r="A29" s="463">
        <v>15</v>
      </c>
      <c r="B29" s="509" t="s">
        <v>250</v>
      </c>
      <c r="C29" s="572">
        <f>'Tab.5. zatr.umowa,etaty_Polska'!D531</f>
        <v>4356.18</v>
      </c>
      <c r="D29" s="573">
        <f>'Tab.5. zatr.umowa,etaty_Polska'!D533</f>
        <v>74.5</v>
      </c>
      <c r="E29" s="522">
        <f t="shared" si="0"/>
        <v>1.7</v>
      </c>
      <c r="F29" s="578">
        <f>'Tab.5. zatr.umowa,etaty_Polska'!D534</f>
        <v>2594.5200000000004</v>
      </c>
      <c r="G29" s="522">
        <f t="shared" si="1"/>
        <v>59.6</v>
      </c>
      <c r="H29" s="578">
        <f>'Tab.5. zatr.umowa,etaty_Polska'!D535</f>
        <v>502.53999999999996</v>
      </c>
      <c r="I29" s="522">
        <f t="shared" si="2"/>
        <v>11.5</v>
      </c>
      <c r="J29" s="578">
        <f>'Tab.5. zatr.umowa,etaty_Polska'!D536</f>
        <v>340.15</v>
      </c>
      <c r="K29" s="522">
        <f t="shared" si="3"/>
        <v>7.8</v>
      </c>
      <c r="L29" s="578">
        <f>'Tab.5. zatr.umowa,etaty_Polska'!D537</f>
        <v>844.47</v>
      </c>
      <c r="M29" s="525">
        <f t="shared" si="4"/>
        <v>19.399999999999999</v>
      </c>
    </row>
    <row r="30" spans="1:13" ht="13.5" thickBot="1" x14ac:dyDescent="0.25">
      <c r="A30" s="463">
        <v>16</v>
      </c>
      <c r="B30" s="510" t="s">
        <v>251</v>
      </c>
      <c r="C30" s="572">
        <f>'Tab.5. zatr.umowa,etaty_Polska'!D565</f>
        <v>2446.9299999999998</v>
      </c>
      <c r="D30" s="574">
        <f>'Tab.5. zatr.umowa,etaty_Polska'!D567</f>
        <v>34.5</v>
      </c>
      <c r="E30" s="523">
        <f t="shared" si="0"/>
        <v>1.4</v>
      </c>
      <c r="F30" s="579">
        <f>'Tab.5. zatr.umowa,etaty_Polska'!D568</f>
        <v>1737.83</v>
      </c>
      <c r="G30" s="523">
        <f t="shared" si="1"/>
        <v>71</v>
      </c>
      <c r="H30" s="579">
        <f>'Tab.5. zatr.umowa,etaty_Polska'!D569</f>
        <v>99.9</v>
      </c>
      <c r="I30" s="523">
        <f t="shared" si="2"/>
        <v>4.0999999999999996</v>
      </c>
      <c r="J30" s="579">
        <f>'Tab.5. zatr.umowa,etaty_Polska'!D570</f>
        <v>163.82</v>
      </c>
      <c r="K30" s="523">
        <f t="shared" si="3"/>
        <v>6.7</v>
      </c>
      <c r="L30" s="579">
        <f>'Tab.5. zatr.umowa,etaty_Polska'!D571</f>
        <v>410.88</v>
      </c>
      <c r="M30" s="526">
        <f t="shared" si="4"/>
        <v>16.8</v>
      </c>
    </row>
    <row r="31" spans="1:13" ht="16.5" thickBot="1" x14ac:dyDescent="0.3">
      <c r="A31" s="445" t="s">
        <v>252</v>
      </c>
      <c r="B31" s="446"/>
      <c r="C31" s="575">
        <f>SUM(C15:C30)</f>
        <v>51201.020000000004</v>
      </c>
      <c r="D31" s="576">
        <f>SUM(D15:D30)</f>
        <v>904.93000000000006</v>
      </c>
      <c r="E31" s="528">
        <f>AVERAGE(E15:E30)</f>
        <v>1.7624999999999997</v>
      </c>
      <c r="F31" s="580">
        <f>SUM(F15:F30)</f>
        <v>28764.39</v>
      </c>
      <c r="G31" s="528">
        <f>AVERAGE(G15:G30)</f>
        <v>56.125</v>
      </c>
      <c r="H31" s="580">
        <f>SUM(H15:H30)</f>
        <v>6619.5099999999993</v>
      </c>
      <c r="I31" s="528">
        <f>AVERAGE(I15:I30)</f>
        <v>13.1625</v>
      </c>
      <c r="J31" s="580">
        <f>SUM(J15:J30)</f>
        <v>4060.630000000001</v>
      </c>
      <c r="K31" s="528">
        <f>AVERAGE(K15:K30)</f>
        <v>7.8312499999999998</v>
      </c>
      <c r="L31" s="580">
        <f>SUM(L15:L30)</f>
        <v>10851.560000000001</v>
      </c>
      <c r="M31" s="530">
        <f>AVERAGE(M15:M30)</f>
        <v>21.131250000000001</v>
      </c>
    </row>
    <row r="32" spans="1:13" ht="13.5" thickTop="1" x14ac:dyDescent="0.2"/>
  </sheetData>
  <mergeCells count="22">
    <mergeCell ref="D10:M10"/>
    <mergeCell ref="D11:E11"/>
    <mergeCell ref="C10:C13"/>
    <mergeCell ref="B10:B13"/>
    <mergeCell ref="L1:M1"/>
    <mergeCell ref="A6:M6"/>
    <mergeCell ref="A7:M7"/>
    <mergeCell ref="A8:M8"/>
    <mergeCell ref="L12:L13"/>
    <mergeCell ref="M12:M13"/>
    <mergeCell ref="F11:G11"/>
    <mergeCell ref="H11:I11"/>
    <mergeCell ref="J11:K11"/>
    <mergeCell ref="L11:M11"/>
    <mergeCell ref="J12:J13"/>
    <mergeCell ref="K12:K13"/>
    <mergeCell ref="D12:D13"/>
    <mergeCell ref="E12:E13"/>
    <mergeCell ref="F12:F13"/>
    <mergeCell ref="G12:G13"/>
    <mergeCell ref="H12:H13"/>
    <mergeCell ref="I12:I13"/>
  </mergeCells>
  <phoneticPr fontId="82" type="noConversion"/>
  <printOptions horizontalCentered="1" verticalCentered="1"/>
  <pageMargins left="0.31496062992125984" right="0.48" top="0.98425196850393704" bottom="0.98425196850393704" header="0.51181102362204722" footer="0.51181102362204722"/>
  <pageSetup paperSize="9" orientation="landscape" r:id="rId1"/>
  <headerFooter alignWithMargins="0"/>
  <ignoredErrors>
    <ignoredError sqref="F15:L30 E31:F31 G31:H31 I31:J31 K31" 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A6" sqref="A6:M6"/>
    </sheetView>
  </sheetViews>
  <sheetFormatPr defaultRowHeight="12.75" x14ac:dyDescent="0.2"/>
  <cols>
    <col min="1" max="1" width="3.7109375" customWidth="1"/>
    <col min="2" max="2" width="24.5703125" bestFit="1" customWidth="1"/>
    <col min="3" max="3" width="11.42578125" bestFit="1" customWidth="1"/>
    <col min="4" max="13" width="9.7109375" customWidth="1"/>
    <col min="14" max="14" width="15.7109375" customWidth="1"/>
  </cols>
  <sheetData>
    <row r="1" spans="1:14" ht="15.75" x14ac:dyDescent="0.25">
      <c r="A1" s="1" t="s">
        <v>195</v>
      </c>
      <c r="B1" s="3"/>
      <c r="C1" s="4"/>
      <c r="D1" s="3"/>
      <c r="E1" s="3"/>
      <c r="F1" s="3"/>
      <c r="G1" s="413"/>
      <c r="H1" s="413"/>
      <c r="I1" s="413"/>
      <c r="J1" s="413"/>
      <c r="L1" s="1603" t="s">
        <v>353</v>
      </c>
      <c r="M1" s="1603"/>
    </row>
    <row r="2" spans="1:14" x14ac:dyDescent="0.2">
      <c r="A2" s="3" t="s">
        <v>214</v>
      </c>
      <c r="B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485</v>
      </c>
      <c r="B6" s="1604"/>
      <c r="C6" s="1604"/>
      <c r="D6" s="1604"/>
      <c r="E6" s="1604"/>
      <c r="F6" s="1604"/>
      <c r="G6" s="1604"/>
      <c r="H6" s="1604"/>
      <c r="I6" s="1604"/>
      <c r="J6" s="1604"/>
      <c r="K6" s="1604"/>
      <c r="L6" s="1604"/>
      <c r="M6" s="1604"/>
      <c r="N6" s="504"/>
    </row>
    <row r="7" spans="1:14" ht="15.75" x14ac:dyDescent="0.25">
      <c r="A7" s="1691" t="str">
        <f>"NA PODSTAWIE UMOWY O PRACĘ W PRZELICZENIU NA PEŁNE ETATY WEDŁUG DZIAŁÓW, wg stanu na dzień 31.XII."&amp;'Tab.1. bilans_Polska'!A2&amp;" r."</f>
        <v>NA PODSTAWIE UMOWY O PRACĘ W PRZELICZENIU NA PEŁNE ETATY WEDŁUG DZIAŁÓW, wg stanu na dzień 31.XII.2011 r.</v>
      </c>
      <c r="B7" s="1690"/>
      <c r="C7" s="1690"/>
      <c r="D7" s="1690"/>
      <c r="E7" s="1690"/>
      <c r="F7" s="1690"/>
      <c r="G7" s="1690"/>
      <c r="H7" s="1690"/>
      <c r="I7" s="1690"/>
      <c r="J7" s="1690"/>
      <c r="K7" s="1690"/>
      <c r="L7" s="1690"/>
      <c r="M7" s="1690"/>
      <c r="N7" s="504"/>
    </row>
    <row r="8" spans="1:14" ht="15.75" x14ac:dyDescent="0.25">
      <c r="A8" s="1604" t="s">
        <v>272</v>
      </c>
      <c r="B8" s="1604"/>
      <c r="C8" s="1604"/>
      <c r="D8" s="1604"/>
      <c r="E8" s="1604"/>
      <c r="F8" s="1604"/>
      <c r="G8" s="1604"/>
      <c r="H8" s="1604"/>
      <c r="I8" s="1604"/>
      <c r="J8" s="1604"/>
      <c r="K8" s="1604"/>
      <c r="L8" s="1604"/>
      <c r="M8" s="1604"/>
    </row>
    <row r="9" spans="1:14" ht="13.5" thickBot="1" x14ac:dyDescent="0.25">
      <c r="A9" s="3"/>
      <c r="B9" s="3"/>
      <c r="C9" s="3"/>
      <c r="D9" s="3"/>
      <c r="E9" s="3"/>
      <c r="F9" s="3"/>
      <c r="G9" s="3"/>
      <c r="H9" s="3"/>
      <c r="I9" s="3"/>
      <c r="J9" s="3"/>
      <c r="K9" s="3"/>
      <c r="L9" s="3"/>
    </row>
    <row r="10" spans="1:14" ht="13.5" thickTop="1" x14ac:dyDescent="0.2">
      <c r="A10" s="5"/>
      <c r="B10" s="1695" t="s">
        <v>256</v>
      </c>
      <c r="C10" s="1767" t="s">
        <v>344</v>
      </c>
      <c r="D10" s="1750" t="s">
        <v>49</v>
      </c>
      <c r="E10" s="1751"/>
      <c r="F10" s="1751"/>
      <c r="G10" s="1751"/>
      <c r="H10" s="1751"/>
      <c r="I10" s="1751"/>
      <c r="J10" s="1751"/>
      <c r="K10" s="1751"/>
      <c r="L10" s="1751"/>
      <c r="M10" s="1752"/>
    </row>
    <row r="11" spans="1:14" ht="39.75" customHeight="1" x14ac:dyDescent="0.2">
      <c r="A11" s="415" t="s">
        <v>226</v>
      </c>
      <c r="B11" s="1696"/>
      <c r="C11" s="1768"/>
      <c r="D11" s="1776" t="s">
        <v>345</v>
      </c>
      <c r="E11" s="1777"/>
      <c r="F11" s="1749" t="s">
        <v>346</v>
      </c>
      <c r="G11" s="1749"/>
      <c r="H11" s="1749" t="s">
        <v>347</v>
      </c>
      <c r="I11" s="1749"/>
      <c r="J11" s="1749" t="s">
        <v>348</v>
      </c>
      <c r="K11" s="1749"/>
      <c r="L11" s="1749" t="s">
        <v>349</v>
      </c>
      <c r="M11" s="1758"/>
    </row>
    <row r="12" spans="1:14" x14ac:dyDescent="0.2">
      <c r="A12" s="415"/>
      <c r="B12" s="1696"/>
      <c r="C12" s="1768"/>
      <c r="D12" s="1760" t="s">
        <v>0</v>
      </c>
      <c r="E12" s="1748" t="s">
        <v>294</v>
      </c>
      <c r="F12" s="1749" t="s">
        <v>0</v>
      </c>
      <c r="G12" s="1748" t="s">
        <v>294</v>
      </c>
      <c r="H12" s="1749" t="s">
        <v>0</v>
      </c>
      <c r="I12" s="1748" t="s">
        <v>294</v>
      </c>
      <c r="J12" s="1749" t="s">
        <v>0</v>
      </c>
      <c r="K12" s="1748" t="s">
        <v>294</v>
      </c>
      <c r="L12" s="1749" t="s">
        <v>0</v>
      </c>
      <c r="M12" s="1757" t="s">
        <v>294</v>
      </c>
    </row>
    <row r="13" spans="1:14" x14ac:dyDescent="0.2">
      <c r="A13" s="417"/>
      <c r="B13" s="1697"/>
      <c r="C13" s="1769"/>
      <c r="D13" s="1760"/>
      <c r="E13" s="1749"/>
      <c r="F13" s="1749"/>
      <c r="G13" s="1749"/>
      <c r="H13" s="1749"/>
      <c r="I13" s="1749"/>
      <c r="J13" s="1749"/>
      <c r="K13" s="1749"/>
      <c r="L13" s="1749"/>
      <c r="M13" s="1758"/>
    </row>
    <row r="14" spans="1:14"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14" ht="13.5" thickTop="1" x14ac:dyDescent="0.2">
      <c r="A15" s="461">
        <v>1</v>
      </c>
      <c r="B15" s="508" t="s">
        <v>236</v>
      </c>
      <c r="C15" s="570">
        <f>'Tab.5. zatr.umowa,etaty_Polska'!F55</f>
        <v>3207.9</v>
      </c>
      <c r="D15" s="571">
        <f>'Tab.5. zatr.umowa,etaty_Polska'!F57</f>
        <v>35</v>
      </c>
      <c r="E15" s="521">
        <f t="shared" ref="E15:E30" si="0">ROUND(D15*100/$C15, 1)</f>
        <v>1.1000000000000001</v>
      </c>
      <c r="F15" s="577">
        <f>'Tab.5. zatr.umowa,etaty_Polska'!F58</f>
        <v>2076.13</v>
      </c>
      <c r="G15" s="521">
        <f t="shared" ref="G15:G30" si="1">ROUND(F15*100/$C15, 1)</f>
        <v>64.7</v>
      </c>
      <c r="H15" s="577">
        <f>'Tab.5. zatr.umowa,etaty_Polska'!F59</f>
        <v>310.85000000000002</v>
      </c>
      <c r="I15" s="521">
        <f t="shared" ref="I15:I30" si="2">ROUND(H15*100/$C15, 1)</f>
        <v>9.6999999999999993</v>
      </c>
      <c r="J15" s="577">
        <f>'Tab.5. zatr.umowa,etaty_Polska'!F60</f>
        <v>217.17</v>
      </c>
      <c r="K15" s="521">
        <f t="shared" ref="K15:K30" si="3">ROUND(J15*100/$C15, 1)</f>
        <v>6.8</v>
      </c>
      <c r="L15" s="577">
        <f>'Tab.5. zatr.umowa,etaty_Polska'!F61</f>
        <v>568.75</v>
      </c>
      <c r="M15" s="524">
        <f t="shared" ref="M15:M30" si="4">ROUND(L15*100/$C15, 1)</f>
        <v>17.7</v>
      </c>
    </row>
    <row r="16" spans="1:14" x14ac:dyDescent="0.2">
      <c r="A16" s="462">
        <v>2</v>
      </c>
      <c r="B16" s="509" t="s">
        <v>237</v>
      </c>
      <c r="C16" s="572">
        <f>'Tab.5. zatr.umowa,etaty_Polska'!F89</f>
        <v>2303.5500000000002</v>
      </c>
      <c r="D16" s="573">
        <f>'Tab.5. zatr.umowa,etaty_Polska'!F91</f>
        <v>56.22</v>
      </c>
      <c r="E16" s="522">
        <f t="shared" si="0"/>
        <v>2.4</v>
      </c>
      <c r="F16" s="578">
        <f>'Tab.5. zatr.umowa,etaty_Polska'!F92</f>
        <v>1268.25</v>
      </c>
      <c r="G16" s="522">
        <f t="shared" si="1"/>
        <v>55.1</v>
      </c>
      <c r="H16" s="578">
        <f>'Tab.5. zatr.umowa,etaty_Polska'!F93</f>
        <v>245.83</v>
      </c>
      <c r="I16" s="522">
        <f t="shared" si="2"/>
        <v>10.7</v>
      </c>
      <c r="J16" s="578">
        <f>'Tab.5. zatr.umowa,etaty_Polska'!F94</f>
        <v>206.37</v>
      </c>
      <c r="K16" s="522">
        <f t="shared" si="3"/>
        <v>9</v>
      </c>
      <c r="L16" s="578">
        <f>'Tab.5. zatr.umowa,etaty_Polska'!F95</f>
        <v>526.88</v>
      </c>
      <c r="M16" s="525">
        <f t="shared" si="4"/>
        <v>22.9</v>
      </c>
    </row>
    <row r="17" spans="1:13" x14ac:dyDescent="0.2">
      <c r="A17" s="462">
        <v>3</v>
      </c>
      <c r="B17" s="509" t="s">
        <v>238</v>
      </c>
      <c r="C17" s="572">
        <f>'Tab.5. zatr.umowa,etaty_Polska'!F123</f>
        <v>2657.4</v>
      </c>
      <c r="D17" s="573">
        <f>'Tab.5. zatr.umowa,etaty_Polska'!F125</f>
        <v>49</v>
      </c>
      <c r="E17" s="522">
        <f t="shared" si="0"/>
        <v>1.8</v>
      </c>
      <c r="F17" s="578">
        <f>'Tab.5. zatr.umowa,etaty_Polska'!F126</f>
        <v>1325.41</v>
      </c>
      <c r="G17" s="522">
        <f t="shared" si="1"/>
        <v>49.9</v>
      </c>
      <c r="H17" s="578">
        <f>'Tab.5. zatr.umowa,etaty_Polska'!F127</f>
        <v>521.17999999999995</v>
      </c>
      <c r="I17" s="522">
        <f t="shared" si="2"/>
        <v>19.600000000000001</v>
      </c>
      <c r="J17" s="578">
        <f>'Tab.5. zatr.umowa,etaty_Polska'!F128</f>
        <v>242.23</v>
      </c>
      <c r="K17" s="522">
        <f t="shared" si="3"/>
        <v>9.1</v>
      </c>
      <c r="L17" s="578">
        <f>'Tab.5. zatr.umowa,etaty_Polska'!F129</f>
        <v>519.58000000000004</v>
      </c>
      <c r="M17" s="525">
        <f t="shared" si="4"/>
        <v>19.600000000000001</v>
      </c>
    </row>
    <row r="18" spans="1:13" x14ac:dyDescent="0.2">
      <c r="A18" s="462">
        <v>4</v>
      </c>
      <c r="B18" s="509" t="s">
        <v>239</v>
      </c>
      <c r="C18" s="572">
        <f>'Tab.5. zatr.umowa,etaty_Polska'!F157</f>
        <v>1519.43</v>
      </c>
      <c r="D18" s="573">
        <f>'Tab.5. zatr.umowa,etaty_Polska'!F159</f>
        <v>23</v>
      </c>
      <c r="E18" s="522">
        <f t="shared" si="0"/>
        <v>1.5</v>
      </c>
      <c r="F18" s="578">
        <f>'Tab.5. zatr.umowa,etaty_Polska'!F160</f>
        <v>770.12</v>
      </c>
      <c r="G18" s="522">
        <f t="shared" si="1"/>
        <v>50.7</v>
      </c>
      <c r="H18" s="578">
        <f>'Tab.5. zatr.umowa,etaty_Polska'!F161</f>
        <v>232.37</v>
      </c>
      <c r="I18" s="522">
        <f t="shared" si="2"/>
        <v>15.3</v>
      </c>
      <c r="J18" s="578">
        <f>'Tab.5. zatr.umowa,etaty_Polska'!F162</f>
        <v>124.69</v>
      </c>
      <c r="K18" s="522">
        <f t="shared" si="3"/>
        <v>8.1999999999999993</v>
      </c>
      <c r="L18" s="578">
        <f>'Tab.5. zatr.umowa,etaty_Polska'!F163</f>
        <v>369.25</v>
      </c>
      <c r="M18" s="525">
        <f t="shared" si="4"/>
        <v>24.3</v>
      </c>
    </row>
    <row r="19" spans="1:13" x14ac:dyDescent="0.2">
      <c r="A19" s="462">
        <v>5</v>
      </c>
      <c r="B19" s="509" t="s">
        <v>240</v>
      </c>
      <c r="C19" s="572">
        <f>'Tab.5. zatr.umowa,etaty_Polska'!F191</f>
        <v>3885.96</v>
      </c>
      <c r="D19" s="573">
        <f>'Tab.5. zatr.umowa,etaty_Polska'!F193</f>
        <v>63</v>
      </c>
      <c r="E19" s="522">
        <f t="shared" si="0"/>
        <v>1.6</v>
      </c>
      <c r="F19" s="578">
        <f>'Tab.5. zatr.umowa,etaty_Polska'!F194</f>
        <v>2204.9699999999998</v>
      </c>
      <c r="G19" s="522">
        <f t="shared" si="1"/>
        <v>56.7</v>
      </c>
      <c r="H19" s="578">
        <f>'Tab.5. zatr.umowa,etaty_Polska'!F195</f>
        <v>507.99</v>
      </c>
      <c r="I19" s="522">
        <f t="shared" si="2"/>
        <v>13.1</v>
      </c>
      <c r="J19" s="578">
        <f>'Tab.5. zatr.umowa,etaty_Polska'!F196</f>
        <v>345.62</v>
      </c>
      <c r="K19" s="522">
        <f t="shared" si="3"/>
        <v>8.9</v>
      </c>
      <c r="L19" s="578">
        <f>'Tab.5. zatr.umowa,etaty_Polska'!F197</f>
        <v>764.38</v>
      </c>
      <c r="M19" s="525">
        <f t="shared" si="4"/>
        <v>19.7</v>
      </c>
    </row>
    <row r="20" spans="1:13" x14ac:dyDescent="0.2">
      <c r="A20" s="462">
        <v>6</v>
      </c>
      <c r="B20" s="509" t="s">
        <v>241</v>
      </c>
      <c r="C20" s="572">
        <f>'Tab.5. zatr.umowa,etaty_Polska'!F225</f>
        <v>4231.3899999999994</v>
      </c>
      <c r="D20" s="573">
        <f>'Tab.5. zatr.umowa,etaty_Polska'!F227</f>
        <v>58.75</v>
      </c>
      <c r="E20" s="522">
        <f t="shared" si="0"/>
        <v>1.4</v>
      </c>
      <c r="F20" s="578">
        <f>'Tab.5. zatr.umowa,etaty_Polska'!F228</f>
        <v>2226.9299999999998</v>
      </c>
      <c r="G20" s="522">
        <f t="shared" si="1"/>
        <v>52.6</v>
      </c>
      <c r="H20" s="578">
        <f>'Tab.5. zatr.umowa,etaty_Polska'!F229</f>
        <v>671.55</v>
      </c>
      <c r="I20" s="522">
        <f t="shared" si="2"/>
        <v>15.9</v>
      </c>
      <c r="J20" s="578">
        <f>'Tab.5. zatr.umowa,etaty_Polska'!F230</f>
        <v>337.63</v>
      </c>
      <c r="K20" s="522">
        <f t="shared" si="3"/>
        <v>8</v>
      </c>
      <c r="L20" s="578">
        <f>'Tab.5. zatr.umowa,etaty_Polska'!F231</f>
        <v>936.53</v>
      </c>
      <c r="M20" s="525">
        <f t="shared" si="4"/>
        <v>22.1</v>
      </c>
    </row>
    <row r="21" spans="1:13" x14ac:dyDescent="0.2">
      <c r="A21" s="462">
        <v>7</v>
      </c>
      <c r="B21" s="509" t="s">
        <v>242</v>
      </c>
      <c r="C21" s="572">
        <f>'Tab.5. zatr.umowa,etaty_Polska'!F259</f>
        <v>5427.3700000000008</v>
      </c>
      <c r="D21" s="573">
        <f>'Tab.5. zatr.umowa,etaty_Polska'!F261</f>
        <v>92.75</v>
      </c>
      <c r="E21" s="522">
        <f t="shared" si="0"/>
        <v>1.7</v>
      </c>
      <c r="F21" s="578">
        <f>'Tab.5. zatr.umowa,etaty_Polska'!F262</f>
        <v>3026.3</v>
      </c>
      <c r="G21" s="522">
        <f t="shared" si="1"/>
        <v>55.8</v>
      </c>
      <c r="H21" s="578">
        <f>'Tab.5. zatr.umowa,etaty_Polska'!F263</f>
        <v>667.07</v>
      </c>
      <c r="I21" s="522">
        <f t="shared" si="2"/>
        <v>12.3</v>
      </c>
      <c r="J21" s="578">
        <f>'Tab.5. zatr.umowa,etaty_Polska'!F264</f>
        <v>469.7</v>
      </c>
      <c r="K21" s="522">
        <f t="shared" si="3"/>
        <v>8.6999999999999993</v>
      </c>
      <c r="L21" s="578">
        <f>'Tab.5. zatr.umowa,etaty_Polska'!F265</f>
        <v>1171.55</v>
      </c>
      <c r="M21" s="525">
        <f t="shared" si="4"/>
        <v>21.6</v>
      </c>
    </row>
    <row r="22" spans="1:13" x14ac:dyDescent="0.2">
      <c r="A22" s="462">
        <v>8</v>
      </c>
      <c r="B22" s="509" t="s">
        <v>243</v>
      </c>
      <c r="C22" s="572">
        <f>'Tab.5. zatr.umowa,etaty_Polska'!F293</f>
        <v>1191.04</v>
      </c>
      <c r="D22" s="573">
        <f>'Tab.5. zatr.umowa,etaty_Polska'!F295</f>
        <v>17</v>
      </c>
      <c r="E22" s="522">
        <f t="shared" si="0"/>
        <v>1.4</v>
      </c>
      <c r="F22" s="578">
        <f>'Tab.5. zatr.umowa,etaty_Polska'!F296</f>
        <v>793.75</v>
      </c>
      <c r="G22" s="522">
        <f t="shared" si="1"/>
        <v>66.599999999999994</v>
      </c>
      <c r="H22" s="578">
        <f>'Tab.5. zatr.umowa,etaty_Polska'!F297</f>
        <v>42.91</v>
      </c>
      <c r="I22" s="522">
        <f t="shared" si="2"/>
        <v>3.6</v>
      </c>
      <c r="J22" s="578">
        <f>'Tab.5. zatr.umowa,etaty_Polska'!F298</f>
        <v>76.63</v>
      </c>
      <c r="K22" s="522">
        <f t="shared" si="3"/>
        <v>6.4</v>
      </c>
      <c r="L22" s="578">
        <f>'Tab.5. zatr.umowa,etaty_Polska'!F299</f>
        <v>260.75</v>
      </c>
      <c r="M22" s="525">
        <f t="shared" si="4"/>
        <v>21.9</v>
      </c>
    </row>
    <row r="23" spans="1:13" x14ac:dyDescent="0.2">
      <c r="A23" s="462">
        <v>9</v>
      </c>
      <c r="B23" s="509" t="s">
        <v>244</v>
      </c>
      <c r="C23" s="572">
        <f>'Tab.5. zatr.umowa,etaty_Polska'!F327</f>
        <v>2254.1799999999998</v>
      </c>
      <c r="D23" s="573">
        <f>'Tab.5. zatr.umowa,etaty_Polska'!F329</f>
        <v>35</v>
      </c>
      <c r="E23" s="522">
        <f t="shared" si="0"/>
        <v>1.6</v>
      </c>
      <c r="F23" s="578">
        <f>'Tab.5. zatr.umowa,etaty_Polska'!F330</f>
        <v>1030.56</v>
      </c>
      <c r="G23" s="522">
        <f t="shared" si="1"/>
        <v>45.7</v>
      </c>
      <c r="H23" s="578">
        <f>'Tab.5. zatr.umowa,etaty_Polska'!F331</f>
        <v>418.26</v>
      </c>
      <c r="I23" s="522">
        <f t="shared" si="2"/>
        <v>18.600000000000001</v>
      </c>
      <c r="J23" s="578">
        <f>'Tab.5. zatr.umowa,etaty_Polska'!F332</f>
        <v>211.11</v>
      </c>
      <c r="K23" s="522">
        <f t="shared" si="3"/>
        <v>9.4</v>
      </c>
      <c r="L23" s="578">
        <f>'Tab.5. zatr.umowa,etaty_Polska'!F333</f>
        <v>559.25</v>
      </c>
      <c r="M23" s="525">
        <f t="shared" si="4"/>
        <v>24.8</v>
      </c>
    </row>
    <row r="24" spans="1:13" x14ac:dyDescent="0.2">
      <c r="A24" s="463">
        <v>10</v>
      </c>
      <c r="B24" s="509" t="s">
        <v>245</v>
      </c>
      <c r="C24" s="572">
        <f>'Tab.5. zatr.umowa,etaty_Polska'!F361</f>
        <v>1312.0700000000002</v>
      </c>
      <c r="D24" s="573">
        <f>'Tab.5. zatr.umowa,etaty_Polska'!F363</f>
        <v>21</v>
      </c>
      <c r="E24" s="522">
        <f t="shared" si="0"/>
        <v>1.6</v>
      </c>
      <c r="F24" s="578">
        <f>'Tab.5. zatr.umowa,etaty_Polska'!F364</f>
        <v>704.6</v>
      </c>
      <c r="G24" s="522">
        <f t="shared" si="1"/>
        <v>53.7</v>
      </c>
      <c r="H24" s="578">
        <f>'Tab.5. zatr.umowa,etaty_Polska'!F365</f>
        <v>253.5</v>
      </c>
      <c r="I24" s="522">
        <f t="shared" si="2"/>
        <v>19.3</v>
      </c>
      <c r="J24" s="578">
        <f>'Tab.5. zatr.umowa,etaty_Polska'!F366</f>
        <v>85.3</v>
      </c>
      <c r="K24" s="522">
        <f t="shared" si="3"/>
        <v>6.5</v>
      </c>
      <c r="L24" s="578">
        <f>'Tab.5. zatr.umowa,etaty_Polska'!F367</f>
        <v>247.67</v>
      </c>
      <c r="M24" s="525">
        <f t="shared" si="4"/>
        <v>18.899999999999999</v>
      </c>
    </row>
    <row r="25" spans="1:13" x14ac:dyDescent="0.2">
      <c r="A25" s="463">
        <v>11</v>
      </c>
      <c r="B25" s="509" t="s">
        <v>246</v>
      </c>
      <c r="C25" s="572">
        <f>'Tab.5. zatr.umowa,etaty_Polska'!F395</f>
        <v>1984.02</v>
      </c>
      <c r="D25" s="573">
        <f>'Tab.5. zatr.umowa,etaty_Polska'!F397</f>
        <v>30</v>
      </c>
      <c r="E25" s="522">
        <f t="shared" si="0"/>
        <v>1.5</v>
      </c>
      <c r="F25" s="578">
        <f>'Tab.5. zatr.umowa,etaty_Polska'!F398</f>
        <v>1186</v>
      </c>
      <c r="G25" s="522">
        <f t="shared" si="1"/>
        <v>59.8</v>
      </c>
      <c r="H25" s="578">
        <f>'Tab.5. zatr.umowa,etaty_Polska'!F399</f>
        <v>233.38</v>
      </c>
      <c r="I25" s="522">
        <f t="shared" si="2"/>
        <v>11.8</v>
      </c>
      <c r="J25" s="578">
        <f>'Tab.5. zatr.umowa,etaty_Polska'!F400</f>
        <v>153.03</v>
      </c>
      <c r="K25" s="522">
        <f t="shared" si="3"/>
        <v>7.7</v>
      </c>
      <c r="L25" s="578">
        <f>'Tab.5. zatr.umowa,etaty_Polska'!F401</f>
        <v>381.61</v>
      </c>
      <c r="M25" s="525">
        <f t="shared" si="4"/>
        <v>19.2</v>
      </c>
    </row>
    <row r="26" spans="1:13" x14ac:dyDescent="0.2">
      <c r="A26" s="463">
        <v>12</v>
      </c>
      <c r="B26" s="509" t="s">
        <v>247</v>
      </c>
      <c r="C26" s="572">
        <f>'Tab.5. zatr.umowa,etaty_Polska'!F429</f>
        <v>3273.66</v>
      </c>
      <c r="D26" s="573">
        <f>'Tab.5. zatr.umowa,etaty_Polska'!F431</f>
        <v>47</v>
      </c>
      <c r="E26" s="522">
        <f t="shared" si="0"/>
        <v>1.4</v>
      </c>
      <c r="F26" s="578">
        <f>'Tab.5. zatr.umowa,etaty_Polska'!F432</f>
        <v>1724.25</v>
      </c>
      <c r="G26" s="522">
        <f t="shared" si="1"/>
        <v>52.7</v>
      </c>
      <c r="H26" s="578">
        <f>'Tab.5. zatr.umowa,etaty_Polska'!F433</f>
        <v>386.27</v>
      </c>
      <c r="I26" s="522">
        <f t="shared" si="2"/>
        <v>11.8</v>
      </c>
      <c r="J26" s="578">
        <f>'Tab.5. zatr.umowa,etaty_Polska'!F434</f>
        <v>308.48</v>
      </c>
      <c r="K26" s="522">
        <f t="shared" si="3"/>
        <v>9.4</v>
      </c>
      <c r="L26" s="578">
        <f>'Tab.5. zatr.umowa,etaty_Polska'!F435</f>
        <v>807.66</v>
      </c>
      <c r="M26" s="525">
        <f t="shared" si="4"/>
        <v>24.7</v>
      </c>
    </row>
    <row r="27" spans="1:13" x14ac:dyDescent="0.2">
      <c r="A27" s="463">
        <v>13</v>
      </c>
      <c r="B27" s="509" t="s">
        <v>248</v>
      </c>
      <c r="C27" s="572">
        <f>'Tab.5. zatr.umowa,etaty_Polska'!F463</f>
        <v>1830.17</v>
      </c>
      <c r="D27" s="573">
        <f>'Tab.5. zatr.umowa,etaty_Polska'!F465</f>
        <v>29</v>
      </c>
      <c r="E27" s="522">
        <f t="shared" si="0"/>
        <v>1.6</v>
      </c>
      <c r="F27" s="578">
        <f>'Tab.5. zatr.umowa,etaty_Polska'!F466</f>
        <v>774.38</v>
      </c>
      <c r="G27" s="522">
        <f t="shared" si="1"/>
        <v>42.3</v>
      </c>
      <c r="H27" s="578">
        <f>'Tab.5. zatr.umowa,etaty_Polska'!F467</f>
        <v>457.66</v>
      </c>
      <c r="I27" s="522">
        <f t="shared" si="2"/>
        <v>25</v>
      </c>
      <c r="J27" s="578">
        <f>'Tab.5. zatr.umowa,etaty_Polska'!F468</f>
        <v>159.75</v>
      </c>
      <c r="K27" s="522">
        <f t="shared" si="3"/>
        <v>8.6999999999999993</v>
      </c>
      <c r="L27" s="578">
        <f>'Tab.5. zatr.umowa,etaty_Polska'!F469</f>
        <v>409.38</v>
      </c>
      <c r="M27" s="525">
        <f t="shared" si="4"/>
        <v>22.4</v>
      </c>
    </row>
    <row r="28" spans="1:13" x14ac:dyDescent="0.2">
      <c r="A28" s="463">
        <v>14</v>
      </c>
      <c r="B28" s="509" t="s">
        <v>249</v>
      </c>
      <c r="C28" s="572">
        <f>'Tab.5. zatr.umowa,etaty_Polska'!F497</f>
        <v>1754.53</v>
      </c>
      <c r="D28" s="573">
        <f>'Tab.5. zatr.umowa,etaty_Polska'!F499</f>
        <v>30.5</v>
      </c>
      <c r="E28" s="522">
        <f t="shared" si="0"/>
        <v>1.7</v>
      </c>
      <c r="F28" s="578">
        <f>'Tab.5. zatr.umowa,etaty_Polska'!F500</f>
        <v>928.5</v>
      </c>
      <c r="G28" s="522">
        <f t="shared" si="1"/>
        <v>52.9</v>
      </c>
      <c r="H28" s="578">
        <f>'Tab.5. zatr.umowa,etaty_Polska'!F501</f>
        <v>269.75</v>
      </c>
      <c r="I28" s="522">
        <f t="shared" si="2"/>
        <v>15.4</v>
      </c>
      <c r="J28" s="578">
        <f>'Tab.5. zatr.umowa,etaty_Polska'!F502</f>
        <v>151.83000000000001</v>
      </c>
      <c r="K28" s="522">
        <f t="shared" si="3"/>
        <v>8.6999999999999993</v>
      </c>
      <c r="L28" s="578">
        <f>'Tab.5. zatr.umowa,etaty_Polska'!F503</f>
        <v>373.95</v>
      </c>
      <c r="M28" s="525">
        <f t="shared" si="4"/>
        <v>21.3</v>
      </c>
    </row>
    <row r="29" spans="1:13" x14ac:dyDescent="0.2">
      <c r="A29" s="463">
        <v>15</v>
      </c>
      <c r="B29" s="509" t="s">
        <v>250</v>
      </c>
      <c r="C29" s="572">
        <f>'Tab.5. zatr.umowa,etaty_Polska'!F531</f>
        <v>3592.48</v>
      </c>
      <c r="D29" s="573">
        <f>'Tab.5. zatr.umowa,etaty_Polska'!F533</f>
        <v>62.5</v>
      </c>
      <c r="E29" s="522">
        <f t="shared" si="0"/>
        <v>1.7</v>
      </c>
      <c r="F29" s="578">
        <f>'Tab.5. zatr.umowa,etaty_Polska'!F534</f>
        <v>2078.5500000000002</v>
      </c>
      <c r="G29" s="522">
        <f t="shared" si="1"/>
        <v>57.9</v>
      </c>
      <c r="H29" s="578">
        <f>'Tab.5. zatr.umowa,etaty_Polska'!F535</f>
        <v>471.03</v>
      </c>
      <c r="I29" s="522">
        <f t="shared" si="2"/>
        <v>13.1</v>
      </c>
      <c r="J29" s="578">
        <f>'Tab.5. zatr.umowa,etaty_Polska'!F536</f>
        <v>296.89999999999998</v>
      </c>
      <c r="K29" s="522">
        <f t="shared" si="3"/>
        <v>8.3000000000000007</v>
      </c>
      <c r="L29" s="578">
        <f>'Tab.5. zatr.umowa,etaty_Polska'!F537</f>
        <v>683.5</v>
      </c>
      <c r="M29" s="525">
        <f t="shared" si="4"/>
        <v>19</v>
      </c>
    </row>
    <row r="30" spans="1:13" ht="13.5" thickBot="1" x14ac:dyDescent="0.25">
      <c r="A30" s="463">
        <v>16</v>
      </c>
      <c r="B30" s="510" t="s">
        <v>251</v>
      </c>
      <c r="C30" s="572">
        <f>'Tab.5. zatr.umowa,etaty_Polska'!F565</f>
        <v>2052.5</v>
      </c>
      <c r="D30" s="574">
        <f>'Tab.5. zatr.umowa,etaty_Polska'!F567</f>
        <v>28</v>
      </c>
      <c r="E30" s="523">
        <f t="shared" si="0"/>
        <v>1.4</v>
      </c>
      <c r="F30" s="579">
        <f>'Tab.5. zatr.umowa,etaty_Polska'!F568</f>
        <v>1441.1</v>
      </c>
      <c r="G30" s="523">
        <f t="shared" si="1"/>
        <v>70.2</v>
      </c>
      <c r="H30" s="579">
        <f>'Tab.5. zatr.umowa,etaty_Polska'!F569</f>
        <v>84.9</v>
      </c>
      <c r="I30" s="523">
        <f t="shared" si="2"/>
        <v>4.0999999999999996</v>
      </c>
      <c r="J30" s="579">
        <f>'Tab.5. zatr.umowa,etaty_Polska'!F570</f>
        <v>139.25</v>
      </c>
      <c r="K30" s="523">
        <f t="shared" si="3"/>
        <v>6.8</v>
      </c>
      <c r="L30" s="579">
        <f>'Tab.5. zatr.umowa,etaty_Polska'!F571</f>
        <v>359.25</v>
      </c>
      <c r="M30" s="526">
        <f t="shared" si="4"/>
        <v>17.5</v>
      </c>
    </row>
    <row r="31" spans="1:13" ht="16.5" thickBot="1" x14ac:dyDescent="0.3">
      <c r="A31" s="445" t="s">
        <v>252</v>
      </c>
      <c r="B31" s="446"/>
      <c r="C31" s="575">
        <f>SUM(C15:C30)</f>
        <v>42477.65</v>
      </c>
      <c r="D31" s="576">
        <f>SUM(D15:D30)</f>
        <v>677.72</v>
      </c>
      <c r="E31" s="528">
        <f>AVERAGE(E15:E30)</f>
        <v>1.5874999999999999</v>
      </c>
      <c r="F31" s="580">
        <f>SUM(F15:F30)</f>
        <v>23559.8</v>
      </c>
      <c r="G31" s="528">
        <f>AVERAGE(G15:G30)</f>
        <v>55.456249999999997</v>
      </c>
      <c r="H31" s="580">
        <f>SUM(H15:H30)</f>
        <v>5774.4999999999991</v>
      </c>
      <c r="I31" s="528">
        <f>AVERAGE(I15:I30)</f>
        <v>13.706250000000001</v>
      </c>
      <c r="J31" s="580">
        <f>SUM(J15:J30)</f>
        <v>3525.6900000000005</v>
      </c>
      <c r="K31" s="528">
        <f>AVERAGE(K15:K30)</f>
        <v>8.1625000000000014</v>
      </c>
      <c r="L31" s="580">
        <f>SUM(L15:L30)</f>
        <v>8939.9399999999987</v>
      </c>
      <c r="M31" s="530">
        <f>AVERAGE(M15:M30)</f>
        <v>21.1</v>
      </c>
    </row>
    <row r="32" spans="1:13" ht="13.5" thickTop="1" x14ac:dyDescent="0.2"/>
  </sheetData>
  <mergeCells count="22">
    <mergeCell ref="J11:K11"/>
    <mergeCell ref="L11:M11"/>
    <mergeCell ref="F11:G11"/>
    <mergeCell ref="H11:I11"/>
    <mergeCell ref="D10:M10"/>
    <mergeCell ref="D11:E11"/>
    <mergeCell ref="F12:F13"/>
    <mergeCell ref="G12:G13"/>
    <mergeCell ref="L12:L13"/>
    <mergeCell ref="M12:M13"/>
    <mergeCell ref="J12:J13"/>
    <mergeCell ref="K12:K13"/>
    <mergeCell ref="L1:M1"/>
    <mergeCell ref="A6:M6"/>
    <mergeCell ref="A7:M7"/>
    <mergeCell ref="A8:M8"/>
    <mergeCell ref="H12:H13"/>
    <mergeCell ref="I12:I13"/>
    <mergeCell ref="C10:C13"/>
    <mergeCell ref="B10:B13"/>
    <mergeCell ref="D12:D13"/>
    <mergeCell ref="E12:E13"/>
  </mergeCells>
  <phoneticPr fontId="82"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ignoredErrors>
    <ignoredError sqref="F15:L30 E31 G31 I31 K31"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heetViews>
  <sheetFormatPr defaultRowHeight="12.75" x14ac:dyDescent="0.2"/>
  <cols>
    <col min="1" max="1" width="3.7109375" customWidth="1"/>
    <col min="2" max="2" width="24.5703125" bestFit="1" customWidth="1"/>
    <col min="3" max="3" width="11.42578125" bestFit="1" customWidth="1"/>
    <col min="4" max="13" width="9.7109375" customWidth="1"/>
    <col min="14" max="14" width="15.7109375" customWidth="1"/>
  </cols>
  <sheetData>
    <row r="1" spans="1:14" ht="15.75" x14ac:dyDescent="0.25">
      <c r="A1" s="1" t="s">
        <v>195</v>
      </c>
      <c r="B1" s="3"/>
      <c r="C1" s="4"/>
      <c r="D1" s="3"/>
      <c r="E1" s="3"/>
      <c r="F1" s="3"/>
      <c r="G1" s="413"/>
      <c r="H1" s="413"/>
      <c r="I1" s="413"/>
      <c r="J1" s="413"/>
      <c r="L1" s="1603" t="s">
        <v>354</v>
      </c>
      <c r="M1" s="1603"/>
    </row>
    <row r="2" spans="1:14" x14ac:dyDescent="0.2">
      <c r="A2" s="3" t="s">
        <v>214</v>
      </c>
      <c r="B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485</v>
      </c>
      <c r="B6" s="1604"/>
      <c r="C6" s="1604"/>
      <c r="D6" s="1604"/>
      <c r="E6" s="1604"/>
      <c r="F6" s="1604"/>
      <c r="G6" s="1604"/>
      <c r="H6" s="1604"/>
      <c r="I6" s="1604"/>
      <c r="J6" s="1604"/>
      <c r="K6" s="1604"/>
      <c r="L6" s="1604"/>
      <c r="M6" s="1604"/>
      <c r="N6" s="504"/>
    </row>
    <row r="7" spans="1:14" ht="15.75" x14ac:dyDescent="0.25">
      <c r="A7" s="1691" t="str">
        <f>"NA PODSTAWIE UMOWY O PRACĘ W PRZELICZENIU NA PEŁNE ETATY WEDŁUG DZIAŁÓW, wg stanu na dzień 31.XII."&amp;'Tab.1. bilans_Polska'!A2&amp;" r."</f>
        <v>NA PODSTAWIE UMOWY O PRACĘ W PRZELICZENIU NA PEŁNE ETATY WEDŁUG DZIAŁÓW, wg stanu na dzień 31.XII.2011 r.</v>
      </c>
      <c r="B7" s="1690"/>
      <c r="C7" s="1690"/>
      <c r="D7" s="1690"/>
      <c r="E7" s="1690"/>
      <c r="F7" s="1690"/>
      <c r="G7" s="1690"/>
      <c r="H7" s="1690"/>
      <c r="I7" s="1690"/>
      <c r="J7" s="1690"/>
      <c r="K7" s="1690"/>
      <c r="L7" s="1690"/>
      <c r="M7" s="1690"/>
      <c r="N7" s="504"/>
    </row>
    <row r="8" spans="1:14" ht="15.75" x14ac:dyDescent="0.25">
      <c r="A8" s="1604" t="s">
        <v>273</v>
      </c>
      <c r="B8" s="1604"/>
      <c r="C8" s="1604"/>
      <c r="D8" s="1604"/>
      <c r="E8" s="1604"/>
      <c r="F8" s="1604"/>
      <c r="G8" s="1604"/>
      <c r="H8" s="1604"/>
      <c r="I8" s="1604"/>
      <c r="J8" s="1604"/>
      <c r="K8" s="1604"/>
      <c r="L8" s="1604"/>
      <c r="M8" s="1604"/>
    </row>
    <row r="9" spans="1:14" ht="13.5" thickBot="1" x14ac:dyDescent="0.25">
      <c r="A9" s="3"/>
      <c r="B9" s="3"/>
      <c r="C9" s="3"/>
      <c r="D9" s="3"/>
      <c r="E9" s="3"/>
      <c r="F9" s="3"/>
      <c r="G9" s="3"/>
      <c r="H9" s="3"/>
      <c r="I9" s="3"/>
      <c r="J9" s="3"/>
      <c r="K9" s="3"/>
      <c r="L9" s="3"/>
    </row>
    <row r="10" spans="1:14" ht="13.5" thickTop="1" x14ac:dyDescent="0.2">
      <c r="A10" s="5"/>
      <c r="B10" s="1695" t="s">
        <v>256</v>
      </c>
      <c r="C10" s="1767" t="s">
        <v>344</v>
      </c>
      <c r="D10" s="1750" t="s">
        <v>49</v>
      </c>
      <c r="E10" s="1751"/>
      <c r="F10" s="1751"/>
      <c r="G10" s="1751"/>
      <c r="H10" s="1751"/>
      <c r="I10" s="1751"/>
      <c r="J10" s="1751"/>
      <c r="K10" s="1751"/>
      <c r="L10" s="1751"/>
      <c r="M10" s="1752"/>
    </row>
    <row r="11" spans="1:14" ht="39.75" customHeight="1" x14ac:dyDescent="0.2">
      <c r="A11" s="415" t="s">
        <v>226</v>
      </c>
      <c r="B11" s="1696"/>
      <c r="C11" s="1768"/>
      <c r="D11" s="1776" t="s">
        <v>345</v>
      </c>
      <c r="E11" s="1777"/>
      <c r="F11" s="1749" t="s">
        <v>346</v>
      </c>
      <c r="G11" s="1749"/>
      <c r="H11" s="1749" t="s">
        <v>347</v>
      </c>
      <c r="I11" s="1749"/>
      <c r="J11" s="1749" t="s">
        <v>348</v>
      </c>
      <c r="K11" s="1749"/>
      <c r="L11" s="1749" t="s">
        <v>349</v>
      </c>
      <c r="M11" s="1758"/>
    </row>
    <row r="12" spans="1:14" x14ac:dyDescent="0.2">
      <c r="A12" s="415"/>
      <c r="B12" s="1696"/>
      <c r="C12" s="1768"/>
      <c r="D12" s="1760" t="s">
        <v>0</v>
      </c>
      <c r="E12" s="1748" t="s">
        <v>294</v>
      </c>
      <c r="F12" s="1749" t="s">
        <v>0</v>
      </c>
      <c r="G12" s="1748" t="s">
        <v>294</v>
      </c>
      <c r="H12" s="1749" t="s">
        <v>0</v>
      </c>
      <c r="I12" s="1748" t="s">
        <v>294</v>
      </c>
      <c r="J12" s="1749" t="s">
        <v>0</v>
      </c>
      <c r="K12" s="1748" t="s">
        <v>294</v>
      </c>
      <c r="L12" s="1749" t="s">
        <v>0</v>
      </c>
      <c r="M12" s="1757" t="s">
        <v>294</v>
      </c>
    </row>
    <row r="13" spans="1:14" x14ac:dyDescent="0.2">
      <c r="A13" s="417"/>
      <c r="B13" s="1697"/>
      <c r="C13" s="1769"/>
      <c r="D13" s="1760"/>
      <c r="E13" s="1749"/>
      <c r="F13" s="1749"/>
      <c r="G13" s="1749"/>
      <c r="H13" s="1749"/>
      <c r="I13" s="1749"/>
      <c r="J13" s="1749"/>
      <c r="K13" s="1749"/>
      <c r="L13" s="1749"/>
      <c r="M13" s="1758"/>
    </row>
    <row r="14" spans="1:14" ht="13.5" thickBot="1" x14ac:dyDescent="0.25">
      <c r="A14" s="425"/>
      <c r="B14" s="429">
        <v>0</v>
      </c>
      <c r="C14" s="464">
        <v>1</v>
      </c>
      <c r="D14" s="427">
        <v>2</v>
      </c>
      <c r="E14" s="428">
        <v>3</v>
      </c>
      <c r="F14" s="428">
        <v>4</v>
      </c>
      <c r="G14" s="428">
        <v>5</v>
      </c>
      <c r="H14" s="428">
        <v>6</v>
      </c>
      <c r="I14" s="428">
        <v>7</v>
      </c>
      <c r="J14" s="428">
        <v>8</v>
      </c>
      <c r="K14" s="428">
        <v>9</v>
      </c>
      <c r="L14" s="428">
        <v>10</v>
      </c>
      <c r="M14" s="431">
        <v>11</v>
      </c>
    </row>
    <row r="15" spans="1:14" ht="13.5" thickTop="1" x14ac:dyDescent="0.2">
      <c r="A15" s="461">
        <v>1</v>
      </c>
      <c r="B15" s="508" t="s">
        <v>236</v>
      </c>
      <c r="C15" s="570">
        <f>'Tab.5. zatr.umowa,etaty_Polska'!H55</f>
        <v>534.82999999999993</v>
      </c>
      <c r="D15" s="571">
        <f>'Tab.5. zatr.umowa,etaty_Polska'!H57</f>
        <v>16.079999999999998</v>
      </c>
      <c r="E15" s="521">
        <f t="shared" ref="E15:E30" si="0">ROUND(D15*100/$C15, 1)</f>
        <v>3</v>
      </c>
      <c r="F15" s="577">
        <f>'Tab.5. zatr.umowa,etaty_Polska'!H58</f>
        <v>374.16</v>
      </c>
      <c r="G15" s="521">
        <f t="shared" ref="G15:G30" si="1">ROUND(F15*100/$C15, 1)</f>
        <v>70</v>
      </c>
      <c r="H15" s="577">
        <f>'Tab.5. zatr.umowa,etaty_Polska'!H59</f>
        <v>41.5</v>
      </c>
      <c r="I15" s="521">
        <f t="shared" ref="I15:I30" si="2">ROUND(H15*100/$C15, 1)</f>
        <v>7.8</v>
      </c>
      <c r="J15" s="577">
        <f>'Tab.5. zatr.umowa,etaty_Polska'!H60</f>
        <v>28.21</v>
      </c>
      <c r="K15" s="521">
        <f t="shared" ref="K15:K30" si="3">ROUND(J15*100/$C15, 1)</f>
        <v>5.3</v>
      </c>
      <c r="L15" s="577">
        <f>'Tab.5. zatr.umowa,etaty_Polska'!H61</f>
        <v>74.88</v>
      </c>
      <c r="M15" s="524">
        <f t="shared" ref="M15:M30" si="4">ROUND(L15*100/$C15, 1)</f>
        <v>14</v>
      </c>
    </row>
    <row r="16" spans="1:14" x14ac:dyDescent="0.2">
      <c r="A16" s="462">
        <v>2</v>
      </c>
      <c r="B16" s="509" t="s">
        <v>237</v>
      </c>
      <c r="C16" s="572">
        <f>'Tab.5. zatr.umowa,etaty_Polska'!H89</f>
        <v>317.45</v>
      </c>
      <c r="D16" s="573">
        <f>'Tab.5. zatr.umowa,etaty_Polska'!H91</f>
        <v>6.75</v>
      </c>
      <c r="E16" s="522">
        <f t="shared" si="0"/>
        <v>2.1</v>
      </c>
      <c r="F16" s="578">
        <f>'Tab.5. zatr.umowa,etaty_Polska'!H92</f>
        <v>195.45</v>
      </c>
      <c r="G16" s="522">
        <f t="shared" si="1"/>
        <v>61.6</v>
      </c>
      <c r="H16" s="578">
        <f>'Tab.5. zatr.umowa,etaty_Polska'!H93</f>
        <v>27.25</v>
      </c>
      <c r="I16" s="522">
        <f t="shared" si="2"/>
        <v>8.6</v>
      </c>
      <c r="J16" s="578">
        <f>'Tab.5. zatr.umowa,etaty_Polska'!H94</f>
        <v>22</v>
      </c>
      <c r="K16" s="522">
        <f t="shared" si="3"/>
        <v>6.9</v>
      </c>
      <c r="L16" s="578">
        <f>'Tab.5. zatr.umowa,etaty_Polska'!H95</f>
        <v>66</v>
      </c>
      <c r="M16" s="525">
        <f t="shared" si="4"/>
        <v>20.8</v>
      </c>
    </row>
    <row r="17" spans="1:13" x14ac:dyDescent="0.2">
      <c r="A17" s="462">
        <v>3</v>
      </c>
      <c r="B17" s="509" t="s">
        <v>238</v>
      </c>
      <c r="C17" s="572">
        <f>'Tab.5. zatr.umowa,etaty_Polska'!H123</f>
        <v>242.2</v>
      </c>
      <c r="D17" s="573">
        <f>'Tab.5. zatr.umowa,etaty_Polska'!H125</f>
        <v>7.5</v>
      </c>
      <c r="E17" s="522">
        <f t="shared" si="0"/>
        <v>3.1</v>
      </c>
      <c r="F17" s="578">
        <f>'Tab.5. zatr.umowa,etaty_Polska'!H126</f>
        <v>139.5</v>
      </c>
      <c r="G17" s="522">
        <f t="shared" si="1"/>
        <v>57.6</v>
      </c>
      <c r="H17" s="578">
        <f>'Tab.5. zatr.umowa,etaty_Polska'!H127</f>
        <v>37.75</v>
      </c>
      <c r="I17" s="522">
        <f t="shared" si="2"/>
        <v>15.6</v>
      </c>
      <c r="J17" s="578">
        <f>'Tab.5. zatr.umowa,etaty_Polska'!H128</f>
        <v>15.95</v>
      </c>
      <c r="K17" s="522">
        <f t="shared" si="3"/>
        <v>6.6</v>
      </c>
      <c r="L17" s="578">
        <f>'Tab.5. zatr.umowa,etaty_Polska'!H129</f>
        <v>41.5</v>
      </c>
      <c r="M17" s="525">
        <f t="shared" si="4"/>
        <v>17.100000000000001</v>
      </c>
    </row>
    <row r="18" spans="1:13" x14ac:dyDescent="0.2">
      <c r="A18" s="462">
        <v>4</v>
      </c>
      <c r="B18" s="509" t="s">
        <v>239</v>
      </c>
      <c r="C18" s="572">
        <f>'Tab.5. zatr.umowa,etaty_Polska'!H157</f>
        <v>84.75</v>
      </c>
      <c r="D18" s="573">
        <f>'Tab.5. zatr.umowa,etaty_Polska'!H159</f>
        <v>2</v>
      </c>
      <c r="E18" s="522">
        <f t="shared" si="0"/>
        <v>2.4</v>
      </c>
      <c r="F18" s="578">
        <f>'Tab.5. zatr.umowa,etaty_Polska'!H160</f>
        <v>53.5</v>
      </c>
      <c r="G18" s="522">
        <f t="shared" si="1"/>
        <v>63.1</v>
      </c>
      <c r="H18" s="578">
        <f>'Tab.5. zatr.umowa,etaty_Polska'!H161</f>
        <v>8.25</v>
      </c>
      <c r="I18" s="522">
        <f t="shared" si="2"/>
        <v>9.6999999999999993</v>
      </c>
      <c r="J18" s="578">
        <f>'Tab.5. zatr.umowa,etaty_Polska'!H162</f>
        <v>5</v>
      </c>
      <c r="K18" s="522">
        <f t="shared" si="3"/>
        <v>5.9</v>
      </c>
      <c r="L18" s="578">
        <f>'Tab.5. zatr.umowa,etaty_Polska'!H163</f>
        <v>16</v>
      </c>
      <c r="M18" s="525">
        <f t="shared" si="4"/>
        <v>18.899999999999999</v>
      </c>
    </row>
    <row r="19" spans="1:13" x14ac:dyDescent="0.2">
      <c r="A19" s="462">
        <v>5</v>
      </c>
      <c r="B19" s="509" t="s">
        <v>240</v>
      </c>
      <c r="C19" s="572">
        <f>'Tab.5. zatr.umowa,etaty_Polska'!H191</f>
        <v>191</v>
      </c>
      <c r="D19" s="573">
        <f>'Tab.5. zatr.umowa,etaty_Polska'!H193</f>
        <v>8.5</v>
      </c>
      <c r="E19" s="522">
        <f t="shared" si="0"/>
        <v>4.5</v>
      </c>
      <c r="F19" s="578">
        <f>'Tab.5. zatr.umowa,etaty_Polska'!H194</f>
        <v>116</v>
      </c>
      <c r="G19" s="522">
        <f t="shared" si="1"/>
        <v>60.7</v>
      </c>
      <c r="H19" s="578">
        <f>'Tab.5. zatr.umowa,etaty_Polska'!H195</f>
        <v>18.75</v>
      </c>
      <c r="I19" s="522">
        <f t="shared" si="2"/>
        <v>9.8000000000000007</v>
      </c>
      <c r="J19" s="578">
        <f>'Tab.5. zatr.umowa,etaty_Polska'!H196</f>
        <v>8.75</v>
      </c>
      <c r="K19" s="522">
        <f t="shared" si="3"/>
        <v>4.5999999999999996</v>
      </c>
      <c r="L19" s="578">
        <f>'Tab.5. zatr.umowa,etaty_Polska'!H197</f>
        <v>39</v>
      </c>
      <c r="M19" s="525">
        <f t="shared" si="4"/>
        <v>20.399999999999999</v>
      </c>
    </row>
    <row r="20" spans="1:13" x14ac:dyDescent="0.2">
      <c r="A20" s="462">
        <v>6</v>
      </c>
      <c r="B20" s="509" t="s">
        <v>241</v>
      </c>
      <c r="C20" s="572">
        <f>'Tab.5. zatr.umowa,etaty_Polska'!H225</f>
        <v>1015.51</v>
      </c>
      <c r="D20" s="573">
        <f>'Tab.5. zatr.umowa,etaty_Polska'!H227</f>
        <v>30.75</v>
      </c>
      <c r="E20" s="522">
        <f t="shared" si="0"/>
        <v>3</v>
      </c>
      <c r="F20" s="578">
        <f>'Tab.5. zatr.umowa,etaty_Polska'!H228</f>
        <v>589.16999999999996</v>
      </c>
      <c r="G20" s="522">
        <f t="shared" si="1"/>
        <v>58</v>
      </c>
      <c r="H20" s="578">
        <f>'Tab.5. zatr.umowa,etaty_Polska'!H229</f>
        <v>132.44999999999999</v>
      </c>
      <c r="I20" s="522">
        <f t="shared" si="2"/>
        <v>13</v>
      </c>
      <c r="J20" s="578">
        <f>'Tab.5. zatr.umowa,etaty_Polska'!H230</f>
        <v>61.34</v>
      </c>
      <c r="K20" s="522">
        <f t="shared" si="3"/>
        <v>6</v>
      </c>
      <c r="L20" s="578">
        <f>'Tab.5. zatr.umowa,etaty_Polska'!H231</f>
        <v>201.8</v>
      </c>
      <c r="M20" s="525">
        <f t="shared" si="4"/>
        <v>19.899999999999999</v>
      </c>
    </row>
    <row r="21" spans="1:13" x14ac:dyDescent="0.2">
      <c r="A21" s="462">
        <v>7</v>
      </c>
      <c r="B21" s="509" t="s">
        <v>242</v>
      </c>
      <c r="C21" s="572">
        <f>'Tab.5. zatr.umowa,etaty_Polska'!H259</f>
        <v>789.76</v>
      </c>
      <c r="D21" s="573">
        <f>'Tab.5. zatr.umowa,etaty_Polska'!H261</f>
        <v>19.5</v>
      </c>
      <c r="E21" s="522">
        <f t="shared" si="0"/>
        <v>2.5</v>
      </c>
      <c r="F21" s="578">
        <f>'Tab.5. zatr.umowa,etaty_Polska'!H262</f>
        <v>503</v>
      </c>
      <c r="G21" s="522">
        <f t="shared" si="1"/>
        <v>63.7</v>
      </c>
      <c r="H21" s="578">
        <f>'Tab.5. zatr.umowa,etaty_Polska'!H263</f>
        <v>67.75</v>
      </c>
      <c r="I21" s="522">
        <f t="shared" si="2"/>
        <v>8.6</v>
      </c>
      <c r="J21" s="578">
        <f>'Tab.5. zatr.umowa,etaty_Polska'!H264</f>
        <v>42.51</v>
      </c>
      <c r="K21" s="522">
        <f t="shared" si="3"/>
        <v>5.4</v>
      </c>
      <c r="L21" s="578">
        <f>'Tab.5. zatr.umowa,etaty_Polska'!H265</f>
        <v>157</v>
      </c>
      <c r="M21" s="525">
        <f t="shared" si="4"/>
        <v>19.899999999999999</v>
      </c>
    </row>
    <row r="22" spans="1:13" x14ac:dyDescent="0.2">
      <c r="A22" s="462">
        <v>8</v>
      </c>
      <c r="B22" s="509" t="s">
        <v>243</v>
      </c>
      <c r="C22" s="572">
        <f>'Tab.5. zatr.umowa,etaty_Polska'!H293</f>
        <v>532.16999999999996</v>
      </c>
      <c r="D22" s="573">
        <f>'Tab.5. zatr.umowa,etaty_Polska'!H295</f>
        <v>11.88</v>
      </c>
      <c r="E22" s="522">
        <f t="shared" si="0"/>
        <v>2.2000000000000002</v>
      </c>
      <c r="F22" s="578">
        <f>'Tab.5. zatr.umowa,etaty_Polska'!H296</f>
        <v>339.71</v>
      </c>
      <c r="G22" s="522">
        <f t="shared" si="1"/>
        <v>63.8</v>
      </c>
      <c r="H22" s="578">
        <f>'Tab.5. zatr.umowa,etaty_Polska'!H297</f>
        <v>46.08</v>
      </c>
      <c r="I22" s="522">
        <f t="shared" si="2"/>
        <v>8.6999999999999993</v>
      </c>
      <c r="J22" s="578">
        <f>'Tab.5. zatr.umowa,etaty_Polska'!H298</f>
        <v>32.25</v>
      </c>
      <c r="K22" s="522">
        <f t="shared" si="3"/>
        <v>6.1</v>
      </c>
      <c r="L22" s="578">
        <f>'Tab.5. zatr.umowa,etaty_Polska'!H299</f>
        <v>102.25</v>
      </c>
      <c r="M22" s="525">
        <f t="shared" si="4"/>
        <v>19.2</v>
      </c>
    </row>
    <row r="23" spans="1:13" x14ac:dyDescent="0.2">
      <c r="A23" s="462">
        <v>9</v>
      </c>
      <c r="B23" s="509" t="s">
        <v>244</v>
      </c>
      <c r="C23" s="572">
        <f>'Tab.5. zatr.umowa,etaty_Polska'!H327</f>
        <v>716.48</v>
      </c>
      <c r="D23" s="573">
        <f>'Tab.5. zatr.umowa,etaty_Polska'!H329</f>
        <v>20.8</v>
      </c>
      <c r="E23" s="522">
        <f t="shared" si="0"/>
        <v>2.9</v>
      </c>
      <c r="F23" s="578">
        <f>'Tab.5. zatr.umowa,etaty_Polska'!H330</f>
        <v>333.68</v>
      </c>
      <c r="G23" s="522">
        <f t="shared" si="1"/>
        <v>46.6</v>
      </c>
      <c r="H23" s="578">
        <f>'Tab.5. zatr.umowa,etaty_Polska'!H331</f>
        <v>83.25</v>
      </c>
      <c r="I23" s="522">
        <f t="shared" si="2"/>
        <v>11.6</v>
      </c>
      <c r="J23" s="578">
        <f>'Tab.5. zatr.umowa,etaty_Polska'!H332</f>
        <v>49.75</v>
      </c>
      <c r="K23" s="522">
        <f t="shared" si="3"/>
        <v>6.9</v>
      </c>
      <c r="L23" s="578">
        <f>'Tab.5. zatr.umowa,etaty_Polska'!H333</f>
        <v>229</v>
      </c>
      <c r="M23" s="525">
        <f t="shared" si="4"/>
        <v>32</v>
      </c>
    </row>
    <row r="24" spans="1:13" x14ac:dyDescent="0.2">
      <c r="A24" s="463">
        <v>10</v>
      </c>
      <c r="B24" s="509" t="s">
        <v>245</v>
      </c>
      <c r="C24" s="572">
        <f>'Tab.5. zatr.umowa,etaty_Polska'!H361</f>
        <v>287.2</v>
      </c>
      <c r="D24" s="573">
        <f>'Tab.5. zatr.umowa,etaty_Polska'!H363</f>
        <v>5.5</v>
      </c>
      <c r="E24" s="522">
        <f t="shared" si="0"/>
        <v>1.9</v>
      </c>
      <c r="F24" s="578">
        <f>'Tab.5. zatr.umowa,etaty_Polska'!H364</f>
        <v>174.4</v>
      </c>
      <c r="G24" s="522">
        <f t="shared" si="1"/>
        <v>60.7</v>
      </c>
      <c r="H24" s="578">
        <f>'Tab.5. zatr.umowa,etaty_Polska'!H365</f>
        <v>33.26</v>
      </c>
      <c r="I24" s="522">
        <f t="shared" si="2"/>
        <v>11.6</v>
      </c>
      <c r="J24" s="578">
        <f>'Tab.5. zatr.umowa,etaty_Polska'!H366</f>
        <v>17.62</v>
      </c>
      <c r="K24" s="522">
        <f t="shared" si="3"/>
        <v>6.1</v>
      </c>
      <c r="L24" s="578">
        <f>'Tab.5. zatr.umowa,etaty_Polska'!H367</f>
        <v>56.42</v>
      </c>
      <c r="M24" s="525">
        <f t="shared" si="4"/>
        <v>19.600000000000001</v>
      </c>
    </row>
    <row r="25" spans="1:13" x14ac:dyDescent="0.2">
      <c r="A25" s="463">
        <v>11</v>
      </c>
      <c r="B25" s="509" t="s">
        <v>246</v>
      </c>
      <c r="C25" s="572">
        <f>'Tab.5. zatr.umowa,etaty_Polska'!H395</f>
        <v>355.03999999999996</v>
      </c>
      <c r="D25" s="573">
        <f>'Tab.5. zatr.umowa,etaty_Polska'!H397</f>
        <v>7.7</v>
      </c>
      <c r="E25" s="522">
        <f t="shared" si="0"/>
        <v>2.2000000000000002</v>
      </c>
      <c r="F25" s="578">
        <f>'Tab.5. zatr.umowa,etaty_Polska'!H398</f>
        <v>234.13</v>
      </c>
      <c r="G25" s="522">
        <f t="shared" si="1"/>
        <v>65.900000000000006</v>
      </c>
      <c r="H25" s="578">
        <f>'Tab.5. zatr.umowa,etaty_Polska'!H399</f>
        <v>23.21</v>
      </c>
      <c r="I25" s="522">
        <f t="shared" si="2"/>
        <v>6.5</v>
      </c>
      <c r="J25" s="578">
        <f>'Tab.5. zatr.umowa,etaty_Polska'!H400</f>
        <v>20.81</v>
      </c>
      <c r="K25" s="522">
        <f t="shared" si="3"/>
        <v>5.9</v>
      </c>
      <c r="L25" s="578">
        <f>'Tab.5. zatr.umowa,etaty_Polska'!H401</f>
        <v>69.19</v>
      </c>
      <c r="M25" s="525">
        <f t="shared" si="4"/>
        <v>19.5</v>
      </c>
    </row>
    <row r="26" spans="1:13" x14ac:dyDescent="0.2">
      <c r="A26" s="463">
        <v>12</v>
      </c>
      <c r="B26" s="509" t="s">
        <v>247</v>
      </c>
      <c r="C26" s="572">
        <f>'Tab.5. zatr.umowa,etaty_Polska'!H429</f>
        <v>1846.1599999999999</v>
      </c>
      <c r="D26" s="573">
        <f>'Tab.5. zatr.umowa,etaty_Polska'!H431</f>
        <v>56</v>
      </c>
      <c r="E26" s="522">
        <f t="shared" si="0"/>
        <v>3</v>
      </c>
      <c r="F26" s="578">
        <f>'Tab.5. zatr.umowa,etaty_Polska'!H432</f>
        <v>1003.68</v>
      </c>
      <c r="G26" s="522">
        <f t="shared" si="1"/>
        <v>54.4</v>
      </c>
      <c r="H26" s="578">
        <f>'Tab.5. zatr.umowa,etaty_Polska'!H433</f>
        <v>187.22</v>
      </c>
      <c r="I26" s="522">
        <f t="shared" si="2"/>
        <v>10.1</v>
      </c>
      <c r="J26" s="578">
        <f>'Tab.5. zatr.umowa,etaty_Polska'!H434</f>
        <v>117.76</v>
      </c>
      <c r="K26" s="522">
        <f t="shared" si="3"/>
        <v>6.4</v>
      </c>
      <c r="L26" s="578">
        <f>'Tab.5. zatr.umowa,etaty_Polska'!H435</f>
        <v>481.5</v>
      </c>
      <c r="M26" s="525">
        <f t="shared" si="4"/>
        <v>26.1</v>
      </c>
    </row>
    <row r="27" spans="1:13" x14ac:dyDescent="0.2">
      <c r="A27" s="463">
        <v>13</v>
      </c>
      <c r="B27" s="509" t="s">
        <v>248</v>
      </c>
      <c r="C27" s="572">
        <f>'Tab.5. zatr.umowa,etaty_Polska'!H463</f>
        <v>272.93000000000006</v>
      </c>
      <c r="D27" s="573">
        <f>'Tab.5. zatr.umowa,etaty_Polska'!H465</f>
        <v>6.25</v>
      </c>
      <c r="E27" s="522">
        <f t="shared" si="0"/>
        <v>2.2999999999999998</v>
      </c>
      <c r="F27" s="578">
        <f>'Tab.5. zatr.umowa,etaty_Polska'!H466</f>
        <v>137.58000000000001</v>
      </c>
      <c r="G27" s="522">
        <f t="shared" si="1"/>
        <v>50.4</v>
      </c>
      <c r="H27" s="578">
        <f>'Tab.5. zatr.umowa,etaty_Polska'!H467</f>
        <v>42.58</v>
      </c>
      <c r="I27" s="522">
        <f t="shared" si="2"/>
        <v>15.6</v>
      </c>
      <c r="J27" s="578">
        <f>'Tab.5. zatr.umowa,etaty_Polska'!H468</f>
        <v>19.12</v>
      </c>
      <c r="K27" s="522">
        <f t="shared" si="3"/>
        <v>7</v>
      </c>
      <c r="L27" s="578">
        <f>'Tab.5. zatr.umowa,etaty_Polska'!H469</f>
        <v>67.400000000000006</v>
      </c>
      <c r="M27" s="525">
        <f t="shared" si="4"/>
        <v>24.7</v>
      </c>
    </row>
    <row r="28" spans="1:13" x14ac:dyDescent="0.2">
      <c r="A28" s="463">
        <v>14</v>
      </c>
      <c r="B28" s="509" t="s">
        <v>249</v>
      </c>
      <c r="C28" s="572">
        <f>'Tab.5. zatr.umowa,etaty_Polska'!H497</f>
        <v>379.76</v>
      </c>
      <c r="D28" s="573">
        <f>'Tab.5. zatr.umowa,etaty_Polska'!H499</f>
        <v>9.5</v>
      </c>
      <c r="E28" s="522">
        <f t="shared" si="0"/>
        <v>2.5</v>
      </c>
      <c r="F28" s="578">
        <f>'Tab.5. zatr.umowa,etaty_Polska'!H500</f>
        <v>197.93</v>
      </c>
      <c r="G28" s="522">
        <f t="shared" si="1"/>
        <v>52.1</v>
      </c>
      <c r="H28" s="578">
        <f>'Tab.5. zatr.umowa,etaty_Polska'!H501</f>
        <v>49.2</v>
      </c>
      <c r="I28" s="522">
        <f t="shared" si="2"/>
        <v>13</v>
      </c>
      <c r="J28" s="578">
        <f>'Tab.5. zatr.umowa,etaty_Polska'!H502</f>
        <v>26.05</v>
      </c>
      <c r="K28" s="522">
        <f t="shared" si="3"/>
        <v>6.9</v>
      </c>
      <c r="L28" s="578">
        <f>'Tab.5. zatr.umowa,etaty_Polska'!H503</f>
        <v>97.08</v>
      </c>
      <c r="M28" s="525">
        <f t="shared" si="4"/>
        <v>25.6</v>
      </c>
    </row>
    <row r="29" spans="1:13" x14ac:dyDescent="0.2">
      <c r="A29" s="463">
        <v>15</v>
      </c>
      <c r="B29" s="509" t="s">
        <v>250</v>
      </c>
      <c r="C29" s="572">
        <f>'Tab.5. zatr.umowa,etaty_Polska'!H531</f>
        <v>763.7</v>
      </c>
      <c r="D29" s="573">
        <f>'Tab.5. zatr.umowa,etaty_Polska'!H533</f>
        <v>12</v>
      </c>
      <c r="E29" s="522">
        <f t="shared" si="0"/>
        <v>1.6</v>
      </c>
      <c r="F29" s="578">
        <f>'Tab.5. zatr.umowa,etaty_Polska'!H534</f>
        <v>515.97</v>
      </c>
      <c r="G29" s="522">
        <f t="shared" si="1"/>
        <v>67.599999999999994</v>
      </c>
      <c r="H29" s="578">
        <f>'Tab.5. zatr.umowa,etaty_Polska'!H535</f>
        <v>31.51</v>
      </c>
      <c r="I29" s="522">
        <f t="shared" si="2"/>
        <v>4.0999999999999996</v>
      </c>
      <c r="J29" s="578">
        <f>'Tab.5. zatr.umowa,etaty_Polska'!H536</f>
        <v>43.25</v>
      </c>
      <c r="K29" s="522">
        <f t="shared" si="3"/>
        <v>5.7</v>
      </c>
      <c r="L29" s="578">
        <f>'Tab.5. zatr.umowa,etaty_Polska'!H537</f>
        <v>160.97</v>
      </c>
      <c r="M29" s="525">
        <f t="shared" si="4"/>
        <v>21.1</v>
      </c>
    </row>
    <row r="30" spans="1:13" ht="13.5" thickBot="1" x14ac:dyDescent="0.25">
      <c r="A30" s="463">
        <v>16</v>
      </c>
      <c r="B30" s="510" t="s">
        <v>251</v>
      </c>
      <c r="C30" s="572">
        <f>'Tab.5. zatr.umowa,etaty_Polska'!H565</f>
        <v>394.43</v>
      </c>
      <c r="D30" s="574">
        <f>'Tab.5. zatr.umowa,etaty_Polska'!H567</f>
        <v>6.5</v>
      </c>
      <c r="E30" s="523">
        <f t="shared" si="0"/>
        <v>1.6</v>
      </c>
      <c r="F30" s="579">
        <f>'Tab.5. zatr.umowa,etaty_Polska'!H568</f>
        <v>296.73</v>
      </c>
      <c r="G30" s="523">
        <f t="shared" si="1"/>
        <v>75.2</v>
      </c>
      <c r="H30" s="579">
        <f>'Tab.5. zatr.umowa,etaty_Polska'!H569</f>
        <v>15</v>
      </c>
      <c r="I30" s="523">
        <f t="shared" si="2"/>
        <v>3.8</v>
      </c>
      <c r="J30" s="579">
        <f>'Tab.5. zatr.umowa,etaty_Polska'!H570</f>
        <v>24.57</v>
      </c>
      <c r="K30" s="523">
        <f t="shared" si="3"/>
        <v>6.2</v>
      </c>
      <c r="L30" s="579">
        <f>'Tab.5. zatr.umowa,etaty_Polska'!H571</f>
        <v>51.63</v>
      </c>
      <c r="M30" s="526">
        <f t="shared" si="4"/>
        <v>13.1</v>
      </c>
    </row>
    <row r="31" spans="1:13" ht="16.5" thickBot="1" x14ac:dyDescent="0.3">
      <c r="A31" s="445" t="s">
        <v>252</v>
      </c>
      <c r="B31" s="446"/>
      <c r="C31" s="575">
        <f>SUM(C15:C30)</f>
        <v>8723.3700000000008</v>
      </c>
      <c r="D31" s="576">
        <f>SUM(D15:D30)</f>
        <v>227.20999999999998</v>
      </c>
      <c r="E31" s="528">
        <f>AVERAGE(E15:E30)</f>
        <v>2.5499999999999998</v>
      </c>
      <c r="F31" s="580">
        <f>SUM(F15:F30)</f>
        <v>5204.59</v>
      </c>
      <c r="G31" s="528">
        <f>AVERAGE(G15:G30)</f>
        <v>60.712500000000006</v>
      </c>
      <c r="H31" s="580">
        <f>SUM(H15:H30)</f>
        <v>845.0100000000001</v>
      </c>
      <c r="I31" s="528">
        <f>AVERAGE(I15:I30)</f>
        <v>9.8812499999999996</v>
      </c>
      <c r="J31" s="580">
        <f>SUM(J15:J30)</f>
        <v>534.94000000000005</v>
      </c>
      <c r="K31" s="528">
        <f>AVERAGE(K15:K30)</f>
        <v>6.1187500000000012</v>
      </c>
      <c r="L31" s="580">
        <f>SUM(L15:L30)</f>
        <v>1911.6200000000001</v>
      </c>
      <c r="M31" s="530">
        <f>AVERAGE(M15:M30)</f>
        <v>20.743750000000002</v>
      </c>
    </row>
    <row r="32" spans="1:13" ht="13.5" thickTop="1" x14ac:dyDescent="0.2"/>
  </sheetData>
  <mergeCells count="22">
    <mergeCell ref="D10:M10"/>
    <mergeCell ref="D11:E11"/>
    <mergeCell ref="C10:C13"/>
    <mergeCell ref="B10:B13"/>
    <mergeCell ref="L1:M1"/>
    <mergeCell ref="A6:M6"/>
    <mergeCell ref="A7:M7"/>
    <mergeCell ref="A8:M8"/>
    <mergeCell ref="L12:L13"/>
    <mergeCell ref="M12:M13"/>
    <mergeCell ref="F11:G11"/>
    <mergeCell ref="H11:I11"/>
    <mergeCell ref="J11:K11"/>
    <mergeCell ref="L11:M11"/>
    <mergeCell ref="J12:J13"/>
    <mergeCell ref="K12:K13"/>
    <mergeCell ref="D12:D13"/>
    <mergeCell ref="E12:E13"/>
    <mergeCell ref="F12:F13"/>
    <mergeCell ref="G12:G13"/>
    <mergeCell ref="H12:H13"/>
    <mergeCell ref="I12:I13"/>
  </mergeCells>
  <phoneticPr fontId="82" type="noConversion"/>
  <printOptions horizontalCentered="1" verticalCentered="1"/>
  <pageMargins left="0.31496062992125984" right="0.54" top="0.98425196850393704" bottom="0.98425196850393704" header="0.51181102362204722" footer="0.51181102362204722"/>
  <pageSetup paperSize="9" orientation="landscape" r:id="rId1"/>
  <headerFooter alignWithMargins="0"/>
  <ignoredErrors>
    <ignoredError sqref="F15:L30 E31:K31" formula="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4"/>
  <sheetViews>
    <sheetView zoomScale="65" workbookViewId="0"/>
  </sheetViews>
  <sheetFormatPr defaultRowHeight="12.75" x14ac:dyDescent="0.2"/>
  <cols>
    <col min="2" max="2" width="76.28515625" customWidth="1"/>
    <col min="3" max="3" width="29.42578125" customWidth="1"/>
    <col min="4" max="4" width="24.85546875" customWidth="1"/>
  </cols>
  <sheetData>
    <row r="1" spans="1:4" ht="26.25" x14ac:dyDescent="0.4">
      <c r="A1" s="267" t="s">
        <v>196</v>
      </c>
      <c r="B1" s="266" t="s">
        <v>195</v>
      </c>
    </row>
    <row r="2" spans="1:4" ht="18" x14ac:dyDescent="0.25">
      <c r="B2" s="11" t="s">
        <v>116</v>
      </c>
      <c r="D2" s="10" t="s">
        <v>93</v>
      </c>
    </row>
    <row r="3" spans="1:4" ht="18" x14ac:dyDescent="0.25">
      <c r="B3" s="14" t="s">
        <v>129</v>
      </c>
    </row>
    <row r="4" spans="1:4" ht="18" x14ac:dyDescent="0.25">
      <c r="B4" s="11" t="s">
        <v>128</v>
      </c>
      <c r="C4" s="1841" t="str">
        <f>"Termin: 27 luty "&amp;'Tab.1. bilans_Polska'!A2&amp;" r."</f>
        <v>Termin: 27 luty 2011 r.</v>
      </c>
      <c r="D4" s="1841"/>
    </row>
    <row r="5" spans="1:4" ht="26.25" customHeight="1" x14ac:dyDescent="0.25">
      <c r="B5" s="11"/>
    </row>
    <row r="6" spans="1:4" ht="18" x14ac:dyDescent="0.25">
      <c r="B6" s="1138" t="s">
        <v>130</v>
      </c>
    </row>
    <row r="7" spans="1:4" ht="30" customHeight="1" x14ac:dyDescent="0.25">
      <c r="B7" s="1150" t="s">
        <v>131</v>
      </c>
    </row>
    <row r="8" spans="1:4" ht="23.1" customHeight="1" x14ac:dyDescent="0.35">
      <c r="B8" s="1655" t="s">
        <v>94</v>
      </c>
      <c r="C8" s="1655"/>
      <c r="D8" s="1655"/>
    </row>
    <row r="9" spans="1:4" ht="23.1" customHeight="1" x14ac:dyDescent="0.35">
      <c r="B9" s="1810" t="str">
        <f>"DOMACH  POMOCY  SPOŁECZNEJ  W "&amp;'Tab.1. bilans_Polska'!A2&amp;" r."</f>
        <v>DOMACH  POMOCY  SPOŁECZNEJ  W 2011 r.</v>
      </c>
      <c r="C9" s="1810"/>
      <c r="D9" s="1810"/>
    </row>
    <row r="10" spans="1:4" ht="23.1" customHeight="1" x14ac:dyDescent="0.35">
      <c r="B10" s="1655" t="s">
        <v>95</v>
      </c>
      <c r="C10" s="1655"/>
      <c r="D10" s="1655"/>
    </row>
    <row r="11" spans="1:4" ht="23.1" customHeight="1" x14ac:dyDescent="0.35">
      <c r="B11" s="1810" t="str">
        <f>"WG  STANU  NA  DZIEŃ  31. XII. "&amp;'Tab.1. bilans_Polska'!A2&amp;" r."</f>
        <v>WG  STANU  NA  DZIEŃ  31. XII. 2011 r.</v>
      </c>
      <c r="C11" s="1810"/>
      <c r="D11" s="1810"/>
    </row>
    <row r="12" spans="1:4" ht="30" customHeight="1" thickBot="1" x14ac:dyDescent="0.25"/>
    <row r="13" spans="1:4" ht="16.5" thickTop="1" x14ac:dyDescent="0.25">
      <c r="B13" s="1836" t="s">
        <v>430</v>
      </c>
      <c r="C13" s="106" t="s">
        <v>6</v>
      </c>
      <c r="D13" s="107" t="s">
        <v>2</v>
      </c>
    </row>
    <row r="14" spans="1:4" ht="15.75" x14ac:dyDescent="0.25">
      <c r="B14" s="1837"/>
      <c r="C14" s="108" t="s">
        <v>8</v>
      </c>
      <c r="D14" s="109" t="s">
        <v>11</v>
      </c>
    </row>
    <row r="15" spans="1:4" ht="15.75" x14ac:dyDescent="0.25">
      <c r="B15" s="1837"/>
      <c r="C15" s="108" t="s">
        <v>10</v>
      </c>
      <c r="D15" s="109" t="s">
        <v>12</v>
      </c>
    </row>
    <row r="16" spans="1:4" ht="15.75" x14ac:dyDescent="0.25">
      <c r="B16" s="1837"/>
      <c r="C16" s="108" t="s">
        <v>96</v>
      </c>
      <c r="D16" s="109" t="s">
        <v>97</v>
      </c>
    </row>
    <row r="17" spans="2:8" ht="16.5" thickBot="1" x14ac:dyDescent="0.3">
      <c r="B17" s="1838"/>
      <c r="C17" s="1183" t="str">
        <f>"w "&amp;'Tab.1. bilans_Polska'!A2&amp;" r."</f>
        <v>w 2011 r.</v>
      </c>
      <c r="D17" s="1184" t="str">
        <f>"31.XII."&amp;'Tab.1. bilans_Polska'!A2&amp;" r."</f>
        <v>31.XII.2011 r.</v>
      </c>
    </row>
    <row r="18" spans="2:8" ht="15.75" thickBot="1" x14ac:dyDescent="0.25">
      <c r="B18" s="110">
        <v>0</v>
      </c>
      <c r="C18" s="111">
        <v>1</v>
      </c>
      <c r="D18" s="17">
        <v>2</v>
      </c>
    </row>
    <row r="19" spans="2:8" s="32" customFormat="1" ht="60" customHeight="1" thickTop="1" x14ac:dyDescent="0.2">
      <c r="B19" s="33" t="s">
        <v>193</v>
      </c>
      <c r="C19" s="352">
        <f>SUM(C21:C26)</f>
        <v>10649</v>
      </c>
      <c r="D19" s="353">
        <f>SUM(D21:D26)</f>
        <v>8225</v>
      </c>
    </row>
    <row r="20" spans="2:8" s="32" customFormat="1" ht="18.75" customHeight="1" thickBot="1" x14ac:dyDescent="0.25">
      <c r="B20" s="112" t="s">
        <v>46</v>
      </c>
      <c r="C20" s="920" t="str">
        <f>IF(C19&lt;='Tab.3. Mieszkańcy_Polska '!G20, "", "t3w2k1"&amp;"="&amp;'Tab.3. Mieszkańcy_Polska '!G20&amp;" umieszcze.")</f>
        <v/>
      </c>
      <c r="D20" s="164"/>
    </row>
    <row r="21" spans="2:8" s="32" customFormat="1" ht="60" customHeight="1" thickTop="1" thickBot="1" x14ac:dyDescent="0.25">
      <c r="B21" s="188" t="s">
        <v>424</v>
      </c>
      <c r="C21" s="960">
        <f>C53+C85+C117+C149+C181+C213+C245+C277+C309+C341+C373+C405+C437+C469+C501+C533</f>
        <v>2968</v>
      </c>
      <c r="D21" s="961">
        <f>D53+D85+D117+D149+D181+D213+D245+D277+D309+D341+D373+D405+D437+D469+D501+D533</f>
        <v>1829</v>
      </c>
    </row>
    <row r="22" spans="2:8" s="32" customFormat="1" ht="60" customHeight="1" thickBot="1" x14ac:dyDescent="0.25">
      <c r="B22" s="113" t="s">
        <v>425</v>
      </c>
      <c r="C22" s="962">
        <f t="shared" ref="C22:D26" si="0">C54+C86+C118+C150+C182+C214+C246+C278+C310+C342+C374+C406+C438+C470+C502+C534</f>
        <v>4537</v>
      </c>
      <c r="D22" s="963">
        <f t="shared" si="0"/>
        <v>2953</v>
      </c>
    </row>
    <row r="23" spans="2:8" s="32" customFormat="1" ht="60" customHeight="1" thickBot="1" x14ac:dyDescent="0.25">
      <c r="B23" s="113" t="s">
        <v>426</v>
      </c>
      <c r="C23" s="964">
        <f t="shared" si="0"/>
        <v>1806</v>
      </c>
      <c r="D23" s="965">
        <f t="shared" si="0"/>
        <v>2650</v>
      </c>
    </row>
    <row r="24" spans="2:8" s="32" customFormat="1" ht="60" customHeight="1" thickBot="1" x14ac:dyDescent="0.25">
      <c r="B24" s="114" t="s">
        <v>427</v>
      </c>
      <c r="C24" s="966">
        <f t="shared" si="0"/>
        <v>734</v>
      </c>
      <c r="D24" s="967">
        <f t="shared" si="0"/>
        <v>557</v>
      </c>
    </row>
    <row r="25" spans="2:8" s="32" customFormat="1" ht="60" customHeight="1" thickBot="1" x14ac:dyDescent="0.25">
      <c r="B25" s="114" t="s">
        <v>428</v>
      </c>
      <c r="C25" s="964">
        <f t="shared" si="0"/>
        <v>282</v>
      </c>
      <c r="D25" s="965">
        <f t="shared" si="0"/>
        <v>69</v>
      </c>
    </row>
    <row r="26" spans="2:8" s="32" customFormat="1" ht="60" customHeight="1" thickBot="1" x14ac:dyDescent="0.25">
      <c r="B26" s="115" t="s">
        <v>429</v>
      </c>
      <c r="C26" s="968">
        <f t="shared" si="0"/>
        <v>322</v>
      </c>
      <c r="D26" s="969">
        <f t="shared" si="0"/>
        <v>167</v>
      </c>
    </row>
    <row r="27" spans="2:8" s="32" customFormat="1" ht="30" customHeight="1" thickTop="1" x14ac:dyDescent="0.2">
      <c r="B27" s="182"/>
      <c r="C27"/>
      <c r="D27"/>
    </row>
    <row r="28" spans="2:8" ht="13.5" customHeight="1" x14ac:dyDescent="0.25">
      <c r="B28" s="1"/>
    </row>
    <row r="29" spans="2:8" ht="21.75" customHeight="1" x14ac:dyDescent="0.25">
      <c r="B29" s="1138" t="s">
        <v>123</v>
      </c>
      <c r="C29" s="1152"/>
      <c r="D29" s="1152"/>
      <c r="E29" s="27"/>
      <c r="F29" s="27"/>
      <c r="G29" s="1823"/>
      <c r="H29" s="1823"/>
    </row>
    <row r="30" spans="2:8" ht="21.75" customHeight="1" x14ac:dyDescent="0.25">
      <c r="B30" s="1138" t="s">
        <v>132</v>
      </c>
      <c r="C30" s="805"/>
      <c r="D30" s="805"/>
      <c r="E30" s="27"/>
    </row>
    <row r="31" spans="2:8" ht="13.15" customHeight="1" x14ac:dyDescent="0.25">
      <c r="B31" s="1138"/>
      <c r="C31" s="1138" t="s">
        <v>133</v>
      </c>
      <c r="D31" s="1152"/>
      <c r="E31" s="27"/>
    </row>
    <row r="32" spans="2:8" ht="18" x14ac:dyDescent="0.25">
      <c r="B32" s="1138" t="s">
        <v>137</v>
      </c>
      <c r="C32" s="1153" t="s">
        <v>136</v>
      </c>
      <c r="D32" s="1153"/>
      <c r="E32" s="14"/>
    </row>
    <row r="34" spans="1:4" ht="26.25" x14ac:dyDescent="0.4">
      <c r="A34" s="267" t="s">
        <v>166</v>
      </c>
      <c r="B34" s="11" t="s">
        <v>116</v>
      </c>
      <c r="D34" s="10" t="s">
        <v>93</v>
      </c>
    </row>
    <row r="35" spans="1:4" ht="18" x14ac:dyDescent="0.25">
      <c r="B35" s="14" t="s">
        <v>129</v>
      </c>
    </row>
    <row r="36" spans="1:4" ht="18" x14ac:dyDescent="0.25">
      <c r="B36" s="11" t="s">
        <v>128</v>
      </c>
      <c r="C36" s="1840" t="str">
        <f>'Tab.1. bilans_Polska'!$E$59</f>
        <v>Termin: 29 luty 2012 r.</v>
      </c>
      <c r="D36" s="1840"/>
    </row>
    <row r="37" spans="1:4" ht="18" x14ac:dyDescent="0.25">
      <c r="B37" s="11"/>
      <c r="C37" s="14"/>
    </row>
    <row r="38" spans="1:4" ht="18" x14ac:dyDescent="0.25">
      <c r="B38" s="11" t="s">
        <v>130</v>
      </c>
    </row>
    <row r="39" spans="1:4" ht="15.75" x14ac:dyDescent="0.25">
      <c r="B39" s="1" t="s">
        <v>131</v>
      </c>
    </row>
    <row r="40" spans="1:4" ht="18.75" customHeight="1" x14ac:dyDescent="0.35">
      <c r="B40" s="1655" t="s">
        <v>94</v>
      </c>
      <c r="C40" s="1655"/>
      <c r="D40" s="1655"/>
    </row>
    <row r="41" spans="1:4" ht="21.75" customHeight="1" x14ac:dyDescent="0.35">
      <c r="B41" s="1839" t="str">
        <f>$B$9</f>
        <v>DOMACH  POMOCY  SPOŁECZNEJ  W 2011 r.</v>
      </c>
      <c r="C41" s="1839"/>
      <c r="D41" s="1839"/>
    </row>
    <row r="42" spans="1:4" s="32" customFormat="1" ht="24" customHeight="1" x14ac:dyDescent="0.35">
      <c r="A42"/>
      <c r="B42" s="1655" t="s">
        <v>95</v>
      </c>
      <c r="C42" s="1655"/>
      <c r="D42" s="1655"/>
    </row>
    <row r="43" spans="1:4" s="32" customFormat="1" ht="24" customHeight="1" x14ac:dyDescent="0.35">
      <c r="A43"/>
      <c r="B43" s="1839" t="str">
        <f>$B$11</f>
        <v>WG  STANU  NA  DZIEŃ  31. XII. 2011 r.</v>
      </c>
      <c r="C43" s="1839"/>
      <c r="D43" s="1839"/>
    </row>
    <row r="44" spans="1:4" s="32" customFormat="1" ht="24" customHeight="1" thickBot="1" x14ac:dyDescent="0.25">
      <c r="A44"/>
      <c r="B44"/>
      <c r="C44"/>
      <c r="D44"/>
    </row>
    <row r="45" spans="1:4" s="32" customFormat="1" ht="24" customHeight="1" thickTop="1" x14ac:dyDescent="0.25">
      <c r="A45"/>
      <c r="B45" s="1836" t="s">
        <v>430</v>
      </c>
      <c r="C45" s="106" t="s">
        <v>6</v>
      </c>
      <c r="D45" s="107" t="s">
        <v>2</v>
      </c>
    </row>
    <row r="46" spans="1:4" s="32" customFormat="1" ht="24" customHeight="1" x14ac:dyDescent="0.25">
      <c r="A46"/>
      <c r="B46" s="1837"/>
      <c r="C46" s="108" t="s">
        <v>8</v>
      </c>
      <c r="D46" s="109" t="s">
        <v>11</v>
      </c>
    </row>
    <row r="47" spans="1:4" ht="15.75" x14ac:dyDescent="0.25">
      <c r="B47" s="1837"/>
      <c r="C47" s="108" t="s">
        <v>10</v>
      </c>
      <c r="D47" s="109" t="s">
        <v>12</v>
      </c>
    </row>
    <row r="48" spans="1:4" ht="30" customHeight="1" x14ac:dyDescent="0.25">
      <c r="B48" s="1837"/>
      <c r="C48" s="108" t="s">
        <v>96</v>
      </c>
      <c r="D48" s="109" t="s">
        <v>97</v>
      </c>
    </row>
    <row r="49" spans="1:4" ht="16.5" thickBot="1" x14ac:dyDescent="0.3">
      <c r="B49" s="1838"/>
      <c r="C49" s="1185" t="str">
        <f>$C$17</f>
        <v>w 2011 r.</v>
      </c>
      <c r="D49" s="1186" t="str">
        <f>$D$17</f>
        <v>31.XII.2011 r.</v>
      </c>
    </row>
    <row r="50" spans="1:4" ht="27.95" customHeight="1" thickBot="1" x14ac:dyDescent="0.25">
      <c r="B50" s="110">
        <v>0</v>
      </c>
      <c r="C50" s="111">
        <v>1</v>
      </c>
      <c r="D50" s="17">
        <v>2</v>
      </c>
    </row>
    <row r="51" spans="1:4" ht="27.95" customHeight="1" thickTop="1" x14ac:dyDescent="0.2">
      <c r="A51" s="32"/>
      <c r="B51" s="33" t="s">
        <v>193</v>
      </c>
      <c r="C51" s="352">
        <f>SUM(C53:C58)</f>
        <v>834</v>
      </c>
      <c r="D51" s="353">
        <f>SUM(D53:D58)</f>
        <v>922</v>
      </c>
    </row>
    <row r="52" spans="1:4" ht="27.95" customHeight="1" thickBot="1" x14ac:dyDescent="0.25">
      <c r="A52" s="32"/>
      <c r="B52" s="112" t="s">
        <v>46</v>
      </c>
      <c r="C52" s="920" t="str">
        <f>IF(C51&lt;='Tab.3. Mieszkańcy_Polska '!G96, "", "t3w2k1"&amp;"="&amp;'Tab.3. Mieszkańcy_Polska '!G96&amp;" umieszcze.")</f>
        <v/>
      </c>
      <c r="D52" s="164"/>
    </row>
    <row r="53" spans="1:4" ht="27.95" customHeight="1" thickTop="1" thickBot="1" x14ac:dyDescent="0.25">
      <c r="A53" s="32"/>
      <c r="B53" s="188" t="s">
        <v>424</v>
      </c>
      <c r="C53" s="1357">
        <v>142</v>
      </c>
      <c r="D53" s="1358">
        <v>197</v>
      </c>
    </row>
    <row r="54" spans="1:4" ht="27.95" customHeight="1" thickBot="1" x14ac:dyDescent="0.25">
      <c r="A54" s="32"/>
      <c r="B54" s="113" t="s">
        <v>425</v>
      </c>
      <c r="C54" s="1359">
        <v>523</v>
      </c>
      <c r="D54" s="1360">
        <v>408</v>
      </c>
    </row>
    <row r="55" spans="1:4" ht="27.95" customHeight="1" thickBot="1" x14ac:dyDescent="0.25">
      <c r="A55" s="32"/>
      <c r="B55" s="113" t="s">
        <v>426</v>
      </c>
      <c r="C55" s="1361">
        <v>63</v>
      </c>
      <c r="D55" s="1362">
        <v>270</v>
      </c>
    </row>
    <row r="56" spans="1:4" ht="27.95" customHeight="1" thickBot="1" x14ac:dyDescent="0.25">
      <c r="A56" s="32"/>
      <c r="B56" s="114" t="s">
        <v>427</v>
      </c>
      <c r="C56" s="1363">
        <v>69</v>
      </c>
      <c r="D56" s="1364">
        <v>46</v>
      </c>
    </row>
    <row r="57" spans="1:4" ht="19.5" thickBot="1" x14ac:dyDescent="0.25">
      <c r="A57" s="32"/>
      <c r="B57" s="114" t="s">
        <v>428</v>
      </c>
      <c r="C57" s="1361">
        <v>37</v>
      </c>
      <c r="D57" s="1362">
        <v>1</v>
      </c>
    </row>
    <row r="58" spans="1:4" ht="19.5" thickBot="1" x14ac:dyDescent="0.25">
      <c r="A58" s="32"/>
      <c r="B58" s="115" t="s">
        <v>429</v>
      </c>
      <c r="C58" s="1365">
        <v>0</v>
      </c>
      <c r="D58" s="1366">
        <v>0</v>
      </c>
    </row>
    <row r="59" spans="1:4" ht="16.5" thickTop="1" x14ac:dyDescent="0.2">
      <c r="A59" s="32"/>
      <c r="B59" s="182"/>
    </row>
    <row r="60" spans="1:4" ht="15.75" x14ac:dyDescent="0.25">
      <c r="B60" s="1"/>
    </row>
    <row r="61" spans="1:4" ht="18" x14ac:dyDescent="0.25">
      <c r="B61" s="11" t="s">
        <v>123</v>
      </c>
      <c r="C61" s="27"/>
      <c r="D61" s="27"/>
    </row>
    <row r="62" spans="1:4" ht="18" x14ac:dyDescent="0.25">
      <c r="B62" s="11" t="s">
        <v>132</v>
      </c>
    </row>
    <row r="63" spans="1:4" ht="18" x14ac:dyDescent="0.25">
      <c r="B63" s="11"/>
      <c r="C63" s="11" t="s">
        <v>133</v>
      </c>
      <c r="D63" s="27"/>
    </row>
    <row r="64" spans="1:4" ht="18" x14ac:dyDescent="0.25">
      <c r="B64" s="11" t="s">
        <v>137</v>
      </c>
      <c r="C64" s="14" t="s">
        <v>136</v>
      </c>
      <c r="D64" s="14"/>
    </row>
    <row r="66" spans="1:4" ht="26.25" x14ac:dyDescent="0.4">
      <c r="A66" s="267" t="s">
        <v>168</v>
      </c>
      <c r="B66" s="11" t="s">
        <v>116</v>
      </c>
      <c r="D66" s="10" t="s">
        <v>93</v>
      </c>
    </row>
    <row r="67" spans="1:4" ht="18" x14ac:dyDescent="0.25">
      <c r="B67" s="14" t="s">
        <v>129</v>
      </c>
    </row>
    <row r="68" spans="1:4" ht="18" x14ac:dyDescent="0.25">
      <c r="B68" s="11" t="s">
        <v>128</v>
      </c>
      <c r="C68" s="1840" t="str">
        <f>'Tab.1. bilans_Polska'!$E$59</f>
        <v>Termin: 29 luty 2012 r.</v>
      </c>
      <c r="D68" s="1840"/>
    </row>
    <row r="69" spans="1:4" ht="18" x14ac:dyDescent="0.25">
      <c r="B69" s="11"/>
      <c r="C69" s="14"/>
    </row>
    <row r="70" spans="1:4" ht="18" x14ac:dyDescent="0.25">
      <c r="B70" s="11" t="s">
        <v>130</v>
      </c>
    </row>
    <row r="71" spans="1:4" ht="15.75" x14ac:dyDescent="0.25">
      <c r="B71" s="1" t="s">
        <v>131</v>
      </c>
    </row>
    <row r="72" spans="1:4" ht="23.25" x14ac:dyDescent="0.35">
      <c r="B72" s="1655" t="s">
        <v>94</v>
      </c>
      <c r="C72" s="1655"/>
      <c r="D72" s="1655"/>
    </row>
    <row r="73" spans="1:4" ht="23.25" x14ac:dyDescent="0.35">
      <c r="B73" s="1839" t="str">
        <f>$B$9</f>
        <v>DOMACH  POMOCY  SPOŁECZNEJ  W 2011 r.</v>
      </c>
      <c r="C73" s="1839"/>
      <c r="D73" s="1839"/>
    </row>
    <row r="74" spans="1:4" ht="23.25" x14ac:dyDescent="0.35">
      <c r="B74" s="1655" t="s">
        <v>95</v>
      </c>
      <c r="C74" s="1655"/>
      <c r="D74" s="1655"/>
    </row>
    <row r="75" spans="1:4" ht="23.25" x14ac:dyDescent="0.35">
      <c r="B75" s="1839" t="str">
        <f>$B$11</f>
        <v>WG  STANU  NA  DZIEŃ  31. XII. 2011 r.</v>
      </c>
      <c r="C75" s="1839"/>
      <c r="D75" s="1839"/>
    </row>
    <row r="76" spans="1:4" ht="13.5" thickBot="1" x14ac:dyDescent="0.25"/>
    <row r="77" spans="1:4" ht="16.5" thickTop="1" x14ac:dyDescent="0.25">
      <c r="B77" s="1836" t="s">
        <v>430</v>
      </c>
      <c r="C77" s="106" t="s">
        <v>6</v>
      </c>
      <c r="D77" s="107" t="s">
        <v>2</v>
      </c>
    </row>
    <row r="78" spans="1:4" ht="15.75" x14ac:dyDescent="0.25">
      <c r="B78" s="1837"/>
      <c r="C78" s="108" t="s">
        <v>8</v>
      </c>
      <c r="D78" s="109" t="s">
        <v>11</v>
      </c>
    </row>
    <row r="79" spans="1:4" ht="15.75" x14ac:dyDescent="0.25">
      <c r="B79" s="1837"/>
      <c r="C79" s="108" t="s">
        <v>10</v>
      </c>
      <c r="D79" s="109" t="s">
        <v>12</v>
      </c>
    </row>
    <row r="80" spans="1:4" ht="15.75" x14ac:dyDescent="0.25">
      <c r="B80" s="1837"/>
      <c r="C80" s="108" t="s">
        <v>96</v>
      </c>
      <c r="D80" s="109" t="s">
        <v>97</v>
      </c>
    </row>
    <row r="81" spans="1:4" ht="16.5" thickBot="1" x14ac:dyDescent="0.3">
      <c r="B81" s="1838"/>
      <c r="C81" s="1185" t="str">
        <f>$C$17</f>
        <v>w 2011 r.</v>
      </c>
      <c r="D81" s="1186" t="str">
        <f>$D$17</f>
        <v>31.XII.2011 r.</v>
      </c>
    </row>
    <row r="82" spans="1:4" ht="15.75" thickBot="1" x14ac:dyDescent="0.25">
      <c r="B82" s="110">
        <v>0</v>
      </c>
      <c r="C82" s="111">
        <v>1</v>
      </c>
      <c r="D82" s="17">
        <v>2</v>
      </c>
    </row>
    <row r="83" spans="1:4" ht="24" thickTop="1" x14ac:dyDescent="0.2">
      <c r="A83" s="32"/>
      <c r="B83" s="33" t="s">
        <v>193</v>
      </c>
      <c r="C83" s="352">
        <f>SUM(C85:C90)</f>
        <v>508</v>
      </c>
      <c r="D83" s="353">
        <f>SUM(D85:D90)</f>
        <v>280</v>
      </c>
    </row>
    <row r="84" spans="1:4" ht="18.75" thickBot="1" x14ac:dyDescent="0.25">
      <c r="A84" s="32"/>
      <c r="B84" s="112" t="s">
        <v>46</v>
      </c>
      <c r="C84" s="920" t="str">
        <f>IF(C83&lt;='Tab.3. Mieszkańcy_Polska '!G172, "", "t3w2k1"&amp;"="&amp;'Tab.3. Mieszkańcy_Polska '!G172&amp;" umieszcze.")</f>
        <v/>
      </c>
      <c r="D84" s="164"/>
    </row>
    <row r="85" spans="1:4" ht="20.25" thickTop="1" thickBot="1" x14ac:dyDescent="0.25">
      <c r="A85" s="32"/>
      <c r="B85" s="188" t="s">
        <v>424</v>
      </c>
      <c r="C85" s="1357">
        <v>150</v>
      </c>
      <c r="D85" s="1358">
        <v>88</v>
      </c>
    </row>
    <row r="86" spans="1:4" ht="19.5" thickBot="1" x14ac:dyDescent="0.25">
      <c r="A86" s="32"/>
      <c r="B86" s="113" t="s">
        <v>425</v>
      </c>
      <c r="C86" s="1359">
        <v>193</v>
      </c>
      <c r="D86" s="1360">
        <v>69</v>
      </c>
    </row>
    <row r="87" spans="1:4" ht="19.5" thickBot="1" x14ac:dyDescent="0.25">
      <c r="A87" s="32"/>
      <c r="B87" s="113" t="s">
        <v>426</v>
      </c>
      <c r="C87" s="1361">
        <v>80</v>
      </c>
      <c r="D87" s="1362">
        <v>101</v>
      </c>
    </row>
    <row r="88" spans="1:4" ht="19.5" thickBot="1" x14ac:dyDescent="0.25">
      <c r="A88" s="32"/>
      <c r="B88" s="114" t="s">
        <v>427</v>
      </c>
      <c r="C88" s="1363">
        <v>53</v>
      </c>
      <c r="D88" s="1364">
        <v>18</v>
      </c>
    </row>
    <row r="89" spans="1:4" ht="19.5" thickBot="1" x14ac:dyDescent="0.25">
      <c r="A89" s="32"/>
      <c r="B89" s="114" t="s">
        <v>428</v>
      </c>
      <c r="C89" s="1361">
        <v>19</v>
      </c>
      <c r="D89" s="1362">
        <v>1</v>
      </c>
    </row>
    <row r="90" spans="1:4" ht="19.5" thickBot="1" x14ac:dyDescent="0.25">
      <c r="A90" s="32"/>
      <c r="B90" s="115" t="s">
        <v>429</v>
      </c>
      <c r="C90" s="1365">
        <v>13</v>
      </c>
      <c r="D90" s="1366">
        <v>3</v>
      </c>
    </row>
    <row r="91" spans="1:4" ht="16.5" thickTop="1" x14ac:dyDescent="0.2">
      <c r="A91" s="32"/>
      <c r="B91" s="182"/>
    </row>
    <row r="92" spans="1:4" ht="15.75" x14ac:dyDescent="0.25">
      <c r="B92" s="1"/>
    </row>
    <row r="93" spans="1:4" ht="18" x14ac:dyDescent="0.25">
      <c r="B93" s="11" t="s">
        <v>123</v>
      </c>
      <c r="C93" s="27"/>
      <c r="D93" s="27"/>
    </row>
    <row r="94" spans="1:4" ht="18" x14ac:dyDescent="0.25">
      <c r="B94" s="11" t="s">
        <v>132</v>
      </c>
    </row>
    <row r="95" spans="1:4" ht="18" x14ac:dyDescent="0.25">
      <c r="B95" s="11"/>
      <c r="C95" s="11" t="s">
        <v>133</v>
      </c>
      <c r="D95" s="27"/>
    </row>
    <row r="96" spans="1:4" ht="18" x14ac:dyDescent="0.25">
      <c r="B96" s="11" t="s">
        <v>137</v>
      </c>
      <c r="C96" s="14" t="s">
        <v>136</v>
      </c>
      <c r="D96" s="14"/>
    </row>
    <row r="98" spans="1:4" ht="26.25" x14ac:dyDescent="0.4">
      <c r="A98" s="267" t="s">
        <v>170</v>
      </c>
      <c r="B98" s="11" t="s">
        <v>116</v>
      </c>
      <c r="D98" s="10" t="s">
        <v>93</v>
      </c>
    </row>
    <row r="99" spans="1:4" ht="18" x14ac:dyDescent="0.25">
      <c r="B99" s="14" t="s">
        <v>129</v>
      </c>
    </row>
    <row r="100" spans="1:4" ht="18" x14ac:dyDescent="0.25">
      <c r="B100" s="11" t="s">
        <v>128</v>
      </c>
      <c r="C100" s="1840" t="str">
        <f>'Tab.1. bilans_Polska'!$E$59</f>
        <v>Termin: 29 luty 2012 r.</v>
      </c>
      <c r="D100" s="1840"/>
    </row>
    <row r="101" spans="1:4" ht="18" x14ac:dyDescent="0.25">
      <c r="B101" s="11"/>
      <c r="C101" s="14"/>
    </row>
    <row r="102" spans="1:4" ht="18" x14ac:dyDescent="0.25">
      <c r="B102" s="11" t="s">
        <v>130</v>
      </c>
    </row>
    <row r="103" spans="1:4" ht="15.75" x14ac:dyDescent="0.25">
      <c r="B103" s="1" t="s">
        <v>131</v>
      </c>
    </row>
    <row r="104" spans="1:4" ht="23.25" x14ac:dyDescent="0.35">
      <c r="B104" s="1655" t="s">
        <v>94</v>
      </c>
      <c r="C104" s="1655"/>
      <c r="D104" s="1655"/>
    </row>
    <row r="105" spans="1:4" ht="23.25" x14ac:dyDescent="0.35">
      <c r="B105" s="1839" t="str">
        <f>$B$9</f>
        <v>DOMACH  POMOCY  SPOŁECZNEJ  W 2011 r.</v>
      </c>
      <c r="C105" s="1839"/>
      <c r="D105" s="1839"/>
    </row>
    <row r="106" spans="1:4" ht="23.25" x14ac:dyDescent="0.35">
      <c r="B106" s="1655" t="s">
        <v>95</v>
      </c>
      <c r="C106" s="1655"/>
      <c r="D106" s="1655"/>
    </row>
    <row r="107" spans="1:4" ht="23.25" x14ac:dyDescent="0.35">
      <c r="B107" s="1839" t="str">
        <f>$B$11</f>
        <v>WG  STANU  NA  DZIEŃ  31. XII. 2011 r.</v>
      </c>
      <c r="C107" s="1839"/>
      <c r="D107" s="1839"/>
    </row>
    <row r="108" spans="1:4" ht="13.5" thickBot="1" x14ac:dyDescent="0.25"/>
    <row r="109" spans="1:4" ht="16.5" thickTop="1" x14ac:dyDescent="0.25">
      <c r="B109" s="1836" t="s">
        <v>430</v>
      </c>
      <c r="C109" s="106" t="s">
        <v>6</v>
      </c>
      <c r="D109" s="107" t="s">
        <v>2</v>
      </c>
    </row>
    <row r="110" spans="1:4" ht="15.75" x14ac:dyDescent="0.25">
      <c r="B110" s="1837"/>
      <c r="C110" s="108" t="s">
        <v>8</v>
      </c>
      <c r="D110" s="109" t="s">
        <v>11</v>
      </c>
    </row>
    <row r="111" spans="1:4" ht="15.75" x14ac:dyDescent="0.25">
      <c r="B111" s="1837"/>
      <c r="C111" s="108" t="s">
        <v>10</v>
      </c>
      <c r="D111" s="109" t="s">
        <v>12</v>
      </c>
    </row>
    <row r="112" spans="1:4" ht="15.75" x14ac:dyDescent="0.25">
      <c r="B112" s="1837"/>
      <c r="C112" s="108" t="s">
        <v>96</v>
      </c>
      <c r="D112" s="109" t="s">
        <v>97</v>
      </c>
    </row>
    <row r="113" spans="1:4" ht="16.5" thickBot="1" x14ac:dyDescent="0.3">
      <c r="B113" s="1838"/>
      <c r="C113" s="1185" t="str">
        <f>$C$17</f>
        <v>w 2011 r.</v>
      </c>
      <c r="D113" s="1186" t="str">
        <f>$D$17</f>
        <v>31.XII.2011 r.</v>
      </c>
    </row>
    <row r="114" spans="1:4" ht="15.75" thickBot="1" x14ac:dyDescent="0.25">
      <c r="B114" s="110">
        <v>0</v>
      </c>
      <c r="C114" s="111">
        <v>1</v>
      </c>
      <c r="D114" s="17">
        <v>2</v>
      </c>
    </row>
    <row r="115" spans="1:4" ht="24" thickTop="1" x14ac:dyDescent="0.2">
      <c r="A115" s="32"/>
      <c r="B115" s="33" t="s">
        <v>193</v>
      </c>
      <c r="C115" s="937">
        <f>SUM(C117:C122)</f>
        <v>608</v>
      </c>
      <c r="D115" s="353">
        <f>SUM(D117:D122)</f>
        <v>173</v>
      </c>
    </row>
    <row r="116" spans="1:4" ht="18.75" thickBot="1" x14ac:dyDescent="0.25">
      <c r="A116" s="32"/>
      <c r="B116" s="112" t="s">
        <v>46</v>
      </c>
      <c r="C116" s="920" t="str">
        <f>IF(C115&lt;='Tab.3. Mieszkańcy_Polska '!G248, "", "t3w2k1"&amp;"="&amp;'Tab.3. Mieszkańcy_Polska '!G248&amp;" umieszcze.")</f>
        <v/>
      </c>
      <c r="D116" s="164"/>
    </row>
    <row r="117" spans="1:4" ht="20.25" thickTop="1" thickBot="1" x14ac:dyDescent="0.25">
      <c r="A117" s="32"/>
      <c r="B117" s="188" t="s">
        <v>424</v>
      </c>
      <c r="C117" s="1357">
        <v>255</v>
      </c>
      <c r="D117" s="1358">
        <v>57</v>
      </c>
    </row>
    <row r="118" spans="1:4" ht="19.5" thickBot="1" x14ac:dyDescent="0.25">
      <c r="A118" s="32"/>
      <c r="B118" s="113" t="s">
        <v>425</v>
      </c>
      <c r="C118" s="1359">
        <v>210</v>
      </c>
      <c r="D118" s="1360">
        <v>50</v>
      </c>
    </row>
    <row r="119" spans="1:4" ht="19.5" thickBot="1" x14ac:dyDescent="0.25">
      <c r="A119" s="32"/>
      <c r="B119" s="113" t="s">
        <v>426</v>
      </c>
      <c r="C119" s="1361">
        <v>37</v>
      </c>
      <c r="D119" s="1362">
        <v>35</v>
      </c>
    </row>
    <row r="120" spans="1:4" ht="19.5" thickBot="1" x14ac:dyDescent="0.25">
      <c r="A120" s="32"/>
      <c r="B120" s="114" t="s">
        <v>427</v>
      </c>
      <c r="C120" s="1363">
        <v>41</v>
      </c>
      <c r="D120" s="1364">
        <v>18</v>
      </c>
    </row>
    <row r="121" spans="1:4" ht="19.5" thickBot="1" x14ac:dyDescent="0.25">
      <c r="A121" s="32"/>
      <c r="B121" s="114" t="s">
        <v>428</v>
      </c>
      <c r="C121" s="1361">
        <v>17</v>
      </c>
      <c r="D121" s="1362">
        <v>0</v>
      </c>
    </row>
    <row r="122" spans="1:4" ht="19.5" thickBot="1" x14ac:dyDescent="0.25">
      <c r="A122" s="32"/>
      <c r="B122" s="115" t="s">
        <v>429</v>
      </c>
      <c r="C122" s="1365">
        <v>48</v>
      </c>
      <c r="D122" s="1366">
        <v>13</v>
      </c>
    </row>
    <row r="123" spans="1:4" ht="16.5" thickTop="1" x14ac:dyDescent="0.2">
      <c r="A123" s="32"/>
      <c r="B123" s="182"/>
    </row>
    <row r="124" spans="1:4" ht="15.75" x14ac:dyDescent="0.25">
      <c r="B124" s="1"/>
    </row>
    <row r="125" spans="1:4" ht="18" x14ac:dyDescent="0.25">
      <c r="B125" s="11" t="s">
        <v>123</v>
      </c>
      <c r="C125" s="27"/>
      <c r="D125" s="27"/>
    </row>
    <row r="126" spans="1:4" ht="18" x14ac:dyDescent="0.25">
      <c r="B126" s="11" t="s">
        <v>132</v>
      </c>
    </row>
    <row r="127" spans="1:4" ht="18" x14ac:dyDescent="0.25">
      <c r="B127" s="11"/>
      <c r="C127" s="11" t="s">
        <v>133</v>
      </c>
      <c r="D127" s="27"/>
    </row>
    <row r="128" spans="1:4" ht="18" x14ac:dyDescent="0.25">
      <c r="B128" s="11" t="s">
        <v>137</v>
      </c>
      <c r="C128" s="14" t="s">
        <v>136</v>
      </c>
      <c r="D128" s="14"/>
    </row>
    <row r="130" spans="1:4" ht="26.25" x14ac:dyDescent="0.4">
      <c r="A130" s="267" t="s">
        <v>172</v>
      </c>
      <c r="B130" s="11" t="s">
        <v>116</v>
      </c>
      <c r="D130" s="10" t="s">
        <v>93</v>
      </c>
    </row>
    <row r="131" spans="1:4" ht="18" x14ac:dyDescent="0.25">
      <c r="B131" s="14" t="s">
        <v>129</v>
      </c>
    </row>
    <row r="132" spans="1:4" ht="18" x14ac:dyDescent="0.25">
      <c r="B132" s="11" t="s">
        <v>128</v>
      </c>
      <c r="C132" s="1840" t="str">
        <f>'Tab.1. bilans_Polska'!$E$59</f>
        <v>Termin: 29 luty 2012 r.</v>
      </c>
      <c r="D132" s="1840"/>
    </row>
    <row r="133" spans="1:4" ht="18" x14ac:dyDescent="0.25">
      <c r="B133" s="11"/>
      <c r="C133" s="14"/>
    </row>
    <row r="134" spans="1:4" ht="18" x14ac:dyDescent="0.25">
      <c r="B134" s="11" t="s">
        <v>130</v>
      </c>
    </row>
    <row r="135" spans="1:4" ht="15.75" x14ac:dyDescent="0.25">
      <c r="B135" s="1" t="s">
        <v>131</v>
      </c>
    </row>
    <row r="136" spans="1:4" ht="23.25" x14ac:dyDescent="0.35">
      <c r="B136" s="1655" t="s">
        <v>94</v>
      </c>
      <c r="C136" s="1655"/>
      <c r="D136" s="1655"/>
    </row>
    <row r="137" spans="1:4" ht="23.25" x14ac:dyDescent="0.35">
      <c r="B137" s="1839" t="str">
        <f>$B$9</f>
        <v>DOMACH  POMOCY  SPOŁECZNEJ  W 2011 r.</v>
      </c>
      <c r="C137" s="1839"/>
      <c r="D137" s="1839"/>
    </row>
    <row r="138" spans="1:4" ht="23.25" x14ac:dyDescent="0.35">
      <c r="B138" s="1655" t="s">
        <v>95</v>
      </c>
      <c r="C138" s="1655"/>
      <c r="D138" s="1655"/>
    </row>
    <row r="139" spans="1:4" ht="23.25" x14ac:dyDescent="0.35">
      <c r="B139" s="1839" t="str">
        <f>$B$11</f>
        <v>WG  STANU  NA  DZIEŃ  31. XII. 2011 r.</v>
      </c>
      <c r="C139" s="1839"/>
      <c r="D139" s="1839"/>
    </row>
    <row r="140" spans="1:4" ht="13.5" thickBot="1" x14ac:dyDescent="0.25"/>
    <row r="141" spans="1:4" ht="16.5" thickTop="1" x14ac:dyDescent="0.25">
      <c r="B141" s="1836" t="s">
        <v>430</v>
      </c>
      <c r="C141" s="106" t="s">
        <v>6</v>
      </c>
      <c r="D141" s="107" t="s">
        <v>2</v>
      </c>
    </row>
    <row r="142" spans="1:4" ht="15.75" x14ac:dyDescent="0.25">
      <c r="B142" s="1837"/>
      <c r="C142" s="108" t="s">
        <v>8</v>
      </c>
      <c r="D142" s="109" t="s">
        <v>11</v>
      </c>
    </row>
    <row r="143" spans="1:4" ht="15.75" x14ac:dyDescent="0.25">
      <c r="B143" s="1837"/>
      <c r="C143" s="108" t="s">
        <v>10</v>
      </c>
      <c r="D143" s="109" t="s">
        <v>12</v>
      </c>
    </row>
    <row r="144" spans="1:4" ht="15.75" x14ac:dyDescent="0.25">
      <c r="B144" s="1837"/>
      <c r="C144" s="108" t="s">
        <v>96</v>
      </c>
      <c r="D144" s="109" t="s">
        <v>97</v>
      </c>
    </row>
    <row r="145" spans="1:4" ht="16.5" thickBot="1" x14ac:dyDescent="0.3">
      <c r="B145" s="1838"/>
      <c r="C145" s="1185" t="str">
        <f>$C$17</f>
        <v>w 2011 r.</v>
      </c>
      <c r="D145" s="1186" t="str">
        <f>$D$17</f>
        <v>31.XII.2011 r.</v>
      </c>
    </row>
    <row r="146" spans="1:4" ht="15.75" thickBot="1" x14ac:dyDescent="0.25">
      <c r="B146" s="110">
        <v>0</v>
      </c>
      <c r="C146" s="111">
        <v>1</v>
      </c>
      <c r="D146" s="17">
        <v>2</v>
      </c>
    </row>
    <row r="147" spans="1:4" ht="24" thickTop="1" x14ac:dyDescent="0.2">
      <c r="A147" s="32"/>
      <c r="B147" s="33" t="s">
        <v>193</v>
      </c>
      <c r="C147" s="352">
        <f>SUM(C149:C154)</f>
        <v>357</v>
      </c>
      <c r="D147" s="353">
        <f>SUM(D149:D154)</f>
        <v>307</v>
      </c>
    </row>
    <row r="148" spans="1:4" ht="18.75" thickBot="1" x14ac:dyDescent="0.25">
      <c r="A148" s="32"/>
      <c r="B148" s="112" t="s">
        <v>46</v>
      </c>
      <c r="C148" s="920" t="str">
        <f>IF(C147&lt;='Tab.3. Mieszkańcy_Polska '!G324, "", "t3w2k1"&amp;"="&amp;'Tab.3. Mieszkańcy_Polska '!G324&amp;" umieszcze.")</f>
        <v/>
      </c>
      <c r="D148" s="164"/>
    </row>
    <row r="149" spans="1:4" ht="20.25" thickTop="1" thickBot="1" x14ac:dyDescent="0.25">
      <c r="A149" s="32"/>
      <c r="B149" s="188" t="s">
        <v>424</v>
      </c>
      <c r="C149" s="1357">
        <v>65</v>
      </c>
      <c r="D149" s="1358">
        <v>15</v>
      </c>
    </row>
    <row r="150" spans="1:4" ht="19.5" thickBot="1" x14ac:dyDescent="0.25">
      <c r="A150" s="32"/>
      <c r="B150" s="113" t="s">
        <v>425</v>
      </c>
      <c r="C150" s="1359">
        <v>172</v>
      </c>
      <c r="D150" s="1360">
        <v>162</v>
      </c>
    </row>
    <row r="151" spans="1:4" ht="19.5" thickBot="1" x14ac:dyDescent="0.25">
      <c r="A151" s="32"/>
      <c r="B151" s="113" t="s">
        <v>426</v>
      </c>
      <c r="C151" s="1361">
        <v>40</v>
      </c>
      <c r="D151" s="1362">
        <v>90</v>
      </c>
    </row>
    <row r="152" spans="1:4" ht="19.5" thickBot="1" x14ac:dyDescent="0.25">
      <c r="A152" s="32"/>
      <c r="B152" s="114" t="s">
        <v>427</v>
      </c>
      <c r="C152" s="1363">
        <v>7</v>
      </c>
      <c r="D152" s="1364">
        <v>25</v>
      </c>
    </row>
    <row r="153" spans="1:4" ht="19.5" thickBot="1" x14ac:dyDescent="0.25">
      <c r="A153" s="32"/>
      <c r="B153" s="114" t="s">
        <v>428</v>
      </c>
      <c r="C153" s="1361">
        <v>10</v>
      </c>
      <c r="D153" s="1362">
        <v>2</v>
      </c>
    </row>
    <row r="154" spans="1:4" ht="19.5" thickBot="1" x14ac:dyDescent="0.25">
      <c r="A154" s="32"/>
      <c r="B154" s="115" t="s">
        <v>429</v>
      </c>
      <c r="C154" s="1365">
        <v>63</v>
      </c>
      <c r="D154" s="1366">
        <v>13</v>
      </c>
    </row>
    <row r="155" spans="1:4" ht="16.5" thickTop="1" x14ac:dyDescent="0.2">
      <c r="A155" s="32"/>
      <c r="B155" s="182"/>
    </row>
    <row r="156" spans="1:4" ht="15.75" x14ac:dyDescent="0.25">
      <c r="B156" s="1"/>
    </row>
    <row r="157" spans="1:4" ht="18" x14ac:dyDescent="0.25">
      <c r="B157" s="11" t="s">
        <v>123</v>
      </c>
      <c r="C157" s="27"/>
      <c r="D157" s="27"/>
    </row>
    <row r="158" spans="1:4" ht="18" x14ac:dyDescent="0.25">
      <c r="B158" s="11" t="s">
        <v>132</v>
      </c>
    </row>
    <row r="159" spans="1:4" ht="18" x14ac:dyDescent="0.25">
      <c r="B159" s="11"/>
      <c r="C159" s="11" t="s">
        <v>133</v>
      </c>
      <c r="D159" s="27"/>
    </row>
    <row r="160" spans="1:4" ht="18" x14ac:dyDescent="0.25">
      <c r="B160" s="11" t="s">
        <v>137</v>
      </c>
      <c r="C160" s="14" t="s">
        <v>136</v>
      </c>
      <c r="D160" s="14"/>
    </row>
    <row r="162" spans="1:4" ht="26.25" x14ac:dyDescent="0.4">
      <c r="A162" s="267" t="s">
        <v>197</v>
      </c>
      <c r="B162" s="11" t="s">
        <v>116</v>
      </c>
      <c r="D162" s="10" t="s">
        <v>93</v>
      </c>
    </row>
    <row r="163" spans="1:4" ht="18" x14ac:dyDescent="0.25">
      <c r="B163" s="14" t="s">
        <v>129</v>
      </c>
    </row>
    <row r="164" spans="1:4" ht="18" x14ac:dyDescent="0.25">
      <c r="B164" s="11" t="s">
        <v>128</v>
      </c>
      <c r="C164" s="1840" t="str">
        <f>'Tab.1. bilans_Polska'!$E$59</f>
        <v>Termin: 29 luty 2012 r.</v>
      </c>
      <c r="D164" s="1840"/>
    </row>
    <row r="165" spans="1:4" ht="18" x14ac:dyDescent="0.25">
      <c r="B165" s="11"/>
      <c r="C165" s="14"/>
    </row>
    <row r="166" spans="1:4" ht="18" x14ac:dyDescent="0.25">
      <c r="B166" s="11" t="s">
        <v>130</v>
      </c>
    </row>
    <row r="167" spans="1:4" ht="15.75" x14ac:dyDescent="0.25">
      <c r="B167" s="1" t="s">
        <v>131</v>
      </c>
    </row>
    <row r="168" spans="1:4" ht="23.25" x14ac:dyDescent="0.35">
      <c r="B168" s="1655" t="s">
        <v>94</v>
      </c>
      <c r="C168" s="1655"/>
      <c r="D168" s="1655"/>
    </row>
    <row r="169" spans="1:4" ht="23.25" x14ac:dyDescent="0.35">
      <c r="B169" s="1839" t="str">
        <f>$B$9</f>
        <v>DOMACH  POMOCY  SPOŁECZNEJ  W 2011 r.</v>
      </c>
      <c r="C169" s="1839"/>
      <c r="D169" s="1839"/>
    </row>
    <row r="170" spans="1:4" ht="23.25" x14ac:dyDescent="0.35">
      <c r="B170" s="1655" t="s">
        <v>95</v>
      </c>
      <c r="C170" s="1655"/>
      <c r="D170" s="1655"/>
    </row>
    <row r="171" spans="1:4" ht="23.25" x14ac:dyDescent="0.35">
      <c r="B171" s="1839" t="str">
        <f>$B$11</f>
        <v>WG  STANU  NA  DZIEŃ  31. XII. 2011 r.</v>
      </c>
      <c r="C171" s="1839"/>
      <c r="D171" s="1839"/>
    </row>
    <row r="172" spans="1:4" ht="13.5" thickBot="1" x14ac:dyDescent="0.25"/>
    <row r="173" spans="1:4" ht="16.5" thickTop="1" x14ac:dyDescent="0.25">
      <c r="B173" s="1836" t="s">
        <v>430</v>
      </c>
      <c r="C173" s="106" t="s">
        <v>6</v>
      </c>
      <c r="D173" s="107" t="s">
        <v>2</v>
      </c>
    </row>
    <row r="174" spans="1:4" ht="15.75" x14ac:dyDescent="0.25">
      <c r="B174" s="1837"/>
      <c r="C174" s="108" t="s">
        <v>8</v>
      </c>
      <c r="D174" s="109" t="s">
        <v>11</v>
      </c>
    </row>
    <row r="175" spans="1:4" ht="15.75" x14ac:dyDescent="0.25">
      <c r="B175" s="1837"/>
      <c r="C175" s="108" t="s">
        <v>10</v>
      </c>
      <c r="D175" s="109" t="s">
        <v>12</v>
      </c>
    </row>
    <row r="176" spans="1:4" ht="15.75" x14ac:dyDescent="0.25">
      <c r="B176" s="1837"/>
      <c r="C176" s="108" t="s">
        <v>96</v>
      </c>
      <c r="D176" s="109" t="s">
        <v>97</v>
      </c>
    </row>
    <row r="177" spans="1:4" ht="16.5" thickBot="1" x14ac:dyDescent="0.3">
      <c r="B177" s="1838"/>
      <c r="C177" s="1185" t="str">
        <f>$C$17</f>
        <v>w 2011 r.</v>
      </c>
      <c r="D177" s="1186" t="str">
        <f>$D$17</f>
        <v>31.XII.2011 r.</v>
      </c>
    </row>
    <row r="178" spans="1:4" ht="15.75" thickBot="1" x14ac:dyDescent="0.25">
      <c r="B178" s="110">
        <v>0</v>
      </c>
      <c r="C178" s="111">
        <v>1</v>
      </c>
      <c r="D178" s="17">
        <v>2</v>
      </c>
    </row>
    <row r="179" spans="1:4" ht="24" thickTop="1" x14ac:dyDescent="0.2">
      <c r="A179" s="32"/>
      <c r="B179" s="33" t="s">
        <v>193</v>
      </c>
      <c r="C179" s="352">
        <f>SUM(C181:C186)</f>
        <v>1035</v>
      </c>
      <c r="D179" s="353">
        <f>SUM(D181:D186)</f>
        <v>482</v>
      </c>
    </row>
    <row r="180" spans="1:4" ht="18.75" thickBot="1" x14ac:dyDescent="0.25">
      <c r="A180" s="32"/>
      <c r="B180" s="112" t="s">
        <v>46</v>
      </c>
      <c r="C180" s="920" t="str">
        <f>IF(C179&lt;='Tab.3. Mieszkańcy_Polska '!G400, "", "t3w2k1"&amp;"="&amp;'Tab.3. Mieszkańcy_Polska '!G400&amp;" umieszcze.")</f>
        <v/>
      </c>
      <c r="D180" s="164"/>
    </row>
    <row r="181" spans="1:4" ht="20.25" thickTop="1" thickBot="1" x14ac:dyDescent="0.25">
      <c r="A181" s="32"/>
      <c r="B181" s="188" t="s">
        <v>424</v>
      </c>
      <c r="C181" s="1357">
        <v>392</v>
      </c>
      <c r="D181" s="1358">
        <v>165</v>
      </c>
    </row>
    <row r="182" spans="1:4" ht="19.5" thickBot="1" x14ac:dyDescent="0.25">
      <c r="A182" s="32"/>
      <c r="B182" s="113" t="s">
        <v>425</v>
      </c>
      <c r="C182" s="1359">
        <v>449</v>
      </c>
      <c r="D182" s="1360">
        <v>142</v>
      </c>
    </row>
    <row r="183" spans="1:4" ht="19.5" thickBot="1" x14ac:dyDescent="0.25">
      <c r="A183" s="32"/>
      <c r="B183" s="113" t="s">
        <v>426</v>
      </c>
      <c r="C183" s="1361">
        <v>129</v>
      </c>
      <c r="D183" s="1362">
        <v>150</v>
      </c>
    </row>
    <row r="184" spans="1:4" ht="19.5" thickBot="1" x14ac:dyDescent="0.25">
      <c r="A184" s="32"/>
      <c r="B184" s="114" t="s">
        <v>427</v>
      </c>
      <c r="C184" s="1363">
        <v>43</v>
      </c>
      <c r="D184" s="1364">
        <v>21</v>
      </c>
    </row>
    <row r="185" spans="1:4" ht="19.5" thickBot="1" x14ac:dyDescent="0.25">
      <c r="A185" s="32"/>
      <c r="B185" s="114" t="s">
        <v>428</v>
      </c>
      <c r="C185" s="1361">
        <v>22</v>
      </c>
      <c r="D185" s="1362">
        <v>4</v>
      </c>
    </row>
    <row r="186" spans="1:4" ht="19.5" thickBot="1" x14ac:dyDescent="0.25">
      <c r="A186" s="32"/>
      <c r="B186" s="115" t="s">
        <v>429</v>
      </c>
      <c r="C186" s="1365">
        <v>0</v>
      </c>
      <c r="D186" s="1366">
        <v>0</v>
      </c>
    </row>
    <row r="187" spans="1:4" ht="16.5" thickTop="1" x14ac:dyDescent="0.2">
      <c r="A187" s="32"/>
      <c r="B187" s="182"/>
    </row>
    <row r="188" spans="1:4" ht="15.75" x14ac:dyDescent="0.25">
      <c r="B188" s="1"/>
    </row>
    <row r="189" spans="1:4" ht="18" x14ac:dyDescent="0.25">
      <c r="B189" s="11" t="s">
        <v>123</v>
      </c>
      <c r="C189" s="27"/>
      <c r="D189" s="27"/>
    </row>
    <row r="190" spans="1:4" ht="18" x14ac:dyDescent="0.25">
      <c r="B190" s="11" t="s">
        <v>132</v>
      </c>
    </row>
    <row r="191" spans="1:4" ht="18" x14ac:dyDescent="0.25">
      <c r="B191" s="11"/>
      <c r="C191" s="11" t="s">
        <v>133</v>
      </c>
      <c r="D191" s="27"/>
    </row>
    <row r="192" spans="1:4" ht="18" x14ac:dyDescent="0.25">
      <c r="B192" s="11" t="s">
        <v>137</v>
      </c>
      <c r="C192" s="14" t="s">
        <v>136</v>
      </c>
      <c r="D192" s="14"/>
    </row>
    <row r="194" spans="1:4" ht="26.25" x14ac:dyDescent="0.4">
      <c r="A194" s="267" t="s">
        <v>198</v>
      </c>
      <c r="B194" s="11" t="s">
        <v>116</v>
      </c>
      <c r="D194" s="10" t="s">
        <v>93</v>
      </c>
    </row>
    <row r="195" spans="1:4" ht="18" x14ac:dyDescent="0.25">
      <c r="B195" s="14" t="s">
        <v>129</v>
      </c>
    </row>
    <row r="196" spans="1:4" ht="18" x14ac:dyDescent="0.25">
      <c r="B196" s="11" t="s">
        <v>128</v>
      </c>
      <c r="C196" s="1840" t="str">
        <f>'Tab.1. bilans_Polska'!$E$59</f>
        <v>Termin: 29 luty 2012 r.</v>
      </c>
      <c r="D196" s="1840"/>
    </row>
    <row r="197" spans="1:4" ht="18" x14ac:dyDescent="0.25">
      <c r="B197" s="11"/>
      <c r="C197" s="14"/>
    </row>
    <row r="198" spans="1:4" ht="18" x14ac:dyDescent="0.25">
      <c r="B198" s="11" t="s">
        <v>130</v>
      </c>
    </row>
    <row r="199" spans="1:4" ht="15.75" x14ac:dyDescent="0.25">
      <c r="B199" s="1" t="s">
        <v>131</v>
      </c>
    </row>
    <row r="200" spans="1:4" ht="23.25" x14ac:dyDescent="0.35">
      <c r="B200" s="1655" t="s">
        <v>94</v>
      </c>
      <c r="C200" s="1655"/>
      <c r="D200" s="1655"/>
    </row>
    <row r="201" spans="1:4" ht="23.25" x14ac:dyDescent="0.35">
      <c r="B201" s="1839" t="str">
        <f>$B$9</f>
        <v>DOMACH  POMOCY  SPOŁECZNEJ  W 2011 r.</v>
      </c>
      <c r="C201" s="1839"/>
      <c r="D201" s="1839"/>
    </row>
    <row r="202" spans="1:4" ht="23.25" x14ac:dyDescent="0.35">
      <c r="B202" s="1655" t="s">
        <v>95</v>
      </c>
      <c r="C202" s="1655"/>
      <c r="D202" s="1655"/>
    </row>
    <row r="203" spans="1:4" ht="23.25" x14ac:dyDescent="0.35">
      <c r="B203" s="1839" t="str">
        <f>$B$11</f>
        <v>WG  STANU  NA  DZIEŃ  31. XII. 2011 r.</v>
      </c>
      <c r="C203" s="1839"/>
      <c r="D203" s="1839"/>
    </row>
    <row r="204" spans="1:4" ht="13.5" thickBot="1" x14ac:dyDescent="0.25"/>
    <row r="205" spans="1:4" ht="16.5" thickTop="1" x14ac:dyDescent="0.25">
      <c r="B205" s="1836" t="s">
        <v>430</v>
      </c>
      <c r="C205" s="106" t="s">
        <v>6</v>
      </c>
      <c r="D205" s="107" t="s">
        <v>2</v>
      </c>
    </row>
    <row r="206" spans="1:4" ht="15.75" x14ac:dyDescent="0.25">
      <c r="B206" s="1837"/>
      <c r="C206" s="108" t="s">
        <v>8</v>
      </c>
      <c r="D206" s="109" t="s">
        <v>11</v>
      </c>
    </row>
    <row r="207" spans="1:4" ht="15.75" x14ac:dyDescent="0.25">
      <c r="B207" s="1837"/>
      <c r="C207" s="108" t="s">
        <v>10</v>
      </c>
      <c r="D207" s="109" t="s">
        <v>12</v>
      </c>
    </row>
    <row r="208" spans="1:4" ht="15.75" x14ac:dyDescent="0.25">
      <c r="B208" s="1837"/>
      <c r="C208" s="108" t="s">
        <v>96</v>
      </c>
      <c r="D208" s="109" t="s">
        <v>97</v>
      </c>
    </row>
    <row r="209" spans="1:4" ht="16.5" thickBot="1" x14ac:dyDescent="0.3">
      <c r="B209" s="1838"/>
      <c r="C209" s="1185" t="str">
        <f>$C$17</f>
        <v>w 2011 r.</v>
      </c>
      <c r="D209" s="1186" t="str">
        <f>$D$17</f>
        <v>31.XII.2011 r.</v>
      </c>
    </row>
    <row r="210" spans="1:4" ht="15.75" thickBot="1" x14ac:dyDescent="0.25">
      <c r="B210" s="110">
        <v>0</v>
      </c>
      <c r="C210" s="111">
        <v>1</v>
      </c>
      <c r="D210" s="17">
        <v>2</v>
      </c>
    </row>
    <row r="211" spans="1:4" ht="24" thickTop="1" x14ac:dyDescent="0.2">
      <c r="A211" s="32"/>
      <c r="B211" s="33" t="s">
        <v>193</v>
      </c>
      <c r="C211" s="937">
        <f>SUM(C213:C218)</f>
        <v>978</v>
      </c>
      <c r="D211" s="353">
        <f>SUM(D213:D218)</f>
        <v>745</v>
      </c>
    </row>
    <row r="212" spans="1:4" ht="18.75" thickBot="1" x14ac:dyDescent="0.25">
      <c r="A212" s="32"/>
      <c r="B212" s="112" t="s">
        <v>46</v>
      </c>
      <c r="C212" s="920" t="str">
        <f>IF(C211&lt;='Tab.3. Mieszkańcy_Polska '!G476, "", "t3w2k1"&amp;"="&amp;'Tab.3. Mieszkańcy_Polska '!G476&amp;" umieszcze.")</f>
        <v/>
      </c>
      <c r="D212" s="164"/>
    </row>
    <row r="213" spans="1:4" ht="20.25" thickTop="1" thickBot="1" x14ac:dyDescent="0.25">
      <c r="A213" s="32"/>
      <c r="B213" s="188" t="s">
        <v>424</v>
      </c>
      <c r="C213" s="1357">
        <v>218</v>
      </c>
      <c r="D213" s="1358">
        <v>60</v>
      </c>
    </row>
    <row r="214" spans="1:4" ht="19.5" thickBot="1" x14ac:dyDescent="0.25">
      <c r="A214" s="32"/>
      <c r="B214" s="113" t="s">
        <v>425</v>
      </c>
      <c r="C214" s="1359">
        <v>439</v>
      </c>
      <c r="D214" s="1360">
        <v>380</v>
      </c>
    </row>
    <row r="215" spans="1:4" ht="19.5" thickBot="1" x14ac:dyDescent="0.25">
      <c r="A215" s="32"/>
      <c r="B215" s="113" t="s">
        <v>426</v>
      </c>
      <c r="C215" s="1361">
        <v>265</v>
      </c>
      <c r="D215" s="1362">
        <v>242</v>
      </c>
    </row>
    <row r="216" spans="1:4" ht="19.5" thickBot="1" x14ac:dyDescent="0.25">
      <c r="A216" s="32"/>
      <c r="B216" s="114" t="s">
        <v>427</v>
      </c>
      <c r="C216" s="1363">
        <v>39</v>
      </c>
      <c r="D216" s="1364">
        <v>58</v>
      </c>
    </row>
    <row r="217" spans="1:4" ht="19.5" thickBot="1" x14ac:dyDescent="0.25">
      <c r="A217" s="32"/>
      <c r="B217" s="114" t="s">
        <v>428</v>
      </c>
      <c r="C217" s="1361">
        <v>12</v>
      </c>
      <c r="D217" s="1362">
        <v>4</v>
      </c>
    </row>
    <row r="218" spans="1:4" ht="19.5" thickBot="1" x14ac:dyDescent="0.25">
      <c r="A218" s="32"/>
      <c r="B218" s="115" t="s">
        <v>429</v>
      </c>
      <c r="C218" s="1365">
        <v>5</v>
      </c>
      <c r="D218" s="1366">
        <v>1</v>
      </c>
    </row>
    <row r="219" spans="1:4" ht="16.5" thickTop="1" x14ac:dyDescent="0.2">
      <c r="A219" s="32"/>
      <c r="B219" s="182"/>
    </row>
    <row r="220" spans="1:4" ht="15.75" x14ac:dyDescent="0.25">
      <c r="B220" s="1"/>
    </row>
    <row r="221" spans="1:4" ht="18" x14ac:dyDescent="0.25">
      <c r="B221" s="11" t="s">
        <v>123</v>
      </c>
      <c r="C221" s="27"/>
      <c r="D221" s="27"/>
    </row>
    <row r="222" spans="1:4" ht="18" x14ac:dyDescent="0.25">
      <c r="B222" s="11" t="s">
        <v>132</v>
      </c>
    </row>
    <row r="223" spans="1:4" ht="18" x14ac:dyDescent="0.25">
      <c r="B223" s="11"/>
      <c r="C223" s="11" t="s">
        <v>133</v>
      </c>
      <c r="D223" s="27"/>
    </row>
    <row r="224" spans="1:4" ht="18" x14ac:dyDescent="0.25">
      <c r="B224" s="11" t="s">
        <v>137</v>
      </c>
      <c r="C224" s="14" t="s">
        <v>136</v>
      </c>
      <c r="D224" s="14"/>
    </row>
    <row r="226" spans="1:4" ht="26.25" x14ac:dyDescent="0.4">
      <c r="A226" s="267" t="s">
        <v>199</v>
      </c>
      <c r="B226" s="11" t="s">
        <v>116</v>
      </c>
      <c r="D226" s="10" t="s">
        <v>93</v>
      </c>
    </row>
    <row r="227" spans="1:4" ht="18" x14ac:dyDescent="0.25">
      <c r="B227" s="14" t="s">
        <v>129</v>
      </c>
    </row>
    <row r="228" spans="1:4" ht="18" x14ac:dyDescent="0.25">
      <c r="B228" s="11" t="s">
        <v>128</v>
      </c>
      <c r="C228" s="1840" t="str">
        <f>'Tab.1. bilans_Polska'!$E$59</f>
        <v>Termin: 29 luty 2012 r.</v>
      </c>
      <c r="D228" s="1840"/>
    </row>
    <row r="229" spans="1:4" ht="18" x14ac:dyDescent="0.25">
      <c r="B229" s="11"/>
      <c r="C229" s="14"/>
    </row>
    <row r="230" spans="1:4" ht="18" x14ac:dyDescent="0.25">
      <c r="B230" s="11" t="s">
        <v>130</v>
      </c>
    </row>
    <row r="231" spans="1:4" ht="15.75" x14ac:dyDescent="0.25">
      <c r="B231" s="1" t="s">
        <v>131</v>
      </c>
    </row>
    <row r="232" spans="1:4" ht="23.25" x14ac:dyDescent="0.35">
      <c r="B232" s="1655" t="s">
        <v>94</v>
      </c>
      <c r="C232" s="1655"/>
      <c r="D232" s="1655"/>
    </row>
    <row r="233" spans="1:4" ht="23.25" x14ac:dyDescent="0.35">
      <c r="B233" s="1839" t="str">
        <f>$B$9</f>
        <v>DOMACH  POMOCY  SPOŁECZNEJ  W 2011 r.</v>
      </c>
      <c r="C233" s="1839"/>
      <c r="D233" s="1839"/>
    </row>
    <row r="234" spans="1:4" ht="23.25" x14ac:dyDescent="0.35">
      <c r="B234" s="1655" t="s">
        <v>95</v>
      </c>
      <c r="C234" s="1655"/>
      <c r="D234" s="1655"/>
    </row>
    <row r="235" spans="1:4" ht="23.25" x14ac:dyDescent="0.35">
      <c r="B235" s="1839" t="str">
        <f>$B$11</f>
        <v>WG  STANU  NA  DZIEŃ  31. XII. 2011 r.</v>
      </c>
      <c r="C235" s="1839"/>
      <c r="D235" s="1839"/>
    </row>
    <row r="236" spans="1:4" ht="13.5" thickBot="1" x14ac:dyDescent="0.25"/>
    <row r="237" spans="1:4" ht="16.5" thickTop="1" x14ac:dyDescent="0.25">
      <c r="B237" s="1836" t="s">
        <v>430</v>
      </c>
      <c r="C237" s="106" t="s">
        <v>6</v>
      </c>
      <c r="D237" s="107" t="s">
        <v>2</v>
      </c>
    </row>
    <row r="238" spans="1:4" ht="15.75" x14ac:dyDescent="0.25">
      <c r="B238" s="1837"/>
      <c r="C238" s="108" t="s">
        <v>8</v>
      </c>
      <c r="D238" s="109" t="s">
        <v>11</v>
      </c>
    </row>
    <row r="239" spans="1:4" ht="15.75" x14ac:dyDescent="0.25">
      <c r="B239" s="1837"/>
      <c r="C239" s="108" t="s">
        <v>10</v>
      </c>
      <c r="D239" s="109" t="s">
        <v>12</v>
      </c>
    </row>
    <row r="240" spans="1:4" ht="15.75" x14ac:dyDescent="0.25">
      <c r="B240" s="1837"/>
      <c r="C240" s="108" t="s">
        <v>96</v>
      </c>
      <c r="D240" s="109" t="s">
        <v>97</v>
      </c>
    </row>
    <row r="241" spans="1:4" ht="16.5" thickBot="1" x14ac:dyDescent="0.3">
      <c r="B241" s="1838"/>
      <c r="C241" s="1185" t="str">
        <f>$C$17</f>
        <v>w 2011 r.</v>
      </c>
      <c r="D241" s="1186" t="str">
        <f>$D$17</f>
        <v>31.XII.2011 r.</v>
      </c>
    </row>
    <row r="242" spans="1:4" ht="15.75" thickBot="1" x14ac:dyDescent="0.25">
      <c r="B242" s="110">
        <v>0</v>
      </c>
      <c r="C242" s="111">
        <v>1</v>
      </c>
      <c r="D242" s="17">
        <v>2</v>
      </c>
    </row>
    <row r="243" spans="1:4" ht="24" thickTop="1" x14ac:dyDescent="0.2">
      <c r="A243" s="32"/>
      <c r="B243" s="33" t="s">
        <v>193</v>
      </c>
      <c r="C243" s="352">
        <f>SUM(C245:C250)</f>
        <v>1218</v>
      </c>
      <c r="D243" s="353">
        <f>SUM(D245:D250)</f>
        <v>602</v>
      </c>
    </row>
    <row r="244" spans="1:4" ht="18.75" thickBot="1" x14ac:dyDescent="0.25">
      <c r="A244" s="32"/>
      <c r="B244" s="112" t="s">
        <v>46</v>
      </c>
      <c r="C244" s="920" t="str">
        <f>IF(C243&lt;='Tab.3. Mieszkańcy_Polska '!G552, "", "t3w2k1"&amp;"="&amp;'Tab.3. Mieszkańcy_Polska '!G552&amp;" umieszcze.")</f>
        <v/>
      </c>
      <c r="D244" s="164"/>
    </row>
    <row r="245" spans="1:4" ht="20.25" thickTop="1" thickBot="1" x14ac:dyDescent="0.25">
      <c r="A245" s="32"/>
      <c r="B245" s="188" t="s">
        <v>424</v>
      </c>
      <c r="C245" s="1357">
        <v>293</v>
      </c>
      <c r="D245" s="1358">
        <v>122</v>
      </c>
    </row>
    <row r="246" spans="1:4" ht="19.5" thickBot="1" x14ac:dyDescent="0.25">
      <c r="A246" s="32"/>
      <c r="B246" s="113" t="s">
        <v>425</v>
      </c>
      <c r="C246" s="1359">
        <v>544</v>
      </c>
      <c r="D246" s="1360">
        <v>191</v>
      </c>
    </row>
    <row r="247" spans="1:4" ht="19.5" thickBot="1" x14ac:dyDescent="0.25">
      <c r="A247" s="32"/>
      <c r="B247" s="113" t="s">
        <v>426</v>
      </c>
      <c r="C247" s="1361">
        <v>223</v>
      </c>
      <c r="D247" s="1362">
        <v>226</v>
      </c>
    </row>
    <row r="248" spans="1:4" ht="19.5" thickBot="1" x14ac:dyDescent="0.25">
      <c r="A248" s="32"/>
      <c r="B248" s="114" t="s">
        <v>427</v>
      </c>
      <c r="C248" s="1363">
        <v>135</v>
      </c>
      <c r="D248" s="1364">
        <v>56</v>
      </c>
    </row>
    <row r="249" spans="1:4" ht="19.5" thickBot="1" x14ac:dyDescent="0.25">
      <c r="A249" s="32"/>
      <c r="B249" s="114" t="s">
        <v>428</v>
      </c>
      <c r="C249" s="1361">
        <v>21</v>
      </c>
      <c r="D249" s="1362">
        <v>7</v>
      </c>
    </row>
    <row r="250" spans="1:4" ht="19.5" thickBot="1" x14ac:dyDescent="0.25">
      <c r="A250" s="32"/>
      <c r="B250" s="115" t="s">
        <v>429</v>
      </c>
      <c r="C250" s="1365">
        <v>2</v>
      </c>
      <c r="D250" s="1366">
        <v>0</v>
      </c>
    </row>
    <row r="251" spans="1:4" ht="16.5" thickTop="1" x14ac:dyDescent="0.2">
      <c r="A251" s="32"/>
      <c r="B251" s="182"/>
    </row>
    <row r="252" spans="1:4" ht="15.75" x14ac:dyDescent="0.25">
      <c r="B252" s="1"/>
    </row>
    <row r="253" spans="1:4" ht="18" x14ac:dyDescent="0.25">
      <c r="B253" s="11" t="s">
        <v>123</v>
      </c>
      <c r="C253" s="27"/>
      <c r="D253" s="27"/>
    </row>
    <row r="254" spans="1:4" ht="18" x14ac:dyDescent="0.25">
      <c r="B254" s="11" t="s">
        <v>132</v>
      </c>
    </row>
    <row r="255" spans="1:4" ht="18" x14ac:dyDescent="0.25">
      <c r="B255" s="11"/>
      <c r="C255" s="11" t="s">
        <v>133</v>
      </c>
      <c r="D255" s="27"/>
    </row>
    <row r="256" spans="1:4" ht="18" x14ac:dyDescent="0.25">
      <c r="B256" s="11" t="s">
        <v>137</v>
      </c>
      <c r="C256" s="14" t="s">
        <v>136</v>
      </c>
      <c r="D256" s="14"/>
    </row>
    <row r="258" spans="1:4" ht="26.25" x14ac:dyDescent="0.4">
      <c r="A258" s="267" t="s">
        <v>200</v>
      </c>
      <c r="B258" s="11" t="s">
        <v>116</v>
      </c>
      <c r="D258" s="10" t="s">
        <v>93</v>
      </c>
    </row>
    <row r="259" spans="1:4" ht="18" x14ac:dyDescent="0.25">
      <c r="B259" s="14" t="s">
        <v>129</v>
      </c>
    </row>
    <row r="260" spans="1:4" ht="18" x14ac:dyDescent="0.25">
      <c r="B260" s="11" t="s">
        <v>128</v>
      </c>
      <c r="C260" s="1840" t="str">
        <f>'Tab.1. bilans_Polska'!$E$59</f>
        <v>Termin: 29 luty 2012 r.</v>
      </c>
      <c r="D260" s="1840"/>
    </row>
    <row r="261" spans="1:4" ht="18" x14ac:dyDescent="0.25">
      <c r="B261" s="11"/>
      <c r="C261" s="14"/>
    </row>
    <row r="262" spans="1:4" ht="18" x14ac:dyDescent="0.25">
      <c r="B262" s="11" t="s">
        <v>130</v>
      </c>
    </row>
    <row r="263" spans="1:4" ht="15.75" x14ac:dyDescent="0.25">
      <c r="B263" s="1" t="s">
        <v>131</v>
      </c>
    </row>
    <row r="264" spans="1:4" ht="23.25" x14ac:dyDescent="0.35">
      <c r="B264" s="1655" t="s">
        <v>94</v>
      </c>
      <c r="C264" s="1655"/>
      <c r="D264" s="1655"/>
    </row>
    <row r="265" spans="1:4" ht="23.25" x14ac:dyDescent="0.35">
      <c r="B265" s="1839" t="str">
        <f>$B$9</f>
        <v>DOMACH  POMOCY  SPOŁECZNEJ  W 2011 r.</v>
      </c>
      <c r="C265" s="1839"/>
      <c r="D265" s="1839"/>
    </row>
    <row r="266" spans="1:4" ht="23.25" x14ac:dyDescent="0.35">
      <c r="B266" s="1655" t="s">
        <v>95</v>
      </c>
      <c r="C266" s="1655"/>
      <c r="D266" s="1655"/>
    </row>
    <row r="267" spans="1:4" ht="23.25" x14ac:dyDescent="0.35">
      <c r="B267" s="1839" t="str">
        <f>$B$11</f>
        <v>WG  STANU  NA  DZIEŃ  31. XII. 2011 r.</v>
      </c>
      <c r="C267" s="1839"/>
      <c r="D267" s="1839"/>
    </row>
    <row r="268" spans="1:4" ht="13.5" thickBot="1" x14ac:dyDescent="0.25"/>
    <row r="269" spans="1:4" ht="16.5" thickTop="1" x14ac:dyDescent="0.25">
      <c r="B269" s="1836" t="s">
        <v>430</v>
      </c>
      <c r="C269" s="106" t="s">
        <v>6</v>
      </c>
      <c r="D269" s="107" t="s">
        <v>2</v>
      </c>
    </row>
    <row r="270" spans="1:4" ht="15.75" x14ac:dyDescent="0.25">
      <c r="B270" s="1837"/>
      <c r="C270" s="108" t="s">
        <v>8</v>
      </c>
      <c r="D270" s="109" t="s">
        <v>11</v>
      </c>
    </row>
    <row r="271" spans="1:4" ht="15.75" x14ac:dyDescent="0.25">
      <c r="B271" s="1837"/>
      <c r="C271" s="108" t="s">
        <v>10</v>
      </c>
      <c r="D271" s="109" t="s">
        <v>12</v>
      </c>
    </row>
    <row r="272" spans="1:4" ht="15.75" x14ac:dyDescent="0.25">
      <c r="B272" s="1837"/>
      <c r="C272" s="108" t="s">
        <v>96</v>
      </c>
      <c r="D272" s="109" t="s">
        <v>97</v>
      </c>
    </row>
    <row r="273" spans="1:4" ht="16.5" thickBot="1" x14ac:dyDescent="0.3">
      <c r="B273" s="1838"/>
      <c r="C273" s="1185" t="str">
        <f>$C$17</f>
        <v>w 2011 r.</v>
      </c>
      <c r="D273" s="1186" t="str">
        <f>$D$17</f>
        <v>31.XII.2011 r.</v>
      </c>
    </row>
    <row r="274" spans="1:4" ht="15.75" thickBot="1" x14ac:dyDescent="0.25">
      <c r="B274" s="110">
        <v>0</v>
      </c>
      <c r="C274" s="111">
        <v>1</v>
      </c>
      <c r="D274" s="17">
        <v>2</v>
      </c>
    </row>
    <row r="275" spans="1:4" ht="24" thickTop="1" x14ac:dyDescent="0.2">
      <c r="A275" s="32"/>
      <c r="B275" s="33" t="s">
        <v>193</v>
      </c>
      <c r="C275" s="352">
        <f>SUM(C277:C282)</f>
        <v>491</v>
      </c>
      <c r="D275" s="353">
        <f>SUM(D277:D282)</f>
        <v>202</v>
      </c>
    </row>
    <row r="276" spans="1:4" ht="18.75" thickBot="1" x14ac:dyDescent="0.25">
      <c r="A276" s="32"/>
      <c r="B276" s="112" t="s">
        <v>46</v>
      </c>
      <c r="C276" s="920" t="str">
        <f>IF(C275&lt;='Tab.3. Mieszkańcy_Polska '!G628, "", "t3w2k1"&amp;"="&amp;'Tab.3. Mieszkańcy_Polska '!G628&amp;" umieszcze.")</f>
        <v/>
      </c>
      <c r="D276" s="164"/>
    </row>
    <row r="277" spans="1:4" ht="20.25" thickTop="1" thickBot="1" x14ac:dyDescent="0.25">
      <c r="A277" s="32"/>
      <c r="B277" s="188" t="s">
        <v>424</v>
      </c>
      <c r="C277" s="1357">
        <v>189</v>
      </c>
      <c r="D277" s="1358">
        <v>74</v>
      </c>
    </row>
    <row r="278" spans="1:4" ht="19.5" thickBot="1" x14ac:dyDescent="0.25">
      <c r="A278" s="32"/>
      <c r="B278" s="113" t="s">
        <v>425</v>
      </c>
      <c r="C278" s="1359">
        <v>82</v>
      </c>
      <c r="D278" s="1360">
        <v>52</v>
      </c>
    </row>
    <row r="279" spans="1:4" ht="19.5" thickBot="1" x14ac:dyDescent="0.25">
      <c r="A279" s="32"/>
      <c r="B279" s="113" t="s">
        <v>426</v>
      </c>
      <c r="C279" s="1361">
        <v>176</v>
      </c>
      <c r="D279" s="1362">
        <v>51</v>
      </c>
    </row>
    <row r="280" spans="1:4" ht="19.5" thickBot="1" x14ac:dyDescent="0.25">
      <c r="A280" s="32"/>
      <c r="B280" s="114" t="s">
        <v>427</v>
      </c>
      <c r="C280" s="1363">
        <v>24</v>
      </c>
      <c r="D280" s="1364">
        <v>13</v>
      </c>
    </row>
    <row r="281" spans="1:4" ht="19.5" thickBot="1" x14ac:dyDescent="0.25">
      <c r="A281" s="32"/>
      <c r="B281" s="114" t="s">
        <v>428</v>
      </c>
      <c r="C281" s="1361">
        <v>11</v>
      </c>
      <c r="D281" s="1362">
        <v>1</v>
      </c>
    </row>
    <row r="282" spans="1:4" ht="19.5" thickBot="1" x14ac:dyDescent="0.25">
      <c r="A282" s="32"/>
      <c r="B282" s="115" t="s">
        <v>429</v>
      </c>
      <c r="C282" s="1365">
        <v>9</v>
      </c>
      <c r="D282" s="1366">
        <v>11</v>
      </c>
    </row>
    <row r="283" spans="1:4" ht="16.5" thickTop="1" x14ac:dyDescent="0.2">
      <c r="A283" s="32"/>
      <c r="B283" s="182"/>
    </row>
    <row r="284" spans="1:4" ht="15.75" x14ac:dyDescent="0.25">
      <c r="B284" s="1"/>
    </row>
    <row r="285" spans="1:4" ht="18" x14ac:dyDescent="0.25">
      <c r="B285" s="11" t="s">
        <v>123</v>
      </c>
      <c r="C285" s="27"/>
      <c r="D285" s="27"/>
    </row>
    <row r="286" spans="1:4" ht="18" x14ac:dyDescent="0.25">
      <c r="B286" s="11" t="s">
        <v>132</v>
      </c>
    </row>
    <row r="287" spans="1:4" ht="18" x14ac:dyDescent="0.25">
      <c r="B287" s="11"/>
      <c r="C287" s="11" t="s">
        <v>133</v>
      </c>
      <c r="D287" s="27"/>
    </row>
    <row r="288" spans="1:4" ht="18" x14ac:dyDescent="0.25">
      <c r="B288" s="11" t="s">
        <v>137</v>
      </c>
      <c r="C288" s="14" t="s">
        <v>136</v>
      </c>
      <c r="D288" s="14"/>
    </row>
    <row r="290" spans="1:4" ht="26.25" x14ac:dyDescent="0.4">
      <c r="A290" s="267" t="s">
        <v>201</v>
      </c>
      <c r="B290" s="11" t="s">
        <v>116</v>
      </c>
      <c r="D290" s="10" t="s">
        <v>93</v>
      </c>
    </row>
    <row r="291" spans="1:4" ht="18" x14ac:dyDescent="0.25">
      <c r="B291" s="14" t="s">
        <v>129</v>
      </c>
    </row>
    <row r="292" spans="1:4" ht="18" x14ac:dyDescent="0.25">
      <c r="B292" s="11" t="s">
        <v>128</v>
      </c>
      <c r="C292" s="1840" t="str">
        <f>'Tab.1. bilans_Polska'!$E$59</f>
        <v>Termin: 29 luty 2012 r.</v>
      </c>
      <c r="D292" s="1840"/>
    </row>
    <row r="293" spans="1:4" ht="18" x14ac:dyDescent="0.25">
      <c r="B293" s="11"/>
      <c r="C293" s="14"/>
    </row>
    <row r="294" spans="1:4" ht="18" x14ac:dyDescent="0.25">
      <c r="B294" s="11" t="s">
        <v>130</v>
      </c>
    </row>
    <row r="295" spans="1:4" ht="15.75" x14ac:dyDescent="0.25">
      <c r="B295" s="1" t="s">
        <v>131</v>
      </c>
    </row>
    <row r="296" spans="1:4" ht="23.25" x14ac:dyDescent="0.35">
      <c r="B296" s="1655" t="s">
        <v>94</v>
      </c>
      <c r="C296" s="1655"/>
      <c r="D296" s="1655"/>
    </row>
    <row r="297" spans="1:4" ht="23.25" x14ac:dyDescent="0.35">
      <c r="B297" s="1839" t="str">
        <f>$B$9</f>
        <v>DOMACH  POMOCY  SPOŁECZNEJ  W 2011 r.</v>
      </c>
      <c r="C297" s="1839"/>
      <c r="D297" s="1839"/>
    </row>
    <row r="298" spans="1:4" ht="23.25" x14ac:dyDescent="0.35">
      <c r="B298" s="1655" t="s">
        <v>95</v>
      </c>
      <c r="C298" s="1655"/>
      <c r="D298" s="1655"/>
    </row>
    <row r="299" spans="1:4" ht="23.25" x14ac:dyDescent="0.35">
      <c r="B299" s="1839" t="str">
        <f>$B$11</f>
        <v>WG  STANU  NA  DZIEŃ  31. XII. 2011 r.</v>
      </c>
      <c r="C299" s="1839"/>
      <c r="D299" s="1839"/>
    </row>
    <row r="300" spans="1:4" ht="13.5" thickBot="1" x14ac:dyDescent="0.25"/>
    <row r="301" spans="1:4" ht="16.5" thickTop="1" x14ac:dyDescent="0.25">
      <c r="B301" s="1836" t="s">
        <v>430</v>
      </c>
      <c r="C301" s="106" t="s">
        <v>6</v>
      </c>
      <c r="D301" s="107" t="s">
        <v>2</v>
      </c>
    </row>
    <row r="302" spans="1:4" ht="15.75" x14ac:dyDescent="0.25">
      <c r="B302" s="1837"/>
      <c r="C302" s="108" t="s">
        <v>8</v>
      </c>
      <c r="D302" s="109" t="s">
        <v>11</v>
      </c>
    </row>
    <row r="303" spans="1:4" ht="15.75" x14ac:dyDescent="0.25">
      <c r="B303" s="1837"/>
      <c r="C303" s="108" t="s">
        <v>10</v>
      </c>
      <c r="D303" s="109" t="s">
        <v>12</v>
      </c>
    </row>
    <row r="304" spans="1:4" ht="15.75" x14ac:dyDescent="0.25">
      <c r="B304" s="1837"/>
      <c r="C304" s="108" t="s">
        <v>96</v>
      </c>
      <c r="D304" s="109" t="s">
        <v>97</v>
      </c>
    </row>
    <row r="305" spans="1:4" ht="16.5" thickBot="1" x14ac:dyDescent="0.3">
      <c r="B305" s="1838"/>
      <c r="C305" s="1185" t="str">
        <f>$C$17</f>
        <v>w 2011 r.</v>
      </c>
      <c r="D305" s="1186" t="str">
        <f>$D$17</f>
        <v>31.XII.2011 r.</v>
      </c>
    </row>
    <row r="306" spans="1:4" ht="15.75" thickBot="1" x14ac:dyDescent="0.25">
      <c r="B306" s="110">
        <v>0</v>
      </c>
      <c r="C306" s="111">
        <v>1</v>
      </c>
      <c r="D306" s="17">
        <v>2</v>
      </c>
    </row>
    <row r="307" spans="1:4" ht="24" thickTop="1" x14ac:dyDescent="0.2">
      <c r="A307" s="32"/>
      <c r="B307" s="33" t="s">
        <v>193</v>
      </c>
      <c r="C307" s="352">
        <f>SUM(C309:C314)</f>
        <v>531</v>
      </c>
      <c r="D307" s="353">
        <f>SUM(D309:D314)</f>
        <v>89</v>
      </c>
    </row>
    <row r="308" spans="1:4" ht="18.75" thickBot="1" x14ac:dyDescent="0.25">
      <c r="A308" s="32"/>
      <c r="B308" s="112" t="s">
        <v>46</v>
      </c>
      <c r="C308" s="920" t="str">
        <f>IF(C307&lt;='Tab.3. Mieszkańcy_Polska '!G704, "", "t3w2k1"&amp;"="&amp;'Tab.3. Mieszkańcy_Polska '!G704&amp;" umieszcze.")</f>
        <v/>
      </c>
      <c r="D308" s="164"/>
    </row>
    <row r="309" spans="1:4" ht="20.25" thickTop="1" thickBot="1" x14ac:dyDescent="0.25">
      <c r="A309" s="32"/>
      <c r="B309" s="188" t="s">
        <v>424</v>
      </c>
      <c r="C309" s="1357">
        <v>207</v>
      </c>
      <c r="D309" s="1358">
        <v>35</v>
      </c>
    </row>
    <row r="310" spans="1:4" ht="19.5" thickBot="1" x14ac:dyDescent="0.25">
      <c r="A310" s="32"/>
      <c r="B310" s="113" t="s">
        <v>425</v>
      </c>
      <c r="C310" s="1359">
        <v>125</v>
      </c>
      <c r="D310" s="1360">
        <v>2</v>
      </c>
    </row>
    <row r="311" spans="1:4" ht="19.5" thickBot="1" x14ac:dyDescent="0.25">
      <c r="A311" s="32"/>
      <c r="B311" s="113" t="s">
        <v>426</v>
      </c>
      <c r="C311" s="1361">
        <v>146</v>
      </c>
      <c r="D311" s="1362">
        <v>45</v>
      </c>
    </row>
    <row r="312" spans="1:4" ht="19.5" thickBot="1" x14ac:dyDescent="0.25">
      <c r="A312" s="32"/>
      <c r="B312" s="114" t="s">
        <v>427</v>
      </c>
      <c r="C312" s="1363">
        <v>32</v>
      </c>
      <c r="D312" s="1364">
        <v>6</v>
      </c>
    </row>
    <row r="313" spans="1:4" ht="19.5" thickBot="1" x14ac:dyDescent="0.25">
      <c r="A313" s="32"/>
      <c r="B313" s="114" t="s">
        <v>428</v>
      </c>
      <c r="C313" s="1361">
        <v>8</v>
      </c>
      <c r="D313" s="1362">
        <v>1</v>
      </c>
    </row>
    <row r="314" spans="1:4" ht="19.5" thickBot="1" x14ac:dyDescent="0.25">
      <c r="A314" s="32"/>
      <c r="B314" s="115" t="s">
        <v>429</v>
      </c>
      <c r="C314" s="1365">
        <v>13</v>
      </c>
      <c r="D314" s="1366">
        <v>0</v>
      </c>
    </row>
    <row r="315" spans="1:4" ht="16.5" thickTop="1" x14ac:dyDescent="0.2">
      <c r="A315" s="32"/>
      <c r="B315" s="182"/>
    </row>
    <row r="316" spans="1:4" ht="15.75" x14ac:dyDescent="0.25">
      <c r="B316" s="1"/>
    </row>
    <row r="317" spans="1:4" ht="18" x14ac:dyDescent="0.25">
      <c r="B317" s="11" t="s">
        <v>123</v>
      </c>
      <c r="C317" s="27"/>
      <c r="D317" s="27"/>
    </row>
    <row r="318" spans="1:4" ht="18" x14ac:dyDescent="0.25">
      <c r="B318" s="11" t="s">
        <v>132</v>
      </c>
    </row>
    <row r="319" spans="1:4" ht="18" x14ac:dyDescent="0.25">
      <c r="B319" s="11"/>
      <c r="C319" s="11" t="s">
        <v>133</v>
      </c>
      <c r="D319" s="27"/>
    </row>
    <row r="320" spans="1:4" ht="18" x14ac:dyDescent="0.25">
      <c r="B320" s="11" t="s">
        <v>137</v>
      </c>
      <c r="C320" s="14" t="s">
        <v>136</v>
      </c>
      <c r="D320" s="14"/>
    </row>
    <row r="322" spans="1:4" ht="26.25" x14ac:dyDescent="0.4">
      <c r="A322" s="267" t="s">
        <v>202</v>
      </c>
      <c r="B322" s="11" t="s">
        <v>116</v>
      </c>
      <c r="D322" s="10" t="s">
        <v>93</v>
      </c>
    </row>
    <row r="323" spans="1:4" ht="18" x14ac:dyDescent="0.25">
      <c r="B323" s="14" t="s">
        <v>129</v>
      </c>
    </row>
    <row r="324" spans="1:4" ht="18" x14ac:dyDescent="0.25">
      <c r="B324" s="11" t="s">
        <v>128</v>
      </c>
      <c r="C324" s="1840" t="str">
        <f>'Tab.1. bilans_Polska'!$E$59</f>
        <v>Termin: 29 luty 2012 r.</v>
      </c>
      <c r="D324" s="1840"/>
    </row>
    <row r="325" spans="1:4" ht="18" x14ac:dyDescent="0.25">
      <c r="B325" s="11"/>
      <c r="C325" s="14"/>
    </row>
    <row r="326" spans="1:4" ht="18" x14ac:dyDescent="0.25">
      <c r="B326" s="11" t="s">
        <v>130</v>
      </c>
    </row>
    <row r="327" spans="1:4" ht="15.75" x14ac:dyDescent="0.25">
      <c r="B327" s="1" t="s">
        <v>131</v>
      </c>
    </row>
    <row r="328" spans="1:4" ht="23.25" x14ac:dyDescent="0.35">
      <c r="B328" s="1655" t="s">
        <v>94</v>
      </c>
      <c r="C328" s="1655"/>
      <c r="D328" s="1655"/>
    </row>
    <row r="329" spans="1:4" ht="23.25" x14ac:dyDescent="0.35">
      <c r="B329" s="1839" t="str">
        <f>$B$9</f>
        <v>DOMACH  POMOCY  SPOŁECZNEJ  W 2011 r.</v>
      </c>
      <c r="C329" s="1839"/>
      <c r="D329" s="1839"/>
    </row>
    <row r="330" spans="1:4" ht="23.25" x14ac:dyDescent="0.35">
      <c r="B330" s="1655" t="s">
        <v>95</v>
      </c>
      <c r="C330" s="1655"/>
      <c r="D330" s="1655"/>
    </row>
    <row r="331" spans="1:4" ht="23.25" x14ac:dyDescent="0.35">
      <c r="B331" s="1839" t="str">
        <f>$B$11</f>
        <v>WG  STANU  NA  DZIEŃ  31. XII. 2011 r.</v>
      </c>
      <c r="C331" s="1839"/>
      <c r="D331" s="1839"/>
    </row>
    <row r="332" spans="1:4" ht="13.5" thickBot="1" x14ac:dyDescent="0.25"/>
    <row r="333" spans="1:4" ht="16.5" thickTop="1" x14ac:dyDescent="0.25">
      <c r="B333" s="1836" t="s">
        <v>430</v>
      </c>
      <c r="C333" s="106" t="s">
        <v>6</v>
      </c>
      <c r="D333" s="107" t="s">
        <v>2</v>
      </c>
    </row>
    <row r="334" spans="1:4" ht="15.75" x14ac:dyDescent="0.25">
      <c r="B334" s="1837"/>
      <c r="C334" s="108" t="s">
        <v>8</v>
      </c>
      <c r="D334" s="109" t="s">
        <v>11</v>
      </c>
    </row>
    <row r="335" spans="1:4" ht="15.75" x14ac:dyDescent="0.25">
      <c r="B335" s="1837"/>
      <c r="C335" s="108" t="s">
        <v>10</v>
      </c>
      <c r="D335" s="109" t="s">
        <v>12</v>
      </c>
    </row>
    <row r="336" spans="1:4" ht="15.75" x14ac:dyDescent="0.25">
      <c r="B336" s="1837"/>
      <c r="C336" s="108" t="s">
        <v>96</v>
      </c>
      <c r="D336" s="109" t="s">
        <v>97</v>
      </c>
    </row>
    <row r="337" spans="1:4" ht="16.5" thickBot="1" x14ac:dyDescent="0.3">
      <c r="B337" s="1838"/>
      <c r="C337" s="1185" t="str">
        <f>$C$17</f>
        <v>w 2011 r.</v>
      </c>
      <c r="D337" s="1186" t="str">
        <f>$D$17</f>
        <v>31.XII.2011 r.</v>
      </c>
    </row>
    <row r="338" spans="1:4" ht="15.75" thickBot="1" x14ac:dyDescent="0.25">
      <c r="B338" s="110">
        <v>0</v>
      </c>
      <c r="C338" s="111">
        <v>1</v>
      </c>
      <c r="D338" s="17">
        <v>2</v>
      </c>
    </row>
    <row r="339" spans="1:4" ht="24" thickTop="1" x14ac:dyDescent="0.2">
      <c r="A339" s="32"/>
      <c r="B339" s="33" t="s">
        <v>193</v>
      </c>
      <c r="C339" s="352">
        <f>SUM(C341:C346)</f>
        <v>256</v>
      </c>
      <c r="D339" s="353">
        <f>SUM(D341:D346)</f>
        <v>245</v>
      </c>
    </row>
    <row r="340" spans="1:4" ht="18.75" thickBot="1" x14ac:dyDescent="0.25">
      <c r="A340" s="32"/>
      <c r="B340" s="112" t="s">
        <v>46</v>
      </c>
      <c r="C340" s="920" t="str">
        <f>IF(C339&lt;='Tab.3. Mieszkańcy_Polska '!G780, "", "t3w2k1"&amp;"="&amp;'Tab.3. Mieszkańcy_Polska '!G780&amp;" umieszcze.")</f>
        <v/>
      </c>
      <c r="D340" s="164"/>
    </row>
    <row r="341" spans="1:4" ht="20.25" thickTop="1" thickBot="1" x14ac:dyDescent="0.25">
      <c r="A341" s="32"/>
      <c r="B341" s="188" t="s">
        <v>424</v>
      </c>
      <c r="C341" s="1357">
        <v>55</v>
      </c>
      <c r="D341" s="1358">
        <v>18</v>
      </c>
    </row>
    <row r="342" spans="1:4" ht="19.5" thickBot="1" x14ac:dyDescent="0.25">
      <c r="A342" s="32"/>
      <c r="B342" s="113" t="s">
        <v>425</v>
      </c>
      <c r="C342" s="1359">
        <v>129</v>
      </c>
      <c r="D342" s="1360">
        <v>78</v>
      </c>
    </row>
    <row r="343" spans="1:4" ht="19.5" thickBot="1" x14ac:dyDescent="0.25">
      <c r="A343" s="32"/>
      <c r="B343" s="113" t="s">
        <v>426</v>
      </c>
      <c r="C343" s="1361">
        <v>44</v>
      </c>
      <c r="D343" s="1362">
        <v>126</v>
      </c>
    </row>
    <row r="344" spans="1:4" ht="19.5" thickBot="1" x14ac:dyDescent="0.25">
      <c r="A344" s="32"/>
      <c r="B344" s="114" t="s">
        <v>427</v>
      </c>
      <c r="C344" s="1363">
        <v>6</v>
      </c>
      <c r="D344" s="1364">
        <v>21</v>
      </c>
    </row>
    <row r="345" spans="1:4" ht="19.5" thickBot="1" x14ac:dyDescent="0.25">
      <c r="A345" s="32"/>
      <c r="B345" s="114" t="s">
        <v>428</v>
      </c>
      <c r="C345" s="1361">
        <v>22</v>
      </c>
      <c r="D345" s="1362">
        <v>2</v>
      </c>
    </row>
    <row r="346" spans="1:4" ht="19.5" thickBot="1" x14ac:dyDescent="0.25">
      <c r="A346" s="32"/>
      <c r="B346" s="115" t="s">
        <v>429</v>
      </c>
      <c r="C346" s="1365">
        <v>0</v>
      </c>
      <c r="D346" s="1366">
        <v>0</v>
      </c>
    </row>
    <row r="347" spans="1:4" ht="16.5" thickTop="1" x14ac:dyDescent="0.2">
      <c r="A347" s="32"/>
      <c r="B347" s="182"/>
    </row>
    <row r="348" spans="1:4" ht="15.75" x14ac:dyDescent="0.25">
      <c r="B348" s="1"/>
    </row>
    <row r="349" spans="1:4" ht="18" x14ac:dyDescent="0.25">
      <c r="B349" s="11" t="s">
        <v>123</v>
      </c>
      <c r="C349" s="27"/>
      <c r="D349" s="27"/>
    </row>
    <row r="350" spans="1:4" ht="18" x14ac:dyDescent="0.25">
      <c r="B350" s="11" t="s">
        <v>132</v>
      </c>
    </row>
    <row r="351" spans="1:4" ht="18" x14ac:dyDescent="0.25">
      <c r="B351" s="11"/>
      <c r="C351" s="11" t="s">
        <v>133</v>
      </c>
      <c r="D351" s="27"/>
    </row>
    <row r="352" spans="1:4" ht="18" x14ac:dyDescent="0.25">
      <c r="B352" s="11" t="s">
        <v>137</v>
      </c>
      <c r="C352" s="14" t="s">
        <v>136</v>
      </c>
      <c r="D352" s="14"/>
    </row>
    <row r="354" spans="1:4" ht="26.25" x14ac:dyDescent="0.4">
      <c r="A354" s="267" t="s">
        <v>203</v>
      </c>
      <c r="B354" s="11" t="s">
        <v>116</v>
      </c>
      <c r="D354" s="10" t="s">
        <v>93</v>
      </c>
    </row>
    <row r="355" spans="1:4" ht="18" x14ac:dyDescent="0.25">
      <c r="B355" s="14" t="s">
        <v>129</v>
      </c>
    </row>
    <row r="356" spans="1:4" ht="18" x14ac:dyDescent="0.25">
      <c r="B356" s="11" t="s">
        <v>128</v>
      </c>
      <c r="C356" s="1840" t="str">
        <f>'Tab.1. bilans_Polska'!$E$59</f>
        <v>Termin: 29 luty 2012 r.</v>
      </c>
      <c r="D356" s="1840"/>
    </row>
    <row r="357" spans="1:4" ht="18" x14ac:dyDescent="0.25">
      <c r="B357" s="11"/>
      <c r="C357" s="14"/>
    </row>
    <row r="358" spans="1:4" ht="18" x14ac:dyDescent="0.25">
      <c r="B358" s="11" t="s">
        <v>130</v>
      </c>
    </row>
    <row r="359" spans="1:4" ht="15.75" x14ac:dyDescent="0.25">
      <c r="B359" s="1" t="s">
        <v>131</v>
      </c>
    </row>
    <row r="360" spans="1:4" ht="23.25" x14ac:dyDescent="0.35">
      <c r="B360" s="1655" t="s">
        <v>94</v>
      </c>
      <c r="C360" s="1655"/>
      <c r="D360" s="1655"/>
    </row>
    <row r="361" spans="1:4" ht="23.25" x14ac:dyDescent="0.35">
      <c r="B361" s="1839" t="str">
        <f>$B$9</f>
        <v>DOMACH  POMOCY  SPOŁECZNEJ  W 2011 r.</v>
      </c>
      <c r="C361" s="1839"/>
      <c r="D361" s="1839"/>
    </row>
    <row r="362" spans="1:4" ht="23.25" x14ac:dyDescent="0.35">
      <c r="B362" s="1655" t="s">
        <v>95</v>
      </c>
      <c r="C362" s="1655"/>
      <c r="D362" s="1655"/>
    </row>
    <row r="363" spans="1:4" ht="23.25" x14ac:dyDescent="0.35">
      <c r="B363" s="1839" t="str">
        <f>$B$11</f>
        <v>WG  STANU  NA  DZIEŃ  31. XII. 2011 r.</v>
      </c>
      <c r="C363" s="1839"/>
      <c r="D363" s="1839"/>
    </row>
    <row r="364" spans="1:4" ht="13.5" thickBot="1" x14ac:dyDescent="0.25"/>
    <row r="365" spans="1:4" ht="16.5" thickTop="1" x14ac:dyDescent="0.25">
      <c r="B365" s="1836" t="s">
        <v>430</v>
      </c>
      <c r="C365" s="106" t="s">
        <v>6</v>
      </c>
      <c r="D365" s="107" t="s">
        <v>2</v>
      </c>
    </row>
    <row r="366" spans="1:4" ht="15.75" x14ac:dyDescent="0.25">
      <c r="B366" s="1837"/>
      <c r="C366" s="108" t="s">
        <v>8</v>
      </c>
      <c r="D366" s="109" t="s">
        <v>11</v>
      </c>
    </row>
    <row r="367" spans="1:4" ht="15.75" x14ac:dyDescent="0.25">
      <c r="B367" s="1837"/>
      <c r="C367" s="108" t="s">
        <v>10</v>
      </c>
      <c r="D367" s="109" t="s">
        <v>12</v>
      </c>
    </row>
    <row r="368" spans="1:4" ht="15.75" x14ac:dyDescent="0.25">
      <c r="B368" s="1837"/>
      <c r="C368" s="108" t="s">
        <v>96</v>
      </c>
      <c r="D368" s="109" t="s">
        <v>97</v>
      </c>
    </row>
    <row r="369" spans="1:4" ht="16.5" thickBot="1" x14ac:dyDescent="0.3">
      <c r="B369" s="1838"/>
      <c r="C369" s="1185" t="str">
        <f>$C$17</f>
        <v>w 2011 r.</v>
      </c>
      <c r="D369" s="1186" t="str">
        <f>$D$17</f>
        <v>31.XII.2011 r.</v>
      </c>
    </row>
    <row r="370" spans="1:4" ht="15.75" thickBot="1" x14ac:dyDescent="0.25">
      <c r="B370" s="110">
        <v>0</v>
      </c>
      <c r="C370" s="111">
        <v>1</v>
      </c>
      <c r="D370" s="17">
        <v>2</v>
      </c>
    </row>
    <row r="371" spans="1:4" ht="24" thickTop="1" x14ac:dyDescent="0.2">
      <c r="A371" s="32"/>
      <c r="B371" s="33" t="s">
        <v>193</v>
      </c>
      <c r="C371" s="352">
        <f>SUM(C373:C378)</f>
        <v>441</v>
      </c>
      <c r="D371" s="353">
        <f>SUM(D373:D378)</f>
        <v>688</v>
      </c>
    </row>
    <row r="372" spans="1:4" ht="18.75" thickBot="1" x14ac:dyDescent="0.25">
      <c r="A372" s="32"/>
      <c r="B372" s="112" t="s">
        <v>46</v>
      </c>
      <c r="C372" s="920" t="str">
        <f>IF(C371&lt;='Tab.3. Mieszkańcy_Polska '!G856, "", "t3w2k1"&amp;"="&amp;'Tab.3. Mieszkańcy_Polska '!G856&amp;" umieszcze.")</f>
        <v/>
      </c>
      <c r="D372" s="164"/>
    </row>
    <row r="373" spans="1:4" ht="20.25" thickTop="1" thickBot="1" x14ac:dyDescent="0.25">
      <c r="A373" s="32"/>
      <c r="B373" s="188" t="s">
        <v>424</v>
      </c>
      <c r="C373" s="1357">
        <v>64</v>
      </c>
      <c r="D373" s="1358">
        <v>58</v>
      </c>
    </row>
    <row r="374" spans="1:4" ht="19.5" thickBot="1" x14ac:dyDescent="0.25">
      <c r="A374" s="32"/>
      <c r="B374" s="113" t="s">
        <v>425</v>
      </c>
      <c r="C374" s="1359">
        <v>190</v>
      </c>
      <c r="D374" s="1360">
        <v>256</v>
      </c>
    </row>
    <row r="375" spans="1:4" ht="19.5" thickBot="1" x14ac:dyDescent="0.25">
      <c r="A375" s="32"/>
      <c r="B375" s="113" t="s">
        <v>426</v>
      </c>
      <c r="C375" s="1361">
        <v>102</v>
      </c>
      <c r="D375" s="1362">
        <v>343</v>
      </c>
    </row>
    <row r="376" spans="1:4" ht="19.5" thickBot="1" x14ac:dyDescent="0.25">
      <c r="A376" s="32"/>
      <c r="B376" s="114" t="s">
        <v>427</v>
      </c>
      <c r="C376" s="1363">
        <v>42</v>
      </c>
      <c r="D376" s="1364">
        <v>20</v>
      </c>
    </row>
    <row r="377" spans="1:4" ht="19.5" thickBot="1" x14ac:dyDescent="0.25">
      <c r="A377" s="32"/>
      <c r="B377" s="114" t="s">
        <v>428</v>
      </c>
      <c r="C377" s="1361">
        <v>17</v>
      </c>
      <c r="D377" s="1362">
        <v>11</v>
      </c>
    </row>
    <row r="378" spans="1:4" ht="19.5" thickBot="1" x14ac:dyDescent="0.25">
      <c r="A378" s="32"/>
      <c r="B378" s="115" t="s">
        <v>429</v>
      </c>
      <c r="C378" s="1365">
        <v>26</v>
      </c>
      <c r="D378" s="1366">
        <v>0</v>
      </c>
    </row>
    <row r="379" spans="1:4" ht="16.5" thickTop="1" x14ac:dyDescent="0.2">
      <c r="A379" s="32"/>
      <c r="B379" s="182"/>
    </row>
    <row r="380" spans="1:4" ht="15.75" x14ac:dyDescent="0.25">
      <c r="B380" s="1"/>
    </row>
    <row r="381" spans="1:4" ht="18" x14ac:dyDescent="0.25">
      <c r="B381" s="11" t="s">
        <v>123</v>
      </c>
      <c r="C381" s="27"/>
      <c r="D381" s="27"/>
    </row>
    <row r="382" spans="1:4" ht="18" x14ac:dyDescent="0.25">
      <c r="B382" s="11" t="s">
        <v>132</v>
      </c>
    </row>
    <row r="383" spans="1:4" ht="18" x14ac:dyDescent="0.25">
      <c r="B383" s="11"/>
      <c r="C383" s="11" t="s">
        <v>133</v>
      </c>
      <c r="D383" s="27"/>
    </row>
    <row r="384" spans="1:4" ht="18" x14ac:dyDescent="0.25">
      <c r="B384" s="11" t="s">
        <v>137</v>
      </c>
      <c r="C384" s="14" t="s">
        <v>136</v>
      </c>
      <c r="D384" s="14"/>
    </row>
    <row r="386" spans="1:4" ht="26.25" x14ac:dyDescent="0.4">
      <c r="A386" s="267" t="s">
        <v>204</v>
      </c>
      <c r="B386" s="11" t="s">
        <v>116</v>
      </c>
      <c r="D386" s="10" t="s">
        <v>93</v>
      </c>
    </row>
    <row r="387" spans="1:4" ht="18" x14ac:dyDescent="0.25">
      <c r="B387" s="14" t="s">
        <v>129</v>
      </c>
    </row>
    <row r="388" spans="1:4" ht="18" x14ac:dyDescent="0.25">
      <c r="B388" s="11" t="s">
        <v>128</v>
      </c>
      <c r="C388" s="1840" t="str">
        <f>'Tab.1. bilans_Polska'!$E$59</f>
        <v>Termin: 29 luty 2012 r.</v>
      </c>
      <c r="D388" s="1840"/>
    </row>
    <row r="389" spans="1:4" ht="18" x14ac:dyDescent="0.25">
      <c r="B389" s="11"/>
      <c r="C389" s="14"/>
    </row>
    <row r="390" spans="1:4" ht="18" x14ac:dyDescent="0.25">
      <c r="B390" s="11" t="s">
        <v>130</v>
      </c>
    </row>
    <row r="391" spans="1:4" ht="15.75" x14ac:dyDescent="0.25">
      <c r="B391" s="1" t="s">
        <v>131</v>
      </c>
    </row>
    <row r="392" spans="1:4" ht="23.25" x14ac:dyDescent="0.35">
      <c r="B392" s="1655" t="s">
        <v>94</v>
      </c>
      <c r="C392" s="1655"/>
      <c r="D392" s="1655"/>
    </row>
    <row r="393" spans="1:4" ht="23.25" x14ac:dyDescent="0.35">
      <c r="B393" s="1839" t="str">
        <f>$B$9</f>
        <v>DOMACH  POMOCY  SPOŁECZNEJ  W 2011 r.</v>
      </c>
      <c r="C393" s="1839"/>
      <c r="D393" s="1839"/>
    </row>
    <row r="394" spans="1:4" ht="23.25" x14ac:dyDescent="0.35">
      <c r="B394" s="1655" t="s">
        <v>95</v>
      </c>
      <c r="C394" s="1655"/>
      <c r="D394" s="1655"/>
    </row>
    <row r="395" spans="1:4" ht="23.25" x14ac:dyDescent="0.35">
      <c r="B395" s="1839" t="str">
        <f>$B$11</f>
        <v>WG  STANU  NA  DZIEŃ  31. XII. 2011 r.</v>
      </c>
      <c r="C395" s="1839"/>
      <c r="D395" s="1839"/>
    </row>
    <row r="396" spans="1:4" ht="13.5" thickBot="1" x14ac:dyDescent="0.25"/>
    <row r="397" spans="1:4" ht="16.5" thickTop="1" x14ac:dyDescent="0.25">
      <c r="B397" s="1836" t="s">
        <v>430</v>
      </c>
      <c r="C397" s="106" t="s">
        <v>6</v>
      </c>
      <c r="D397" s="107" t="s">
        <v>2</v>
      </c>
    </row>
    <row r="398" spans="1:4" ht="15.75" x14ac:dyDescent="0.25">
      <c r="B398" s="1837"/>
      <c r="C398" s="108" t="s">
        <v>8</v>
      </c>
      <c r="D398" s="109" t="s">
        <v>11</v>
      </c>
    </row>
    <row r="399" spans="1:4" ht="15.75" x14ac:dyDescent="0.25">
      <c r="B399" s="1837"/>
      <c r="C399" s="108" t="s">
        <v>10</v>
      </c>
      <c r="D399" s="109" t="s">
        <v>12</v>
      </c>
    </row>
    <row r="400" spans="1:4" ht="15.75" x14ac:dyDescent="0.25">
      <c r="B400" s="1837"/>
      <c r="C400" s="108" t="s">
        <v>96</v>
      </c>
      <c r="D400" s="109" t="s">
        <v>97</v>
      </c>
    </row>
    <row r="401" spans="1:4" ht="16.5" thickBot="1" x14ac:dyDescent="0.3">
      <c r="B401" s="1838"/>
      <c r="C401" s="1185" t="str">
        <f>$C$17</f>
        <v>w 2011 r.</v>
      </c>
      <c r="D401" s="1186" t="str">
        <f>$D$17</f>
        <v>31.XII.2011 r.</v>
      </c>
    </row>
    <row r="402" spans="1:4" ht="15.75" thickBot="1" x14ac:dyDescent="0.25">
      <c r="B402" s="110">
        <v>0</v>
      </c>
      <c r="C402" s="111">
        <v>1</v>
      </c>
      <c r="D402" s="17">
        <v>2</v>
      </c>
    </row>
    <row r="403" spans="1:4" ht="24" thickTop="1" x14ac:dyDescent="0.2">
      <c r="A403" s="32"/>
      <c r="B403" s="33" t="s">
        <v>193</v>
      </c>
      <c r="C403" s="937">
        <f>SUM(C405:C410)</f>
        <v>1131</v>
      </c>
      <c r="D403" s="1104">
        <f>SUM(D405:D410)</f>
        <v>1988</v>
      </c>
    </row>
    <row r="404" spans="1:4" ht="18.75" thickBot="1" x14ac:dyDescent="0.25">
      <c r="A404" s="32"/>
      <c r="B404" s="112" t="s">
        <v>46</v>
      </c>
      <c r="C404" s="920" t="str">
        <f>IF(C403&lt;='Tab.3. Mieszkańcy_Polska '!G932, "", "t3w2k1"&amp;"="&amp;'Tab.3. Mieszkańcy_Polska '!G932&amp;" umieszcze.")</f>
        <v/>
      </c>
      <c r="D404" s="164"/>
    </row>
    <row r="405" spans="1:4" ht="20.25" thickTop="1" thickBot="1" x14ac:dyDescent="0.25">
      <c r="A405" s="32"/>
      <c r="B405" s="188" t="s">
        <v>424</v>
      </c>
      <c r="C405" s="1357">
        <v>494</v>
      </c>
      <c r="D405" s="1358">
        <v>756</v>
      </c>
    </row>
    <row r="406" spans="1:4" ht="19.5" thickBot="1" x14ac:dyDescent="0.25">
      <c r="A406" s="32"/>
      <c r="B406" s="113" t="s">
        <v>425</v>
      </c>
      <c r="C406" s="1359">
        <v>309</v>
      </c>
      <c r="D406" s="1360">
        <v>347</v>
      </c>
    </row>
    <row r="407" spans="1:4" ht="19.5" thickBot="1" x14ac:dyDescent="0.25">
      <c r="A407" s="32"/>
      <c r="B407" s="113" t="s">
        <v>426</v>
      </c>
      <c r="C407" s="1361">
        <v>138</v>
      </c>
      <c r="D407" s="1362">
        <v>601</v>
      </c>
    </row>
    <row r="408" spans="1:4" ht="19.5" thickBot="1" x14ac:dyDescent="0.25">
      <c r="A408" s="32"/>
      <c r="B408" s="114" t="s">
        <v>427</v>
      </c>
      <c r="C408" s="1363">
        <v>81</v>
      </c>
      <c r="D408" s="1364">
        <v>158</v>
      </c>
    </row>
    <row r="409" spans="1:4" ht="19.5" thickBot="1" x14ac:dyDescent="0.25">
      <c r="A409" s="32"/>
      <c r="B409" s="114" t="s">
        <v>428</v>
      </c>
      <c r="C409" s="1361">
        <v>32</v>
      </c>
      <c r="D409" s="1362">
        <v>30</v>
      </c>
    </row>
    <row r="410" spans="1:4" ht="19.5" thickBot="1" x14ac:dyDescent="0.25">
      <c r="A410" s="32"/>
      <c r="B410" s="115" t="s">
        <v>429</v>
      </c>
      <c r="C410" s="1365">
        <v>77</v>
      </c>
      <c r="D410" s="1366">
        <v>96</v>
      </c>
    </row>
    <row r="411" spans="1:4" ht="16.5" thickTop="1" x14ac:dyDescent="0.2">
      <c r="A411" s="32"/>
      <c r="B411" s="182"/>
    </row>
    <row r="412" spans="1:4" ht="15.75" x14ac:dyDescent="0.25">
      <c r="B412" s="1"/>
    </row>
    <row r="413" spans="1:4" ht="18" x14ac:dyDescent="0.25">
      <c r="B413" s="11" t="s">
        <v>123</v>
      </c>
      <c r="C413" s="27"/>
      <c r="D413" s="27"/>
    </row>
    <row r="414" spans="1:4" ht="18" x14ac:dyDescent="0.25">
      <c r="B414" s="11" t="s">
        <v>132</v>
      </c>
    </row>
    <row r="415" spans="1:4" ht="18" x14ac:dyDescent="0.25">
      <c r="B415" s="11"/>
      <c r="C415" s="11" t="s">
        <v>133</v>
      </c>
      <c r="D415" s="27"/>
    </row>
    <row r="416" spans="1:4" ht="18" x14ac:dyDescent="0.25">
      <c r="B416" s="11" t="s">
        <v>137</v>
      </c>
      <c r="C416" s="14" t="s">
        <v>136</v>
      </c>
      <c r="D416" s="14"/>
    </row>
    <row r="417" spans="1:4" ht="26.25" x14ac:dyDescent="0.4">
      <c r="A417" s="267" t="s">
        <v>205</v>
      </c>
    </row>
    <row r="418" spans="1:4" ht="18" x14ac:dyDescent="0.25">
      <c r="B418" s="11" t="s">
        <v>116</v>
      </c>
      <c r="D418" s="10" t="s">
        <v>93</v>
      </c>
    </row>
    <row r="419" spans="1:4" ht="18" x14ac:dyDescent="0.25">
      <c r="B419" s="14" t="s">
        <v>129</v>
      </c>
    </row>
    <row r="420" spans="1:4" ht="18" x14ac:dyDescent="0.25">
      <c r="B420" s="11" t="s">
        <v>128</v>
      </c>
      <c r="C420" s="1840" t="str">
        <f>'Tab.1. bilans_Polska'!$E$59</f>
        <v>Termin: 29 luty 2012 r.</v>
      </c>
      <c r="D420" s="1840"/>
    </row>
    <row r="421" spans="1:4" ht="18" x14ac:dyDescent="0.25">
      <c r="B421" s="11"/>
      <c r="C421" s="14"/>
    </row>
    <row r="422" spans="1:4" ht="18" x14ac:dyDescent="0.25">
      <c r="B422" s="11" t="s">
        <v>130</v>
      </c>
    </row>
    <row r="423" spans="1:4" ht="15.75" x14ac:dyDescent="0.25">
      <c r="B423" s="1" t="s">
        <v>131</v>
      </c>
    </row>
    <row r="424" spans="1:4" ht="23.25" x14ac:dyDescent="0.35">
      <c r="B424" s="1655" t="s">
        <v>94</v>
      </c>
      <c r="C424" s="1655"/>
      <c r="D424" s="1655"/>
    </row>
    <row r="425" spans="1:4" ht="23.25" x14ac:dyDescent="0.35">
      <c r="B425" s="1839" t="str">
        <f>$B$9</f>
        <v>DOMACH  POMOCY  SPOŁECZNEJ  W 2011 r.</v>
      </c>
      <c r="C425" s="1839"/>
      <c r="D425" s="1839"/>
    </row>
    <row r="426" spans="1:4" ht="23.25" x14ac:dyDescent="0.35">
      <c r="B426" s="1655" t="s">
        <v>95</v>
      </c>
      <c r="C426" s="1655"/>
      <c r="D426" s="1655"/>
    </row>
    <row r="427" spans="1:4" ht="23.25" x14ac:dyDescent="0.35">
      <c r="B427" s="1839" t="str">
        <f>$B$11</f>
        <v>WG  STANU  NA  DZIEŃ  31. XII. 2011 r.</v>
      </c>
      <c r="C427" s="1839"/>
      <c r="D427" s="1839"/>
    </row>
    <row r="428" spans="1:4" ht="13.5" thickBot="1" x14ac:dyDescent="0.25"/>
    <row r="429" spans="1:4" ht="16.5" thickTop="1" x14ac:dyDescent="0.25">
      <c r="B429" s="1836" t="s">
        <v>430</v>
      </c>
      <c r="C429" s="106" t="s">
        <v>6</v>
      </c>
      <c r="D429" s="107" t="s">
        <v>2</v>
      </c>
    </row>
    <row r="430" spans="1:4" ht="15.75" x14ac:dyDescent="0.25">
      <c r="B430" s="1837"/>
      <c r="C430" s="108" t="s">
        <v>8</v>
      </c>
      <c r="D430" s="109" t="s">
        <v>11</v>
      </c>
    </row>
    <row r="431" spans="1:4" ht="15.75" x14ac:dyDescent="0.25">
      <c r="B431" s="1837"/>
      <c r="C431" s="108" t="s">
        <v>10</v>
      </c>
      <c r="D431" s="109" t="s">
        <v>12</v>
      </c>
    </row>
    <row r="432" spans="1:4" ht="15.75" x14ac:dyDescent="0.25">
      <c r="B432" s="1837"/>
      <c r="C432" s="108" t="s">
        <v>96</v>
      </c>
      <c r="D432" s="109" t="s">
        <v>97</v>
      </c>
    </row>
    <row r="433" spans="1:4" ht="16.5" thickBot="1" x14ac:dyDescent="0.3">
      <c r="B433" s="1838"/>
      <c r="C433" s="1185" t="str">
        <f>$C$17</f>
        <v>w 2011 r.</v>
      </c>
      <c r="D433" s="1186" t="str">
        <f>$D$17</f>
        <v>31.XII.2011 r.</v>
      </c>
    </row>
    <row r="434" spans="1:4" ht="15.75" thickBot="1" x14ac:dyDescent="0.25">
      <c r="B434" s="110">
        <v>0</v>
      </c>
      <c r="C434" s="111">
        <v>1</v>
      </c>
      <c r="D434" s="17">
        <v>2</v>
      </c>
    </row>
    <row r="435" spans="1:4" ht="24" thickTop="1" x14ac:dyDescent="0.2">
      <c r="A435" s="32"/>
      <c r="B435" s="33" t="s">
        <v>193</v>
      </c>
      <c r="C435" s="352">
        <f>SUM(C437:C442)</f>
        <v>479</v>
      </c>
      <c r="D435" s="353">
        <f>SUM(D437:D442)</f>
        <v>227</v>
      </c>
    </row>
    <row r="436" spans="1:4" ht="18.75" thickBot="1" x14ac:dyDescent="0.25">
      <c r="A436" s="32"/>
      <c r="B436" s="112" t="s">
        <v>46</v>
      </c>
      <c r="C436" s="920" t="str">
        <f>IF(C435&lt;='Tab.3. Mieszkańcy_Polska '!G1008, "", "t3w2k1"&amp;"="&amp;'Tab.3. Mieszkańcy_Polska '!G1008&amp;" umieszcze.")</f>
        <v/>
      </c>
      <c r="D436" s="164"/>
    </row>
    <row r="437" spans="1:4" ht="20.25" thickTop="1" thickBot="1" x14ac:dyDescent="0.25">
      <c r="A437" s="32"/>
      <c r="B437" s="188" t="s">
        <v>424</v>
      </c>
      <c r="C437" s="1357">
        <v>54</v>
      </c>
      <c r="D437" s="1358">
        <v>7</v>
      </c>
    </row>
    <row r="438" spans="1:4" ht="19.5" thickBot="1" x14ac:dyDescent="0.25">
      <c r="A438" s="32"/>
      <c r="B438" s="113" t="s">
        <v>425</v>
      </c>
      <c r="C438" s="1359">
        <v>257</v>
      </c>
      <c r="D438" s="1360">
        <v>146</v>
      </c>
    </row>
    <row r="439" spans="1:4" ht="19.5" thickBot="1" x14ac:dyDescent="0.25">
      <c r="A439" s="32"/>
      <c r="B439" s="113" t="s">
        <v>426</v>
      </c>
      <c r="C439" s="1361">
        <v>128</v>
      </c>
      <c r="D439" s="1362">
        <v>57</v>
      </c>
    </row>
    <row r="440" spans="1:4" ht="19.5" thickBot="1" x14ac:dyDescent="0.25">
      <c r="A440" s="32"/>
      <c r="B440" s="114" t="s">
        <v>427</v>
      </c>
      <c r="C440" s="1363">
        <v>23</v>
      </c>
      <c r="D440" s="1364">
        <v>13</v>
      </c>
    </row>
    <row r="441" spans="1:4" ht="19.5" thickBot="1" x14ac:dyDescent="0.25">
      <c r="A441" s="32"/>
      <c r="B441" s="114" t="s">
        <v>428</v>
      </c>
      <c r="C441" s="1361">
        <v>4</v>
      </c>
      <c r="D441" s="1362">
        <v>1</v>
      </c>
    </row>
    <row r="442" spans="1:4" ht="19.5" thickBot="1" x14ac:dyDescent="0.25">
      <c r="A442" s="32"/>
      <c r="B442" s="115" t="s">
        <v>429</v>
      </c>
      <c r="C442" s="1365">
        <v>13</v>
      </c>
      <c r="D442" s="1366">
        <v>3</v>
      </c>
    </row>
    <row r="443" spans="1:4" ht="16.5" thickTop="1" x14ac:dyDescent="0.2">
      <c r="A443" s="32"/>
      <c r="B443" s="182"/>
    </row>
    <row r="444" spans="1:4" ht="15.75" x14ac:dyDescent="0.25">
      <c r="B444" s="1"/>
    </row>
    <row r="445" spans="1:4" ht="18" x14ac:dyDescent="0.25">
      <c r="B445" s="11" t="s">
        <v>123</v>
      </c>
      <c r="C445" s="27"/>
      <c r="D445" s="27"/>
    </row>
    <row r="446" spans="1:4" ht="18" x14ac:dyDescent="0.25">
      <c r="B446" s="11" t="s">
        <v>132</v>
      </c>
    </row>
    <row r="447" spans="1:4" ht="18" x14ac:dyDescent="0.25">
      <c r="B447" s="11"/>
      <c r="C447" s="11" t="s">
        <v>133</v>
      </c>
      <c r="D447" s="27"/>
    </row>
    <row r="448" spans="1:4" ht="18" x14ac:dyDescent="0.25">
      <c r="B448" s="11" t="s">
        <v>137</v>
      </c>
      <c r="C448" s="14" t="s">
        <v>136</v>
      </c>
      <c r="D448" s="14"/>
    </row>
    <row r="449" spans="1:4" ht="26.25" x14ac:dyDescent="0.4">
      <c r="A449" s="267" t="s">
        <v>206</v>
      </c>
    </row>
    <row r="450" spans="1:4" ht="18" x14ac:dyDescent="0.25">
      <c r="B450" s="11" t="s">
        <v>116</v>
      </c>
      <c r="D450" s="10" t="s">
        <v>93</v>
      </c>
    </row>
    <row r="451" spans="1:4" ht="18" x14ac:dyDescent="0.25">
      <c r="B451" s="14" t="s">
        <v>129</v>
      </c>
    </row>
    <row r="452" spans="1:4" ht="18" x14ac:dyDescent="0.25">
      <c r="B452" s="11" t="s">
        <v>128</v>
      </c>
      <c r="C452" s="1840" t="str">
        <f>'Tab.1. bilans_Polska'!$E$59</f>
        <v>Termin: 29 luty 2012 r.</v>
      </c>
      <c r="D452" s="1840"/>
    </row>
    <row r="453" spans="1:4" ht="18" x14ac:dyDescent="0.25">
      <c r="B453" s="11"/>
      <c r="C453" s="14"/>
    </row>
    <row r="454" spans="1:4" ht="18" x14ac:dyDescent="0.25">
      <c r="B454" s="11" t="s">
        <v>130</v>
      </c>
    </row>
    <row r="455" spans="1:4" ht="15.75" x14ac:dyDescent="0.25">
      <c r="B455" s="1" t="s">
        <v>131</v>
      </c>
    </row>
    <row r="456" spans="1:4" ht="23.25" x14ac:dyDescent="0.35">
      <c r="B456" s="1655" t="s">
        <v>94</v>
      </c>
      <c r="C456" s="1655"/>
      <c r="D456" s="1655"/>
    </row>
    <row r="457" spans="1:4" ht="23.25" x14ac:dyDescent="0.35">
      <c r="B457" s="1839" t="str">
        <f>$B$9</f>
        <v>DOMACH  POMOCY  SPOŁECZNEJ  W 2011 r.</v>
      </c>
      <c r="C457" s="1839"/>
      <c r="D457" s="1839"/>
    </row>
    <row r="458" spans="1:4" ht="23.25" x14ac:dyDescent="0.35">
      <c r="B458" s="1655" t="s">
        <v>95</v>
      </c>
      <c r="C458" s="1655"/>
      <c r="D458" s="1655"/>
    </row>
    <row r="459" spans="1:4" ht="23.25" x14ac:dyDescent="0.35">
      <c r="B459" s="1839" t="str">
        <f>$B$11</f>
        <v>WG  STANU  NA  DZIEŃ  31. XII. 2011 r.</v>
      </c>
      <c r="C459" s="1839"/>
      <c r="D459" s="1839"/>
    </row>
    <row r="460" spans="1:4" ht="13.5" thickBot="1" x14ac:dyDescent="0.25"/>
    <row r="461" spans="1:4" ht="16.5" thickTop="1" x14ac:dyDescent="0.25">
      <c r="B461" s="1836" t="s">
        <v>430</v>
      </c>
      <c r="C461" s="106" t="s">
        <v>6</v>
      </c>
      <c r="D461" s="107" t="s">
        <v>2</v>
      </c>
    </row>
    <row r="462" spans="1:4" ht="15.75" x14ac:dyDescent="0.25">
      <c r="B462" s="1837"/>
      <c r="C462" s="108" t="s">
        <v>8</v>
      </c>
      <c r="D462" s="109" t="s">
        <v>11</v>
      </c>
    </row>
    <row r="463" spans="1:4" ht="15.75" x14ac:dyDescent="0.25">
      <c r="B463" s="1837"/>
      <c r="C463" s="108" t="s">
        <v>10</v>
      </c>
      <c r="D463" s="109" t="s">
        <v>12</v>
      </c>
    </row>
    <row r="464" spans="1:4" ht="15.75" x14ac:dyDescent="0.25">
      <c r="B464" s="1837"/>
      <c r="C464" s="108" t="s">
        <v>96</v>
      </c>
      <c r="D464" s="109" t="s">
        <v>97</v>
      </c>
    </row>
    <row r="465" spans="1:4" ht="16.5" thickBot="1" x14ac:dyDescent="0.3">
      <c r="B465" s="1838"/>
      <c r="C465" s="1185" t="str">
        <f>$C$17</f>
        <v>w 2011 r.</v>
      </c>
      <c r="D465" s="1186" t="str">
        <f>$D$17</f>
        <v>31.XII.2011 r.</v>
      </c>
    </row>
    <row r="466" spans="1:4" ht="15.75" thickBot="1" x14ac:dyDescent="0.25">
      <c r="B466" s="110">
        <v>0</v>
      </c>
      <c r="C466" s="111">
        <v>1</v>
      </c>
      <c r="D466" s="17">
        <v>2</v>
      </c>
    </row>
    <row r="467" spans="1:4" ht="24" thickTop="1" x14ac:dyDescent="0.2">
      <c r="A467" s="32"/>
      <c r="B467" s="33" t="s">
        <v>193</v>
      </c>
      <c r="C467" s="352">
        <f>SUM(C469:C474)</f>
        <v>447</v>
      </c>
      <c r="D467" s="353">
        <f>SUM(D469:D474)</f>
        <v>407</v>
      </c>
    </row>
    <row r="468" spans="1:4" ht="18.75" thickBot="1" x14ac:dyDescent="0.25">
      <c r="A468" s="32"/>
      <c r="B468" s="112" t="s">
        <v>46</v>
      </c>
      <c r="C468" s="920" t="str">
        <f>IF(C467&lt;='Tab.3. Mieszkańcy_Polska '!G1084, "", "t3w2k1"&amp;"="&amp;'Tab.3. Mieszkańcy_Polska '!G1084&amp;" umieszcze.")</f>
        <v/>
      </c>
      <c r="D468" s="164"/>
    </row>
    <row r="469" spans="1:4" ht="20.25" thickTop="1" thickBot="1" x14ac:dyDescent="0.25">
      <c r="A469" s="32"/>
      <c r="B469" s="188" t="s">
        <v>424</v>
      </c>
      <c r="C469" s="1357">
        <v>82</v>
      </c>
      <c r="D469" s="1358">
        <v>10</v>
      </c>
    </row>
    <row r="470" spans="1:4" ht="19.5" thickBot="1" x14ac:dyDescent="0.25">
      <c r="A470" s="32"/>
      <c r="B470" s="113" t="s">
        <v>425</v>
      </c>
      <c r="C470" s="1359">
        <v>211</v>
      </c>
      <c r="D470" s="1360">
        <v>218</v>
      </c>
    </row>
    <row r="471" spans="1:4" ht="19.5" thickBot="1" x14ac:dyDescent="0.25">
      <c r="A471" s="32"/>
      <c r="B471" s="113" t="s">
        <v>426</v>
      </c>
      <c r="C471" s="1361">
        <v>91</v>
      </c>
      <c r="D471" s="1362">
        <v>96</v>
      </c>
    </row>
    <row r="472" spans="1:4" ht="19.5" thickBot="1" x14ac:dyDescent="0.25">
      <c r="A472" s="32"/>
      <c r="B472" s="114" t="s">
        <v>427</v>
      </c>
      <c r="C472" s="1363">
        <v>21</v>
      </c>
      <c r="D472" s="1364">
        <v>57</v>
      </c>
    </row>
    <row r="473" spans="1:4" ht="19.5" thickBot="1" x14ac:dyDescent="0.25">
      <c r="A473" s="32"/>
      <c r="B473" s="114" t="s">
        <v>428</v>
      </c>
      <c r="C473" s="1361">
        <v>17</v>
      </c>
      <c r="D473" s="1362">
        <v>1</v>
      </c>
    </row>
    <row r="474" spans="1:4" ht="19.5" thickBot="1" x14ac:dyDescent="0.25">
      <c r="A474" s="32"/>
      <c r="B474" s="115" t="s">
        <v>429</v>
      </c>
      <c r="C474" s="1365">
        <v>25</v>
      </c>
      <c r="D474" s="1366">
        <v>25</v>
      </c>
    </row>
    <row r="475" spans="1:4" ht="16.5" thickTop="1" x14ac:dyDescent="0.2">
      <c r="A475" s="32"/>
      <c r="B475" s="182"/>
    </row>
    <row r="476" spans="1:4" ht="15.75" x14ac:dyDescent="0.25">
      <c r="B476" s="1"/>
    </row>
    <row r="477" spans="1:4" ht="18" x14ac:dyDescent="0.25">
      <c r="B477" s="11" t="s">
        <v>123</v>
      </c>
      <c r="C477" s="27"/>
      <c r="D477" s="27"/>
    </row>
    <row r="478" spans="1:4" ht="18" x14ac:dyDescent="0.25">
      <c r="B478" s="11" t="s">
        <v>132</v>
      </c>
    </row>
    <row r="479" spans="1:4" ht="18" x14ac:dyDescent="0.25">
      <c r="B479" s="11"/>
      <c r="C479" s="11" t="s">
        <v>133</v>
      </c>
      <c r="D479" s="27"/>
    </row>
    <row r="480" spans="1:4" ht="18" x14ac:dyDescent="0.25">
      <c r="B480" s="11" t="s">
        <v>137</v>
      </c>
      <c r="C480" s="14" t="s">
        <v>136</v>
      </c>
      <c r="D480" s="14"/>
    </row>
    <row r="482" spans="1:4" ht="26.25" x14ac:dyDescent="0.4">
      <c r="A482" s="267" t="s">
        <v>207</v>
      </c>
      <c r="B482" s="11" t="s">
        <v>116</v>
      </c>
      <c r="D482" s="10" t="s">
        <v>93</v>
      </c>
    </row>
    <row r="483" spans="1:4" ht="18" x14ac:dyDescent="0.25">
      <c r="B483" s="14" t="s">
        <v>129</v>
      </c>
    </row>
    <row r="484" spans="1:4" ht="18" x14ac:dyDescent="0.25">
      <c r="B484" s="11" t="s">
        <v>128</v>
      </c>
      <c r="C484" s="1840" t="str">
        <f>'Tab.1. bilans_Polska'!$E$59</f>
        <v>Termin: 29 luty 2012 r.</v>
      </c>
      <c r="D484" s="1840"/>
    </row>
    <row r="485" spans="1:4" ht="18" x14ac:dyDescent="0.25">
      <c r="B485" s="11"/>
      <c r="C485" s="14"/>
    </row>
    <row r="486" spans="1:4" ht="18" x14ac:dyDescent="0.25">
      <c r="B486" s="11" t="s">
        <v>130</v>
      </c>
    </row>
    <row r="487" spans="1:4" ht="15.75" x14ac:dyDescent="0.25">
      <c r="B487" s="1" t="s">
        <v>131</v>
      </c>
    </row>
    <row r="488" spans="1:4" ht="23.25" x14ac:dyDescent="0.35">
      <c r="B488" s="1655" t="s">
        <v>94</v>
      </c>
      <c r="C488" s="1655"/>
      <c r="D488" s="1655"/>
    </row>
    <row r="489" spans="1:4" ht="23.25" x14ac:dyDescent="0.35">
      <c r="B489" s="1839" t="str">
        <f>$B$9</f>
        <v>DOMACH  POMOCY  SPOŁECZNEJ  W 2011 r.</v>
      </c>
      <c r="C489" s="1839"/>
      <c r="D489" s="1839"/>
    </row>
    <row r="490" spans="1:4" ht="23.25" x14ac:dyDescent="0.35">
      <c r="B490" s="1655" t="s">
        <v>95</v>
      </c>
      <c r="C490" s="1655"/>
      <c r="D490" s="1655"/>
    </row>
    <row r="491" spans="1:4" ht="23.25" x14ac:dyDescent="0.35">
      <c r="B491" s="1839" t="str">
        <f>$B$11</f>
        <v>WG  STANU  NA  DZIEŃ  31. XII. 2011 r.</v>
      </c>
      <c r="C491" s="1839"/>
      <c r="D491" s="1839"/>
    </row>
    <row r="492" spans="1:4" ht="13.5" thickBot="1" x14ac:dyDescent="0.25"/>
    <row r="493" spans="1:4" ht="16.5" thickTop="1" x14ac:dyDescent="0.25">
      <c r="B493" s="1836" t="s">
        <v>430</v>
      </c>
      <c r="C493" s="106" t="s">
        <v>6</v>
      </c>
      <c r="D493" s="107" t="s">
        <v>2</v>
      </c>
    </row>
    <row r="494" spans="1:4" ht="15.75" x14ac:dyDescent="0.25">
      <c r="B494" s="1837"/>
      <c r="C494" s="108" t="s">
        <v>8</v>
      </c>
      <c r="D494" s="109" t="s">
        <v>11</v>
      </c>
    </row>
    <row r="495" spans="1:4" ht="15.75" x14ac:dyDescent="0.25">
      <c r="B495" s="1837"/>
      <c r="C495" s="108" t="s">
        <v>10</v>
      </c>
      <c r="D495" s="109" t="s">
        <v>12</v>
      </c>
    </row>
    <row r="496" spans="1:4" ht="15.75" x14ac:dyDescent="0.25">
      <c r="B496" s="1837"/>
      <c r="C496" s="108" t="s">
        <v>96</v>
      </c>
      <c r="D496" s="109" t="s">
        <v>97</v>
      </c>
    </row>
    <row r="497" spans="1:4" ht="16.5" thickBot="1" x14ac:dyDescent="0.3">
      <c r="B497" s="1838"/>
      <c r="C497" s="1185" t="str">
        <f>$C$17</f>
        <v>w 2011 r.</v>
      </c>
      <c r="D497" s="1186" t="str">
        <f>$D$17</f>
        <v>31.XII.2011 r.</v>
      </c>
    </row>
    <row r="498" spans="1:4" ht="15.75" thickBot="1" x14ac:dyDescent="0.25">
      <c r="B498" s="110">
        <v>0</v>
      </c>
      <c r="C498" s="111">
        <v>1</v>
      </c>
      <c r="D498" s="17">
        <v>2</v>
      </c>
    </row>
    <row r="499" spans="1:4" ht="24" thickTop="1" x14ac:dyDescent="0.2">
      <c r="A499" s="32"/>
      <c r="B499" s="33" t="s">
        <v>193</v>
      </c>
      <c r="C499" s="352">
        <f>SUM(C501:C506)</f>
        <v>900</v>
      </c>
      <c r="D499" s="353">
        <f>SUM(D501:D506)</f>
        <v>637</v>
      </c>
    </row>
    <row r="500" spans="1:4" ht="18.75" thickBot="1" x14ac:dyDescent="0.25">
      <c r="A500" s="32"/>
      <c r="B500" s="112" t="s">
        <v>46</v>
      </c>
      <c r="C500" s="920" t="str">
        <f>IF(C499&lt;='Tab.3. Mieszkańcy_Polska '!G1160, "", "t3w2k1"&amp;"="&amp;'Tab.3. Mieszkańcy_Polska '!G1160&amp;" umieszcze.")</f>
        <v/>
      </c>
      <c r="D500" s="164"/>
    </row>
    <row r="501" spans="1:4" ht="20.25" thickTop="1" thickBot="1" x14ac:dyDescent="0.25">
      <c r="A501" s="32"/>
      <c r="B501" s="188" t="s">
        <v>424</v>
      </c>
      <c r="C501" s="1357">
        <v>225</v>
      </c>
      <c r="D501" s="1358">
        <v>150</v>
      </c>
    </row>
    <row r="502" spans="1:4" ht="19.5" thickBot="1" x14ac:dyDescent="0.25">
      <c r="A502" s="32"/>
      <c r="B502" s="113" t="s">
        <v>425</v>
      </c>
      <c r="C502" s="1359">
        <v>435</v>
      </c>
      <c r="D502" s="1360">
        <v>393</v>
      </c>
    </row>
    <row r="503" spans="1:4" ht="19.5" thickBot="1" x14ac:dyDescent="0.25">
      <c r="A503" s="32"/>
      <c r="B503" s="113" t="s">
        <v>426</v>
      </c>
      <c r="C503" s="1361">
        <v>98</v>
      </c>
      <c r="D503" s="1362">
        <v>76</v>
      </c>
    </row>
    <row r="504" spans="1:4" ht="19.5" thickBot="1" x14ac:dyDescent="0.25">
      <c r="A504" s="32"/>
      <c r="B504" s="114" t="s">
        <v>427</v>
      </c>
      <c r="C504" s="1363">
        <v>87</v>
      </c>
      <c r="D504" s="1364">
        <v>13</v>
      </c>
    </row>
    <row r="505" spans="1:4" ht="19.5" thickBot="1" x14ac:dyDescent="0.25">
      <c r="A505" s="32"/>
      <c r="B505" s="114" t="s">
        <v>428</v>
      </c>
      <c r="C505" s="1361">
        <v>27</v>
      </c>
      <c r="D505" s="1362">
        <v>3</v>
      </c>
    </row>
    <row r="506" spans="1:4" ht="19.5" thickBot="1" x14ac:dyDescent="0.25">
      <c r="A506" s="32"/>
      <c r="B506" s="115" t="s">
        <v>429</v>
      </c>
      <c r="C506" s="1365">
        <v>28</v>
      </c>
      <c r="D506" s="1366">
        <v>2</v>
      </c>
    </row>
    <row r="507" spans="1:4" ht="16.5" thickTop="1" x14ac:dyDescent="0.2">
      <c r="A507" s="32"/>
      <c r="B507" s="182"/>
    </row>
    <row r="508" spans="1:4" ht="15.75" x14ac:dyDescent="0.25">
      <c r="B508" s="1"/>
    </row>
    <row r="509" spans="1:4" ht="18" x14ac:dyDescent="0.25">
      <c r="B509" s="11" t="s">
        <v>123</v>
      </c>
      <c r="C509" s="27"/>
      <c r="D509" s="27"/>
    </row>
    <row r="510" spans="1:4" ht="18" x14ac:dyDescent="0.25">
      <c r="B510" s="11" t="s">
        <v>132</v>
      </c>
    </row>
    <row r="511" spans="1:4" ht="18" x14ac:dyDescent="0.25">
      <c r="B511" s="11"/>
      <c r="C511" s="11" t="s">
        <v>133</v>
      </c>
      <c r="D511" s="27"/>
    </row>
    <row r="512" spans="1:4" ht="18" x14ac:dyDescent="0.25">
      <c r="B512" s="11" t="s">
        <v>137</v>
      </c>
      <c r="C512" s="14" t="s">
        <v>136</v>
      </c>
      <c r="D512" s="14"/>
    </row>
    <row r="514" spans="1:4" ht="26.25" x14ac:dyDescent="0.4">
      <c r="A514" s="267" t="s">
        <v>208</v>
      </c>
      <c r="B514" s="11" t="s">
        <v>116</v>
      </c>
      <c r="D514" s="10" t="s">
        <v>93</v>
      </c>
    </row>
    <row r="515" spans="1:4" ht="18" x14ac:dyDescent="0.25">
      <c r="B515" s="14" t="s">
        <v>129</v>
      </c>
    </row>
    <row r="516" spans="1:4" ht="18" x14ac:dyDescent="0.25">
      <c r="B516" s="11" t="s">
        <v>128</v>
      </c>
      <c r="C516" s="1840" t="str">
        <f>'Tab.1. bilans_Polska'!$E$59</f>
        <v>Termin: 29 luty 2012 r.</v>
      </c>
      <c r="D516" s="1840"/>
    </row>
    <row r="517" spans="1:4" ht="18" x14ac:dyDescent="0.25">
      <c r="B517" s="11"/>
      <c r="C517" s="14"/>
    </row>
    <row r="518" spans="1:4" ht="18" x14ac:dyDescent="0.25">
      <c r="B518" s="11" t="s">
        <v>130</v>
      </c>
    </row>
    <row r="519" spans="1:4" ht="15.75" x14ac:dyDescent="0.25">
      <c r="B519" s="1" t="s">
        <v>131</v>
      </c>
    </row>
    <row r="520" spans="1:4" ht="23.25" x14ac:dyDescent="0.35">
      <c r="B520" s="1655" t="s">
        <v>94</v>
      </c>
      <c r="C520" s="1655"/>
      <c r="D520" s="1655"/>
    </row>
    <row r="521" spans="1:4" ht="23.25" x14ac:dyDescent="0.35">
      <c r="B521" s="1839" t="str">
        <f>$B$9</f>
        <v>DOMACH  POMOCY  SPOŁECZNEJ  W 2011 r.</v>
      </c>
      <c r="C521" s="1839"/>
      <c r="D521" s="1839"/>
    </row>
    <row r="522" spans="1:4" ht="23.25" x14ac:dyDescent="0.35">
      <c r="B522" s="1655" t="s">
        <v>95</v>
      </c>
      <c r="C522" s="1655"/>
      <c r="D522" s="1655"/>
    </row>
    <row r="523" spans="1:4" ht="23.25" x14ac:dyDescent="0.35">
      <c r="B523" s="1839" t="str">
        <f>$B$11</f>
        <v>WG  STANU  NA  DZIEŃ  31. XII. 2011 r.</v>
      </c>
      <c r="C523" s="1839"/>
      <c r="D523" s="1839"/>
    </row>
    <row r="524" spans="1:4" ht="13.5" thickBot="1" x14ac:dyDescent="0.25"/>
    <row r="525" spans="1:4" ht="16.5" thickTop="1" x14ac:dyDescent="0.25">
      <c r="B525" s="1836" t="s">
        <v>430</v>
      </c>
      <c r="C525" s="106" t="s">
        <v>6</v>
      </c>
      <c r="D525" s="107" t="s">
        <v>2</v>
      </c>
    </row>
    <row r="526" spans="1:4" ht="15.75" x14ac:dyDescent="0.25">
      <c r="B526" s="1837"/>
      <c r="C526" s="108" t="s">
        <v>8</v>
      </c>
      <c r="D526" s="109" t="s">
        <v>11</v>
      </c>
    </row>
    <row r="527" spans="1:4" ht="15.75" x14ac:dyDescent="0.25">
      <c r="B527" s="1837"/>
      <c r="C527" s="108" t="s">
        <v>10</v>
      </c>
      <c r="D527" s="109" t="s">
        <v>12</v>
      </c>
    </row>
    <row r="528" spans="1:4" ht="15.75" x14ac:dyDescent="0.25">
      <c r="B528" s="1837"/>
      <c r="C528" s="108" t="s">
        <v>96</v>
      </c>
      <c r="D528" s="109" t="s">
        <v>97</v>
      </c>
    </row>
    <row r="529" spans="1:4" ht="16.5" thickBot="1" x14ac:dyDescent="0.3">
      <c r="B529" s="1838"/>
      <c r="C529" s="1185" t="str">
        <f>$C$17</f>
        <v>w 2011 r.</v>
      </c>
      <c r="D529" s="1186" t="str">
        <f>$D$17</f>
        <v>31.XII.2011 r.</v>
      </c>
    </row>
    <row r="530" spans="1:4" ht="15.75" thickBot="1" x14ac:dyDescent="0.25">
      <c r="B530" s="110">
        <v>0</v>
      </c>
      <c r="C530" s="111">
        <v>1</v>
      </c>
      <c r="D530" s="17">
        <v>2</v>
      </c>
    </row>
    <row r="531" spans="1:4" ht="24" thickTop="1" x14ac:dyDescent="0.2">
      <c r="A531" s="32"/>
      <c r="B531" s="33" t="s">
        <v>193</v>
      </c>
      <c r="C531" s="352">
        <f>SUM(C533:C538)</f>
        <v>435</v>
      </c>
      <c r="D531" s="353">
        <f>SUM(D533:D538)</f>
        <v>231</v>
      </c>
    </row>
    <row r="532" spans="1:4" ht="18.75" thickBot="1" x14ac:dyDescent="0.25">
      <c r="A532" s="32"/>
      <c r="B532" s="112" t="s">
        <v>46</v>
      </c>
      <c r="C532" s="920" t="str">
        <f>IF(C531&lt;='Tab.3. Mieszkańcy_Polska '!G1236, "", "t3w2k1"&amp;"="&amp;'Tab.3. Mieszkańcy_Polska '!G1236&amp;" umieszcze.")</f>
        <v/>
      </c>
      <c r="D532" s="164"/>
    </row>
    <row r="533" spans="1:4" ht="20.25" thickTop="1" thickBot="1" x14ac:dyDescent="0.25">
      <c r="A533" s="32"/>
      <c r="B533" s="188" t="s">
        <v>424</v>
      </c>
      <c r="C533" s="1357">
        <v>83</v>
      </c>
      <c r="D533" s="1358">
        <v>17</v>
      </c>
    </row>
    <row r="534" spans="1:4" ht="19.5" thickBot="1" x14ac:dyDescent="0.25">
      <c r="A534" s="32"/>
      <c r="B534" s="113" t="s">
        <v>425</v>
      </c>
      <c r="C534" s="1359">
        <v>269</v>
      </c>
      <c r="D534" s="1360">
        <v>59</v>
      </c>
    </row>
    <row r="535" spans="1:4" ht="19.5" thickBot="1" x14ac:dyDescent="0.25">
      <c r="A535" s="32"/>
      <c r="B535" s="113" t="s">
        <v>426</v>
      </c>
      <c r="C535" s="1361">
        <v>46</v>
      </c>
      <c r="D535" s="1362">
        <v>141</v>
      </c>
    </row>
    <row r="536" spans="1:4" ht="19.5" thickBot="1" x14ac:dyDescent="0.25">
      <c r="A536" s="32"/>
      <c r="B536" s="114" t="s">
        <v>427</v>
      </c>
      <c r="C536" s="1363">
        <v>31</v>
      </c>
      <c r="D536" s="1364">
        <v>14</v>
      </c>
    </row>
    <row r="537" spans="1:4" ht="19.5" thickBot="1" x14ac:dyDescent="0.25">
      <c r="A537" s="32"/>
      <c r="B537" s="114" t="s">
        <v>428</v>
      </c>
      <c r="C537" s="1361">
        <v>6</v>
      </c>
      <c r="D537" s="1362">
        <v>0</v>
      </c>
    </row>
    <row r="538" spans="1:4" ht="19.5" thickBot="1" x14ac:dyDescent="0.25">
      <c r="A538" s="32"/>
      <c r="B538" s="115" t="s">
        <v>429</v>
      </c>
      <c r="C538" s="1365">
        <v>0</v>
      </c>
      <c r="D538" s="1366">
        <v>0</v>
      </c>
    </row>
    <row r="539" spans="1:4" ht="16.5" thickTop="1" x14ac:dyDescent="0.2">
      <c r="A539" s="32"/>
      <c r="B539" s="182"/>
    </row>
    <row r="540" spans="1:4" ht="15.75" x14ac:dyDescent="0.25">
      <c r="B540" s="1"/>
    </row>
    <row r="541" spans="1:4" ht="18" x14ac:dyDescent="0.25">
      <c r="B541" s="11" t="s">
        <v>123</v>
      </c>
      <c r="C541" s="27"/>
      <c r="D541" s="27"/>
    </row>
    <row r="542" spans="1:4" ht="18" x14ac:dyDescent="0.25">
      <c r="B542" s="11" t="s">
        <v>132</v>
      </c>
    </row>
    <row r="543" spans="1:4" ht="18" x14ac:dyDescent="0.25">
      <c r="B543" s="11"/>
      <c r="C543" s="11" t="s">
        <v>133</v>
      </c>
      <c r="D543" s="27"/>
    </row>
    <row r="544" spans="1:4" ht="18" x14ac:dyDescent="0.25">
      <c r="B544" s="11" t="s">
        <v>137</v>
      </c>
      <c r="C544" s="14" t="s">
        <v>136</v>
      </c>
      <c r="D544" s="14"/>
    </row>
  </sheetData>
  <dataConsolidate/>
  <mergeCells count="103">
    <mergeCell ref="C452:D452"/>
    <mergeCell ref="C484:D484"/>
    <mergeCell ref="C516:D516"/>
    <mergeCell ref="B426:D426"/>
    <mergeCell ref="B427:D427"/>
    <mergeCell ref="B490:D490"/>
    <mergeCell ref="B491:D491"/>
    <mergeCell ref="B456:D456"/>
    <mergeCell ref="B457:D457"/>
    <mergeCell ref="B458:D458"/>
    <mergeCell ref="B235:D235"/>
    <mergeCell ref="C324:D324"/>
    <mergeCell ref="C356:D356"/>
    <mergeCell ref="C388:D388"/>
    <mergeCell ref="B298:D298"/>
    <mergeCell ref="B299:D299"/>
    <mergeCell ref="B328:D328"/>
    <mergeCell ref="B329:D329"/>
    <mergeCell ref="B330:D330"/>
    <mergeCell ref="B331:D331"/>
    <mergeCell ref="B43:D43"/>
    <mergeCell ref="C164:D164"/>
    <mergeCell ref="C196:D196"/>
    <mergeCell ref="C228:D228"/>
    <mergeCell ref="C260:D260"/>
    <mergeCell ref="B168:D168"/>
    <mergeCell ref="B169:D169"/>
    <mergeCell ref="B170:D170"/>
    <mergeCell ref="B171:D171"/>
    <mergeCell ref="B234:D234"/>
    <mergeCell ref="C36:D36"/>
    <mergeCell ref="C4:D4"/>
    <mergeCell ref="C68:D68"/>
    <mergeCell ref="C100:D100"/>
    <mergeCell ref="C132:D132"/>
    <mergeCell ref="B104:D104"/>
    <mergeCell ref="B105:D105"/>
    <mergeCell ref="B40:D40"/>
    <mergeCell ref="B41:D41"/>
    <mergeCell ref="B42:D42"/>
    <mergeCell ref="G29:H29"/>
    <mergeCell ref="B8:D8"/>
    <mergeCell ref="B9:D9"/>
    <mergeCell ref="B10:D10"/>
    <mergeCell ref="B11:D11"/>
    <mergeCell ref="B13:B17"/>
    <mergeCell ref="B266:D266"/>
    <mergeCell ref="B267:D267"/>
    <mergeCell ref="C292:D292"/>
    <mergeCell ref="B72:D72"/>
    <mergeCell ref="B73:D73"/>
    <mergeCell ref="B74:D74"/>
    <mergeCell ref="B75:D75"/>
    <mergeCell ref="B200:D200"/>
    <mergeCell ref="B201:D201"/>
    <mergeCell ref="B107:D107"/>
    <mergeCell ref="B395:D395"/>
    <mergeCell ref="C420:D420"/>
    <mergeCell ref="B297:D297"/>
    <mergeCell ref="B362:D362"/>
    <mergeCell ref="B333:B337"/>
    <mergeCell ref="B365:B369"/>
    <mergeCell ref="B397:B401"/>
    <mergeCell ref="B137:D137"/>
    <mergeCell ref="B138:D138"/>
    <mergeCell ref="B139:D139"/>
    <mergeCell ref="B106:D106"/>
    <mergeCell ref="B363:D363"/>
    <mergeCell ref="B424:D424"/>
    <mergeCell ref="B202:D202"/>
    <mergeCell ref="B203:D203"/>
    <mergeCell ref="B233:D233"/>
    <mergeCell ref="B296:D296"/>
    <mergeCell ref="B269:B273"/>
    <mergeCell ref="B264:D264"/>
    <mergeCell ref="B265:D265"/>
    <mergeCell ref="B232:D232"/>
    <mergeCell ref="B459:D459"/>
    <mergeCell ref="B45:B49"/>
    <mergeCell ref="B77:B81"/>
    <mergeCell ref="B109:B113"/>
    <mergeCell ref="B141:B145"/>
    <mergeCell ref="B136:D136"/>
    <mergeCell ref="B429:B433"/>
    <mergeCell ref="B461:B465"/>
    <mergeCell ref="B493:B497"/>
    <mergeCell ref="B488:D488"/>
    <mergeCell ref="B360:D360"/>
    <mergeCell ref="B361:D361"/>
    <mergeCell ref="B425:D425"/>
    <mergeCell ref="B392:D392"/>
    <mergeCell ref="B393:D393"/>
    <mergeCell ref="B394:D394"/>
    <mergeCell ref="B525:B529"/>
    <mergeCell ref="B520:D520"/>
    <mergeCell ref="B521:D521"/>
    <mergeCell ref="B522:D522"/>
    <mergeCell ref="B523:D523"/>
    <mergeCell ref="B173:B177"/>
    <mergeCell ref="B205:B209"/>
    <mergeCell ref="B237:B241"/>
    <mergeCell ref="B489:D489"/>
    <mergeCell ref="B301:B305"/>
  </mergeCells>
  <phoneticPr fontId="82" type="noConversion"/>
  <printOptions horizontalCentered="1"/>
  <pageMargins left="1.0629921259842521" right="0.94488188976377963" top="1.4566929133858268" bottom="0.19685039370078741" header="0" footer="0.74803149606299213"/>
  <pageSetup paperSize="9" scale="62" orientation="portrait" r:id="rId1"/>
  <headerFooter alignWithMargins="0"/>
  <ignoredErrors>
    <ignoredError sqref="A98 A322 A1 A449 A354 A130 A417 A162 A482 A290 A514 A386 A258 A226 A194 A66 A3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4"/>
    <pageSetUpPr fitToPage="1"/>
  </sheetPr>
  <dimension ref="A1:X595"/>
  <sheetViews>
    <sheetView zoomScale="53" workbookViewId="0"/>
  </sheetViews>
  <sheetFormatPr defaultRowHeight="12.75" x14ac:dyDescent="0.2"/>
  <cols>
    <col min="1" max="1" width="5.85546875" bestFit="1" customWidth="1"/>
    <col min="2" max="2" width="66.140625" customWidth="1"/>
    <col min="3" max="3" width="4.7109375" bestFit="1" customWidth="1"/>
    <col min="4" max="15" width="21.7109375" customWidth="1"/>
  </cols>
  <sheetData>
    <row r="1" spans="1:15" ht="26.25" x14ac:dyDescent="0.4">
      <c r="A1" s="267"/>
      <c r="B1" s="266" t="s">
        <v>195</v>
      </c>
    </row>
    <row r="2" spans="1:15" ht="18" x14ac:dyDescent="0.2">
      <c r="N2" s="1688" t="s">
        <v>483</v>
      </c>
      <c r="O2" s="1688"/>
    </row>
    <row r="3" spans="1:15" ht="18" x14ac:dyDescent="0.25">
      <c r="B3" s="11"/>
      <c r="C3" s="3"/>
      <c r="D3" s="3"/>
      <c r="E3" s="3"/>
      <c r="F3" s="3"/>
      <c r="G3" s="3"/>
      <c r="H3" s="3"/>
      <c r="I3" s="3"/>
      <c r="J3" s="3"/>
      <c r="K3" s="11"/>
      <c r="L3" s="3"/>
      <c r="M3" s="3"/>
    </row>
    <row r="4" spans="1:15" ht="18" x14ac:dyDescent="0.25">
      <c r="B4" s="14"/>
      <c r="C4" s="29"/>
      <c r="D4" s="3"/>
      <c r="E4" s="3"/>
      <c r="F4" s="3"/>
      <c r="G4" s="3"/>
      <c r="H4" s="3"/>
      <c r="I4" s="3"/>
    </row>
    <row r="5" spans="1:15" ht="18" x14ac:dyDescent="0.25">
      <c r="B5" s="11"/>
      <c r="C5" s="3"/>
      <c r="D5" s="3"/>
      <c r="E5" s="3"/>
      <c r="F5" s="3"/>
      <c r="G5" s="3"/>
      <c r="H5" s="3"/>
      <c r="I5" s="3"/>
    </row>
    <row r="6" spans="1:15" ht="18" x14ac:dyDescent="0.25">
      <c r="B6" s="11"/>
      <c r="C6" s="3"/>
      <c r="D6" s="3"/>
      <c r="E6" s="3"/>
      <c r="F6" s="3"/>
      <c r="G6" s="3"/>
      <c r="H6" s="3"/>
      <c r="I6" s="3"/>
      <c r="J6" s="3"/>
      <c r="K6" s="3"/>
      <c r="L6" s="3"/>
      <c r="M6" s="3"/>
      <c r="N6" s="3"/>
    </row>
    <row r="7" spans="1:15" ht="18" x14ac:dyDescent="0.25">
      <c r="B7" s="1138" t="s">
        <v>195</v>
      </c>
      <c r="C7" s="3"/>
      <c r="D7" s="3"/>
      <c r="E7" s="3"/>
      <c r="F7" s="3"/>
      <c r="G7" s="3"/>
      <c r="H7" s="3"/>
      <c r="I7" s="3"/>
      <c r="J7" s="3"/>
      <c r="K7" s="3"/>
      <c r="L7" s="3"/>
      <c r="M7" s="3"/>
      <c r="N7" s="3"/>
    </row>
    <row r="8" spans="1:15" ht="15.75" x14ac:dyDescent="0.25">
      <c r="B8" s="1"/>
      <c r="C8" s="3"/>
      <c r="D8" s="3"/>
      <c r="E8" s="3"/>
      <c r="F8" s="3"/>
      <c r="G8" s="3"/>
      <c r="H8" s="3"/>
      <c r="I8" s="3"/>
      <c r="J8" s="3"/>
      <c r="K8" s="3"/>
      <c r="L8" s="3"/>
      <c r="M8" s="3"/>
      <c r="N8" s="3"/>
    </row>
    <row r="9" spans="1:15" ht="15.75" x14ac:dyDescent="0.25">
      <c r="B9" s="1"/>
      <c r="C9" s="3"/>
      <c r="D9" s="3"/>
      <c r="E9" s="3"/>
      <c r="F9" s="3"/>
      <c r="G9" s="3"/>
      <c r="H9" s="3"/>
      <c r="I9" s="3"/>
      <c r="J9" s="3"/>
      <c r="K9" s="1"/>
      <c r="L9" s="3"/>
      <c r="M9" s="3"/>
      <c r="N9" s="3"/>
    </row>
    <row r="10" spans="1:15" ht="23.25" x14ac:dyDescent="0.35">
      <c r="B10" s="1655" t="s">
        <v>482</v>
      </c>
      <c r="C10" s="1655"/>
      <c r="D10" s="1655"/>
      <c r="E10" s="1655"/>
      <c r="F10" s="1655"/>
      <c r="G10" s="1655"/>
      <c r="H10" s="1655"/>
      <c r="I10" s="1655"/>
      <c r="J10" s="1655"/>
      <c r="K10" s="1655"/>
      <c r="L10" s="1655"/>
      <c r="M10" s="1655"/>
      <c r="N10" s="1655"/>
      <c r="O10" s="1655"/>
    </row>
    <row r="11" spans="1:15" ht="23.25" x14ac:dyDescent="0.35">
      <c r="B11" s="1685" t="str">
        <f>"W PODZIALE NA DOMY SAMORZĄDÓW I PODMIOTÓW NIEPUBLICZNYCH WG ST. NA DZIEŃ 31. XII. "&amp;'Tab.1. bilans_Polska'!A2&amp;" r."</f>
        <v>W PODZIALE NA DOMY SAMORZĄDÓW I PODMIOTÓW NIEPUBLICZNYCH WG ST. NA DZIEŃ 31. XII. 2011 r.</v>
      </c>
      <c r="C11" s="1685"/>
      <c r="D11" s="1685"/>
      <c r="E11" s="1685"/>
      <c r="F11" s="1685"/>
      <c r="G11" s="1685"/>
      <c r="H11" s="1685"/>
      <c r="I11" s="1685"/>
      <c r="J11" s="1685"/>
      <c r="K11" s="1685"/>
      <c r="L11" s="1685"/>
      <c r="M11" s="1685"/>
      <c r="N11" s="1685"/>
      <c r="O11" s="1685"/>
    </row>
    <row r="12" spans="1:15" ht="23.25" x14ac:dyDescent="0.35">
      <c r="B12" s="28"/>
      <c r="C12" s="3"/>
      <c r="D12" s="3"/>
      <c r="E12" s="3"/>
      <c r="F12" s="3"/>
      <c r="G12" s="3"/>
      <c r="H12" s="3"/>
      <c r="I12" s="3"/>
      <c r="J12" s="3"/>
      <c r="K12" s="3"/>
      <c r="L12" s="3"/>
      <c r="M12" s="3"/>
      <c r="N12" s="3"/>
    </row>
    <row r="13" spans="1:15" ht="24" thickBot="1" x14ac:dyDescent="0.4">
      <c r="B13" s="30"/>
      <c r="C13" s="30"/>
      <c r="D13" s="939"/>
      <c r="E13" s="939"/>
      <c r="F13" s="939"/>
      <c r="G13" s="940"/>
      <c r="H13" s="940"/>
      <c r="I13" s="940"/>
      <c r="J13" s="939"/>
      <c r="K13" s="940"/>
      <c r="L13" s="940"/>
      <c r="M13" s="940"/>
      <c r="N13" s="942"/>
      <c r="O13" s="941"/>
    </row>
    <row r="14" spans="1:15" ht="24" thickTop="1" x14ac:dyDescent="0.2">
      <c r="B14" s="1660" t="s">
        <v>476</v>
      </c>
      <c r="C14" s="1661"/>
      <c r="D14" s="1677" t="s">
        <v>3</v>
      </c>
      <c r="E14" s="1678"/>
      <c r="F14" s="1678"/>
      <c r="G14" s="1679"/>
      <c r="H14" s="1668" t="s">
        <v>477</v>
      </c>
      <c r="I14" s="1669"/>
      <c r="J14" s="1669"/>
      <c r="K14" s="1669"/>
      <c r="L14" s="1669"/>
      <c r="M14" s="1669"/>
      <c r="N14" s="1669"/>
      <c r="O14" s="1670"/>
    </row>
    <row r="15" spans="1:15" ht="15.75" customHeight="1" thickBot="1" x14ac:dyDescent="0.25">
      <c r="B15" s="1662"/>
      <c r="C15" s="1663"/>
      <c r="D15" s="1649" t="str">
        <f>UPPER("Domy 
zareje-
strowane")</f>
        <v>DOMY 
ZAREJE-
STROWANE</v>
      </c>
      <c r="E15" s="1646" t="s">
        <v>454</v>
      </c>
      <c r="F15" s="1646" t="s">
        <v>455</v>
      </c>
      <c r="G15" s="1666" t="s">
        <v>281</v>
      </c>
      <c r="H15" s="1671"/>
      <c r="I15" s="1672"/>
      <c r="J15" s="1672"/>
      <c r="K15" s="1672"/>
      <c r="L15" s="1672"/>
      <c r="M15" s="1672"/>
      <c r="N15" s="1672"/>
      <c r="O15" s="1673"/>
    </row>
    <row r="16" spans="1:15" ht="18" x14ac:dyDescent="0.2">
      <c r="B16" s="1662"/>
      <c r="C16" s="1663"/>
      <c r="D16" s="1650"/>
      <c r="E16" s="1647"/>
      <c r="F16" s="1647"/>
      <c r="G16" s="1667"/>
      <c r="H16" s="1656" t="s">
        <v>484</v>
      </c>
      <c r="I16" s="1656"/>
      <c r="J16" s="1656"/>
      <c r="K16" s="1657"/>
      <c r="L16" s="1658" t="s">
        <v>18</v>
      </c>
      <c r="M16" s="1656"/>
      <c r="N16" s="1656"/>
      <c r="O16" s="1659"/>
    </row>
    <row r="17" spans="2:24" ht="18" customHeight="1" x14ac:dyDescent="0.2">
      <c r="B17" s="1662"/>
      <c r="C17" s="1663"/>
      <c r="D17" s="1650"/>
      <c r="E17" s="1647"/>
      <c r="F17" s="1647"/>
      <c r="G17" s="1667"/>
      <c r="H17" s="1649" t="s">
        <v>460</v>
      </c>
      <c r="I17" s="1646" t="s">
        <v>456</v>
      </c>
      <c r="J17" s="1646" t="s">
        <v>393</v>
      </c>
      <c r="K17" s="1666" t="s">
        <v>457</v>
      </c>
      <c r="L17" s="1649" t="s">
        <v>460</v>
      </c>
      <c r="M17" s="1646" t="s">
        <v>456</v>
      </c>
      <c r="N17" s="1646" t="s">
        <v>393</v>
      </c>
      <c r="O17" s="1682" t="s">
        <v>457</v>
      </c>
    </row>
    <row r="18" spans="2:24" ht="18" customHeight="1" thickBot="1" x14ac:dyDescent="0.25">
      <c r="B18" s="1662"/>
      <c r="C18" s="1663"/>
      <c r="D18" s="1650"/>
      <c r="E18" s="1647"/>
      <c r="F18" s="1647"/>
      <c r="G18" s="1667"/>
      <c r="H18" s="1650"/>
      <c r="I18" s="1647"/>
      <c r="J18" s="1647"/>
      <c r="K18" s="1667"/>
      <c r="L18" s="1650"/>
      <c r="M18" s="1647"/>
      <c r="N18" s="1647"/>
      <c r="O18" s="1683"/>
    </row>
    <row r="19" spans="2:24" ht="18" customHeight="1" x14ac:dyDescent="0.2">
      <c r="B19" s="1664"/>
      <c r="C19" s="1665"/>
      <c r="D19" s="1073" t="s">
        <v>459</v>
      </c>
      <c r="E19" s="1074" t="s">
        <v>461</v>
      </c>
      <c r="F19" s="1071" t="s">
        <v>462</v>
      </c>
      <c r="G19" s="1072" t="s">
        <v>463</v>
      </c>
      <c r="H19" s="1651"/>
      <c r="I19" s="1648"/>
      <c r="J19" s="1648"/>
      <c r="K19" s="1674"/>
      <c r="L19" s="1651"/>
      <c r="M19" s="1648"/>
      <c r="N19" s="1648"/>
      <c r="O19" s="1684"/>
    </row>
    <row r="20" spans="2:24" ht="16.5" thickBot="1" x14ac:dyDescent="0.3">
      <c r="B20" s="1680">
        <v>0</v>
      </c>
      <c r="C20" s="1681"/>
      <c r="D20" s="48">
        <v>1</v>
      </c>
      <c r="E20" s="1056">
        <v>2</v>
      </c>
      <c r="F20" s="49">
        <v>3</v>
      </c>
      <c r="G20" s="50">
        <v>4</v>
      </c>
      <c r="H20" s="1075">
        <v>5</v>
      </c>
      <c r="I20" s="1056">
        <v>6</v>
      </c>
      <c r="J20" s="49">
        <v>7</v>
      </c>
      <c r="K20" s="50">
        <v>8</v>
      </c>
      <c r="L20" s="1075">
        <v>9</v>
      </c>
      <c r="M20" s="1056">
        <v>10</v>
      </c>
      <c r="N20" s="49">
        <v>11</v>
      </c>
      <c r="O20" s="51">
        <v>12</v>
      </c>
    </row>
    <row r="21" spans="2:24" ht="70.5" thickTop="1" x14ac:dyDescent="0.2">
      <c r="B21" s="946" t="s">
        <v>468</v>
      </c>
      <c r="C21" s="1652">
        <v>1</v>
      </c>
      <c r="D21" s="1066">
        <v>799</v>
      </c>
      <c r="E21" s="280">
        <v>799</v>
      </c>
      <c r="F21" s="271">
        <v>78275</v>
      </c>
      <c r="G21" s="272">
        <v>77081</v>
      </c>
      <c r="H21" s="1076">
        <v>595</v>
      </c>
      <c r="I21" s="279">
        <v>595</v>
      </c>
      <c r="J21" s="279">
        <v>64761</v>
      </c>
      <c r="K21" s="280">
        <v>63871</v>
      </c>
      <c r="L21" s="1076">
        <v>204</v>
      </c>
      <c r="M21" s="1194">
        <v>204</v>
      </c>
      <c r="N21" s="279">
        <v>13514</v>
      </c>
      <c r="O21" s="281">
        <v>13210</v>
      </c>
    </row>
    <row r="22" spans="2:24" ht="13.5" thickBot="1" x14ac:dyDescent="0.25">
      <c r="B22" s="53" t="s">
        <v>469</v>
      </c>
      <c r="C22" s="1653"/>
      <c r="D22" s="1067"/>
      <c r="E22" s="1102"/>
      <c r="F22" s="399"/>
      <c r="G22" s="400"/>
      <c r="H22" s="1077"/>
      <c r="I22" s="1102"/>
      <c r="J22" s="185"/>
      <c r="K22" s="54"/>
      <c r="L22" s="1077"/>
      <c r="M22" s="1102"/>
      <c r="N22" s="185"/>
      <c r="O22" s="55"/>
    </row>
    <row r="23" spans="2:24" ht="21.95" customHeight="1" thickTop="1" x14ac:dyDescent="0.2">
      <c r="B23" s="815" t="s">
        <v>470</v>
      </c>
      <c r="C23" s="816">
        <v>2</v>
      </c>
      <c r="D23" s="1063">
        <v>128</v>
      </c>
      <c r="E23" s="1057">
        <v>131</v>
      </c>
      <c r="F23" s="273">
        <v>9115</v>
      </c>
      <c r="G23" s="274">
        <v>8838</v>
      </c>
      <c r="H23" s="1068">
        <v>90</v>
      </c>
      <c r="I23" s="1060">
        <v>92</v>
      </c>
      <c r="J23" s="1009">
        <v>7099</v>
      </c>
      <c r="K23" s="1010">
        <v>6904</v>
      </c>
      <c r="L23" s="1068">
        <v>38</v>
      </c>
      <c r="M23" s="1060">
        <v>39</v>
      </c>
      <c r="N23" s="1009">
        <v>2016</v>
      </c>
      <c r="O23" s="1011">
        <v>1934</v>
      </c>
    </row>
    <row r="24" spans="2:24" ht="21.95" customHeight="1" x14ac:dyDescent="0.2">
      <c r="B24" s="817" t="s">
        <v>471</v>
      </c>
      <c r="C24" s="818">
        <v>3</v>
      </c>
      <c r="D24" s="1064">
        <v>158</v>
      </c>
      <c r="E24" s="1058">
        <v>162</v>
      </c>
      <c r="F24" s="275">
        <v>15927</v>
      </c>
      <c r="G24" s="276">
        <v>15572</v>
      </c>
      <c r="H24" s="1069">
        <v>132</v>
      </c>
      <c r="I24" s="1061">
        <v>135</v>
      </c>
      <c r="J24" s="1012">
        <v>14149</v>
      </c>
      <c r="K24" s="1013">
        <v>13855</v>
      </c>
      <c r="L24" s="1069">
        <v>26</v>
      </c>
      <c r="M24" s="1061">
        <v>27</v>
      </c>
      <c r="N24" s="1012">
        <v>1778</v>
      </c>
      <c r="O24" s="1014">
        <v>1717</v>
      </c>
    </row>
    <row r="25" spans="2:24" ht="21.95" customHeight="1" x14ac:dyDescent="0.2">
      <c r="B25" s="817" t="s">
        <v>472</v>
      </c>
      <c r="C25" s="818">
        <v>4</v>
      </c>
      <c r="D25" s="1064">
        <v>164</v>
      </c>
      <c r="E25" s="1058">
        <v>177</v>
      </c>
      <c r="F25" s="275">
        <v>20687</v>
      </c>
      <c r="G25" s="276">
        <v>20595</v>
      </c>
      <c r="H25" s="1069">
        <v>141</v>
      </c>
      <c r="I25" s="1061">
        <v>154</v>
      </c>
      <c r="J25" s="1012">
        <v>18781</v>
      </c>
      <c r="K25" s="1013">
        <v>18709</v>
      </c>
      <c r="L25" s="1069">
        <v>23</v>
      </c>
      <c r="M25" s="1061">
        <v>23</v>
      </c>
      <c r="N25" s="1012">
        <v>1906</v>
      </c>
      <c r="O25" s="1014">
        <v>1886</v>
      </c>
    </row>
    <row r="26" spans="2:24" ht="21.95" customHeight="1" x14ac:dyDescent="0.2">
      <c r="B26" s="817" t="s">
        <v>473</v>
      </c>
      <c r="C26" s="818">
        <v>5</v>
      </c>
      <c r="D26" s="1064">
        <v>134</v>
      </c>
      <c r="E26" s="1058">
        <v>141</v>
      </c>
      <c r="F26" s="275">
        <v>12318</v>
      </c>
      <c r="G26" s="276">
        <v>12238</v>
      </c>
      <c r="H26" s="1069">
        <v>103</v>
      </c>
      <c r="I26" s="1061">
        <v>109</v>
      </c>
      <c r="J26" s="1012">
        <v>10698</v>
      </c>
      <c r="K26" s="1013">
        <v>10629</v>
      </c>
      <c r="L26" s="1069">
        <v>31</v>
      </c>
      <c r="M26" s="1061">
        <v>32</v>
      </c>
      <c r="N26" s="1012">
        <v>1620</v>
      </c>
      <c r="O26" s="1014">
        <v>1609</v>
      </c>
    </row>
    <row r="27" spans="2:24" ht="21.95" customHeight="1" x14ac:dyDescent="0.2">
      <c r="B27" s="817" t="s">
        <v>474</v>
      </c>
      <c r="C27" s="818">
        <v>6</v>
      </c>
      <c r="D27" s="1064">
        <v>69</v>
      </c>
      <c r="E27" s="1058">
        <v>72</v>
      </c>
      <c r="F27" s="275">
        <v>5410</v>
      </c>
      <c r="G27" s="276">
        <v>5344</v>
      </c>
      <c r="H27" s="1069">
        <v>20</v>
      </c>
      <c r="I27" s="1061">
        <v>22</v>
      </c>
      <c r="J27" s="1012">
        <v>2058</v>
      </c>
      <c r="K27" s="1013">
        <v>2037</v>
      </c>
      <c r="L27" s="1069">
        <v>49</v>
      </c>
      <c r="M27" s="1061">
        <v>50</v>
      </c>
      <c r="N27" s="1012">
        <v>3352</v>
      </c>
      <c r="O27" s="1014">
        <v>3307</v>
      </c>
    </row>
    <row r="28" spans="2:24" ht="21.95" customHeight="1" thickBot="1" x14ac:dyDescent="0.25">
      <c r="B28" s="819" t="s">
        <v>475</v>
      </c>
      <c r="C28" s="820">
        <v>7</v>
      </c>
      <c r="D28" s="1065">
        <v>8</v>
      </c>
      <c r="E28" s="1059">
        <v>10</v>
      </c>
      <c r="F28" s="277">
        <v>901</v>
      </c>
      <c r="G28" s="278">
        <v>891</v>
      </c>
      <c r="H28" s="1070">
        <v>3</v>
      </c>
      <c r="I28" s="1062">
        <v>4</v>
      </c>
      <c r="J28" s="1015">
        <v>290</v>
      </c>
      <c r="K28" s="1016">
        <v>288</v>
      </c>
      <c r="L28" s="1070">
        <v>5</v>
      </c>
      <c r="M28" s="1062">
        <v>6</v>
      </c>
      <c r="N28" s="1015">
        <v>611</v>
      </c>
      <c r="O28" s="1017">
        <v>603</v>
      </c>
    </row>
    <row r="29" spans="2:24" ht="48" customHeight="1" thickTop="1" x14ac:dyDescent="0.2">
      <c r="B29" s="821" t="s">
        <v>478</v>
      </c>
      <c r="C29" s="822">
        <v>8</v>
      </c>
      <c r="D29" s="827">
        <v>78</v>
      </c>
      <c r="E29" s="827">
        <v>79</v>
      </c>
      <c r="F29" s="828">
        <v>7717</v>
      </c>
      <c r="G29" s="829">
        <v>7514</v>
      </c>
      <c r="H29" s="1018">
        <v>61</v>
      </c>
      <c r="I29" s="1018">
        <v>61</v>
      </c>
      <c r="J29" s="1019">
        <v>6533</v>
      </c>
      <c r="K29" s="1020">
        <v>6388</v>
      </c>
      <c r="L29" s="1018">
        <v>17</v>
      </c>
      <c r="M29" s="1018">
        <v>18</v>
      </c>
      <c r="N29" s="1019">
        <v>1184</v>
      </c>
      <c r="O29" s="1021">
        <v>1126</v>
      </c>
    </row>
    <row r="30" spans="2:24" ht="48" customHeight="1" x14ac:dyDescent="0.25">
      <c r="B30" s="823" t="s">
        <v>479</v>
      </c>
      <c r="C30" s="824">
        <v>9</v>
      </c>
      <c r="D30" s="830">
        <v>9</v>
      </c>
      <c r="E30" s="830">
        <v>11</v>
      </c>
      <c r="F30" s="275">
        <v>1246</v>
      </c>
      <c r="G30" s="831">
        <v>1246</v>
      </c>
      <c r="H30" s="1022">
        <v>9</v>
      </c>
      <c r="I30" s="1022">
        <v>11</v>
      </c>
      <c r="J30" s="1012">
        <v>1246</v>
      </c>
      <c r="K30" s="1023">
        <v>1246</v>
      </c>
      <c r="L30" s="1022">
        <v>0</v>
      </c>
      <c r="M30" s="1022">
        <v>0</v>
      </c>
      <c r="N30" s="1012">
        <v>0</v>
      </c>
      <c r="O30" s="1024">
        <v>0</v>
      </c>
      <c r="X30" s="807"/>
    </row>
    <row r="31" spans="2:24" ht="48" customHeight="1" x14ac:dyDescent="0.25">
      <c r="B31" s="823" t="s">
        <v>480</v>
      </c>
      <c r="C31" s="824">
        <v>10</v>
      </c>
      <c r="D31" s="830">
        <v>15</v>
      </c>
      <c r="E31" s="830">
        <v>15</v>
      </c>
      <c r="F31" s="275">
        <v>1514</v>
      </c>
      <c r="G31" s="831">
        <v>1408</v>
      </c>
      <c r="H31" s="1022">
        <v>13</v>
      </c>
      <c r="I31" s="1022">
        <v>13</v>
      </c>
      <c r="J31" s="1012">
        <v>1391</v>
      </c>
      <c r="K31" s="1023">
        <v>1302</v>
      </c>
      <c r="L31" s="1022">
        <v>2</v>
      </c>
      <c r="M31" s="1022">
        <v>2</v>
      </c>
      <c r="N31" s="1012">
        <v>123</v>
      </c>
      <c r="O31" s="1024">
        <v>106</v>
      </c>
      <c r="X31" s="807"/>
    </row>
    <row r="32" spans="2:24" ht="48" customHeight="1" thickBot="1" x14ac:dyDescent="0.3">
      <c r="B32" s="825" t="s">
        <v>481</v>
      </c>
      <c r="C32" s="826">
        <v>11</v>
      </c>
      <c r="D32" s="832">
        <v>36</v>
      </c>
      <c r="E32" s="832">
        <v>36</v>
      </c>
      <c r="F32" s="277">
        <v>3440</v>
      </c>
      <c r="G32" s="833">
        <v>3435</v>
      </c>
      <c r="H32" s="1025">
        <v>23</v>
      </c>
      <c r="I32" s="1025">
        <v>23</v>
      </c>
      <c r="J32" s="1015">
        <v>2516</v>
      </c>
      <c r="K32" s="1026">
        <v>2513</v>
      </c>
      <c r="L32" s="1025">
        <v>13</v>
      </c>
      <c r="M32" s="1025">
        <v>13</v>
      </c>
      <c r="N32" s="1015">
        <v>924</v>
      </c>
      <c r="O32" s="1027">
        <v>922</v>
      </c>
      <c r="X32" s="807"/>
    </row>
    <row r="33" spans="2:24" ht="21.95" customHeight="1" thickTop="1" x14ac:dyDescent="0.25">
      <c r="B33" s="264"/>
      <c r="C33" s="409"/>
      <c r="D33" s="410"/>
      <c r="E33" s="410"/>
      <c r="F33" s="410"/>
      <c r="G33" s="410"/>
      <c r="H33" s="410"/>
      <c r="I33" s="410"/>
      <c r="J33" s="410"/>
      <c r="K33" s="410"/>
      <c r="L33" s="410"/>
      <c r="M33" s="410"/>
      <c r="N33" s="410"/>
      <c r="X33" s="807"/>
    </row>
    <row r="34" spans="2:24" ht="21.95" customHeight="1" x14ac:dyDescent="0.2"/>
    <row r="35" spans="2:24" ht="21.95" customHeight="1" x14ac:dyDescent="0.2"/>
    <row r="36" spans="2:24" ht="21.95" customHeight="1" x14ac:dyDescent="0.2"/>
    <row r="51" ht="18" customHeight="1" x14ac:dyDescent="0.2"/>
    <row r="53" ht="12.75" customHeight="1" x14ac:dyDescent="0.2"/>
    <row r="54" ht="13.5" customHeight="1" x14ac:dyDescent="0.2"/>
    <row r="55" ht="15.75" customHeight="1" x14ac:dyDescent="0.2"/>
    <row r="87" ht="18" customHeight="1" x14ac:dyDescent="0.2"/>
    <row r="89" ht="18" customHeight="1" x14ac:dyDescent="0.2"/>
    <row r="90" ht="13.5" customHeight="1" x14ac:dyDescent="0.2"/>
    <row r="91" ht="15.75" customHeight="1" x14ac:dyDescent="0.2"/>
    <row r="123" ht="18" customHeight="1" x14ac:dyDescent="0.2"/>
    <row r="125" ht="18" customHeight="1" x14ac:dyDescent="0.2"/>
    <row r="126" ht="13.5" customHeight="1" x14ac:dyDescent="0.2"/>
    <row r="127" ht="15.75" customHeight="1" x14ac:dyDescent="0.2"/>
    <row r="159" ht="18" customHeight="1" x14ac:dyDescent="0.2"/>
    <row r="161" ht="18" customHeight="1" x14ac:dyDescent="0.2"/>
    <row r="162" ht="13.5" customHeight="1" x14ac:dyDescent="0.2"/>
    <row r="163" ht="15.75" customHeight="1" x14ac:dyDescent="0.2"/>
    <row r="195" ht="18" customHeight="1" x14ac:dyDescent="0.2"/>
    <row r="197" ht="18" customHeight="1" x14ac:dyDescent="0.2"/>
    <row r="198" ht="13.5" customHeight="1" x14ac:dyDescent="0.2"/>
    <row r="199" ht="15.75" customHeight="1" x14ac:dyDescent="0.2"/>
    <row r="231" ht="18" customHeight="1" x14ac:dyDescent="0.2"/>
    <row r="233" ht="18" customHeight="1" x14ac:dyDescent="0.2"/>
    <row r="234" ht="13.5" customHeight="1" x14ac:dyDescent="0.2"/>
    <row r="235" ht="15.75" customHeight="1" x14ac:dyDescent="0.2"/>
    <row r="267" ht="18" customHeight="1" x14ac:dyDescent="0.2"/>
    <row r="269" ht="18" customHeight="1" x14ac:dyDescent="0.2"/>
    <row r="270" ht="13.5" customHeight="1" x14ac:dyDescent="0.2"/>
    <row r="271" ht="15.75" customHeight="1" x14ac:dyDescent="0.2"/>
    <row r="303" ht="18" customHeight="1" x14ac:dyDescent="0.2"/>
    <row r="305" ht="18" customHeight="1" x14ac:dyDescent="0.2"/>
    <row r="306" ht="13.5" customHeight="1" x14ac:dyDescent="0.2"/>
    <row r="307" ht="15.75" customHeight="1" x14ac:dyDescent="0.2"/>
    <row r="339" ht="18" customHeight="1" x14ac:dyDescent="0.2"/>
    <row r="341" ht="18" customHeight="1" x14ac:dyDescent="0.2"/>
    <row r="342" ht="13.5" customHeight="1" x14ac:dyDescent="0.2"/>
    <row r="343" ht="15.75" customHeight="1" x14ac:dyDescent="0.2"/>
    <row r="375" ht="18" customHeight="1" x14ac:dyDescent="0.2"/>
    <row r="377" ht="18" customHeight="1" x14ac:dyDescent="0.2"/>
    <row r="378" ht="13.5" customHeight="1" x14ac:dyDescent="0.2"/>
    <row r="379" ht="15.75" customHeight="1" x14ac:dyDescent="0.2"/>
    <row r="411" ht="18" customHeight="1" x14ac:dyDescent="0.2"/>
    <row r="413" ht="18" customHeight="1" x14ac:dyDescent="0.2"/>
    <row r="414" ht="13.5" customHeight="1" x14ac:dyDescent="0.2"/>
    <row r="415" ht="15.75" customHeight="1" x14ac:dyDescent="0.2"/>
    <row r="447" ht="18" customHeight="1" x14ac:dyDescent="0.2"/>
    <row r="449" ht="18" customHeight="1" x14ac:dyDescent="0.2"/>
    <row r="450" ht="13.5" customHeight="1" x14ac:dyDescent="0.2"/>
    <row r="451" ht="15.75" customHeight="1" x14ac:dyDescent="0.2"/>
    <row r="483" ht="18" customHeight="1" x14ac:dyDescent="0.2"/>
    <row r="485" ht="18" customHeight="1" x14ac:dyDescent="0.2"/>
    <row r="486" ht="13.5" customHeight="1" x14ac:dyDescent="0.2"/>
    <row r="487" ht="15.75" customHeight="1" x14ac:dyDescent="0.2"/>
    <row r="519" ht="18" customHeight="1" x14ac:dyDescent="0.2"/>
    <row r="521" ht="18" customHeight="1" x14ac:dyDescent="0.2"/>
    <row r="522" ht="13.5" customHeight="1" x14ac:dyDescent="0.2"/>
    <row r="523" ht="15.75" customHeight="1" x14ac:dyDescent="0.2"/>
    <row r="555" ht="18" customHeight="1" x14ac:dyDescent="0.2"/>
    <row r="557" ht="18" customHeight="1" x14ac:dyDescent="0.2"/>
    <row r="558" ht="13.5" customHeight="1" x14ac:dyDescent="0.2"/>
    <row r="559" ht="15.75" customHeight="1" x14ac:dyDescent="0.2"/>
    <row r="591" ht="18" customHeight="1" x14ac:dyDescent="0.2"/>
    <row r="593" ht="18" customHeight="1" x14ac:dyDescent="0.2"/>
    <row r="594" ht="13.5" customHeight="1" x14ac:dyDescent="0.2"/>
    <row r="595" ht="15.75" customHeight="1" x14ac:dyDescent="0.2"/>
  </sheetData>
  <mergeCells count="22">
    <mergeCell ref="C21:C22"/>
    <mergeCell ref="B20:C20"/>
    <mergeCell ref="J17:J19"/>
    <mergeCell ref="K17:K19"/>
    <mergeCell ref="M17:M19"/>
    <mergeCell ref="H17:H19"/>
    <mergeCell ref="N17:N19"/>
    <mergeCell ref="O17:O19"/>
    <mergeCell ref="D14:G14"/>
    <mergeCell ref="H16:K16"/>
    <mergeCell ref="L17:L19"/>
    <mergeCell ref="H14:O15"/>
    <mergeCell ref="N2:O2"/>
    <mergeCell ref="B14:C19"/>
    <mergeCell ref="D15:D18"/>
    <mergeCell ref="F15:F18"/>
    <mergeCell ref="G15:G18"/>
    <mergeCell ref="B10:O10"/>
    <mergeCell ref="L16:O16"/>
    <mergeCell ref="E15:E18"/>
    <mergeCell ref="B11:O11"/>
    <mergeCell ref="I17:I19"/>
  </mergeCells>
  <phoneticPr fontId="82" type="noConversion"/>
  <conditionalFormatting sqref="C22:E22">
    <cfRule type="cellIs" dxfId="13" priority="1" stopIfTrue="1" operator="equal">
      <formula>"Uwaga!"</formula>
    </cfRule>
  </conditionalFormatting>
  <conditionalFormatting sqref="I21 E21 M21">
    <cfRule type="cellIs" dxfId="12" priority="2" stopIfTrue="1" operator="greaterThanOrEqual">
      <formula>D21</formula>
    </cfRule>
    <cfRule type="cellIs" dxfId="11" priority="3" stopIfTrue="1" operator="lessThan">
      <formula>D21</formula>
    </cfRule>
  </conditionalFormatting>
  <printOptions horizontalCentered="1"/>
  <pageMargins left="0.62992125984251968" right="0.6692913385826772" top="0.82677165354330717" bottom="0.59055118110236227" header="0.47244094488188981" footer="0"/>
  <pageSetup paperSize="9" scale="4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heetViews>
  <sheetFormatPr defaultRowHeight="12.75" x14ac:dyDescent="0.2"/>
  <cols>
    <col min="1" max="1" width="3.7109375" customWidth="1"/>
    <col min="2" max="2" width="24.5703125" bestFit="1" customWidth="1"/>
    <col min="3" max="3" width="16.7109375" customWidth="1"/>
    <col min="4" max="9" width="13.7109375" customWidth="1"/>
    <col min="10" max="10" width="15.7109375" customWidth="1"/>
  </cols>
  <sheetData>
    <row r="1" spans="1:10" ht="15.75" x14ac:dyDescent="0.25">
      <c r="A1" s="1" t="s">
        <v>195</v>
      </c>
      <c r="B1" s="3"/>
      <c r="C1" s="4"/>
      <c r="D1" s="3"/>
      <c r="E1" s="3"/>
      <c r="F1" s="3"/>
      <c r="G1" s="413"/>
      <c r="H1" s="413"/>
      <c r="I1" s="811" t="s">
        <v>355</v>
      </c>
    </row>
    <row r="2" spans="1:10" x14ac:dyDescent="0.2">
      <c r="A2" s="3" t="s">
        <v>214</v>
      </c>
      <c r="B2" s="3"/>
      <c r="C2" s="3"/>
    </row>
    <row r="3" spans="1:10" x14ac:dyDescent="0.2">
      <c r="A3" s="3" t="s">
        <v>216</v>
      </c>
      <c r="B3" s="3"/>
      <c r="C3" s="3"/>
      <c r="D3" s="3"/>
      <c r="E3" s="3"/>
      <c r="F3" s="3"/>
      <c r="G3" s="3"/>
      <c r="H3" s="3"/>
      <c r="I3" s="3"/>
    </row>
    <row r="4" spans="1:10" x14ac:dyDescent="0.2">
      <c r="A4" s="3" t="s">
        <v>128</v>
      </c>
      <c r="B4" s="3"/>
      <c r="C4" s="3"/>
      <c r="D4" s="3"/>
      <c r="E4" s="3"/>
      <c r="F4" s="3"/>
      <c r="G4" s="3"/>
      <c r="H4" s="3"/>
      <c r="I4" s="3"/>
    </row>
    <row r="5" spans="1:10" x14ac:dyDescent="0.2">
      <c r="A5" s="3"/>
      <c r="B5" s="3"/>
      <c r="C5" s="3"/>
      <c r="D5" s="3"/>
      <c r="E5" s="3"/>
      <c r="F5" s="3"/>
      <c r="G5" s="3"/>
      <c r="H5" s="3"/>
      <c r="I5" s="3"/>
    </row>
    <row r="6" spans="1:10" ht="15.75" x14ac:dyDescent="0.25">
      <c r="A6" s="1604" t="s">
        <v>356</v>
      </c>
      <c r="B6" s="1604"/>
      <c r="C6" s="1604"/>
      <c r="D6" s="1604"/>
      <c r="E6" s="1604"/>
      <c r="F6" s="1604"/>
      <c r="G6" s="1604"/>
      <c r="H6" s="1604"/>
      <c r="I6" s="1604"/>
      <c r="J6" s="504"/>
    </row>
    <row r="7" spans="1:10" ht="15.75" x14ac:dyDescent="0.25">
      <c r="A7" s="1691" t="str">
        <f>"WEDŁUG TYPÓW DOMÓW w "&amp;'Tab.1. bilans_Polska'!A2&amp;" r."</f>
        <v>WEDŁUG TYPÓW DOMÓW w 2011 r.</v>
      </c>
      <c r="B7" s="1690"/>
      <c r="C7" s="1690"/>
      <c r="D7" s="1690"/>
      <c r="E7" s="1690"/>
      <c r="F7" s="1690"/>
      <c r="G7" s="1690"/>
      <c r="H7" s="1690"/>
      <c r="I7" s="1690"/>
      <c r="J7" s="504"/>
    </row>
    <row r="8" spans="1:10" ht="15.75" x14ac:dyDescent="0.25">
      <c r="A8" s="504"/>
      <c r="B8" s="504"/>
      <c r="C8" s="504"/>
      <c r="D8" s="504"/>
      <c r="E8" s="504"/>
      <c r="F8" s="504"/>
      <c r="G8" s="504"/>
      <c r="H8" s="504"/>
      <c r="I8" s="504"/>
    </row>
    <row r="9" spans="1:10" ht="13.5" thickBot="1" x14ac:dyDescent="0.25">
      <c r="A9" s="3"/>
      <c r="B9" s="3"/>
      <c r="C9" s="3"/>
      <c r="D9" s="3"/>
      <c r="E9" s="3"/>
      <c r="F9" s="3"/>
      <c r="G9" s="3"/>
      <c r="H9" s="3"/>
      <c r="I9" s="3"/>
    </row>
    <row r="10" spans="1:10" ht="14.25" thickTop="1" thickBot="1" x14ac:dyDescent="0.25">
      <c r="A10" s="1692" t="s">
        <v>226</v>
      </c>
      <c r="B10" s="1695" t="s">
        <v>256</v>
      </c>
      <c r="C10" s="1767" t="s">
        <v>358</v>
      </c>
      <c r="D10" s="1845" t="s">
        <v>357</v>
      </c>
      <c r="E10" s="1846"/>
      <c r="F10" s="1846"/>
      <c r="G10" s="1846"/>
      <c r="H10" s="1846"/>
      <c r="I10" s="1847"/>
    </row>
    <row r="11" spans="1:10" ht="39.75" customHeight="1" x14ac:dyDescent="0.2">
      <c r="A11" s="1693"/>
      <c r="B11" s="1696"/>
      <c r="C11" s="1768"/>
      <c r="D11" s="1850" t="s">
        <v>359</v>
      </c>
      <c r="E11" s="1842" t="s">
        <v>360</v>
      </c>
      <c r="F11" s="1842" t="s">
        <v>361</v>
      </c>
      <c r="G11" s="1842" t="s">
        <v>362</v>
      </c>
      <c r="H11" s="1842" t="s">
        <v>363</v>
      </c>
      <c r="I11" s="1848" t="s">
        <v>364</v>
      </c>
    </row>
    <row r="12" spans="1:10" ht="12.75" customHeight="1" x14ac:dyDescent="0.2">
      <c r="A12" s="1693"/>
      <c r="B12" s="1696"/>
      <c r="C12" s="1768"/>
      <c r="D12" s="1794"/>
      <c r="E12" s="1843"/>
      <c r="F12" s="1843"/>
      <c r="G12" s="1843"/>
      <c r="H12" s="1843"/>
      <c r="I12" s="1849"/>
    </row>
    <row r="13" spans="1:10" x14ac:dyDescent="0.2">
      <c r="A13" s="1694"/>
      <c r="B13" s="1697"/>
      <c r="C13" s="1769"/>
      <c r="D13" s="1795"/>
      <c r="E13" s="1844"/>
      <c r="F13" s="1844"/>
      <c r="G13" s="1844"/>
      <c r="H13" s="1844"/>
      <c r="I13" s="1819"/>
    </row>
    <row r="14" spans="1:10" ht="13.5" thickBot="1" x14ac:dyDescent="0.25">
      <c r="A14" s="425"/>
      <c r="B14" s="429">
        <v>0</v>
      </c>
      <c r="C14" s="464">
        <v>1</v>
      </c>
      <c r="D14" s="427">
        <v>2</v>
      </c>
      <c r="E14" s="428">
        <v>3</v>
      </c>
      <c r="F14" s="428">
        <v>4</v>
      </c>
      <c r="G14" s="428">
        <v>5</v>
      </c>
      <c r="H14" s="428">
        <v>6</v>
      </c>
      <c r="I14" s="431">
        <v>7</v>
      </c>
    </row>
    <row r="15" spans="1:10" ht="13.5" thickTop="1" x14ac:dyDescent="0.2">
      <c r="A15" s="461">
        <v>1</v>
      </c>
      <c r="B15" s="508" t="s">
        <v>236</v>
      </c>
      <c r="C15" s="1244">
        <f t="shared" ref="C15:C30" si="0">SUM(D15:I15)</f>
        <v>834</v>
      </c>
      <c r="D15" s="1245">
        <f>'Tab.6. umieszcz.oczek_Polska'!C53</f>
        <v>142</v>
      </c>
      <c r="E15" s="1246">
        <f>'Tab.6. umieszcz.oczek_Polska'!C54</f>
        <v>523</v>
      </c>
      <c r="F15" s="1246">
        <f>'Tab.6. umieszcz.oczek_Polska'!C55</f>
        <v>63</v>
      </c>
      <c r="G15" s="1246">
        <f>'Tab.6. umieszcz.oczek_Polska'!C56</f>
        <v>69</v>
      </c>
      <c r="H15" s="1246">
        <f>'Tab.6. umieszcz.oczek_Polska'!C57</f>
        <v>37</v>
      </c>
      <c r="I15" s="1247">
        <f>'Tab.6. umieszcz.oczek_Polska'!C58</f>
        <v>0</v>
      </c>
    </row>
    <row r="16" spans="1:10" x14ac:dyDescent="0.2">
      <c r="A16" s="462">
        <v>2</v>
      </c>
      <c r="B16" s="509" t="s">
        <v>237</v>
      </c>
      <c r="C16" s="1248">
        <f t="shared" si="0"/>
        <v>508</v>
      </c>
      <c r="D16" s="1249">
        <f>'Tab.6. umieszcz.oczek_Polska'!C85</f>
        <v>150</v>
      </c>
      <c r="E16" s="1250">
        <f>'Tab.6. umieszcz.oczek_Polska'!C86</f>
        <v>193</v>
      </c>
      <c r="F16" s="1250">
        <f>'Tab.6. umieszcz.oczek_Polska'!C87</f>
        <v>80</v>
      </c>
      <c r="G16" s="1250">
        <f>'Tab.6. umieszcz.oczek_Polska'!C88</f>
        <v>53</v>
      </c>
      <c r="H16" s="1250">
        <f>'Tab.6. umieszcz.oczek_Polska'!C89</f>
        <v>19</v>
      </c>
      <c r="I16" s="1251">
        <f>'Tab.6. umieszcz.oczek_Polska'!C90</f>
        <v>13</v>
      </c>
    </row>
    <row r="17" spans="1:9" x14ac:dyDescent="0.2">
      <c r="A17" s="462">
        <v>3</v>
      </c>
      <c r="B17" s="509" t="s">
        <v>238</v>
      </c>
      <c r="C17" s="1248">
        <f t="shared" si="0"/>
        <v>608</v>
      </c>
      <c r="D17" s="1249">
        <f>'Tab.6. umieszcz.oczek_Polska'!C117</f>
        <v>255</v>
      </c>
      <c r="E17" s="1250">
        <f>'Tab.6. umieszcz.oczek_Polska'!C118</f>
        <v>210</v>
      </c>
      <c r="F17" s="1250">
        <f>'Tab.6. umieszcz.oczek_Polska'!C119</f>
        <v>37</v>
      </c>
      <c r="G17" s="1250">
        <f>'Tab.6. umieszcz.oczek_Polska'!C120</f>
        <v>41</v>
      </c>
      <c r="H17" s="1250">
        <f>'Tab.6. umieszcz.oczek_Polska'!C121</f>
        <v>17</v>
      </c>
      <c r="I17" s="1251">
        <f>'Tab.6. umieszcz.oczek_Polska'!C122</f>
        <v>48</v>
      </c>
    </row>
    <row r="18" spans="1:9" x14ac:dyDescent="0.2">
      <c r="A18" s="462">
        <v>4</v>
      </c>
      <c r="B18" s="509" t="s">
        <v>239</v>
      </c>
      <c r="C18" s="1248">
        <f t="shared" si="0"/>
        <v>357</v>
      </c>
      <c r="D18" s="1249">
        <f>'Tab.6. umieszcz.oczek_Polska'!C149</f>
        <v>65</v>
      </c>
      <c r="E18" s="1250">
        <f>'Tab.6. umieszcz.oczek_Polska'!C150</f>
        <v>172</v>
      </c>
      <c r="F18" s="1250">
        <f>'Tab.6. umieszcz.oczek_Polska'!C151</f>
        <v>40</v>
      </c>
      <c r="G18" s="1250">
        <f>'Tab.6. umieszcz.oczek_Polska'!C152</f>
        <v>7</v>
      </c>
      <c r="H18" s="1250">
        <f>'Tab.6. umieszcz.oczek_Polska'!C153</f>
        <v>10</v>
      </c>
      <c r="I18" s="1251">
        <f>'Tab.6. umieszcz.oczek_Polska'!C154</f>
        <v>63</v>
      </c>
    </row>
    <row r="19" spans="1:9" x14ac:dyDescent="0.2">
      <c r="A19" s="462">
        <v>5</v>
      </c>
      <c r="B19" s="509" t="s">
        <v>240</v>
      </c>
      <c r="C19" s="1248">
        <f t="shared" si="0"/>
        <v>1035</v>
      </c>
      <c r="D19" s="1249">
        <f>'Tab.6. umieszcz.oczek_Polska'!C181</f>
        <v>392</v>
      </c>
      <c r="E19" s="1250">
        <f>'Tab.6. umieszcz.oczek_Polska'!C182</f>
        <v>449</v>
      </c>
      <c r="F19" s="1250">
        <f>'Tab.6. umieszcz.oczek_Polska'!C183</f>
        <v>129</v>
      </c>
      <c r="G19" s="1250">
        <f>'Tab.6. umieszcz.oczek_Polska'!C184</f>
        <v>43</v>
      </c>
      <c r="H19" s="1250">
        <f>'Tab.6. umieszcz.oczek_Polska'!C185</f>
        <v>22</v>
      </c>
      <c r="I19" s="1251">
        <f>'Tab.6. umieszcz.oczek_Polska'!C186</f>
        <v>0</v>
      </c>
    </row>
    <row r="20" spans="1:9" x14ac:dyDescent="0.2">
      <c r="A20" s="462">
        <v>6</v>
      </c>
      <c r="B20" s="509" t="s">
        <v>241</v>
      </c>
      <c r="C20" s="1248">
        <f t="shared" si="0"/>
        <v>978</v>
      </c>
      <c r="D20" s="1249">
        <f>'Tab.6. umieszcz.oczek_Polska'!C213</f>
        <v>218</v>
      </c>
      <c r="E20" s="1250">
        <f>'Tab.6. umieszcz.oczek_Polska'!C214</f>
        <v>439</v>
      </c>
      <c r="F20" s="1250">
        <f>'Tab.6. umieszcz.oczek_Polska'!C215</f>
        <v>265</v>
      </c>
      <c r="G20" s="1250">
        <f>'Tab.6. umieszcz.oczek_Polska'!C216</f>
        <v>39</v>
      </c>
      <c r="H20" s="1250">
        <f>'Tab.6. umieszcz.oczek_Polska'!C217</f>
        <v>12</v>
      </c>
      <c r="I20" s="1251">
        <f>'Tab.6. umieszcz.oczek_Polska'!C218</f>
        <v>5</v>
      </c>
    </row>
    <row r="21" spans="1:9" x14ac:dyDescent="0.2">
      <c r="A21" s="462">
        <v>7</v>
      </c>
      <c r="B21" s="509" t="s">
        <v>242</v>
      </c>
      <c r="C21" s="1248">
        <f t="shared" si="0"/>
        <v>1218</v>
      </c>
      <c r="D21" s="1249">
        <f>'Tab.6. umieszcz.oczek_Polska'!C245</f>
        <v>293</v>
      </c>
      <c r="E21" s="1250">
        <f>'Tab.6. umieszcz.oczek_Polska'!C246</f>
        <v>544</v>
      </c>
      <c r="F21" s="1250">
        <f>'Tab.6. umieszcz.oczek_Polska'!C247</f>
        <v>223</v>
      </c>
      <c r="G21" s="1250">
        <f>'Tab.6. umieszcz.oczek_Polska'!C248</f>
        <v>135</v>
      </c>
      <c r="H21" s="1250">
        <f>'Tab.6. umieszcz.oczek_Polska'!C249</f>
        <v>21</v>
      </c>
      <c r="I21" s="1251">
        <f>'Tab.6. umieszcz.oczek_Polska'!C250</f>
        <v>2</v>
      </c>
    </row>
    <row r="22" spans="1:9" x14ac:dyDescent="0.2">
      <c r="A22" s="462">
        <v>8</v>
      </c>
      <c r="B22" s="509" t="s">
        <v>243</v>
      </c>
      <c r="C22" s="1248">
        <f t="shared" si="0"/>
        <v>491</v>
      </c>
      <c r="D22" s="1249">
        <f>'Tab.6. umieszcz.oczek_Polska'!C277</f>
        <v>189</v>
      </c>
      <c r="E22" s="1250">
        <f>'Tab.6. umieszcz.oczek_Polska'!C278</f>
        <v>82</v>
      </c>
      <c r="F22" s="1250">
        <f>'Tab.6. umieszcz.oczek_Polska'!C279</f>
        <v>176</v>
      </c>
      <c r="G22" s="1250">
        <f>'Tab.6. umieszcz.oczek_Polska'!C280</f>
        <v>24</v>
      </c>
      <c r="H22" s="1250">
        <f>'Tab.6. umieszcz.oczek_Polska'!C281</f>
        <v>11</v>
      </c>
      <c r="I22" s="1251">
        <f>'Tab.6. umieszcz.oczek_Polska'!C282</f>
        <v>9</v>
      </c>
    </row>
    <row r="23" spans="1:9" x14ac:dyDescent="0.2">
      <c r="A23" s="462">
        <v>9</v>
      </c>
      <c r="B23" s="509" t="s">
        <v>244</v>
      </c>
      <c r="C23" s="1248">
        <f t="shared" si="0"/>
        <v>531</v>
      </c>
      <c r="D23" s="1249">
        <f>'Tab.6. umieszcz.oczek_Polska'!C309</f>
        <v>207</v>
      </c>
      <c r="E23" s="1250">
        <f>'Tab.6. umieszcz.oczek_Polska'!C310</f>
        <v>125</v>
      </c>
      <c r="F23" s="1250">
        <f>'Tab.6. umieszcz.oczek_Polska'!C311</f>
        <v>146</v>
      </c>
      <c r="G23" s="1250">
        <f>'Tab.6. umieszcz.oczek_Polska'!C312</f>
        <v>32</v>
      </c>
      <c r="H23" s="1250">
        <f>'Tab.6. umieszcz.oczek_Polska'!C313</f>
        <v>8</v>
      </c>
      <c r="I23" s="1251">
        <f>'Tab.6. umieszcz.oczek_Polska'!C314</f>
        <v>13</v>
      </c>
    </row>
    <row r="24" spans="1:9" x14ac:dyDescent="0.2">
      <c r="A24" s="463">
        <v>10</v>
      </c>
      <c r="B24" s="509" t="s">
        <v>245</v>
      </c>
      <c r="C24" s="1248">
        <f t="shared" si="0"/>
        <v>256</v>
      </c>
      <c r="D24" s="1249">
        <f>'Tab.6. umieszcz.oczek_Polska'!C341</f>
        <v>55</v>
      </c>
      <c r="E24" s="1250">
        <f>'Tab.6. umieszcz.oczek_Polska'!C342</f>
        <v>129</v>
      </c>
      <c r="F24" s="1250">
        <f>'Tab.6. umieszcz.oczek_Polska'!C343</f>
        <v>44</v>
      </c>
      <c r="G24" s="1250">
        <f>'Tab.6. umieszcz.oczek_Polska'!C344</f>
        <v>6</v>
      </c>
      <c r="H24" s="1250">
        <f>'Tab.6. umieszcz.oczek_Polska'!C345</f>
        <v>22</v>
      </c>
      <c r="I24" s="1251">
        <f>'Tab.6. umieszcz.oczek_Polska'!C346</f>
        <v>0</v>
      </c>
    </row>
    <row r="25" spans="1:9" x14ac:dyDescent="0.2">
      <c r="A25" s="463">
        <v>11</v>
      </c>
      <c r="B25" s="509" t="s">
        <v>246</v>
      </c>
      <c r="C25" s="1248">
        <f t="shared" si="0"/>
        <v>441</v>
      </c>
      <c r="D25" s="1249">
        <f>'Tab.6. umieszcz.oczek_Polska'!C373</f>
        <v>64</v>
      </c>
      <c r="E25" s="1250">
        <f>'Tab.6. umieszcz.oczek_Polska'!C374</f>
        <v>190</v>
      </c>
      <c r="F25" s="1250">
        <f>'Tab.6. umieszcz.oczek_Polska'!C375</f>
        <v>102</v>
      </c>
      <c r="G25" s="1250">
        <f>'Tab.6. umieszcz.oczek_Polska'!C376</f>
        <v>42</v>
      </c>
      <c r="H25" s="1250">
        <f>'Tab.6. umieszcz.oczek_Polska'!C377</f>
        <v>17</v>
      </c>
      <c r="I25" s="1251">
        <f>'Tab.6. umieszcz.oczek_Polska'!C378</f>
        <v>26</v>
      </c>
    </row>
    <row r="26" spans="1:9" x14ac:dyDescent="0.2">
      <c r="A26" s="463">
        <v>12</v>
      </c>
      <c r="B26" s="509" t="s">
        <v>247</v>
      </c>
      <c r="C26" s="1248">
        <f t="shared" si="0"/>
        <v>1131</v>
      </c>
      <c r="D26" s="1249">
        <f>'Tab.6. umieszcz.oczek_Polska'!C405</f>
        <v>494</v>
      </c>
      <c r="E26" s="1250">
        <f>'Tab.6. umieszcz.oczek_Polska'!C406</f>
        <v>309</v>
      </c>
      <c r="F26" s="1250">
        <f>'Tab.6. umieszcz.oczek_Polska'!C407</f>
        <v>138</v>
      </c>
      <c r="G26" s="1250">
        <f>'Tab.6. umieszcz.oczek_Polska'!C408</f>
        <v>81</v>
      </c>
      <c r="H26" s="1250">
        <f>'Tab.6. umieszcz.oczek_Polska'!C409</f>
        <v>32</v>
      </c>
      <c r="I26" s="1251">
        <f>'Tab.6. umieszcz.oczek_Polska'!C410</f>
        <v>77</v>
      </c>
    </row>
    <row r="27" spans="1:9" x14ac:dyDescent="0.2">
      <c r="A27" s="463">
        <v>13</v>
      </c>
      <c r="B27" s="509" t="s">
        <v>248</v>
      </c>
      <c r="C27" s="1248">
        <f t="shared" si="0"/>
        <v>479</v>
      </c>
      <c r="D27" s="1249">
        <f>'Tab.6. umieszcz.oczek_Polska'!C437</f>
        <v>54</v>
      </c>
      <c r="E27" s="1250">
        <f>'Tab.6. umieszcz.oczek_Polska'!C438</f>
        <v>257</v>
      </c>
      <c r="F27" s="1250">
        <f>'Tab.6. umieszcz.oczek_Polska'!C439</f>
        <v>128</v>
      </c>
      <c r="G27" s="1250">
        <f>'Tab.6. umieszcz.oczek_Polska'!C440</f>
        <v>23</v>
      </c>
      <c r="H27" s="1250">
        <f>'Tab.6. umieszcz.oczek_Polska'!C441</f>
        <v>4</v>
      </c>
      <c r="I27" s="1251">
        <f>'Tab.6. umieszcz.oczek_Polska'!C442</f>
        <v>13</v>
      </c>
    </row>
    <row r="28" spans="1:9" x14ac:dyDescent="0.2">
      <c r="A28" s="463">
        <v>14</v>
      </c>
      <c r="B28" s="509" t="s">
        <v>249</v>
      </c>
      <c r="C28" s="1248">
        <f t="shared" si="0"/>
        <v>447</v>
      </c>
      <c r="D28" s="1249">
        <f>'Tab.6. umieszcz.oczek_Polska'!C469</f>
        <v>82</v>
      </c>
      <c r="E28" s="1250">
        <f>'Tab.6. umieszcz.oczek_Polska'!C470</f>
        <v>211</v>
      </c>
      <c r="F28" s="1250">
        <f>'Tab.6. umieszcz.oczek_Polska'!C471</f>
        <v>91</v>
      </c>
      <c r="G28" s="1250">
        <f>'Tab.6. umieszcz.oczek_Polska'!C472</f>
        <v>21</v>
      </c>
      <c r="H28" s="1250">
        <f>'Tab.6. umieszcz.oczek_Polska'!C473</f>
        <v>17</v>
      </c>
      <c r="I28" s="1251">
        <f>'Tab.6. umieszcz.oczek_Polska'!C474</f>
        <v>25</v>
      </c>
    </row>
    <row r="29" spans="1:9" x14ac:dyDescent="0.2">
      <c r="A29" s="463">
        <v>15</v>
      </c>
      <c r="B29" s="509" t="s">
        <v>250</v>
      </c>
      <c r="C29" s="1248">
        <f t="shared" si="0"/>
        <v>900</v>
      </c>
      <c r="D29" s="1249">
        <f>'Tab.6. umieszcz.oczek_Polska'!C501</f>
        <v>225</v>
      </c>
      <c r="E29" s="1250">
        <f>'Tab.6. umieszcz.oczek_Polska'!C502</f>
        <v>435</v>
      </c>
      <c r="F29" s="1250">
        <f>'Tab.6. umieszcz.oczek_Polska'!C503</f>
        <v>98</v>
      </c>
      <c r="G29" s="1250">
        <f>'Tab.6. umieszcz.oczek_Polska'!C504</f>
        <v>87</v>
      </c>
      <c r="H29" s="1250">
        <f>'Tab.6. umieszcz.oczek_Polska'!C505</f>
        <v>27</v>
      </c>
      <c r="I29" s="1251">
        <f>'Tab.6. umieszcz.oczek_Polska'!C506</f>
        <v>28</v>
      </c>
    </row>
    <row r="30" spans="1:9" ht="13.5" thickBot="1" x14ac:dyDescent="0.25">
      <c r="A30" s="463">
        <v>16</v>
      </c>
      <c r="B30" s="510" t="s">
        <v>251</v>
      </c>
      <c r="C30" s="1248">
        <f t="shared" si="0"/>
        <v>435</v>
      </c>
      <c r="D30" s="1252">
        <f>'Tab.6. umieszcz.oczek_Polska'!C533</f>
        <v>83</v>
      </c>
      <c r="E30" s="1253">
        <f>'Tab.6. umieszcz.oczek_Polska'!C534</f>
        <v>269</v>
      </c>
      <c r="F30" s="1253">
        <f>'Tab.6. umieszcz.oczek_Polska'!C535</f>
        <v>46</v>
      </c>
      <c r="G30" s="1253">
        <f>'Tab.6. umieszcz.oczek_Polska'!C536</f>
        <v>31</v>
      </c>
      <c r="H30" s="1253">
        <f>'Tab.6. umieszcz.oczek_Polska'!C537</f>
        <v>6</v>
      </c>
      <c r="I30" s="1254">
        <f>'Tab.6. umieszcz.oczek_Polska'!C538</f>
        <v>0</v>
      </c>
    </row>
    <row r="31" spans="1:9" ht="16.5" thickBot="1" x14ac:dyDescent="0.3">
      <c r="A31" s="445" t="s">
        <v>252</v>
      </c>
      <c r="B31" s="446"/>
      <c r="C31" s="1238">
        <f t="shared" ref="C31:I31" si="1">SUM(C15:C30)</f>
        <v>10649</v>
      </c>
      <c r="D31" s="1239">
        <f t="shared" si="1"/>
        <v>2968</v>
      </c>
      <c r="E31" s="1240">
        <f t="shared" si="1"/>
        <v>4537</v>
      </c>
      <c r="F31" s="1240">
        <f t="shared" si="1"/>
        <v>1806</v>
      </c>
      <c r="G31" s="1240">
        <f t="shared" si="1"/>
        <v>734</v>
      </c>
      <c r="H31" s="1240">
        <f t="shared" si="1"/>
        <v>282</v>
      </c>
      <c r="I31" s="1255">
        <f t="shared" si="1"/>
        <v>322</v>
      </c>
    </row>
    <row r="32" spans="1:9" ht="13.5" thickTop="1" x14ac:dyDescent="0.2"/>
  </sheetData>
  <mergeCells count="12">
    <mergeCell ref="A6:I6"/>
    <mergeCell ref="A7:I7"/>
    <mergeCell ref="C10:C13"/>
    <mergeCell ref="B10:B13"/>
    <mergeCell ref="A10:A13"/>
    <mergeCell ref="D11:D13"/>
    <mergeCell ref="E11:E13"/>
    <mergeCell ref="F11:F13"/>
    <mergeCell ref="D10:I10"/>
    <mergeCell ref="G11:G13"/>
    <mergeCell ref="H11:H13"/>
    <mergeCell ref="I11:I13"/>
  </mergeCells>
  <phoneticPr fontId="82"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heetViews>
  <sheetFormatPr defaultRowHeight="12.75" x14ac:dyDescent="0.2"/>
  <cols>
    <col min="1" max="1" width="3.7109375" customWidth="1"/>
    <col min="2" max="2" width="24.5703125" bestFit="1" customWidth="1"/>
    <col min="3" max="3" width="16.7109375" customWidth="1"/>
    <col min="4" max="9" width="13.7109375" customWidth="1"/>
    <col min="10" max="10" width="15.7109375" customWidth="1"/>
  </cols>
  <sheetData>
    <row r="1" spans="1:10" ht="15.75" x14ac:dyDescent="0.25">
      <c r="A1" s="1" t="s">
        <v>195</v>
      </c>
      <c r="B1" s="3"/>
      <c r="C1" s="4"/>
      <c r="D1" s="3"/>
      <c r="E1" s="3"/>
      <c r="F1" s="3"/>
      <c r="G1" s="413"/>
      <c r="H1" s="413"/>
      <c r="I1" s="811" t="s">
        <v>365</v>
      </c>
    </row>
    <row r="2" spans="1:10" x14ac:dyDescent="0.2">
      <c r="A2" s="3" t="s">
        <v>214</v>
      </c>
      <c r="B2" s="3"/>
    </row>
    <row r="3" spans="1:10" x14ac:dyDescent="0.2">
      <c r="A3" s="3" t="s">
        <v>216</v>
      </c>
      <c r="B3" s="3"/>
      <c r="C3" s="3"/>
      <c r="D3" s="3"/>
      <c r="E3" s="3"/>
      <c r="F3" s="3"/>
      <c r="G3" s="3"/>
      <c r="H3" s="3"/>
      <c r="I3" s="3"/>
    </row>
    <row r="4" spans="1:10" x14ac:dyDescent="0.2">
      <c r="A4" s="3" t="s">
        <v>128</v>
      </c>
      <c r="B4" s="3"/>
      <c r="C4" s="3"/>
      <c r="D4" s="3"/>
      <c r="E4" s="3"/>
      <c r="F4" s="3"/>
      <c r="G4" s="3"/>
      <c r="H4" s="3"/>
      <c r="I4" s="3"/>
    </row>
    <row r="5" spans="1:10" x14ac:dyDescent="0.2">
      <c r="A5" s="3"/>
      <c r="B5" s="3"/>
      <c r="C5" s="3"/>
      <c r="D5" s="3"/>
      <c r="E5" s="3"/>
      <c r="F5" s="3"/>
      <c r="G5" s="3"/>
      <c r="H5" s="3"/>
      <c r="I5" s="3"/>
    </row>
    <row r="6" spans="1:10" ht="15.75" x14ac:dyDescent="0.25">
      <c r="A6" s="1604" t="s">
        <v>366</v>
      </c>
      <c r="B6" s="1604"/>
      <c r="C6" s="1604"/>
      <c r="D6" s="1604"/>
      <c r="E6" s="1604"/>
      <c r="F6" s="1604"/>
      <c r="G6" s="1604"/>
      <c r="H6" s="1604"/>
      <c r="I6" s="1604"/>
      <c r="J6" s="504"/>
    </row>
    <row r="7" spans="1:10" ht="15.75" x14ac:dyDescent="0.25">
      <c r="A7" s="1691" t="str">
        <f>"OGÓŁEM WEDŁUG TYPÓW DOMÓW WG STANU NA DZIEŃ 31.XII."&amp;'Tab.1. bilans_Polska'!A2&amp;" r."</f>
        <v>OGÓŁEM WEDŁUG TYPÓW DOMÓW WG STANU NA DZIEŃ 31.XII.2011 r.</v>
      </c>
      <c r="B7" s="1690"/>
      <c r="C7" s="1690"/>
      <c r="D7" s="1690"/>
      <c r="E7" s="1690"/>
      <c r="F7" s="1690"/>
      <c r="G7" s="1690"/>
      <c r="H7" s="1690"/>
      <c r="I7" s="1690"/>
      <c r="J7" s="504"/>
    </row>
    <row r="8" spans="1:10" ht="15.75" x14ac:dyDescent="0.25">
      <c r="A8" s="504"/>
      <c r="B8" s="504"/>
      <c r="C8" s="504"/>
      <c r="D8" s="504"/>
      <c r="E8" s="504"/>
      <c r="F8" s="504"/>
      <c r="G8" s="504"/>
      <c r="H8" s="504"/>
      <c r="I8" s="504"/>
    </row>
    <row r="9" spans="1:10" ht="13.5" thickBot="1" x14ac:dyDescent="0.25">
      <c r="A9" s="3"/>
      <c r="B9" s="3"/>
      <c r="C9" s="3"/>
      <c r="D9" s="3"/>
      <c r="E9" s="3"/>
      <c r="F9" s="3"/>
      <c r="G9" s="3"/>
      <c r="H9" s="3"/>
      <c r="I9" s="3"/>
    </row>
    <row r="10" spans="1:10" ht="14.25" thickTop="1" thickBot="1" x14ac:dyDescent="0.25">
      <c r="A10" s="1692" t="s">
        <v>226</v>
      </c>
      <c r="B10" s="1695" t="s">
        <v>256</v>
      </c>
      <c r="C10" s="1767" t="s">
        <v>358</v>
      </c>
      <c r="D10" s="1845" t="s">
        <v>357</v>
      </c>
      <c r="E10" s="1846"/>
      <c r="F10" s="1846"/>
      <c r="G10" s="1846"/>
      <c r="H10" s="1846"/>
      <c r="I10" s="1847"/>
    </row>
    <row r="11" spans="1:10" ht="39.75" customHeight="1" x14ac:dyDescent="0.2">
      <c r="A11" s="1693"/>
      <c r="B11" s="1696"/>
      <c r="C11" s="1768"/>
      <c r="D11" s="1850" t="s">
        <v>359</v>
      </c>
      <c r="E11" s="1842" t="s">
        <v>360</v>
      </c>
      <c r="F11" s="1842" t="s">
        <v>361</v>
      </c>
      <c r="G11" s="1842" t="s">
        <v>362</v>
      </c>
      <c r="H11" s="1842" t="s">
        <v>363</v>
      </c>
      <c r="I11" s="1848" t="s">
        <v>364</v>
      </c>
    </row>
    <row r="12" spans="1:10" ht="12.75" customHeight="1" x14ac:dyDescent="0.2">
      <c r="A12" s="1693"/>
      <c r="B12" s="1696"/>
      <c r="C12" s="1768"/>
      <c r="D12" s="1794"/>
      <c r="E12" s="1843"/>
      <c r="F12" s="1843"/>
      <c r="G12" s="1843"/>
      <c r="H12" s="1843"/>
      <c r="I12" s="1849"/>
    </row>
    <row r="13" spans="1:10" x14ac:dyDescent="0.2">
      <c r="A13" s="1694"/>
      <c r="B13" s="1697"/>
      <c r="C13" s="1769"/>
      <c r="D13" s="1795"/>
      <c r="E13" s="1844"/>
      <c r="F13" s="1844"/>
      <c r="G13" s="1844"/>
      <c r="H13" s="1844"/>
      <c r="I13" s="1819"/>
    </row>
    <row r="14" spans="1:10" ht="13.5" thickBot="1" x14ac:dyDescent="0.25">
      <c r="A14" s="425"/>
      <c r="B14" s="429">
        <v>0</v>
      </c>
      <c r="C14" s="464">
        <v>1</v>
      </c>
      <c r="D14" s="427">
        <v>2</v>
      </c>
      <c r="E14" s="428">
        <v>3</v>
      </c>
      <c r="F14" s="428">
        <v>4</v>
      </c>
      <c r="G14" s="428">
        <v>5</v>
      </c>
      <c r="H14" s="428">
        <v>6</v>
      </c>
      <c r="I14" s="431">
        <v>7</v>
      </c>
    </row>
    <row r="15" spans="1:10" ht="13.5" thickTop="1" x14ac:dyDescent="0.2">
      <c r="A15" s="461">
        <v>1</v>
      </c>
      <c r="B15" s="508" t="s">
        <v>236</v>
      </c>
      <c r="C15" s="1244">
        <f t="shared" ref="C15:C30" si="0">SUM(D15:I15)</f>
        <v>922</v>
      </c>
      <c r="D15" s="1245">
        <f>'Tab.6. umieszcz.oczek_Polska'!D53</f>
        <v>197</v>
      </c>
      <c r="E15" s="1246">
        <f>'Tab.6. umieszcz.oczek_Polska'!D54</f>
        <v>408</v>
      </c>
      <c r="F15" s="1246">
        <f>'Tab.6. umieszcz.oczek_Polska'!D55</f>
        <v>270</v>
      </c>
      <c r="G15" s="1246">
        <f>'Tab.6. umieszcz.oczek_Polska'!D56</f>
        <v>46</v>
      </c>
      <c r="H15" s="1246">
        <f>'Tab.6. umieszcz.oczek_Polska'!D57</f>
        <v>1</v>
      </c>
      <c r="I15" s="1247">
        <f>'Tab.6. umieszcz.oczek_Polska'!D58</f>
        <v>0</v>
      </c>
    </row>
    <row r="16" spans="1:10" x14ac:dyDescent="0.2">
      <c r="A16" s="462">
        <v>2</v>
      </c>
      <c r="B16" s="509" t="s">
        <v>237</v>
      </c>
      <c r="C16" s="1248">
        <f t="shared" si="0"/>
        <v>280</v>
      </c>
      <c r="D16" s="1249">
        <f>'Tab.6. umieszcz.oczek_Polska'!D85</f>
        <v>88</v>
      </c>
      <c r="E16" s="1250">
        <f>'Tab.6. umieszcz.oczek_Polska'!D86</f>
        <v>69</v>
      </c>
      <c r="F16" s="1250">
        <f>'Tab.6. umieszcz.oczek_Polska'!D87</f>
        <v>101</v>
      </c>
      <c r="G16" s="1250">
        <f>'Tab.6. umieszcz.oczek_Polska'!D88</f>
        <v>18</v>
      </c>
      <c r="H16" s="1250">
        <f>'Tab.6. umieszcz.oczek_Polska'!D89</f>
        <v>1</v>
      </c>
      <c r="I16" s="1251">
        <f>'Tab.6. umieszcz.oczek_Polska'!D90</f>
        <v>3</v>
      </c>
    </row>
    <row r="17" spans="1:9" x14ac:dyDescent="0.2">
      <c r="A17" s="462">
        <v>3</v>
      </c>
      <c r="B17" s="509" t="s">
        <v>238</v>
      </c>
      <c r="C17" s="1248">
        <f t="shared" si="0"/>
        <v>173</v>
      </c>
      <c r="D17" s="1249">
        <f>'Tab.6. umieszcz.oczek_Polska'!D117</f>
        <v>57</v>
      </c>
      <c r="E17" s="1250">
        <f>'Tab.6. umieszcz.oczek_Polska'!D118</f>
        <v>50</v>
      </c>
      <c r="F17" s="1250">
        <f>'Tab.6. umieszcz.oczek_Polska'!D119</f>
        <v>35</v>
      </c>
      <c r="G17" s="1250">
        <f>'Tab.6. umieszcz.oczek_Polska'!D120</f>
        <v>18</v>
      </c>
      <c r="H17" s="1250">
        <f>'Tab.6. umieszcz.oczek_Polska'!D121</f>
        <v>0</v>
      </c>
      <c r="I17" s="1251">
        <f>'Tab.6. umieszcz.oczek_Polska'!D122</f>
        <v>13</v>
      </c>
    </row>
    <row r="18" spans="1:9" x14ac:dyDescent="0.2">
      <c r="A18" s="462">
        <v>4</v>
      </c>
      <c r="B18" s="509" t="s">
        <v>239</v>
      </c>
      <c r="C18" s="1248">
        <f t="shared" si="0"/>
        <v>307</v>
      </c>
      <c r="D18" s="1249">
        <f>'Tab.6. umieszcz.oczek_Polska'!D149</f>
        <v>15</v>
      </c>
      <c r="E18" s="1250">
        <f>'Tab.6. umieszcz.oczek_Polska'!D150</f>
        <v>162</v>
      </c>
      <c r="F18" s="1250">
        <f>'Tab.6. umieszcz.oczek_Polska'!D151</f>
        <v>90</v>
      </c>
      <c r="G18" s="1250">
        <f>'Tab.6. umieszcz.oczek_Polska'!D152</f>
        <v>25</v>
      </c>
      <c r="H18" s="1250">
        <f>'Tab.6. umieszcz.oczek_Polska'!D153</f>
        <v>2</v>
      </c>
      <c r="I18" s="1251">
        <f>'Tab.6. umieszcz.oczek_Polska'!D154</f>
        <v>13</v>
      </c>
    </row>
    <row r="19" spans="1:9" x14ac:dyDescent="0.2">
      <c r="A19" s="462">
        <v>5</v>
      </c>
      <c r="B19" s="509" t="s">
        <v>240</v>
      </c>
      <c r="C19" s="1248">
        <f t="shared" si="0"/>
        <v>482</v>
      </c>
      <c r="D19" s="1249">
        <f>'Tab.6. umieszcz.oczek_Polska'!D181</f>
        <v>165</v>
      </c>
      <c r="E19" s="1250">
        <f>'Tab.6. umieszcz.oczek_Polska'!D182</f>
        <v>142</v>
      </c>
      <c r="F19" s="1250">
        <f>'Tab.6. umieszcz.oczek_Polska'!D183</f>
        <v>150</v>
      </c>
      <c r="G19" s="1250">
        <f>'Tab.6. umieszcz.oczek_Polska'!D184</f>
        <v>21</v>
      </c>
      <c r="H19" s="1250">
        <f>'Tab.6. umieszcz.oczek_Polska'!D185</f>
        <v>4</v>
      </c>
      <c r="I19" s="1251">
        <f>'Tab.6. umieszcz.oczek_Polska'!D186</f>
        <v>0</v>
      </c>
    </row>
    <row r="20" spans="1:9" x14ac:dyDescent="0.2">
      <c r="A20" s="462">
        <v>6</v>
      </c>
      <c r="B20" s="509" t="s">
        <v>241</v>
      </c>
      <c r="C20" s="1248">
        <f t="shared" si="0"/>
        <v>745</v>
      </c>
      <c r="D20" s="1249">
        <f>'Tab.6. umieszcz.oczek_Polska'!D213</f>
        <v>60</v>
      </c>
      <c r="E20" s="1250">
        <f>'Tab.6. umieszcz.oczek_Polska'!D214</f>
        <v>380</v>
      </c>
      <c r="F20" s="1250">
        <f>'Tab.6. umieszcz.oczek_Polska'!D215</f>
        <v>242</v>
      </c>
      <c r="G20" s="1250">
        <f>'Tab.6. umieszcz.oczek_Polska'!D216</f>
        <v>58</v>
      </c>
      <c r="H20" s="1250">
        <f>'Tab.6. umieszcz.oczek_Polska'!D217</f>
        <v>4</v>
      </c>
      <c r="I20" s="1251">
        <f>'Tab.6. umieszcz.oczek_Polska'!D218</f>
        <v>1</v>
      </c>
    </row>
    <row r="21" spans="1:9" x14ac:dyDescent="0.2">
      <c r="A21" s="462">
        <v>7</v>
      </c>
      <c r="B21" s="509" t="s">
        <v>242</v>
      </c>
      <c r="C21" s="1248">
        <f t="shared" si="0"/>
        <v>602</v>
      </c>
      <c r="D21" s="1249">
        <f>'Tab.6. umieszcz.oczek_Polska'!D245</f>
        <v>122</v>
      </c>
      <c r="E21" s="1250">
        <f>'Tab.6. umieszcz.oczek_Polska'!D246</f>
        <v>191</v>
      </c>
      <c r="F21" s="1250">
        <f>'Tab.6. umieszcz.oczek_Polska'!D247</f>
        <v>226</v>
      </c>
      <c r="G21" s="1250">
        <f>'Tab.6. umieszcz.oczek_Polska'!D248</f>
        <v>56</v>
      </c>
      <c r="H21" s="1250">
        <f>'Tab.6. umieszcz.oczek_Polska'!D249</f>
        <v>7</v>
      </c>
      <c r="I21" s="1251">
        <f>'Tab.6. umieszcz.oczek_Polska'!D250</f>
        <v>0</v>
      </c>
    </row>
    <row r="22" spans="1:9" x14ac:dyDescent="0.2">
      <c r="A22" s="462">
        <v>8</v>
      </c>
      <c r="B22" s="509" t="s">
        <v>243</v>
      </c>
      <c r="C22" s="1248">
        <f t="shared" si="0"/>
        <v>202</v>
      </c>
      <c r="D22" s="1249">
        <f>'Tab.6. umieszcz.oczek_Polska'!D277</f>
        <v>74</v>
      </c>
      <c r="E22" s="1250">
        <f>'Tab.6. umieszcz.oczek_Polska'!D278</f>
        <v>52</v>
      </c>
      <c r="F22" s="1250">
        <f>'Tab.6. umieszcz.oczek_Polska'!D279</f>
        <v>51</v>
      </c>
      <c r="G22" s="1250">
        <f>'Tab.6. umieszcz.oczek_Polska'!D280</f>
        <v>13</v>
      </c>
      <c r="H22" s="1250">
        <f>'Tab.6. umieszcz.oczek_Polska'!D281</f>
        <v>1</v>
      </c>
      <c r="I22" s="1251">
        <f>'Tab.6. umieszcz.oczek_Polska'!D282</f>
        <v>11</v>
      </c>
    </row>
    <row r="23" spans="1:9" x14ac:dyDescent="0.2">
      <c r="A23" s="462">
        <v>9</v>
      </c>
      <c r="B23" s="509" t="s">
        <v>244</v>
      </c>
      <c r="C23" s="1248">
        <f t="shared" si="0"/>
        <v>89</v>
      </c>
      <c r="D23" s="1249">
        <f>'Tab.6. umieszcz.oczek_Polska'!D309</f>
        <v>35</v>
      </c>
      <c r="E23" s="1250">
        <f>'Tab.6. umieszcz.oczek_Polska'!D310</f>
        <v>2</v>
      </c>
      <c r="F23" s="1250">
        <f>'Tab.6. umieszcz.oczek_Polska'!D311</f>
        <v>45</v>
      </c>
      <c r="G23" s="1250">
        <f>'Tab.6. umieszcz.oczek_Polska'!D312</f>
        <v>6</v>
      </c>
      <c r="H23" s="1250">
        <f>'Tab.6. umieszcz.oczek_Polska'!D313</f>
        <v>1</v>
      </c>
      <c r="I23" s="1251">
        <f>'Tab.6. umieszcz.oczek_Polska'!D314</f>
        <v>0</v>
      </c>
    </row>
    <row r="24" spans="1:9" x14ac:dyDescent="0.2">
      <c r="A24" s="463">
        <v>10</v>
      </c>
      <c r="B24" s="509" t="s">
        <v>245</v>
      </c>
      <c r="C24" s="1248">
        <f t="shared" si="0"/>
        <v>245</v>
      </c>
      <c r="D24" s="1249">
        <f>'Tab.6. umieszcz.oczek_Polska'!D341</f>
        <v>18</v>
      </c>
      <c r="E24" s="1250">
        <f>'Tab.6. umieszcz.oczek_Polska'!D342</f>
        <v>78</v>
      </c>
      <c r="F24" s="1250">
        <f>'Tab.6. umieszcz.oczek_Polska'!D343</f>
        <v>126</v>
      </c>
      <c r="G24" s="1250">
        <f>'Tab.6. umieszcz.oczek_Polska'!D344</f>
        <v>21</v>
      </c>
      <c r="H24" s="1250">
        <f>'Tab.6. umieszcz.oczek_Polska'!D345</f>
        <v>2</v>
      </c>
      <c r="I24" s="1251">
        <f>'Tab.6. umieszcz.oczek_Polska'!D346</f>
        <v>0</v>
      </c>
    </row>
    <row r="25" spans="1:9" x14ac:dyDescent="0.2">
      <c r="A25" s="463">
        <v>11</v>
      </c>
      <c r="B25" s="509" t="s">
        <v>246</v>
      </c>
      <c r="C25" s="1248">
        <f t="shared" si="0"/>
        <v>688</v>
      </c>
      <c r="D25" s="1249">
        <f>'Tab.6. umieszcz.oczek_Polska'!D373</f>
        <v>58</v>
      </c>
      <c r="E25" s="1250">
        <f>'Tab.6. umieszcz.oczek_Polska'!D374</f>
        <v>256</v>
      </c>
      <c r="F25" s="1250">
        <f>'Tab.6. umieszcz.oczek_Polska'!D375</f>
        <v>343</v>
      </c>
      <c r="G25" s="1250">
        <f>'Tab.6. umieszcz.oczek_Polska'!D376</f>
        <v>20</v>
      </c>
      <c r="H25" s="1250">
        <f>'Tab.6. umieszcz.oczek_Polska'!D377</f>
        <v>11</v>
      </c>
      <c r="I25" s="1251">
        <f>'Tab.6. umieszcz.oczek_Polska'!D378</f>
        <v>0</v>
      </c>
    </row>
    <row r="26" spans="1:9" x14ac:dyDescent="0.2">
      <c r="A26" s="463">
        <v>12</v>
      </c>
      <c r="B26" s="509" t="s">
        <v>247</v>
      </c>
      <c r="C26" s="1248">
        <f t="shared" si="0"/>
        <v>1988</v>
      </c>
      <c r="D26" s="1249">
        <f>'Tab.6. umieszcz.oczek_Polska'!D405</f>
        <v>756</v>
      </c>
      <c r="E26" s="1250">
        <f>'Tab.6. umieszcz.oczek_Polska'!D406</f>
        <v>347</v>
      </c>
      <c r="F26" s="1250">
        <f>'Tab.6. umieszcz.oczek_Polska'!D407</f>
        <v>601</v>
      </c>
      <c r="G26" s="1250">
        <f>'Tab.6. umieszcz.oczek_Polska'!D408</f>
        <v>158</v>
      </c>
      <c r="H26" s="1250">
        <f>'Tab.6. umieszcz.oczek_Polska'!D409</f>
        <v>30</v>
      </c>
      <c r="I26" s="1251">
        <f>'Tab.6. umieszcz.oczek_Polska'!D410</f>
        <v>96</v>
      </c>
    </row>
    <row r="27" spans="1:9" x14ac:dyDescent="0.2">
      <c r="A27" s="463">
        <v>13</v>
      </c>
      <c r="B27" s="509" t="s">
        <v>248</v>
      </c>
      <c r="C27" s="1248">
        <f t="shared" si="0"/>
        <v>227</v>
      </c>
      <c r="D27" s="1249">
        <f>'Tab.6. umieszcz.oczek_Polska'!D437</f>
        <v>7</v>
      </c>
      <c r="E27" s="1250">
        <f>'Tab.6. umieszcz.oczek_Polska'!D438</f>
        <v>146</v>
      </c>
      <c r="F27" s="1250">
        <f>'Tab.6. umieszcz.oczek_Polska'!D439</f>
        <v>57</v>
      </c>
      <c r="G27" s="1250">
        <f>'Tab.6. umieszcz.oczek_Polska'!D440</f>
        <v>13</v>
      </c>
      <c r="H27" s="1250">
        <f>'Tab.6. umieszcz.oczek_Polska'!D441</f>
        <v>1</v>
      </c>
      <c r="I27" s="1251">
        <f>'Tab.6. umieszcz.oczek_Polska'!D442</f>
        <v>3</v>
      </c>
    </row>
    <row r="28" spans="1:9" x14ac:dyDescent="0.2">
      <c r="A28" s="463">
        <v>14</v>
      </c>
      <c r="B28" s="509" t="s">
        <v>249</v>
      </c>
      <c r="C28" s="1248">
        <f t="shared" si="0"/>
        <v>407</v>
      </c>
      <c r="D28" s="1249">
        <f>'Tab.6. umieszcz.oczek_Polska'!D469</f>
        <v>10</v>
      </c>
      <c r="E28" s="1250">
        <f>'Tab.6. umieszcz.oczek_Polska'!D470</f>
        <v>218</v>
      </c>
      <c r="F28" s="1250">
        <f>'Tab.6. umieszcz.oczek_Polska'!D471</f>
        <v>96</v>
      </c>
      <c r="G28" s="1250">
        <f>'Tab.6. umieszcz.oczek_Polska'!D472</f>
        <v>57</v>
      </c>
      <c r="H28" s="1250">
        <f>'Tab.6. umieszcz.oczek_Polska'!D473</f>
        <v>1</v>
      </c>
      <c r="I28" s="1251">
        <f>'Tab.6. umieszcz.oczek_Polska'!D474</f>
        <v>25</v>
      </c>
    </row>
    <row r="29" spans="1:9" x14ac:dyDescent="0.2">
      <c r="A29" s="463">
        <v>15</v>
      </c>
      <c r="B29" s="509" t="s">
        <v>250</v>
      </c>
      <c r="C29" s="1248">
        <f t="shared" si="0"/>
        <v>637</v>
      </c>
      <c r="D29" s="1249">
        <f>'Tab.6. umieszcz.oczek_Polska'!D501</f>
        <v>150</v>
      </c>
      <c r="E29" s="1250">
        <f>'Tab.6. umieszcz.oczek_Polska'!D502</f>
        <v>393</v>
      </c>
      <c r="F29" s="1250">
        <f>'Tab.6. umieszcz.oczek_Polska'!D503</f>
        <v>76</v>
      </c>
      <c r="G29" s="1250">
        <f>'Tab.6. umieszcz.oczek_Polska'!D504</f>
        <v>13</v>
      </c>
      <c r="H29" s="1250">
        <f>'Tab.6. umieszcz.oczek_Polska'!D505</f>
        <v>3</v>
      </c>
      <c r="I29" s="1251">
        <f>'Tab.6. umieszcz.oczek_Polska'!D506</f>
        <v>2</v>
      </c>
    </row>
    <row r="30" spans="1:9" ht="13.5" thickBot="1" x14ac:dyDescent="0.25">
      <c r="A30" s="463">
        <v>16</v>
      </c>
      <c r="B30" s="510" t="s">
        <v>251</v>
      </c>
      <c r="C30" s="1248">
        <f t="shared" si="0"/>
        <v>231</v>
      </c>
      <c r="D30" s="1252">
        <f>'Tab.6. umieszcz.oczek_Polska'!D533</f>
        <v>17</v>
      </c>
      <c r="E30" s="1253">
        <f>'Tab.6. umieszcz.oczek_Polska'!D534</f>
        <v>59</v>
      </c>
      <c r="F30" s="1253">
        <f>'Tab.6. umieszcz.oczek_Polska'!D535</f>
        <v>141</v>
      </c>
      <c r="G30" s="1253">
        <f>'Tab.6. umieszcz.oczek_Polska'!D536</f>
        <v>14</v>
      </c>
      <c r="H30" s="1253">
        <f>'Tab.6. umieszcz.oczek_Polska'!D537</f>
        <v>0</v>
      </c>
      <c r="I30" s="1254">
        <f>'Tab.6. umieszcz.oczek_Polska'!D538</f>
        <v>0</v>
      </c>
    </row>
    <row r="31" spans="1:9" ht="16.5" thickBot="1" x14ac:dyDescent="0.3">
      <c r="A31" s="445" t="s">
        <v>252</v>
      </c>
      <c r="B31" s="446"/>
      <c r="C31" s="1238">
        <f t="shared" ref="C31:I31" si="1">SUM(C15:C30)</f>
        <v>8225</v>
      </c>
      <c r="D31" s="1239">
        <f t="shared" si="1"/>
        <v>1829</v>
      </c>
      <c r="E31" s="1240">
        <f t="shared" si="1"/>
        <v>2953</v>
      </c>
      <c r="F31" s="1240">
        <f t="shared" si="1"/>
        <v>2650</v>
      </c>
      <c r="G31" s="1240">
        <f t="shared" si="1"/>
        <v>557</v>
      </c>
      <c r="H31" s="1240">
        <f t="shared" si="1"/>
        <v>69</v>
      </c>
      <c r="I31" s="1255">
        <f t="shared" si="1"/>
        <v>167</v>
      </c>
    </row>
    <row r="32" spans="1:9" ht="13.5" thickTop="1" x14ac:dyDescent="0.2"/>
  </sheetData>
  <mergeCells count="12">
    <mergeCell ref="H11:H13"/>
    <mergeCell ref="I11:I13"/>
    <mergeCell ref="C10:C13"/>
    <mergeCell ref="B10:B13"/>
    <mergeCell ref="A6:I6"/>
    <mergeCell ref="A7:I7"/>
    <mergeCell ref="A10:A13"/>
    <mergeCell ref="D11:D13"/>
    <mergeCell ref="E11:E13"/>
    <mergeCell ref="F11:F13"/>
    <mergeCell ref="D10:I10"/>
    <mergeCell ref="G11:G13"/>
  </mergeCells>
  <phoneticPr fontId="82"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2.75" x14ac:dyDescent="0.2"/>
  <cols>
    <col min="1" max="1" width="3.7109375" customWidth="1"/>
    <col min="2" max="2" width="25.7109375" customWidth="1"/>
    <col min="3" max="5" width="19.7109375" customWidth="1"/>
    <col min="6" max="6" width="15.7109375" customWidth="1"/>
  </cols>
  <sheetData>
    <row r="1" spans="1:7" ht="15.75" x14ac:dyDescent="0.25">
      <c r="A1" s="1" t="s">
        <v>195</v>
      </c>
      <c r="B1" s="3"/>
      <c r="C1" s="4"/>
      <c r="E1" s="811" t="s">
        <v>394</v>
      </c>
    </row>
    <row r="2" spans="1:7" x14ac:dyDescent="0.2">
      <c r="A2" s="3" t="s">
        <v>214</v>
      </c>
      <c r="B2" s="3"/>
      <c r="C2" s="3"/>
      <c r="D2" s="3"/>
      <c r="E2" s="3"/>
    </row>
    <row r="3" spans="1:7" x14ac:dyDescent="0.2">
      <c r="A3" s="3" t="s">
        <v>216</v>
      </c>
      <c r="B3" s="3"/>
      <c r="C3" s="3"/>
      <c r="D3" s="3"/>
      <c r="E3" s="3"/>
    </row>
    <row r="4" spans="1:7" x14ac:dyDescent="0.2">
      <c r="A4" s="3" t="s">
        <v>128</v>
      </c>
      <c r="B4" s="3"/>
      <c r="C4" s="3"/>
      <c r="D4" s="3"/>
      <c r="E4" s="3"/>
    </row>
    <row r="5" spans="1:7" x14ac:dyDescent="0.2">
      <c r="A5" s="3"/>
      <c r="B5" s="3"/>
      <c r="C5" s="3"/>
      <c r="D5" s="3"/>
      <c r="E5" s="3"/>
    </row>
    <row r="6" spans="1:7" ht="15.75" x14ac:dyDescent="0.25">
      <c r="A6" s="1604" t="s">
        <v>395</v>
      </c>
      <c r="B6" s="1604"/>
      <c r="C6" s="1604"/>
      <c r="D6" s="1604"/>
      <c r="E6" s="1604"/>
      <c r="F6" s="504"/>
    </row>
    <row r="7" spans="1:7" ht="15.75" x14ac:dyDescent="0.25">
      <c r="A7" s="1604" t="s">
        <v>396</v>
      </c>
      <c r="B7" s="1604"/>
      <c r="C7" s="1604"/>
      <c r="D7" s="1604"/>
      <c r="E7" s="1604"/>
      <c r="F7" s="504"/>
    </row>
    <row r="8" spans="1:7" ht="15.75" customHeight="1" x14ac:dyDescent="0.25">
      <c r="A8" s="1691" t="str">
        <f>"OGÓŁEM WG STANU NA DZIEŃ 31.XII."&amp;'Tab.1. bilans_Polska'!A2&amp;" r."</f>
        <v>OGÓŁEM WG STANU NA DZIEŃ 31.XII.2011 r.</v>
      </c>
      <c r="B8" s="1690"/>
      <c r="C8" s="1690"/>
      <c r="D8" s="1690"/>
      <c r="E8" s="1690"/>
      <c r="F8" s="592"/>
      <c r="G8" s="592"/>
    </row>
    <row r="9" spans="1:7" ht="13.5" thickBot="1" x14ac:dyDescent="0.25">
      <c r="A9" s="3"/>
      <c r="B9" s="3"/>
      <c r="C9" s="3"/>
      <c r="D9" s="3"/>
      <c r="E9" s="3"/>
    </row>
    <row r="10" spans="1:7" ht="13.5" thickTop="1" x14ac:dyDescent="0.2">
      <c r="A10" s="1692" t="s">
        <v>226</v>
      </c>
      <c r="B10" s="1859" t="s">
        <v>256</v>
      </c>
      <c r="C10" s="1853" t="s">
        <v>2</v>
      </c>
      <c r="D10" s="1854"/>
      <c r="E10" s="1857" t="s">
        <v>367</v>
      </c>
    </row>
    <row r="11" spans="1:7" ht="39.75" customHeight="1" x14ac:dyDescent="0.2">
      <c r="A11" s="1693"/>
      <c r="B11" s="1860"/>
      <c r="C11" s="1855" t="str">
        <f>"UMIESZCZONYCH 
W DPS-CH 
W "&amp;'Tab.1. bilans_Polska'!A2&amp;" r."</f>
        <v>UMIESZCZONYCH 
W DPS-CH 
W 2011 r.</v>
      </c>
      <c r="D11" s="1851" t="str">
        <f>"OCZEKUJĄCYCH 
NA UMIESZCZENIE
STAN NA 31.XII."&amp;'Tab.1. bilans_Polska'!A2&amp;"r."</f>
        <v>OCZEKUJĄCYCH 
NA UMIESZCZENIE
STAN NA 31.XII.2011r.</v>
      </c>
      <c r="E11" s="1858"/>
    </row>
    <row r="12" spans="1:7" ht="12.75" customHeight="1" x14ac:dyDescent="0.2">
      <c r="A12" s="1693"/>
      <c r="B12" s="1860"/>
      <c r="C12" s="1856"/>
      <c r="D12" s="1852"/>
      <c r="E12" s="1858"/>
    </row>
    <row r="13" spans="1:7" x14ac:dyDescent="0.2">
      <c r="A13" s="1694"/>
      <c r="B13" s="1861"/>
      <c r="C13" s="1856"/>
      <c r="D13" s="1852"/>
      <c r="E13" s="1858"/>
    </row>
    <row r="14" spans="1:7" ht="13.5" thickBot="1" x14ac:dyDescent="0.25">
      <c r="A14" s="425"/>
      <c r="B14" s="426">
        <v>0</v>
      </c>
      <c r="C14" s="427">
        <v>1</v>
      </c>
      <c r="D14" s="429">
        <v>2</v>
      </c>
      <c r="E14" s="432">
        <v>3</v>
      </c>
    </row>
    <row r="15" spans="1:7" ht="13.5" thickTop="1" x14ac:dyDescent="0.2">
      <c r="A15" s="461">
        <v>1</v>
      </c>
      <c r="B15" s="433" t="s">
        <v>236</v>
      </c>
      <c r="C15" s="585">
        <f>'Tab.6. umieszcz.oczek_Polska'!C51</f>
        <v>834</v>
      </c>
      <c r="D15" s="582">
        <f>'Tab.6. umieszcz.oczek_Polska'!D51</f>
        <v>922</v>
      </c>
      <c r="E15" s="588">
        <f>IF(C15+D15=0,0,ROUND(C15*100/(C15+D15),1))</f>
        <v>47.5</v>
      </c>
    </row>
    <row r="16" spans="1:7" x14ac:dyDescent="0.2">
      <c r="A16" s="462">
        <v>2</v>
      </c>
      <c r="B16" s="439" t="s">
        <v>237</v>
      </c>
      <c r="C16" s="586">
        <f>'Tab.6. umieszcz.oczek_Polska'!C83</f>
        <v>508</v>
      </c>
      <c r="D16" s="583">
        <f>'Tab.6. umieszcz.oczek_Polska'!D83</f>
        <v>280</v>
      </c>
      <c r="E16" s="589">
        <f>IF(C16+D16=0,0,ROUND(C16*100/(C16+D16),1))</f>
        <v>64.5</v>
      </c>
    </row>
    <row r="17" spans="1:5" x14ac:dyDescent="0.2">
      <c r="A17" s="462">
        <v>3</v>
      </c>
      <c r="B17" s="439" t="s">
        <v>238</v>
      </c>
      <c r="C17" s="586">
        <f>'Tab.6. umieszcz.oczek_Polska'!C115</f>
        <v>608</v>
      </c>
      <c r="D17" s="583">
        <f>'Tab.6. umieszcz.oczek_Polska'!D115</f>
        <v>173</v>
      </c>
      <c r="E17" s="589">
        <f t="shared" ref="E17:E30" si="0">IF(C17+D17=0,0,ROUND(C17*100/(C17+D17),1))</f>
        <v>77.8</v>
      </c>
    </row>
    <row r="18" spans="1:5" x14ac:dyDescent="0.2">
      <c r="A18" s="462">
        <v>4</v>
      </c>
      <c r="B18" s="439" t="s">
        <v>239</v>
      </c>
      <c r="C18" s="586">
        <f>'Tab.6. umieszcz.oczek_Polska'!C147</f>
        <v>357</v>
      </c>
      <c r="D18" s="583">
        <f>'Tab.6. umieszcz.oczek_Polska'!D147</f>
        <v>307</v>
      </c>
      <c r="E18" s="589">
        <f t="shared" si="0"/>
        <v>53.8</v>
      </c>
    </row>
    <row r="19" spans="1:5" x14ac:dyDescent="0.2">
      <c r="A19" s="462">
        <v>5</v>
      </c>
      <c r="B19" s="439" t="s">
        <v>240</v>
      </c>
      <c r="C19" s="586">
        <f>'Tab.6. umieszcz.oczek_Polska'!C179</f>
        <v>1035</v>
      </c>
      <c r="D19" s="583">
        <f>'Tab.6. umieszcz.oczek_Polska'!D179</f>
        <v>482</v>
      </c>
      <c r="E19" s="589">
        <f t="shared" si="0"/>
        <v>68.2</v>
      </c>
    </row>
    <row r="20" spans="1:5" x14ac:dyDescent="0.2">
      <c r="A20" s="462">
        <v>6</v>
      </c>
      <c r="B20" s="439" t="s">
        <v>241</v>
      </c>
      <c r="C20" s="586">
        <f>'Tab.6. umieszcz.oczek_Polska'!C211</f>
        <v>978</v>
      </c>
      <c r="D20" s="583">
        <f>'Tab.6. umieszcz.oczek_Polska'!D211</f>
        <v>745</v>
      </c>
      <c r="E20" s="589">
        <f t="shared" si="0"/>
        <v>56.8</v>
      </c>
    </row>
    <row r="21" spans="1:5" x14ac:dyDescent="0.2">
      <c r="A21" s="462">
        <v>7</v>
      </c>
      <c r="B21" s="439" t="s">
        <v>242</v>
      </c>
      <c r="C21" s="586">
        <f>'Tab.6. umieszcz.oczek_Polska'!C243</f>
        <v>1218</v>
      </c>
      <c r="D21" s="583">
        <f>'Tab.6. umieszcz.oczek_Polska'!D243</f>
        <v>602</v>
      </c>
      <c r="E21" s="589">
        <f t="shared" si="0"/>
        <v>66.900000000000006</v>
      </c>
    </row>
    <row r="22" spans="1:5" x14ac:dyDescent="0.2">
      <c r="A22" s="462">
        <v>8</v>
      </c>
      <c r="B22" s="439" t="s">
        <v>243</v>
      </c>
      <c r="C22" s="586">
        <f>'Tab.6. umieszcz.oczek_Polska'!C275</f>
        <v>491</v>
      </c>
      <c r="D22" s="583">
        <f>'Tab.6. umieszcz.oczek_Polska'!D275</f>
        <v>202</v>
      </c>
      <c r="E22" s="589">
        <f t="shared" si="0"/>
        <v>70.900000000000006</v>
      </c>
    </row>
    <row r="23" spans="1:5" x14ac:dyDescent="0.2">
      <c r="A23" s="462">
        <v>9</v>
      </c>
      <c r="B23" s="439" t="s">
        <v>244</v>
      </c>
      <c r="C23" s="586">
        <f>'Tab.6. umieszcz.oczek_Polska'!C307</f>
        <v>531</v>
      </c>
      <c r="D23" s="583">
        <f>'Tab.6. umieszcz.oczek_Polska'!D307</f>
        <v>89</v>
      </c>
      <c r="E23" s="589">
        <f t="shared" si="0"/>
        <v>85.6</v>
      </c>
    </row>
    <row r="24" spans="1:5" x14ac:dyDescent="0.2">
      <c r="A24" s="463">
        <v>10</v>
      </c>
      <c r="B24" s="439" t="s">
        <v>245</v>
      </c>
      <c r="C24" s="586">
        <f>'Tab.6. umieszcz.oczek_Polska'!C339</f>
        <v>256</v>
      </c>
      <c r="D24" s="583">
        <f>'Tab.6. umieszcz.oczek_Polska'!D339</f>
        <v>245</v>
      </c>
      <c r="E24" s="589">
        <f t="shared" si="0"/>
        <v>51.1</v>
      </c>
    </row>
    <row r="25" spans="1:5" x14ac:dyDescent="0.2">
      <c r="A25" s="463">
        <v>11</v>
      </c>
      <c r="B25" s="439" t="s">
        <v>246</v>
      </c>
      <c r="C25" s="586">
        <f>'Tab.6. umieszcz.oczek_Polska'!C371</f>
        <v>441</v>
      </c>
      <c r="D25" s="583">
        <f>'Tab.6. umieszcz.oczek_Polska'!D371</f>
        <v>688</v>
      </c>
      <c r="E25" s="589">
        <f t="shared" si="0"/>
        <v>39.1</v>
      </c>
    </row>
    <row r="26" spans="1:5" x14ac:dyDescent="0.2">
      <c r="A26" s="463">
        <v>12</v>
      </c>
      <c r="B26" s="439" t="s">
        <v>247</v>
      </c>
      <c r="C26" s="586">
        <f>'Tab.6. umieszcz.oczek_Polska'!C403</f>
        <v>1131</v>
      </c>
      <c r="D26" s="583">
        <f>'Tab.6. umieszcz.oczek_Polska'!D403</f>
        <v>1988</v>
      </c>
      <c r="E26" s="589">
        <f t="shared" si="0"/>
        <v>36.299999999999997</v>
      </c>
    </row>
    <row r="27" spans="1:5" x14ac:dyDescent="0.2">
      <c r="A27" s="463">
        <v>13</v>
      </c>
      <c r="B27" s="439" t="s">
        <v>248</v>
      </c>
      <c r="C27" s="586">
        <f>'Tab.6. umieszcz.oczek_Polska'!C435</f>
        <v>479</v>
      </c>
      <c r="D27" s="583">
        <f>'Tab.6. umieszcz.oczek_Polska'!D435</f>
        <v>227</v>
      </c>
      <c r="E27" s="589">
        <f t="shared" si="0"/>
        <v>67.8</v>
      </c>
    </row>
    <row r="28" spans="1:5" x14ac:dyDescent="0.2">
      <c r="A28" s="463">
        <v>14</v>
      </c>
      <c r="B28" s="439" t="s">
        <v>249</v>
      </c>
      <c r="C28" s="586">
        <f>'Tab.6. umieszcz.oczek_Polska'!C467</f>
        <v>447</v>
      </c>
      <c r="D28" s="583">
        <f>'Tab.6. umieszcz.oczek_Polska'!D467</f>
        <v>407</v>
      </c>
      <c r="E28" s="589">
        <f t="shared" si="0"/>
        <v>52.3</v>
      </c>
    </row>
    <row r="29" spans="1:5" x14ac:dyDescent="0.2">
      <c r="A29" s="463">
        <v>15</v>
      </c>
      <c r="B29" s="439" t="s">
        <v>250</v>
      </c>
      <c r="C29" s="586">
        <f>'Tab.6. umieszcz.oczek_Polska'!C499</f>
        <v>900</v>
      </c>
      <c r="D29" s="583">
        <f>'Tab.6. umieszcz.oczek_Polska'!D499</f>
        <v>637</v>
      </c>
      <c r="E29" s="589">
        <f t="shared" si="0"/>
        <v>58.6</v>
      </c>
    </row>
    <row r="30" spans="1:5" ht="13.5" thickBot="1" x14ac:dyDescent="0.25">
      <c r="A30" s="463">
        <v>16</v>
      </c>
      <c r="B30" s="581" t="s">
        <v>251</v>
      </c>
      <c r="C30" s="587">
        <f>'Tab.6. umieszcz.oczek_Polska'!C531</f>
        <v>435</v>
      </c>
      <c r="D30" s="584">
        <f>'Tab.6. umieszcz.oczek_Polska'!D531</f>
        <v>231</v>
      </c>
      <c r="E30" s="590">
        <f t="shared" si="0"/>
        <v>65.3</v>
      </c>
    </row>
    <row r="31" spans="1:5" ht="16.5" thickBot="1" x14ac:dyDescent="0.3">
      <c r="A31" s="445" t="s">
        <v>252</v>
      </c>
      <c r="B31" s="446"/>
      <c r="C31" s="545">
        <f>SUM(C15:C30)</f>
        <v>10649</v>
      </c>
      <c r="D31" s="550">
        <f>SUM(D15:D30)</f>
        <v>8225</v>
      </c>
      <c r="E31" s="591">
        <f>AVERAGE(E15:E30)</f>
        <v>60.156249999999993</v>
      </c>
    </row>
    <row r="32" spans="1:5" ht="13.5" thickTop="1" x14ac:dyDescent="0.2"/>
  </sheetData>
  <mergeCells count="9">
    <mergeCell ref="A6:E6"/>
    <mergeCell ref="A10:A13"/>
    <mergeCell ref="D11:D13"/>
    <mergeCell ref="A7:E7"/>
    <mergeCell ref="C10:D10"/>
    <mergeCell ref="C11:C13"/>
    <mergeCell ref="E10:E13"/>
    <mergeCell ref="A8:E8"/>
    <mergeCell ref="B10:B13"/>
  </mergeCells>
  <phoneticPr fontId="82" type="noConversion"/>
  <printOptions horizontalCentered="1"/>
  <pageMargins left="0.51181102362204722" right="0.78740157480314965" top="0.98425196850393704" bottom="0.98425196850393704"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4"/>
  <sheetViews>
    <sheetView zoomScale="85" workbookViewId="0"/>
  </sheetViews>
  <sheetFormatPr defaultRowHeight="12.75" x14ac:dyDescent="0.2"/>
  <cols>
    <col min="2" max="2" width="63.28515625" customWidth="1"/>
    <col min="3" max="3" width="19.28515625" customWidth="1"/>
    <col min="4" max="4" width="19.140625" customWidth="1"/>
    <col min="5" max="5" width="19.5703125" customWidth="1"/>
    <col min="7" max="7" width="9.5703125" bestFit="1" customWidth="1"/>
  </cols>
  <sheetData>
    <row r="1" spans="1:5" ht="26.25" x14ac:dyDescent="0.4">
      <c r="A1" s="267" t="s">
        <v>196</v>
      </c>
      <c r="B1" s="266" t="s">
        <v>195</v>
      </c>
    </row>
    <row r="2" spans="1:5" ht="18" x14ac:dyDescent="0.25">
      <c r="B2" s="11" t="s">
        <v>116</v>
      </c>
      <c r="C2" s="3"/>
      <c r="D2" s="3"/>
      <c r="E2" s="10" t="s">
        <v>15</v>
      </c>
    </row>
    <row r="3" spans="1:5" ht="18" customHeight="1" x14ac:dyDescent="0.25">
      <c r="B3" s="14" t="s">
        <v>129</v>
      </c>
    </row>
    <row r="4" spans="1:5" ht="18" x14ac:dyDescent="0.25">
      <c r="B4" s="11" t="s">
        <v>144</v>
      </c>
    </row>
    <row r="6" spans="1:5" x14ac:dyDescent="0.2">
      <c r="C6" s="3"/>
      <c r="D6" s="3"/>
      <c r="E6" s="3"/>
    </row>
    <row r="7" spans="1:5" x14ac:dyDescent="0.2">
      <c r="C7" s="3"/>
      <c r="D7" s="3"/>
      <c r="E7" s="3"/>
    </row>
    <row r="8" spans="1:5" x14ac:dyDescent="0.2">
      <c r="C8" s="3"/>
      <c r="D8" s="3"/>
      <c r="E8" s="3"/>
    </row>
    <row r="9" spans="1:5" ht="23.25" x14ac:dyDescent="0.35">
      <c r="B9" s="1810" t="str">
        <f>"ŚRODOWISKOWE  DOMY  SAMOPOMOCY  w "&amp;'Tab.1. bilans_Polska'!A2&amp;" r."</f>
        <v>ŚRODOWISKOWE  DOMY  SAMOPOMOCY  w 2011 r.</v>
      </c>
      <c r="C9" s="1810"/>
      <c r="D9" s="1810"/>
      <c r="E9" s="1810"/>
    </row>
    <row r="10" spans="1:5" ht="23.25" x14ac:dyDescent="0.35">
      <c r="B10" s="26"/>
      <c r="C10" s="30"/>
      <c r="D10" s="30"/>
      <c r="E10" s="30"/>
    </row>
    <row r="11" spans="1:5" ht="18.75" thickBot="1" x14ac:dyDescent="0.3">
      <c r="B11" s="11"/>
      <c r="C11" s="3"/>
      <c r="D11" s="3"/>
      <c r="E11" s="3"/>
    </row>
    <row r="12" spans="1:5" ht="30" customHeight="1" thickTop="1" thickBot="1" x14ac:dyDescent="0.25">
      <c r="B12" s="31"/>
      <c r="C12" s="1863" t="s">
        <v>4</v>
      </c>
      <c r="D12" s="1864"/>
      <c r="E12" s="1865"/>
    </row>
    <row r="13" spans="1:5" ht="30" customHeight="1" x14ac:dyDescent="0.2">
      <c r="B13" s="117" t="s">
        <v>21</v>
      </c>
      <c r="C13" s="118" t="s">
        <v>41</v>
      </c>
      <c r="D13" s="119" t="s">
        <v>13</v>
      </c>
      <c r="E13" s="120" t="s">
        <v>117</v>
      </c>
    </row>
    <row r="14" spans="1:5" ht="30" customHeight="1" thickBot="1" x14ac:dyDescent="0.25">
      <c r="B14" s="165"/>
      <c r="C14" s="122"/>
      <c r="D14" s="123"/>
      <c r="E14" s="124" t="s">
        <v>118</v>
      </c>
    </row>
    <row r="15" spans="1:5" ht="16.5" thickBot="1" x14ac:dyDescent="0.3">
      <c r="B15" s="166">
        <v>0</v>
      </c>
      <c r="C15" s="167">
        <v>1</v>
      </c>
      <c r="D15" s="168">
        <v>2</v>
      </c>
      <c r="E15" s="169">
        <v>3</v>
      </c>
    </row>
    <row r="16" spans="1:5" ht="35.1" customHeight="1" thickTop="1" thickBot="1" x14ac:dyDescent="0.25">
      <c r="B16" s="1173" t="str">
        <f>"1. Stan na dzień 31. XII. "&amp;'Tab.1. bilans_Polska'!A2-1&amp;" r."</f>
        <v>1. Stan na dzień 31. XII. 2010 r.</v>
      </c>
      <c r="C16" s="770">
        <f t="shared" ref="C16:E18" si="0">C48+C80+C112+C144+C176+C208+C240+C272+C304+C336+C368+C400+C432+C464+C496+C528</f>
        <v>667</v>
      </c>
      <c r="D16" s="771">
        <f t="shared" si="0"/>
        <v>21511</v>
      </c>
      <c r="E16" s="772">
        <f t="shared" si="0"/>
        <v>21626</v>
      </c>
    </row>
    <row r="17" spans="2:5" ht="35.1" customHeight="1" thickBot="1" x14ac:dyDescent="0.25">
      <c r="B17" s="1174" t="str">
        <f>"2. Przybyło w "&amp;'Tab.1. bilans_Polska'!A2&amp;" r."</f>
        <v>2. Przybyło w 2011 r.</v>
      </c>
      <c r="C17" s="773">
        <f t="shared" si="0"/>
        <v>25</v>
      </c>
      <c r="D17" s="774">
        <f t="shared" si="0"/>
        <v>1397</v>
      </c>
      <c r="E17" s="775">
        <f t="shared" si="0"/>
        <v>5264</v>
      </c>
    </row>
    <row r="18" spans="2:5" ht="35.1" customHeight="1" thickBot="1" x14ac:dyDescent="0.25">
      <c r="B18" s="1174" t="str">
        <f>"3. Ubyło w "&amp;'Tab.1. bilans_Polska'!A2&amp;" r."</f>
        <v>3. Ubyło w 2011 r.</v>
      </c>
      <c r="C18" s="773">
        <f t="shared" si="0"/>
        <v>2</v>
      </c>
      <c r="D18" s="774">
        <f t="shared" si="0"/>
        <v>121</v>
      </c>
      <c r="E18" s="775">
        <f t="shared" si="0"/>
        <v>4099</v>
      </c>
    </row>
    <row r="19" spans="2:5" ht="35.1" customHeight="1" thickBot="1" x14ac:dyDescent="0.25">
      <c r="B19" s="1174" t="str">
        <f>"4. Stan na dzień 31. XII. "&amp;'Tab.1. bilans_Polska'!A2&amp;" r. (w.1+w.2-w.3)"</f>
        <v>4. Stan na dzień 31. XII. 2011 r. (w.1+w.2-w.3)</v>
      </c>
      <c r="C19" s="355">
        <f>C16+C17-C18</f>
        <v>690</v>
      </c>
      <c r="D19" s="356">
        <f>D16+D17-D18</f>
        <v>22787</v>
      </c>
      <c r="E19" s="357">
        <f>E16+E17-E18</f>
        <v>22791</v>
      </c>
    </row>
    <row r="20" spans="2:5" ht="35.1" customHeight="1" thickBot="1" x14ac:dyDescent="0.25">
      <c r="B20" s="1175" t="str">
        <f>"5. Planowane zwiększenie w "&amp;'Tab.1. bilans_Polska'!A2+1&amp;" r."</f>
        <v>5. Planowane zwiększenie w 2012 r.</v>
      </c>
      <c r="C20" s="776">
        <f>C52+C84+C116+C148+C180+C212+C244+C276+C308+C340+C372+C404+C436+C468+C500+C532</f>
        <v>14</v>
      </c>
      <c r="D20" s="777">
        <f>D52+D84+D116+D148+D180+D212+D244+D276+D308+D340+D372+D404+D436+D468+D500+D532</f>
        <v>932</v>
      </c>
      <c r="E20" s="170" t="s">
        <v>51</v>
      </c>
    </row>
    <row r="21" spans="2:5" ht="33" customHeight="1" thickTop="1" thickBot="1" x14ac:dyDescent="0.25">
      <c r="B21" s="3"/>
      <c r="C21" s="3"/>
      <c r="D21" s="3"/>
      <c r="E21" s="3"/>
    </row>
    <row r="22" spans="2:5" ht="35.1" customHeight="1" thickTop="1" thickBot="1" x14ac:dyDescent="0.35">
      <c r="B22" s="1176" t="str">
        <f>"I.  Liczba osób umieszczonych w środowisk. domach samopomocy w "&amp;'Tab.1. bilans_Polska'!A2&amp;" r."</f>
        <v>I.  Liczba osób umieszczonych w środowisk. domach samopomocy w 2011 r.</v>
      </c>
      <c r="C22" s="171"/>
      <c r="D22" s="171"/>
      <c r="E22" s="778">
        <f>E54+E86+E118+E150+E182+E214+E246+E278+E310+E342+E374+E406+E438+E470+E502+E534</f>
        <v>5009</v>
      </c>
    </row>
    <row r="23" spans="2:5" ht="20.25" customHeight="1" x14ac:dyDescent="0.3">
      <c r="B23" s="172" t="s">
        <v>119</v>
      </c>
      <c r="C23" s="173"/>
      <c r="D23" s="173"/>
      <c r="E23" s="1195"/>
    </row>
    <row r="24" spans="2:5" ht="21" customHeight="1" thickBot="1" x14ac:dyDescent="0.35">
      <c r="B24" s="1177" t="str">
        <f>"    domach samopomocy wg stanu na dzień 31. XII. "&amp;'Tab.1. bilans_Polska'!A2&amp;" r."</f>
        <v xml:space="preserve">    domach samopomocy wg stanu na dzień 31. XII. 2011 r.</v>
      </c>
      <c r="C24" s="174"/>
      <c r="D24" s="174"/>
      <c r="E24" s="779">
        <f>E56+E88+E120+E152+E184+E216+E248+E280+E312+E344+E376+E408+E440+E472+E504+E536</f>
        <v>1227</v>
      </c>
    </row>
    <row r="25" spans="2:5" ht="20.25" x14ac:dyDescent="0.3">
      <c r="B25" s="175" t="s">
        <v>120</v>
      </c>
      <c r="C25" s="176"/>
      <c r="D25" s="176"/>
      <c r="E25" s="177"/>
    </row>
    <row r="26" spans="2:5" ht="21" thickBot="1" x14ac:dyDescent="0.35">
      <c r="B26" s="133" t="s">
        <v>121</v>
      </c>
      <c r="C26" s="178"/>
      <c r="D26" s="178"/>
      <c r="E26" s="354">
        <f>IF(E22=0,0,ROUND((E22*100/(E22+E24))*0.01, 3))</f>
        <v>0.80300000000000005</v>
      </c>
    </row>
    <row r="27" spans="2:5" ht="13.5" thickTop="1" x14ac:dyDescent="0.2">
      <c r="B27" s="3"/>
      <c r="C27" s="3"/>
      <c r="D27" s="3"/>
      <c r="E27" s="3"/>
    </row>
    <row r="28" spans="2:5" x14ac:dyDescent="0.2">
      <c r="B28" s="3"/>
      <c r="C28" s="3"/>
      <c r="D28" s="3"/>
      <c r="E28" s="3"/>
    </row>
    <row r="29" spans="2:5" ht="18" x14ac:dyDescent="0.25">
      <c r="B29" s="1138" t="s">
        <v>123</v>
      </c>
      <c r="C29" s="1152"/>
      <c r="D29" s="1152"/>
      <c r="E29" s="1154"/>
    </row>
    <row r="30" spans="2:5" ht="18" x14ac:dyDescent="0.25">
      <c r="B30" s="1138" t="s">
        <v>132</v>
      </c>
      <c r="C30" s="805"/>
      <c r="D30" s="805"/>
      <c r="E30" s="805"/>
    </row>
    <row r="31" spans="2:5" ht="18" x14ac:dyDescent="0.25">
      <c r="B31" s="1138"/>
      <c r="C31" s="1138" t="s">
        <v>133</v>
      </c>
      <c r="D31" s="1152"/>
      <c r="E31" s="805"/>
    </row>
    <row r="32" spans="2:5" ht="18" x14ac:dyDescent="0.25">
      <c r="B32" s="1138" t="s">
        <v>137</v>
      </c>
      <c r="C32" s="1153" t="s">
        <v>136</v>
      </c>
      <c r="D32" s="1153"/>
      <c r="E32" s="805"/>
    </row>
    <row r="34" spans="1:5" ht="26.25" x14ac:dyDescent="0.4">
      <c r="A34" s="267" t="s">
        <v>166</v>
      </c>
      <c r="B34" s="11" t="s">
        <v>116</v>
      </c>
      <c r="C34" s="3"/>
      <c r="D34" s="3"/>
      <c r="E34" s="10" t="s">
        <v>15</v>
      </c>
    </row>
    <row r="35" spans="1:5" ht="18" x14ac:dyDescent="0.25">
      <c r="B35" s="14" t="s">
        <v>129</v>
      </c>
      <c r="C35" s="3"/>
      <c r="D35" s="11"/>
      <c r="E35" s="11"/>
    </row>
    <row r="36" spans="1:5" ht="18" x14ac:dyDescent="0.25">
      <c r="B36" s="11" t="s">
        <v>144</v>
      </c>
      <c r="C36" s="11"/>
      <c r="D36" s="1862" t="str">
        <f>'Tab.1. bilans_Polska'!$E$59</f>
        <v>Termin: 29 luty 2012 r.</v>
      </c>
      <c r="E36" s="1862"/>
    </row>
    <row r="37" spans="1:5" ht="18" x14ac:dyDescent="0.25">
      <c r="B37" s="11"/>
      <c r="C37" s="3"/>
      <c r="D37" s="3"/>
      <c r="E37" s="3"/>
    </row>
    <row r="38" spans="1:5" ht="18" x14ac:dyDescent="0.25">
      <c r="B38" s="11" t="s">
        <v>130</v>
      </c>
      <c r="C38" s="3"/>
      <c r="D38" s="3"/>
      <c r="E38" s="3"/>
    </row>
    <row r="39" spans="1:5" ht="15.75" x14ac:dyDescent="0.25">
      <c r="B39" s="1" t="s">
        <v>131</v>
      </c>
      <c r="C39" s="3"/>
      <c r="D39" s="3"/>
      <c r="E39" s="3"/>
    </row>
    <row r="40" spans="1:5" ht="18" x14ac:dyDescent="0.25">
      <c r="B40" s="11"/>
      <c r="C40" s="3"/>
      <c r="D40" s="3"/>
      <c r="E40" s="3"/>
    </row>
    <row r="41" spans="1:5" ht="23.25" x14ac:dyDescent="0.35">
      <c r="B41" s="1839" t="str">
        <f>$B$9</f>
        <v>ŚRODOWISKOWE  DOMY  SAMOPOMOCY  w 2011 r.</v>
      </c>
      <c r="C41" s="1839"/>
      <c r="D41" s="1839"/>
      <c r="E41" s="1839"/>
    </row>
    <row r="42" spans="1:5" ht="23.25" x14ac:dyDescent="0.35">
      <c r="B42" s="26"/>
      <c r="C42" s="30"/>
      <c r="D42" s="30"/>
      <c r="E42" s="30"/>
    </row>
    <row r="43" spans="1:5" ht="18.75" thickBot="1" x14ac:dyDescent="0.3">
      <c r="B43" s="11"/>
      <c r="C43" s="3"/>
      <c r="D43" s="3"/>
      <c r="E43" s="3"/>
    </row>
    <row r="44" spans="1:5" ht="19.5" thickTop="1" thickBot="1" x14ac:dyDescent="0.25">
      <c r="B44" s="31"/>
      <c r="C44" s="1863" t="s">
        <v>4</v>
      </c>
      <c r="D44" s="1864"/>
      <c r="E44" s="1865"/>
    </row>
    <row r="45" spans="1:5" ht="20.25" x14ac:dyDescent="0.2">
      <c r="B45" s="117" t="s">
        <v>21</v>
      </c>
      <c r="C45" s="118" t="s">
        <v>41</v>
      </c>
      <c r="D45" s="119" t="s">
        <v>13</v>
      </c>
      <c r="E45" s="120" t="s">
        <v>117</v>
      </c>
    </row>
    <row r="46" spans="1:5" ht="18.75" thickBot="1" x14ac:dyDescent="0.25">
      <c r="B46" s="165"/>
      <c r="C46" s="122"/>
      <c r="D46" s="123"/>
      <c r="E46" s="124" t="s">
        <v>118</v>
      </c>
    </row>
    <row r="47" spans="1:5" ht="16.5" thickBot="1" x14ac:dyDescent="0.3">
      <c r="B47" s="166">
        <v>0</v>
      </c>
      <c r="C47" s="167">
        <v>1</v>
      </c>
      <c r="D47" s="168">
        <v>2</v>
      </c>
      <c r="E47" s="169">
        <v>3</v>
      </c>
    </row>
    <row r="48" spans="1:5" ht="21.75" thickTop="1" thickBot="1" x14ac:dyDescent="0.25">
      <c r="B48" s="1178" t="str">
        <f>$B$16</f>
        <v>1. Stan na dzień 31. XII. 2010 r.</v>
      </c>
      <c r="C48" s="1367">
        <v>33</v>
      </c>
      <c r="D48" s="1368">
        <v>972</v>
      </c>
      <c r="E48" s="1369">
        <v>958</v>
      </c>
    </row>
    <row r="49" spans="2:5" ht="21" thickBot="1" x14ac:dyDescent="0.25">
      <c r="B49" s="1179" t="str">
        <f>$B$17</f>
        <v>2. Przybyło w 2011 r.</v>
      </c>
      <c r="C49" s="1370">
        <v>1</v>
      </c>
      <c r="D49" s="1371">
        <v>45</v>
      </c>
      <c r="E49" s="1372">
        <v>204</v>
      </c>
    </row>
    <row r="50" spans="2:5" ht="21" thickBot="1" x14ac:dyDescent="0.25">
      <c r="B50" s="1179" t="str">
        <f>$B$18</f>
        <v>3. Ubyło w 2011 r.</v>
      </c>
      <c r="C50" s="1370">
        <v>0</v>
      </c>
      <c r="D50" s="1371">
        <v>0</v>
      </c>
      <c r="E50" s="1372">
        <v>149</v>
      </c>
    </row>
    <row r="51" spans="2:5" ht="21" thickBot="1" x14ac:dyDescent="0.25">
      <c r="B51" s="1179" t="str">
        <f>B19</f>
        <v>4. Stan na dzień 31. XII. 2011 r. (w.1+w.2-w.3)</v>
      </c>
      <c r="C51" s="1200">
        <f>C48+C49-C50</f>
        <v>34</v>
      </c>
      <c r="D51" s="936">
        <f>D48+D49-D50</f>
        <v>1017</v>
      </c>
      <c r="E51" s="1197">
        <f>E48+E49-E50</f>
        <v>1013</v>
      </c>
    </row>
    <row r="52" spans="2:5" ht="21" thickBot="1" x14ac:dyDescent="0.25">
      <c r="B52" s="1180" t="str">
        <f>B20</f>
        <v>5. Planowane zwiększenie w 2012 r.</v>
      </c>
      <c r="C52" s="1373">
        <v>1</v>
      </c>
      <c r="D52" s="1374">
        <v>30</v>
      </c>
      <c r="E52" s="170" t="s">
        <v>51</v>
      </c>
    </row>
    <row r="53" spans="2:5" ht="14.25" thickTop="1" thickBot="1" x14ac:dyDescent="0.25">
      <c r="B53" s="3"/>
      <c r="C53" s="3"/>
      <c r="D53" s="3"/>
      <c r="E53" s="3"/>
    </row>
    <row r="54" spans="2:5" ht="21.75" thickTop="1" thickBot="1" x14ac:dyDescent="0.35">
      <c r="B54" s="1181" t="str">
        <f>$B$22</f>
        <v>I.  Liczba osób umieszczonych w środowisk. domach samopomocy w 2011 r.</v>
      </c>
      <c r="C54" s="171"/>
      <c r="D54" s="171"/>
      <c r="E54" s="1375">
        <v>204</v>
      </c>
    </row>
    <row r="55" spans="2:5" ht="20.25" x14ac:dyDescent="0.3">
      <c r="B55" s="172" t="s">
        <v>119</v>
      </c>
      <c r="C55" s="173"/>
      <c r="D55" s="173"/>
      <c r="E55" s="1195"/>
    </row>
    <row r="56" spans="2:5" ht="21" thickBot="1" x14ac:dyDescent="0.35">
      <c r="B56" s="1182" t="str">
        <f>$B$24</f>
        <v xml:space="preserve">    domach samopomocy wg stanu na dzień 31. XII. 2011 r.</v>
      </c>
      <c r="C56" s="174"/>
      <c r="D56" s="174"/>
      <c r="E56" s="1376">
        <v>48</v>
      </c>
    </row>
    <row r="57" spans="2:5" ht="20.25" x14ac:dyDescent="0.3">
      <c r="B57" s="175" t="s">
        <v>120</v>
      </c>
      <c r="C57" s="176"/>
      <c r="D57" s="176"/>
      <c r="E57" s="177"/>
    </row>
    <row r="58" spans="2:5" ht="21" thickBot="1" x14ac:dyDescent="0.35">
      <c r="B58" s="133" t="s">
        <v>121</v>
      </c>
      <c r="C58" s="178"/>
      <c r="D58" s="178"/>
      <c r="E58" s="354">
        <f>IF(E54=0,0,ROUND((E54*100/(E54+E56))*0.01, 3))</f>
        <v>0.81</v>
      </c>
    </row>
    <row r="59" spans="2:5" ht="13.5" thickTop="1" x14ac:dyDescent="0.2">
      <c r="B59" s="3"/>
      <c r="C59" s="3"/>
      <c r="D59" s="3"/>
      <c r="E59" s="3"/>
    </row>
    <row r="60" spans="2:5" x14ac:dyDescent="0.2">
      <c r="B60" s="3"/>
      <c r="C60" s="3"/>
      <c r="D60" s="3"/>
      <c r="E60" s="3"/>
    </row>
    <row r="61" spans="2:5" ht="18" x14ac:dyDescent="0.25">
      <c r="B61" s="11" t="s">
        <v>123</v>
      </c>
      <c r="C61" s="27"/>
      <c r="D61" s="27"/>
      <c r="E61" s="3"/>
    </row>
    <row r="62" spans="2:5" ht="18" x14ac:dyDescent="0.25">
      <c r="B62" s="11" t="s">
        <v>132</v>
      </c>
    </row>
    <row r="63" spans="2:5" ht="18" x14ac:dyDescent="0.25">
      <c r="B63" s="11"/>
      <c r="C63" s="11" t="s">
        <v>133</v>
      </c>
      <c r="D63" s="27"/>
    </row>
    <row r="64" spans="2:5" ht="18" x14ac:dyDescent="0.25">
      <c r="B64" s="11" t="s">
        <v>137</v>
      </c>
      <c r="C64" s="14" t="s">
        <v>136</v>
      </c>
      <c r="D64" s="14"/>
    </row>
    <row r="66" spans="1:5" ht="26.25" x14ac:dyDescent="0.4">
      <c r="A66" s="267" t="s">
        <v>168</v>
      </c>
      <c r="B66" s="11" t="s">
        <v>116</v>
      </c>
      <c r="C66" s="3"/>
      <c r="D66" s="3"/>
      <c r="E66" s="10" t="s">
        <v>15</v>
      </c>
    </row>
    <row r="67" spans="1:5" ht="18" x14ac:dyDescent="0.25">
      <c r="B67" s="14" t="s">
        <v>129</v>
      </c>
      <c r="C67" s="3"/>
      <c r="D67" s="11"/>
      <c r="E67" s="11"/>
    </row>
    <row r="68" spans="1:5" ht="18" x14ac:dyDescent="0.25">
      <c r="B68" s="11" t="s">
        <v>144</v>
      </c>
      <c r="C68" s="11"/>
      <c r="D68" s="1862" t="str">
        <f>'Tab.1. bilans_Polska'!$E$59</f>
        <v>Termin: 29 luty 2012 r.</v>
      </c>
      <c r="E68" s="1862"/>
    </row>
    <row r="69" spans="1:5" ht="18" x14ac:dyDescent="0.25">
      <c r="B69" s="11"/>
      <c r="C69" s="3"/>
      <c r="D69" s="3"/>
      <c r="E69" s="3"/>
    </row>
    <row r="70" spans="1:5" ht="18" x14ac:dyDescent="0.25">
      <c r="B70" s="11" t="s">
        <v>130</v>
      </c>
      <c r="C70" s="3"/>
      <c r="D70" s="3"/>
      <c r="E70" s="3"/>
    </row>
    <row r="71" spans="1:5" ht="15.75" x14ac:dyDescent="0.25">
      <c r="B71" s="1" t="s">
        <v>131</v>
      </c>
      <c r="C71" s="3"/>
      <c r="D71" s="3"/>
      <c r="E71" s="3"/>
    </row>
    <row r="72" spans="1:5" ht="18" x14ac:dyDescent="0.25">
      <c r="B72" s="11"/>
      <c r="C72" s="3"/>
      <c r="D72" s="3"/>
      <c r="E72" s="3"/>
    </row>
    <row r="73" spans="1:5" ht="23.25" x14ac:dyDescent="0.35">
      <c r="B73" s="1839" t="str">
        <f>$B$9</f>
        <v>ŚRODOWISKOWE  DOMY  SAMOPOMOCY  w 2011 r.</v>
      </c>
      <c r="C73" s="1839"/>
      <c r="D73" s="1839"/>
      <c r="E73" s="1839"/>
    </row>
    <row r="74" spans="1:5" ht="23.25" x14ac:dyDescent="0.35">
      <c r="B74" s="26"/>
      <c r="C74" s="30"/>
      <c r="D74" s="30"/>
      <c r="E74" s="30"/>
    </row>
    <row r="75" spans="1:5" ht="18.75" thickBot="1" x14ac:dyDescent="0.3">
      <c r="B75" s="11"/>
      <c r="C75" s="3"/>
      <c r="D75" s="3"/>
      <c r="E75" s="3"/>
    </row>
    <row r="76" spans="1:5" ht="19.5" thickTop="1" thickBot="1" x14ac:dyDescent="0.25">
      <c r="B76" s="31"/>
      <c r="C76" s="1863" t="s">
        <v>4</v>
      </c>
      <c r="D76" s="1864"/>
      <c r="E76" s="1865"/>
    </row>
    <row r="77" spans="1:5" ht="20.25" x14ac:dyDescent="0.2">
      <c r="B77" s="117" t="s">
        <v>21</v>
      </c>
      <c r="C77" s="118" t="s">
        <v>41</v>
      </c>
      <c r="D77" s="119" t="s">
        <v>13</v>
      </c>
      <c r="E77" s="120" t="s">
        <v>117</v>
      </c>
    </row>
    <row r="78" spans="1:5" ht="18.75" thickBot="1" x14ac:dyDescent="0.25">
      <c r="B78" s="165"/>
      <c r="C78" s="122"/>
      <c r="D78" s="123"/>
      <c r="E78" s="124" t="s">
        <v>118</v>
      </c>
    </row>
    <row r="79" spans="1:5" ht="16.5" thickBot="1" x14ac:dyDescent="0.3">
      <c r="B79" s="166">
        <v>0</v>
      </c>
      <c r="C79" s="167">
        <v>1</v>
      </c>
      <c r="D79" s="168">
        <v>2</v>
      </c>
      <c r="E79" s="169">
        <v>3</v>
      </c>
    </row>
    <row r="80" spans="1:5" ht="21.75" thickTop="1" thickBot="1" x14ac:dyDescent="0.25">
      <c r="B80" s="1178" t="str">
        <f>$B$16</f>
        <v>1. Stan na dzień 31. XII. 2010 r.</v>
      </c>
      <c r="C80" s="1377">
        <v>34</v>
      </c>
      <c r="D80" s="1378">
        <v>1060</v>
      </c>
      <c r="E80" s="1369">
        <v>1051</v>
      </c>
    </row>
    <row r="81" spans="2:5" ht="21" thickBot="1" x14ac:dyDescent="0.25">
      <c r="B81" s="1179" t="str">
        <f>$B$17</f>
        <v>2. Przybyło w 2011 r.</v>
      </c>
      <c r="C81" s="1370">
        <v>2</v>
      </c>
      <c r="D81" s="1371">
        <v>73</v>
      </c>
      <c r="E81" s="1372">
        <v>256</v>
      </c>
    </row>
    <row r="82" spans="2:5" ht="21" thickBot="1" x14ac:dyDescent="0.25">
      <c r="B82" s="1179" t="str">
        <f>$B$18</f>
        <v>3. Ubyło w 2011 r.</v>
      </c>
      <c r="C82" s="1370">
        <v>0</v>
      </c>
      <c r="D82" s="1371">
        <v>0</v>
      </c>
      <c r="E82" s="1372">
        <v>164</v>
      </c>
    </row>
    <row r="83" spans="2:5" ht="21" thickBot="1" x14ac:dyDescent="0.25">
      <c r="B83" s="1179" t="str">
        <f>B51</f>
        <v>4. Stan na dzień 31. XII. 2011 r. (w.1+w.2-w.3)</v>
      </c>
      <c r="C83" s="355">
        <f>C80+C81-C82</f>
        <v>36</v>
      </c>
      <c r="D83" s="356">
        <f>D80+D81-D82</f>
        <v>1133</v>
      </c>
      <c r="E83" s="357">
        <f>E80+E81-E82</f>
        <v>1143</v>
      </c>
    </row>
    <row r="84" spans="2:5" ht="21" thickBot="1" x14ac:dyDescent="0.25">
      <c r="B84" s="1180" t="str">
        <f>B52</f>
        <v>5. Planowane zwiększenie w 2012 r.</v>
      </c>
      <c r="C84" s="1373">
        <v>0</v>
      </c>
      <c r="D84" s="1374">
        <v>62</v>
      </c>
      <c r="E84" s="170" t="s">
        <v>51</v>
      </c>
    </row>
    <row r="85" spans="2:5" ht="14.25" thickTop="1" thickBot="1" x14ac:dyDescent="0.25">
      <c r="B85" s="3"/>
      <c r="C85" s="3"/>
      <c r="D85" s="3"/>
      <c r="E85" s="3"/>
    </row>
    <row r="86" spans="2:5" ht="21.75" thickTop="1" thickBot="1" x14ac:dyDescent="0.35">
      <c r="B86" s="1181" t="str">
        <f>$B$22</f>
        <v>I.  Liczba osób umieszczonych w środowisk. domach samopomocy w 2011 r.</v>
      </c>
      <c r="C86" s="171"/>
      <c r="D86" s="171"/>
      <c r="E86" s="1375">
        <v>256</v>
      </c>
    </row>
    <row r="87" spans="2:5" ht="20.25" x14ac:dyDescent="0.3">
      <c r="B87" s="172" t="s">
        <v>119</v>
      </c>
      <c r="C87" s="173"/>
      <c r="D87" s="173"/>
      <c r="E87" s="1195"/>
    </row>
    <row r="88" spans="2:5" ht="21" thickBot="1" x14ac:dyDescent="0.35">
      <c r="B88" s="1182" t="str">
        <f>$B$24</f>
        <v xml:space="preserve">    domach samopomocy wg stanu na dzień 31. XII. 2011 r.</v>
      </c>
      <c r="C88" s="174"/>
      <c r="D88" s="174"/>
      <c r="E88" s="1376">
        <v>74</v>
      </c>
    </row>
    <row r="89" spans="2:5" ht="20.25" x14ac:dyDescent="0.3">
      <c r="B89" s="175" t="s">
        <v>120</v>
      </c>
      <c r="C89" s="176"/>
      <c r="D89" s="176"/>
      <c r="E89" s="177"/>
    </row>
    <row r="90" spans="2:5" ht="21" thickBot="1" x14ac:dyDescent="0.35">
      <c r="B90" s="133" t="s">
        <v>121</v>
      </c>
      <c r="C90" s="178"/>
      <c r="D90" s="178"/>
      <c r="E90" s="354">
        <f>IF(E86=0,0,ROUND((E86*100/(E86+E88))*0.01, 3))</f>
        <v>0.77600000000000002</v>
      </c>
    </row>
    <row r="91" spans="2:5" ht="13.5" thickTop="1" x14ac:dyDescent="0.2">
      <c r="B91" s="3"/>
      <c r="C91" s="3"/>
      <c r="D91" s="3"/>
      <c r="E91" s="3"/>
    </row>
    <row r="92" spans="2:5" x14ac:dyDescent="0.2">
      <c r="B92" s="3"/>
      <c r="C92" s="3"/>
      <c r="D92" s="3"/>
      <c r="E92" s="3"/>
    </row>
    <row r="93" spans="2:5" ht="18" x14ac:dyDescent="0.25">
      <c r="B93" s="11" t="s">
        <v>123</v>
      </c>
      <c r="C93" s="27"/>
      <c r="D93" s="27"/>
      <c r="E93" s="3"/>
    </row>
    <row r="94" spans="2:5" ht="18" x14ac:dyDescent="0.25">
      <c r="B94" s="11" t="s">
        <v>132</v>
      </c>
    </row>
    <row r="95" spans="2:5" ht="18" x14ac:dyDescent="0.25">
      <c r="B95" s="11"/>
      <c r="C95" s="11" t="s">
        <v>133</v>
      </c>
      <c r="D95" s="27"/>
    </row>
    <row r="96" spans="2:5" ht="18" x14ac:dyDescent="0.25">
      <c r="B96" s="11" t="s">
        <v>137</v>
      </c>
      <c r="C96" s="14" t="s">
        <v>136</v>
      </c>
      <c r="D96" s="14"/>
    </row>
    <row r="98" spans="1:5" ht="26.25" x14ac:dyDescent="0.4">
      <c r="A98" s="267" t="s">
        <v>170</v>
      </c>
      <c r="B98" s="11" t="s">
        <v>116</v>
      </c>
      <c r="C98" s="3"/>
      <c r="D98" s="3"/>
      <c r="E98" s="10" t="s">
        <v>15</v>
      </c>
    </row>
    <row r="99" spans="1:5" ht="18" x14ac:dyDescent="0.25">
      <c r="B99" s="14" t="s">
        <v>129</v>
      </c>
      <c r="C99" s="3"/>
      <c r="D99" s="11"/>
      <c r="E99" s="11"/>
    </row>
    <row r="100" spans="1:5" ht="18" x14ac:dyDescent="0.25">
      <c r="B100" s="11" t="s">
        <v>144</v>
      </c>
      <c r="C100" s="11"/>
      <c r="D100" s="1862" t="str">
        <f>'Tab.1. bilans_Polska'!$E$59</f>
        <v>Termin: 29 luty 2012 r.</v>
      </c>
      <c r="E100" s="1862"/>
    </row>
    <row r="101" spans="1:5" ht="18" x14ac:dyDescent="0.25">
      <c r="B101" s="11"/>
      <c r="C101" s="3"/>
      <c r="D101" s="3"/>
      <c r="E101" s="3"/>
    </row>
    <row r="102" spans="1:5" ht="18" x14ac:dyDescent="0.25">
      <c r="B102" s="11" t="s">
        <v>130</v>
      </c>
      <c r="C102" s="3"/>
      <c r="D102" s="3"/>
      <c r="E102" s="3"/>
    </row>
    <row r="103" spans="1:5" ht="15.75" x14ac:dyDescent="0.25">
      <c r="B103" s="1" t="s">
        <v>131</v>
      </c>
      <c r="C103" s="3"/>
      <c r="D103" s="3"/>
      <c r="E103" s="3"/>
    </row>
    <row r="104" spans="1:5" ht="18" x14ac:dyDescent="0.25">
      <c r="B104" s="11"/>
      <c r="C104" s="3"/>
      <c r="D104" s="3"/>
      <c r="E104" s="3"/>
    </row>
    <row r="105" spans="1:5" ht="23.25" x14ac:dyDescent="0.35">
      <c r="B105" s="1839" t="str">
        <f>$B$9</f>
        <v>ŚRODOWISKOWE  DOMY  SAMOPOMOCY  w 2011 r.</v>
      </c>
      <c r="C105" s="1839"/>
      <c r="D105" s="1839"/>
      <c r="E105" s="1839"/>
    </row>
    <row r="106" spans="1:5" ht="23.25" x14ac:dyDescent="0.35">
      <c r="B106" s="26"/>
      <c r="C106" s="30"/>
      <c r="D106" s="30"/>
      <c r="E106" s="30"/>
    </row>
    <row r="107" spans="1:5" ht="18.75" thickBot="1" x14ac:dyDescent="0.3">
      <c r="B107" s="11"/>
      <c r="C107" s="3"/>
      <c r="D107" s="3"/>
      <c r="E107" s="3"/>
    </row>
    <row r="108" spans="1:5" ht="19.5" thickTop="1" thickBot="1" x14ac:dyDescent="0.25">
      <c r="B108" s="31"/>
      <c r="C108" s="1863" t="s">
        <v>4</v>
      </c>
      <c r="D108" s="1864"/>
      <c r="E108" s="1865"/>
    </row>
    <row r="109" spans="1:5" ht="20.25" x14ac:dyDescent="0.2">
      <c r="B109" s="117" t="s">
        <v>21</v>
      </c>
      <c r="C109" s="118" t="s">
        <v>41</v>
      </c>
      <c r="D109" s="119" t="s">
        <v>13</v>
      </c>
      <c r="E109" s="120" t="s">
        <v>117</v>
      </c>
    </row>
    <row r="110" spans="1:5" ht="18.75" thickBot="1" x14ac:dyDescent="0.25">
      <c r="B110" s="165"/>
      <c r="C110" s="122"/>
      <c r="D110" s="123"/>
      <c r="E110" s="124" t="s">
        <v>118</v>
      </c>
    </row>
    <row r="111" spans="1:5" ht="16.5" thickBot="1" x14ac:dyDescent="0.3">
      <c r="B111" s="166">
        <v>0</v>
      </c>
      <c r="C111" s="167">
        <v>1</v>
      </c>
      <c r="D111" s="168">
        <v>2</v>
      </c>
      <c r="E111" s="169">
        <v>3</v>
      </c>
    </row>
    <row r="112" spans="1:5" ht="21.75" thickTop="1" thickBot="1" x14ac:dyDescent="0.25">
      <c r="B112" s="1178" t="str">
        <f>$B$16</f>
        <v>1. Stan na dzień 31. XII. 2010 r.</v>
      </c>
      <c r="C112" s="1377">
        <v>42</v>
      </c>
      <c r="D112" s="1378">
        <v>1541</v>
      </c>
      <c r="E112" s="1379">
        <v>1661</v>
      </c>
    </row>
    <row r="113" spans="2:5" ht="21" thickBot="1" x14ac:dyDescent="0.25">
      <c r="B113" s="1179" t="str">
        <f>$B$17</f>
        <v>2. Przybyło w 2011 r.</v>
      </c>
      <c r="C113" s="1370">
        <v>4</v>
      </c>
      <c r="D113" s="1371">
        <v>112</v>
      </c>
      <c r="E113" s="1372">
        <v>386</v>
      </c>
    </row>
    <row r="114" spans="2:5" ht="21" thickBot="1" x14ac:dyDescent="0.25">
      <c r="B114" s="1179" t="str">
        <f>$B$18</f>
        <v>3. Ubyło w 2011 r.</v>
      </c>
      <c r="C114" s="1370">
        <v>0</v>
      </c>
      <c r="D114" s="1371">
        <v>5</v>
      </c>
      <c r="E114" s="1372">
        <v>316</v>
      </c>
    </row>
    <row r="115" spans="2:5" ht="21" thickBot="1" x14ac:dyDescent="0.25">
      <c r="B115" s="1179" t="str">
        <f>B83</f>
        <v>4. Stan na dzień 31. XII. 2011 r. (w.1+w.2-w.3)</v>
      </c>
      <c r="C115" s="355">
        <f>C112+C113-C114</f>
        <v>46</v>
      </c>
      <c r="D115" s="356">
        <f>D112+D113-D114</f>
        <v>1648</v>
      </c>
      <c r="E115" s="357">
        <f>E112+E113-E114</f>
        <v>1731</v>
      </c>
    </row>
    <row r="116" spans="2:5" ht="21" thickBot="1" x14ac:dyDescent="0.25">
      <c r="B116" s="1180" t="str">
        <f>B84</f>
        <v>5. Planowane zwiększenie w 2012 r.</v>
      </c>
      <c r="C116" s="1373">
        <v>0</v>
      </c>
      <c r="D116" s="1374">
        <v>44</v>
      </c>
      <c r="E116" s="170" t="s">
        <v>51</v>
      </c>
    </row>
    <row r="117" spans="2:5" ht="14.25" thickTop="1" thickBot="1" x14ac:dyDescent="0.25">
      <c r="B117" s="3"/>
      <c r="C117" s="1380"/>
      <c r="D117" s="3"/>
      <c r="E117" s="3"/>
    </row>
    <row r="118" spans="2:5" ht="21.75" thickTop="1" thickBot="1" x14ac:dyDescent="0.35">
      <c r="B118" s="1181" t="str">
        <f>$B$22</f>
        <v>I.  Liczba osób umieszczonych w środowisk. domach samopomocy w 2011 r.</v>
      </c>
      <c r="C118" s="171"/>
      <c r="D118" s="171"/>
      <c r="E118" s="1375">
        <v>378</v>
      </c>
    </row>
    <row r="119" spans="2:5" ht="20.25" x14ac:dyDescent="0.3">
      <c r="B119" s="172" t="s">
        <v>119</v>
      </c>
      <c r="C119" s="173"/>
      <c r="D119" s="173"/>
      <c r="E119" s="1195"/>
    </row>
    <row r="120" spans="2:5" ht="21" thickBot="1" x14ac:dyDescent="0.35">
      <c r="B120" s="1182" t="str">
        <f>$B$24</f>
        <v xml:space="preserve">    domach samopomocy wg stanu na dzień 31. XII. 2011 r.</v>
      </c>
      <c r="C120" s="174"/>
      <c r="D120" s="174"/>
      <c r="E120" s="1376">
        <v>72</v>
      </c>
    </row>
    <row r="121" spans="2:5" ht="20.25" x14ac:dyDescent="0.3">
      <c r="B121" s="175" t="s">
        <v>120</v>
      </c>
      <c r="C121" s="176"/>
      <c r="D121" s="176"/>
      <c r="E121" s="177"/>
    </row>
    <row r="122" spans="2:5" ht="21" thickBot="1" x14ac:dyDescent="0.35">
      <c r="B122" s="133" t="s">
        <v>121</v>
      </c>
      <c r="C122" s="178"/>
      <c r="D122" s="178"/>
      <c r="E122" s="354">
        <f>IF(E118=0,0,ROUND((E118*100/(E118+E120))*0.01, 3))</f>
        <v>0.84</v>
      </c>
    </row>
    <row r="123" spans="2:5" ht="13.5" thickTop="1" x14ac:dyDescent="0.2">
      <c r="B123" s="3"/>
      <c r="C123" s="3"/>
      <c r="D123" s="3"/>
      <c r="E123" s="3"/>
    </row>
    <row r="124" spans="2:5" x14ac:dyDescent="0.2">
      <c r="B124" s="3"/>
      <c r="C124" s="3"/>
      <c r="D124" s="3"/>
      <c r="E124" s="3"/>
    </row>
    <row r="125" spans="2:5" ht="18" x14ac:dyDescent="0.25">
      <c r="B125" s="11" t="s">
        <v>123</v>
      </c>
      <c r="C125" s="27"/>
      <c r="D125" s="27"/>
      <c r="E125" s="3"/>
    </row>
    <row r="126" spans="2:5" ht="18" x14ac:dyDescent="0.25">
      <c r="B126" s="11" t="s">
        <v>132</v>
      </c>
    </row>
    <row r="127" spans="2:5" ht="18" x14ac:dyDescent="0.25">
      <c r="B127" s="11"/>
      <c r="C127" s="11" t="s">
        <v>133</v>
      </c>
      <c r="D127" s="27"/>
    </row>
    <row r="128" spans="2:5" ht="18" x14ac:dyDescent="0.25">
      <c r="B128" s="11" t="s">
        <v>137</v>
      </c>
      <c r="C128" s="14" t="s">
        <v>136</v>
      </c>
      <c r="D128" s="14"/>
    </row>
    <row r="130" spans="1:5" ht="26.25" x14ac:dyDescent="0.4">
      <c r="A130" s="267" t="s">
        <v>172</v>
      </c>
      <c r="B130" s="11" t="s">
        <v>116</v>
      </c>
      <c r="C130" s="3"/>
      <c r="D130" s="3"/>
      <c r="E130" s="10" t="s">
        <v>15</v>
      </c>
    </row>
    <row r="131" spans="1:5" ht="18" x14ac:dyDescent="0.25">
      <c r="B131" s="14" t="s">
        <v>129</v>
      </c>
      <c r="C131" s="3"/>
      <c r="D131" s="11"/>
      <c r="E131" s="11"/>
    </row>
    <row r="132" spans="1:5" ht="18" x14ac:dyDescent="0.25">
      <c r="B132" s="11" t="s">
        <v>144</v>
      </c>
      <c r="C132" s="11"/>
      <c r="D132" s="1862" t="str">
        <f>'Tab.1. bilans_Polska'!$E$59</f>
        <v>Termin: 29 luty 2012 r.</v>
      </c>
      <c r="E132" s="1862"/>
    </row>
    <row r="133" spans="1:5" ht="18" x14ac:dyDescent="0.25">
      <c r="B133" s="11"/>
      <c r="C133" s="3"/>
      <c r="D133" s="3"/>
      <c r="E133" s="3"/>
    </row>
    <row r="134" spans="1:5" ht="18" x14ac:dyDescent="0.25">
      <c r="B134" s="11" t="s">
        <v>130</v>
      </c>
      <c r="C134" s="3"/>
      <c r="D134" s="3"/>
      <c r="E134" s="3"/>
    </row>
    <row r="135" spans="1:5" ht="15.75" x14ac:dyDescent="0.25">
      <c r="B135" s="1" t="s">
        <v>131</v>
      </c>
      <c r="C135" s="3"/>
      <c r="D135" s="3"/>
      <c r="E135" s="3"/>
    </row>
    <row r="136" spans="1:5" ht="18" x14ac:dyDescent="0.25">
      <c r="B136" s="11"/>
      <c r="C136" s="3"/>
      <c r="D136" s="3"/>
      <c r="E136" s="3"/>
    </row>
    <row r="137" spans="1:5" ht="23.25" x14ac:dyDescent="0.35">
      <c r="B137" s="1839" t="str">
        <f>$B$9</f>
        <v>ŚRODOWISKOWE  DOMY  SAMOPOMOCY  w 2011 r.</v>
      </c>
      <c r="C137" s="1839"/>
      <c r="D137" s="1839"/>
      <c r="E137" s="1839"/>
    </row>
    <row r="138" spans="1:5" ht="23.25" x14ac:dyDescent="0.35">
      <c r="B138" s="26"/>
      <c r="C138" s="30"/>
      <c r="D138" s="30"/>
      <c r="E138" s="30"/>
    </row>
    <row r="139" spans="1:5" ht="18.75" thickBot="1" x14ac:dyDescent="0.3">
      <c r="B139" s="11"/>
      <c r="C139" s="3"/>
      <c r="D139" s="3"/>
      <c r="E139" s="3"/>
    </row>
    <row r="140" spans="1:5" ht="19.5" thickTop="1" thickBot="1" x14ac:dyDescent="0.25">
      <c r="B140" s="31"/>
      <c r="C140" s="1863" t="s">
        <v>4</v>
      </c>
      <c r="D140" s="1864"/>
      <c r="E140" s="1865"/>
    </row>
    <row r="141" spans="1:5" ht="20.25" x14ac:dyDescent="0.2">
      <c r="B141" s="117" t="s">
        <v>21</v>
      </c>
      <c r="C141" s="118" t="s">
        <v>41</v>
      </c>
      <c r="D141" s="119" t="s">
        <v>13</v>
      </c>
      <c r="E141" s="120" t="s">
        <v>117</v>
      </c>
    </row>
    <row r="142" spans="1:5" ht="18.75" thickBot="1" x14ac:dyDescent="0.25">
      <c r="B142" s="165"/>
      <c r="C142" s="122"/>
      <c r="D142" s="123"/>
      <c r="E142" s="124" t="s">
        <v>118</v>
      </c>
    </row>
    <row r="143" spans="1:5" ht="16.5" thickBot="1" x14ac:dyDescent="0.3">
      <c r="B143" s="166">
        <v>0</v>
      </c>
      <c r="C143" s="167">
        <v>1</v>
      </c>
      <c r="D143" s="168">
        <v>2</v>
      </c>
      <c r="E143" s="169">
        <v>3</v>
      </c>
    </row>
    <row r="144" spans="1:5" ht="21.75" thickTop="1" thickBot="1" x14ac:dyDescent="0.25">
      <c r="B144" s="1178" t="str">
        <f>$B$16</f>
        <v>1. Stan na dzień 31. XII. 2010 r.</v>
      </c>
      <c r="C144" s="1377">
        <v>29</v>
      </c>
      <c r="D144" s="1378">
        <v>717</v>
      </c>
      <c r="E144" s="1369">
        <v>652</v>
      </c>
    </row>
    <row r="145" spans="2:5" ht="21" thickBot="1" x14ac:dyDescent="0.25">
      <c r="B145" s="1179" t="str">
        <f>$B$17</f>
        <v>2. Przybyło w 2011 r.</v>
      </c>
      <c r="C145" s="1370">
        <v>1</v>
      </c>
      <c r="D145" s="1371">
        <v>32</v>
      </c>
      <c r="E145" s="1372">
        <v>110</v>
      </c>
    </row>
    <row r="146" spans="2:5" ht="21" thickBot="1" x14ac:dyDescent="0.25">
      <c r="B146" s="1179" t="str">
        <f>$B$18</f>
        <v>3. Ubyło w 2011 r.</v>
      </c>
      <c r="C146" s="1370">
        <v>0</v>
      </c>
      <c r="D146" s="1371">
        <v>18</v>
      </c>
      <c r="E146" s="1372">
        <v>80</v>
      </c>
    </row>
    <row r="147" spans="2:5" ht="21" thickBot="1" x14ac:dyDescent="0.25">
      <c r="B147" s="1179" t="str">
        <f>B115</f>
        <v>4. Stan na dzień 31. XII. 2011 r. (w.1+w.2-w.3)</v>
      </c>
      <c r="C147" s="355">
        <f>C144+C145-C146</f>
        <v>30</v>
      </c>
      <c r="D147" s="356">
        <f>D144+D145-D146</f>
        <v>731</v>
      </c>
      <c r="E147" s="357">
        <f>E144+E145-E146</f>
        <v>682</v>
      </c>
    </row>
    <row r="148" spans="2:5" ht="21" thickBot="1" x14ac:dyDescent="0.25">
      <c r="B148" s="1180" t="str">
        <f>B116</f>
        <v>5. Planowane zwiększenie w 2012 r.</v>
      </c>
      <c r="C148" s="1373">
        <v>0</v>
      </c>
      <c r="D148" s="1374">
        <v>13</v>
      </c>
      <c r="E148" s="170" t="s">
        <v>51</v>
      </c>
    </row>
    <row r="149" spans="2:5" ht="14.25" thickTop="1" thickBot="1" x14ac:dyDescent="0.25">
      <c r="B149" s="3"/>
      <c r="C149" s="3"/>
      <c r="D149" s="3"/>
      <c r="E149" s="3"/>
    </row>
    <row r="150" spans="2:5" ht="21.75" thickTop="1" thickBot="1" x14ac:dyDescent="0.35">
      <c r="B150" s="1181" t="str">
        <f>$B$22</f>
        <v>I.  Liczba osób umieszczonych w środowisk. domach samopomocy w 2011 r.</v>
      </c>
      <c r="C150" s="171"/>
      <c r="D150" s="171"/>
      <c r="E150" s="1375">
        <v>110</v>
      </c>
    </row>
    <row r="151" spans="2:5" ht="20.25" x14ac:dyDescent="0.3">
      <c r="B151" s="172" t="s">
        <v>119</v>
      </c>
      <c r="C151" s="173"/>
      <c r="D151" s="173"/>
      <c r="E151" s="1195"/>
    </row>
    <row r="152" spans="2:5" ht="21" thickBot="1" x14ac:dyDescent="0.35">
      <c r="B152" s="1182" t="str">
        <f>$B$24</f>
        <v xml:space="preserve">    domach samopomocy wg stanu na dzień 31. XII. 2011 r.</v>
      </c>
      <c r="C152" s="174"/>
      <c r="D152" s="174"/>
      <c r="E152" s="1376">
        <v>6</v>
      </c>
    </row>
    <row r="153" spans="2:5" ht="20.25" x14ac:dyDescent="0.3">
      <c r="B153" s="175" t="s">
        <v>120</v>
      </c>
      <c r="C153" s="176"/>
      <c r="D153" s="176"/>
      <c r="E153" s="177"/>
    </row>
    <row r="154" spans="2:5" ht="21" thickBot="1" x14ac:dyDescent="0.35">
      <c r="B154" s="133" t="s">
        <v>121</v>
      </c>
      <c r="C154" s="178"/>
      <c r="D154" s="178"/>
      <c r="E154" s="354">
        <f>IF(E150=0,0,ROUND((E150*100/(E150+E152))*0.01, 3))</f>
        <v>0.94799999999999995</v>
      </c>
    </row>
    <row r="155" spans="2:5" ht="13.5" thickTop="1" x14ac:dyDescent="0.2">
      <c r="B155" s="3"/>
      <c r="C155" s="3"/>
      <c r="D155" s="3"/>
      <c r="E155" s="3"/>
    </row>
    <row r="156" spans="2:5" x14ac:dyDescent="0.2">
      <c r="B156" s="3"/>
      <c r="C156" s="3"/>
      <c r="D156" s="3"/>
      <c r="E156" s="3"/>
    </row>
    <row r="157" spans="2:5" ht="18" x14ac:dyDescent="0.25">
      <c r="B157" s="11" t="s">
        <v>123</v>
      </c>
      <c r="C157" s="27"/>
      <c r="D157" s="27"/>
      <c r="E157" s="3"/>
    </row>
    <row r="158" spans="2:5" ht="18" x14ac:dyDescent="0.25">
      <c r="B158" s="11" t="s">
        <v>132</v>
      </c>
    </row>
    <row r="159" spans="2:5" ht="18" x14ac:dyDescent="0.25">
      <c r="B159" s="11"/>
      <c r="C159" s="11" t="s">
        <v>133</v>
      </c>
      <c r="D159" s="27"/>
    </row>
    <row r="160" spans="2:5" ht="18" x14ac:dyDescent="0.25">
      <c r="B160" s="11" t="s">
        <v>137</v>
      </c>
      <c r="C160" s="14" t="s">
        <v>136</v>
      </c>
      <c r="D160" s="14"/>
    </row>
    <row r="162" spans="1:5" ht="26.25" x14ac:dyDescent="0.4">
      <c r="A162" s="267" t="s">
        <v>197</v>
      </c>
      <c r="B162" s="11" t="s">
        <v>116</v>
      </c>
      <c r="C162" s="3"/>
      <c r="D162" s="3"/>
      <c r="E162" s="10" t="s">
        <v>15</v>
      </c>
    </row>
    <row r="163" spans="1:5" ht="18" x14ac:dyDescent="0.25">
      <c r="B163" s="14" t="s">
        <v>129</v>
      </c>
      <c r="C163" s="3"/>
      <c r="D163" s="11"/>
      <c r="E163" s="11"/>
    </row>
    <row r="164" spans="1:5" ht="18" x14ac:dyDescent="0.25">
      <c r="B164" s="11" t="s">
        <v>144</v>
      </c>
      <c r="C164" s="11"/>
      <c r="D164" s="1862" t="str">
        <f>'Tab.1. bilans_Polska'!$E$59</f>
        <v>Termin: 29 luty 2012 r.</v>
      </c>
      <c r="E164" s="1862"/>
    </row>
    <row r="165" spans="1:5" ht="18" x14ac:dyDescent="0.25">
      <c r="B165" s="11"/>
      <c r="C165" s="3"/>
      <c r="D165" s="3"/>
      <c r="E165" s="3"/>
    </row>
    <row r="166" spans="1:5" ht="18" x14ac:dyDescent="0.25">
      <c r="B166" s="11" t="s">
        <v>130</v>
      </c>
      <c r="C166" s="3"/>
      <c r="D166" s="3"/>
      <c r="E166" s="3"/>
    </row>
    <row r="167" spans="1:5" ht="15.75" x14ac:dyDescent="0.25">
      <c r="B167" s="1" t="s">
        <v>131</v>
      </c>
      <c r="C167" s="3"/>
      <c r="D167" s="3"/>
      <c r="E167" s="3"/>
    </row>
    <row r="168" spans="1:5" ht="18" x14ac:dyDescent="0.25">
      <c r="B168" s="11"/>
      <c r="C168" s="3"/>
      <c r="D168" s="3"/>
      <c r="E168" s="3"/>
    </row>
    <row r="169" spans="1:5" ht="23.25" x14ac:dyDescent="0.35">
      <c r="B169" s="1839" t="str">
        <f>$B$9</f>
        <v>ŚRODOWISKOWE  DOMY  SAMOPOMOCY  w 2011 r.</v>
      </c>
      <c r="C169" s="1839"/>
      <c r="D169" s="1839"/>
      <c r="E169" s="1839"/>
    </row>
    <row r="170" spans="1:5" ht="23.25" x14ac:dyDescent="0.35">
      <c r="B170" s="26"/>
      <c r="C170" s="30"/>
      <c r="D170" s="30"/>
      <c r="E170" s="30"/>
    </row>
    <row r="171" spans="1:5" ht="18.75" thickBot="1" x14ac:dyDescent="0.3">
      <c r="B171" s="11"/>
      <c r="C171" s="3"/>
      <c r="D171" s="3"/>
      <c r="E171" s="3"/>
    </row>
    <row r="172" spans="1:5" ht="19.5" thickTop="1" thickBot="1" x14ac:dyDescent="0.25">
      <c r="B172" s="31"/>
      <c r="C172" s="1863" t="s">
        <v>4</v>
      </c>
      <c r="D172" s="1864"/>
      <c r="E172" s="1865"/>
    </row>
    <row r="173" spans="1:5" ht="20.25" x14ac:dyDescent="0.2">
      <c r="B173" s="117" t="s">
        <v>21</v>
      </c>
      <c r="C173" s="118" t="s">
        <v>41</v>
      </c>
      <c r="D173" s="119" t="s">
        <v>13</v>
      </c>
      <c r="E173" s="120" t="s">
        <v>117</v>
      </c>
    </row>
    <row r="174" spans="1:5" ht="18.75" thickBot="1" x14ac:dyDescent="0.25">
      <c r="B174" s="165"/>
      <c r="C174" s="122"/>
      <c r="D174" s="123"/>
      <c r="E174" s="124" t="s">
        <v>118</v>
      </c>
    </row>
    <row r="175" spans="1:5" ht="16.5" thickBot="1" x14ac:dyDescent="0.3">
      <c r="B175" s="166">
        <v>0</v>
      </c>
      <c r="C175" s="167">
        <v>1</v>
      </c>
      <c r="D175" s="168">
        <v>2</v>
      </c>
      <c r="E175" s="169">
        <v>3</v>
      </c>
    </row>
    <row r="176" spans="1:5" ht="21.75" thickTop="1" thickBot="1" x14ac:dyDescent="0.25">
      <c r="B176" s="1178" t="str">
        <f>$B$16</f>
        <v>1. Stan na dzień 31. XII. 2010 r.</v>
      </c>
      <c r="C176" s="1377">
        <v>40</v>
      </c>
      <c r="D176" s="1378">
        <v>1424</v>
      </c>
      <c r="E176" s="1379">
        <v>1455</v>
      </c>
    </row>
    <row r="177" spans="2:5" ht="21" thickBot="1" x14ac:dyDescent="0.25">
      <c r="B177" s="1179" t="str">
        <f>$B$17</f>
        <v>2. Przybyło w 2011 r.</v>
      </c>
      <c r="C177" s="1370">
        <v>1</v>
      </c>
      <c r="D177" s="1371">
        <v>94</v>
      </c>
      <c r="E177" s="1372">
        <v>324</v>
      </c>
    </row>
    <row r="178" spans="2:5" ht="21" thickBot="1" x14ac:dyDescent="0.25">
      <c r="B178" s="1179" t="str">
        <f>$B$18</f>
        <v>3. Ubyło w 2011 r.</v>
      </c>
      <c r="C178" s="1370">
        <v>0</v>
      </c>
      <c r="D178" s="1371">
        <v>0</v>
      </c>
      <c r="E178" s="1372">
        <v>244</v>
      </c>
    </row>
    <row r="179" spans="2:5" ht="21" thickBot="1" x14ac:dyDescent="0.25">
      <c r="B179" s="1179" t="str">
        <f>B147</f>
        <v>4. Stan na dzień 31. XII. 2011 r. (w.1+w.2-w.3)</v>
      </c>
      <c r="C179" s="355">
        <f>C176+C177-C178</f>
        <v>41</v>
      </c>
      <c r="D179" s="356">
        <f>D176+D177-D178</f>
        <v>1518</v>
      </c>
      <c r="E179" s="357">
        <f>E176+E177-E178</f>
        <v>1535</v>
      </c>
    </row>
    <row r="180" spans="2:5" ht="21" thickBot="1" x14ac:dyDescent="0.25">
      <c r="B180" s="1180" t="str">
        <f>B148</f>
        <v>5. Planowane zwiększenie w 2012 r.</v>
      </c>
      <c r="C180" s="1373">
        <v>10</v>
      </c>
      <c r="D180" s="1374">
        <v>57</v>
      </c>
      <c r="E180" s="170" t="s">
        <v>51</v>
      </c>
    </row>
    <row r="181" spans="2:5" ht="14.25" thickTop="1" thickBot="1" x14ac:dyDescent="0.25">
      <c r="B181" s="3"/>
      <c r="C181" s="3"/>
      <c r="D181" s="3"/>
      <c r="E181" s="3"/>
    </row>
    <row r="182" spans="2:5" ht="21.75" thickTop="1" thickBot="1" x14ac:dyDescent="0.35">
      <c r="B182" s="1181" t="str">
        <f>$B$22</f>
        <v>I.  Liczba osób umieszczonych w środowisk. domach samopomocy w 2011 r.</v>
      </c>
      <c r="C182" s="171"/>
      <c r="D182" s="171"/>
      <c r="E182" s="1375">
        <v>311</v>
      </c>
    </row>
    <row r="183" spans="2:5" ht="20.25" x14ac:dyDescent="0.3">
      <c r="B183" s="172" t="s">
        <v>119</v>
      </c>
      <c r="C183" s="173"/>
      <c r="D183" s="173"/>
      <c r="E183" s="1195"/>
    </row>
    <row r="184" spans="2:5" ht="21" thickBot="1" x14ac:dyDescent="0.35">
      <c r="B184" s="1182" t="str">
        <f>$B$24</f>
        <v xml:space="preserve">    domach samopomocy wg stanu na dzień 31. XII. 2011 r.</v>
      </c>
      <c r="C184" s="174"/>
      <c r="D184" s="174"/>
      <c r="E184" s="1376">
        <v>187</v>
      </c>
    </row>
    <row r="185" spans="2:5" ht="20.25" x14ac:dyDescent="0.3">
      <c r="B185" s="175" t="s">
        <v>120</v>
      </c>
      <c r="C185" s="176"/>
      <c r="D185" s="176"/>
      <c r="E185" s="177"/>
    </row>
    <row r="186" spans="2:5" ht="21" thickBot="1" x14ac:dyDescent="0.35">
      <c r="B186" s="133" t="s">
        <v>121</v>
      </c>
      <c r="C186" s="178"/>
      <c r="D186" s="178"/>
      <c r="E186" s="354">
        <f>IF(E182=0,0,ROUND((E182*100/(E182+E184))*0.01, 3))</f>
        <v>0.624</v>
      </c>
    </row>
    <row r="187" spans="2:5" ht="13.5" thickTop="1" x14ac:dyDescent="0.2">
      <c r="B187" s="3"/>
      <c r="C187" s="3"/>
      <c r="D187" s="3"/>
      <c r="E187" s="3"/>
    </row>
    <row r="188" spans="2:5" x14ac:dyDescent="0.2">
      <c r="B188" s="3"/>
      <c r="C188" s="3"/>
      <c r="D188" s="3"/>
      <c r="E188" s="3"/>
    </row>
    <row r="189" spans="2:5" ht="18" x14ac:dyDescent="0.25">
      <c r="B189" s="11" t="s">
        <v>123</v>
      </c>
      <c r="C189" s="27"/>
      <c r="D189" s="27"/>
      <c r="E189" s="3"/>
    </row>
    <row r="190" spans="2:5" ht="18" x14ac:dyDescent="0.25">
      <c r="B190" s="11" t="s">
        <v>132</v>
      </c>
    </row>
    <row r="191" spans="2:5" ht="18" x14ac:dyDescent="0.25">
      <c r="B191" s="11"/>
      <c r="C191" s="11" t="s">
        <v>133</v>
      </c>
      <c r="D191" s="27"/>
    </row>
    <row r="192" spans="2:5" ht="18" x14ac:dyDescent="0.25">
      <c r="B192" s="11" t="s">
        <v>137</v>
      </c>
      <c r="C192" s="14" t="s">
        <v>136</v>
      </c>
      <c r="D192" s="14"/>
    </row>
    <row r="194" spans="1:5" ht="26.25" x14ac:dyDescent="0.4">
      <c r="A194" s="267" t="s">
        <v>198</v>
      </c>
      <c r="B194" s="11" t="s">
        <v>116</v>
      </c>
      <c r="C194" s="3"/>
      <c r="D194" s="3"/>
      <c r="E194" s="10" t="s">
        <v>15</v>
      </c>
    </row>
    <row r="195" spans="1:5" ht="18" x14ac:dyDescent="0.25">
      <c r="B195" s="14" t="s">
        <v>129</v>
      </c>
      <c r="C195" s="3"/>
      <c r="D195" s="11"/>
      <c r="E195" s="11"/>
    </row>
    <row r="196" spans="1:5" ht="18" x14ac:dyDescent="0.25">
      <c r="B196" s="11" t="s">
        <v>144</v>
      </c>
      <c r="C196" s="11"/>
      <c r="D196" s="1862" t="str">
        <f>'Tab.1. bilans_Polska'!$E$59</f>
        <v>Termin: 29 luty 2012 r.</v>
      </c>
      <c r="E196" s="1862"/>
    </row>
    <row r="197" spans="1:5" ht="18" x14ac:dyDescent="0.25">
      <c r="B197" s="11"/>
      <c r="C197" s="3"/>
      <c r="D197" s="3"/>
      <c r="E197" s="3"/>
    </row>
    <row r="198" spans="1:5" ht="18" x14ac:dyDescent="0.25">
      <c r="B198" s="11" t="s">
        <v>130</v>
      </c>
      <c r="C198" s="3"/>
      <c r="D198" s="3"/>
      <c r="E198" s="3"/>
    </row>
    <row r="199" spans="1:5" ht="15.75" x14ac:dyDescent="0.25">
      <c r="B199" s="1" t="s">
        <v>131</v>
      </c>
      <c r="C199" s="3"/>
      <c r="D199" s="3"/>
      <c r="E199" s="3"/>
    </row>
    <row r="200" spans="1:5" ht="18" x14ac:dyDescent="0.25">
      <c r="B200" s="11"/>
      <c r="C200" s="3"/>
      <c r="D200" s="3"/>
      <c r="E200" s="3"/>
    </row>
    <row r="201" spans="1:5" ht="23.25" x14ac:dyDescent="0.35">
      <c r="B201" s="1839" t="str">
        <f>$B$9</f>
        <v>ŚRODOWISKOWE  DOMY  SAMOPOMOCY  w 2011 r.</v>
      </c>
      <c r="C201" s="1839"/>
      <c r="D201" s="1839"/>
      <c r="E201" s="1839"/>
    </row>
    <row r="202" spans="1:5" ht="23.25" x14ac:dyDescent="0.35">
      <c r="B202" s="26"/>
      <c r="C202" s="30"/>
      <c r="D202" s="30"/>
      <c r="E202" s="30"/>
    </row>
    <row r="203" spans="1:5" ht="18.75" thickBot="1" x14ac:dyDescent="0.3">
      <c r="B203" s="11"/>
      <c r="C203" s="3"/>
      <c r="D203" s="3"/>
      <c r="E203" s="3"/>
    </row>
    <row r="204" spans="1:5" ht="19.5" thickTop="1" thickBot="1" x14ac:dyDescent="0.25">
      <c r="B204" s="31"/>
      <c r="C204" s="1863" t="s">
        <v>4</v>
      </c>
      <c r="D204" s="1864"/>
      <c r="E204" s="1865"/>
    </row>
    <row r="205" spans="1:5" ht="20.25" x14ac:dyDescent="0.2">
      <c r="B205" s="117" t="s">
        <v>21</v>
      </c>
      <c r="C205" s="118" t="s">
        <v>41</v>
      </c>
      <c r="D205" s="119" t="s">
        <v>13</v>
      </c>
      <c r="E205" s="120" t="s">
        <v>117</v>
      </c>
    </row>
    <row r="206" spans="1:5" ht="18.75" thickBot="1" x14ac:dyDescent="0.25">
      <c r="B206" s="165"/>
      <c r="C206" s="122"/>
      <c r="D206" s="123"/>
      <c r="E206" s="124" t="s">
        <v>118</v>
      </c>
    </row>
    <row r="207" spans="1:5" ht="16.5" thickBot="1" x14ac:dyDescent="0.3">
      <c r="B207" s="166">
        <v>0</v>
      </c>
      <c r="C207" s="167">
        <v>1</v>
      </c>
      <c r="D207" s="168">
        <v>2</v>
      </c>
      <c r="E207" s="169">
        <v>3</v>
      </c>
    </row>
    <row r="208" spans="1:5" ht="21.75" thickTop="1" thickBot="1" x14ac:dyDescent="0.25">
      <c r="B208" s="1178" t="str">
        <f>$B$16</f>
        <v>1. Stan na dzień 31. XII. 2010 r.</v>
      </c>
      <c r="C208" s="1377">
        <v>68</v>
      </c>
      <c r="D208" s="1378">
        <v>2347</v>
      </c>
      <c r="E208" s="1369">
        <v>2431</v>
      </c>
    </row>
    <row r="209" spans="2:5" ht="21" thickBot="1" x14ac:dyDescent="0.25">
      <c r="B209" s="1179" t="str">
        <f>$B$17</f>
        <v>2. Przybyło w 2011 r.</v>
      </c>
      <c r="C209" s="1370">
        <v>3</v>
      </c>
      <c r="D209" s="1371">
        <v>89</v>
      </c>
      <c r="E209" s="1372">
        <v>369</v>
      </c>
    </row>
    <row r="210" spans="2:5" ht="21" thickBot="1" x14ac:dyDescent="0.25">
      <c r="B210" s="1179" t="str">
        <f>$B$18</f>
        <v>3. Ubyło w 2011 r.</v>
      </c>
      <c r="C210" s="1370">
        <v>0</v>
      </c>
      <c r="D210" s="1371">
        <v>0</v>
      </c>
      <c r="E210" s="1372">
        <v>319</v>
      </c>
    </row>
    <row r="211" spans="2:5" ht="21" thickBot="1" x14ac:dyDescent="0.25">
      <c r="B211" s="1179" t="str">
        <f>B179</f>
        <v>4. Stan na dzień 31. XII. 2011 r. (w.1+w.2-w.3)</v>
      </c>
      <c r="C211" s="355">
        <f>C208+C209-C210</f>
        <v>71</v>
      </c>
      <c r="D211" s="356">
        <f>D208+D209-D210</f>
        <v>2436</v>
      </c>
      <c r="E211" s="357">
        <f>E208+E209-E210</f>
        <v>2481</v>
      </c>
    </row>
    <row r="212" spans="2:5" ht="21" thickBot="1" x14ac:dyDescent="0.25">
      <c r="B212" s="1180" t="str">
        <f>B180</f>
        <v>5. Planowane zwiększenie w 2012 r.</v>
      </c>
      <c r="C212" s="1373">
        <v>0</v>
      </c>
      <c r="D212" s="1374">
        <v>28</v>
      </c>
      <c r="E212" s="170" t="s">
        <v>51</v>
      </c>
    </row>
    <row r="213" spans="2:5" ht="14.25" thickTop="1" thickBot="1" x14ac:dyDescent="0.25">
      <c r="B213" s="3"/>
      <c r="C213" s="3"/>
      <c r="D213" s="3"/>
      <c r="E213" s="3"/>
    </row>
    <row r="214" spans="2:5" ht="21.75" thickTop="1" thickBot="1" x14ac:dyDescent="0.35">
      <c r="B214" s="1181" t="str">
        <f>$B$22</f>
        <v>I.  Liczba osób umieszczonych w środowisk. domach samopomocy w 2011 r.</v>
      </c>
      <c r="C214" s="171"/>
      <c r="D214" s="171"/>
      <c r="E214" s="1375">
        <v>368</v>
      </c>
    </row>
    <row r="215" spans="2:5" ht="20.25" x14ac:dyDescent="0.3">
      <c r="B215" s="172" t="s">
        <v>119</v>
      </c>
      <c r="C215" s="173"/>
      <c r="D215" s="173"/>
      <c r="E215" s="1195"/>
    </row>
    <row r="216" spans="2:5" ht="21" thickBot="1" x14ac:dyDescent="0.35">
      <c r="B216" s="1182" t="str">
        <f>$B$24</f>
        <v xml:space="preserve">    domach samopomocy wg stanu na dzień 31. XII. 2011 r.</v>
      </c>
      <c r="C216" s="174"/>
      <c r="D216" s="174"/>
      <c r="E216" s="1376">
        <v>120</v>
      </c>
    </row>
    <row r="217" spans="2:5" ht="20.25" x14ac:dyDescent="0.3">
      <c r="B217" s="175" t="s">
        <v>120</v>
      </c>
      <c r="C217" s="176"/>
      <c r="D217" s="176"/>
      <c r="E217" s="177"/>
    </row>
    <row r="218" spans="2:5" ht="21" thickBot="1" x14ac:dyDescent="0.35">
      <c r="B218" s="133" t="s">
        <v>121</v>
      </c>
      <c r="C218" s="178"/>
      <c r="D218" s="178"/>
      <c r="E218" s="354">
        <f>IF(E214=0,0,ROUND((E214*100/(E214+E216))*0.01, 3))</f>
        <v>0.754</v>
      </c>
    </row>
    <row r="219" spans="2:5" ht="13.5" thickTop="1" x14ac:dyDescent="0.2">
      <c r="B219" s="3"/>
      <c r="C219" s="3"/>
      <c r="D219" s="3"/>
      <c r="E219" s="3"/>
    </row>
    <row r="220" spans="2:5" x14ac:dyDescent="0.2">
      <c r="B220" s="3"/>
      <c r="C220" s="3"/>
      <c r="D220" s="3"/>
      <c r="E220" s="3"/>
    </row>
    <row r="221" spans="2:5" ht="18" x14ac:dyDescent="0.25">
      <c r="B221" s="11" t="s">
        <v>123</v>
      </c>
      <c r="C221" s="27"/>
      <c r="D221" s="27"/>
      <c r="E221" s="3"/>
    </row>
    <row r="222" spans="2:5" ht="18" x14ac:dyDescent="0.25">
      <c r="B222" s="11" t="s">
        <v>132</v>
      </c>
    </row>
    <row r="223" spans="2:5" ht="18" x14ac:dyDescent="0.25">
      <c r="B223" s="11"/>
      <c r="C223" s="11" t="s">
        <v>133</v>
      </c>
      <c r="D223" s="27"/>
    </row>
    <row r="224" spans="2:5" ht="18" x14ac:dyDescent="0.25">
      <c r="B224" s="11" t="s">
        <v>137</v>
      </c>
      <c r="C224" s="14" t="s">
        <v>136</v>
      </c>
      <c r="D224" s="14"/>
    </row>
    <row r="226" spans="1:5" ht="26.25" x14ac:dyDescent="0.4">
      <c r="A226" s="267" t="s">
        <v>199</v>
      </c>
      <c r="B226" s="11" t="s">
        <v>116</v>
      </c>
      <c r="C226" s="3"/>
      <c r="D226" s="3"/>
      <c r="E226" s="10" t="s">
        <v>15</v>
      </c>
    </row>
    <row r="227" spans="1:5" ht="18" x14ac:dyDescent="0.25">
      <c r="B227" s="14" t="s">
        <v>129</v>
      </c>
      <c r="C227" s="3"/>
      <c r="D227" s="11"/>
      <c r="E227" s="11"/>
    </row>
    <row r="228" spans="1:5" ht="18" x14ac:dyDescent="0.25">
      <c r="B228" s="11" t="s">
        <v>144</v>
      </c>
      <c r="C228" s="11"/>
      <c r="D228" s="1862" t="str">
        <f>'Tab.1. bilans_Polska'!$E$59</f>
        <v>Termin: 29 luty 2012 r.</v>
      </c>
      <c r="E228" s="1862"/>
    </row>
    <row r="229" spans="1:5" ht="18" x14ac:dyDescent="0.25">
      <c r="B229" s="11"/>
      <c r="C229" s="3"/>
      <c r="D229" s="3"/>
      <c r="E229" s="3"/>
    </row>
    <row r="230" spans="1:5" ht="18" x14ac:dyDescent="0.25">
      <c r="B230" s="11" t="s">
        <v>130</v>
      </c>
      <c r="C230" s="3"/>
      <c r="D230" s="3"/>
      <c r="E230" s="3"/>
    </row>
    <row r="231" spans="1:5" ht="15.75" x14ac:dyDescent="0.25">
      <c r="B231" s="1" t="s">
        <v>131</v>
      </c>
      <c r="C231" s="3"/>
      <c r="D231" s="3"/>
      <c r="E231" s="3"/>
    </row>
    <row r="232" spans="1:5" ht="18" x14ac:dyDescent="0.25">
      <c r="B232" s="11"/>
      <c r="C232" s="3"/>
      <c r="D232" s="3"/>
      <c r="E232" s="3"/>
    </row>
    <row r="233" spans="1:5" ht="23.25" x14ac:dyDescent="0.35">
      <c r="B233" s="1839" t="str">
        <f>$B$9</f>
        <v>ŚRODOWISKOWE  DOMY  SAMOPOMOCY  w 2011 r.</v>
      </c>
      <c r="C233" s="1839"/>
      <c r="D233" s="1839"/>
      <c r="E233" s="1839"/>
    </row>
    <row r="234" spans="1:5" ht="23.25" x14ac:dyDescent="0.35">
      <c r="B234" s="26"/>
      <c r="C234" s="30"/>
      <c r="D234" s="30"/>
      <c r="E234" s="30"/>
    </row>
    <row r="235" spans="1:5" ht="18.75" thickBot="1" x14ac:dyDescent="0.3">
      <c r="B235" s="11"/>
      <c r="C235" s="3"/>
      <c r="D235" s="3"/>
      <c r="E235" s="3"/>
    </row>
    <row r="236" spans="1:5" ht="19.5" thickTop="1" thickBot="1" x14ac:dyDescent="0.25">
      <c r="B236" s="31"/>
      <c r="C236" s="1863" t="s">
        <v>4</v>
      </c>
      <c r="D236" s="1864"/>
      <c r="E236" s="1865"/>
    </row>
    <row r="237" spans="1:5" ht="20.25" x14ac:dyDescent="0.2">
      <c r="B237" s="117" t="s">
        <v>21</v>
      </c>
      <c r="C237" s="118" t="s">
        <v>41</v>
      </c>
      <c r="D237" s="119" t="s">
        <v>13</v>
      </c>
      <c r="E237" s="120" t="s">
        <v>117</v>
      </c>
    </row>
    <row r="238" spans="1:5" ht="18.75" thickBot="1" x14ac:dyDescent="0.25">
      <c r="B238" s="165"/>
      <c r="C238" s="122"/>
      <c r="D238" s="123"/>
      <c r="E238" s="124" t="s">
        <v>118</v>
      </c>
    </row>
    <row r="239" spans="1:5" ht="16.5" thickBot="1" x14ac:dyDescent="0.3">
      <c r="B239" s="166">
        <v>0</v>
      </c>
      <c r="C239" s="167">
        <v>1</v>
      </c>
      <c r="D239" s="168">
        <v>2</v>
      </c>
      <c r="E239" s="169">
        <v>3</v>
      </c>
    </row>
    <row r="240" spans="1:5" ht="21.75" thickTop="1" thickBot="1" x14ac:dyDescent="0.25">
      <c r="B240" s="1178" t="str">
        <f>$B$16</f>
        <v>1. Stan na dzień 31. XII. 2010 r.</v>
      </c>
      <c r="C240" s="1377">
        <v>65</v>
      </c>
      <c r="D240" s="1378">
        <v>1854</v>
      </c>
      <c r="E240" s="1379">
        <v>1807</v>
      </c>
    </row>
    <row r="241" spans="2:5" ht="21" thickBot="1" x14ac:dyDescent="0.25">
      <c r="B241" s="1179" t="str">
        <f>$B$17</f>
        <v>2. Przybyło w 2011 r.</v>
      </c>
      <c r="C241" s="1370">
        <v>4</v>
      </c>
      <c r="D241" s="1371">
        <v>143</v>
      </c>
      <c r="E241" s="1372">
        <v>431</v>
      </c>
    </row>
    <row r="242" spans="2:5" ht="21" thickBot="1" x14ac:dyDescent="0.25">
      <c r="B242" s="1179" t="str">
        <f>$B$18</f>
        <v>3. Ubyło w 2011 r.</v>
      </c>
      <c r="C242" s="1370">
        <v>1</v>
      </c>
      <c r="D242" s="1371">
        <v>0</v>
      </c>
      <c r="E242" s="1372">
        <v>322</v>
      </c>
    </row>
    <row r="243" spans="2:5" ht="21" thickBot="1" x14ac:dyDescent="0.25">
      <c r="B243" s="1179" t="str">
        <f>B211</f>
        <v>4. Stan na dzień 31. XII. 2011 r. (w.1+w.2-w.3)</v>
      </c>
      <c r="C243" s="355">
        <f>C240+C241-C242</f>
        <v>68</v>
      </c>
      <c r="D243" s="356">
        <f>D240+D241-D242</f>
        <v>1997</v>
      </c>
      <c r="E243" s="357">
        <f>E240+E241-E242</f>
        <v>1916</v>
      </c>
    </row>
    <row r="244" spans="2:5" ht="21" thickBot="1" x14ac:dyDescent="0.25">
      <c r="B244" s="1180" t="str">
        <f>B212</f>
        <v>5. Planowane zwiększenie w 2012 r.</v>
      </c>
      <c r="C244" s="1373">
        <v>0</v>
      </c>
      <c r="D244" s="1374">
        <v>52</v>
      </c>
      <c r="E244" s="170" t="s">
        <v>51</v>
      </c>
    </row>
    <row r="245" spans="2:5" ht="14.25" thickTop="1" thickBot="1" x14ac:dyDescent="0.25">
      <c r="B245" s="3"/>
      <c r="C245" s="3"/>
      <c r="D245" s="3"/>
      <c r="E245" s="3"/>
    </row>
    <row r="246" spans="2:5" ht="21.75" thickTop="1" thickBot="1" x14ac:dyDescent="0.35">
      <c r="B246" s="1181" t="str">
        <f>$B$22</f>
        <v>I.  Liczba osób umieszczonych w środowisk. domach samopomocy w 2011 r.</v>
      </c>
      <c r="C246" s="171"/>
      <c r="D246" s="171"/>
      <c r="E246" s="1375">
        <v>431</v>
      </c>
    </row>
    <row r="247" spans="2:5" ht="20.25" x14ac:dyDescent="0.3">
      <c r="B247" s="172" t="s">
        <v>119</v>
      </c>
      <c r="C247" s="173"/>
      <c r="D247" s="173"/>
      <c r="E247" s="1195"/>
    </row>
    <row r="248" spans="2:5" ht="21" thickBot="1" x14ac:dyDescent="0.35">
      <c r="B248" s="1182" t="str">
        <f>$B$24</f>
        <v xml:space="preserve">    domach samopomocy wg stanu na dzień 31. XII. 2011 r.</v>
      </c>
      <c r="C248" s="174"/>
      <c r="D248" s="174"/>
      <c r="E248" s="1376">
        <v>106</v>
      </c>
    </row>
    <row r="249" spans="2:5" ht="20.25" x14ac:dyDescent="0.3">
      <c r="B249" s="175" t="s">
        <v>120</v>
      </c>
      <c r="C249" s="176"/>
      <c r="D249" s="176"/>
      <c r="E249" s="177"/>
    </row>
    <row r="250" spans="2:5" ht="21" thickBot="1" x14ac:dyDescent="0.35">
      <c r="B250" s="133" t="s">
        <v>121</v>
      </c>
      <c r="C250" s="178"/>
      <c r="D250" s="178"/>
      <c r="E250" s="354">
        <f>IF(E246=0,0,ROUND((E246*100/(E246+E248))*0.01, 3))</f>
        <v>0.80300000000000005</v>
      </c>
    </row>
    <row r="251" spans="2:5" ht="13.5" thickTop="1" x14ac:dyDescent="0.2">
      <c r="B251" s="3"/>
      <c r="C251" s="3"/>
      <c r="D251" s="3"/>
      <c r="E251" s="3"/>
    </row>
    <row r="252" spans="2:5" x14ac:dyDescent="0.2">
      <c r="B252" s="3"/>
      <c r="C252" s="3"/>
      <c r="D252" s="3"/>
      <c r="E252" s="3"/>
    </row>
    <row r="253" spans="2:5" ht="18" x14ac:dyDescent="0.25">
      <c r="B253" s="11" t="s">
        <v>123</v>
      </c>
      <c r="C253" s="27"/>
      <c r="D253" s="27"/>
      <c r="E253" s="3"/>
    </row>
    <row r="254" spans="2:5" ht="18" x14ac:dyDescent="0.25">
      <c r="B254" s="11" t="s">
        <v>132</v>
      </c>
    </row>
    <row r="255" spans="2:5" ht="18" x14ac:dyDescent="0.25">
      <c r="B255" s="11"/>
      <c r="C255" s="11" t="s">
        <v>133</v>
      </c>
      <c r="D255" s="27"/>
    </row>
    <row r="256" spans="2:5" ht="18" x14ac:dyDescent="0.25">
      <c r="B256" s="11" t="s">
        <v>137</v>
      </c>
      <c r="C256" s="14" t="s">
        <v>136</v>
      </c>
      <c r="D256" s="14"/>
    </row>
    <row r="258" spans="1:5" ht="26.25" x14ac:dyDescent="0.4">
      <c r="A258" s="267" t="s">
        <v>200</v>
      </c>
      <c r="B258" s="11" t="s">
        <v>116</v>
      </c>
      <c r="C258" s="3"/>
      <c r="D258" s="3"/>
      <c r="E258" s="10" t="s">
        <v>15</v>
      </c>
    </row>
    <row r="259" spans="1:5" ht="18" x14ac:dyDescent="0.25">
      <c r="B259" s="14" t="s">
        <v>129</v>
      </c>
      <c r="C259" s="3"/>
      <c r="D259" s="11"/>
      <c r="E259" s="11"/>
    </row>
    <row r="260" spans="1:5" ht="18" x14ac:dyDescent="0.25">
      <c r="B260" s="11" t="s">
        <v>144</v>
      </c>
      <c r="C260" s="11"/>
      <c r="D260" s="1862" t="str">
        <f>'Tab.1. bilans_Polska'!$E$59</f>
        <v>Termin: 29 luty 2012 r.</v>
      </c>
      <c r="E260" s="1862"/>
    </row>
    <row r="261" spans="1:5" ht="18" x14ac:dyDescent="0.25">
      <c r="B261" s="11"/>
      <c r="C261" s="3"/>
      <c r="D261" s="3"/>
      <c r="E261" s="3"/>
    </row>
    <row r="262" spans="1:5" ht="18" x14ac:dyDescent="0.25">
      <c r="B262" s="11" t="s">
        <v>130</v>
      </c>
      <c r="C262" s="3"/>
      <c r="D262" s="3"/>
      <c r="E262" s="3"/>
    </row>
    <row r="263" spans="1:5" ht="15.75" x14ac:dyDescent="0.25">
      <c r="B263" s="1" t="s">
        <v>131</v>
      </c>
      <c r="C263" s="3"/>
      <c r="D263" s="3"/>
      <c r="E263" s="3"/>
    </row>
    <row r="264" spans="1:5" ht="18" x14ac:dyDescent="0.25">
      <c r="B264" s="11"/>
      <c r="C264" s="3"/>
      <c r="D264" s="3"/>
      <c r="E264" s="3"/>
    </row>
    <row r="265" spans="1:5" ht="23.25" x14ac:dyDescent="0.35">
      <c r="B265" s="1839" t="str">
        <f>$B$9</f>
        <v>ŚRODOWISKOWE  DOMY  SAMOPOMOCY  w 2011 r.</v>
      </c>
      <c r="C265" s="1839"/>
      <c r="D265" s="1839"/>
      <c r="E265" s="1839"/>
    </row>
    <row r="266" spans="1:5" ht="23.25" x14ac:dyDescent="0.35">
      <c r="B266" s="26"/>
      <c r="C266" s="30"/>
      <c r="D266" s="30"/>
      <c r="E266" s="30"/>
    </row>
    <row r="267" spans="1:5" ht="18.75" thickBot="1" x14ac:dyDescent="0.3">
      <c r="B267" s="11"/>
      <c r="C267" s="3"/>
      <c r="D267" s="3"/>
      <c r="E267" s="3"/>
    </row>
    <row r="268" spans="1:5" ht="19.5" thickTop="1" thickBot="1" x14ac:dyDescent="0.25">
      <c r="B268" s="31"/>
      <c r="C268" s="1863" t="s">
        <v>4</v>
      </c>
      <c r="D268" s="1864"/>
      <c r="E268" s="1865"/>
    </row>
    <row r="269" spans="1:5" ht="20.25" x14ac:dyDescent="0.2">
      <c r="B269" s="117" t="s">
        <v>21</v>
      </c>
      <c r="C269" s="118" t="s">
        <v>41</v>
      </c>
      <c r="D269" s="119" t="s">
        <v>13</v>
      </c>
      <c r="E269" s="120" t="s">
        <v>117</v>
      </c>
    </row>
    <row r="270" spans="1:5" ht="18.75" thickBot="1" x14ac:dyDescent="0.25">
      <c r="B270" s="165"/>
      <c r="C270" s="122"/>
      <c r="D270" s="123"/>
      <c r="E270" s="124" t="s">
        <v>118</v>
      </c>
    </row>
    <row r="271" spans="1:5" ht="16.5" thickBot="1" x14ac:dyDescent="0.3">
      <c r="B271" s="166">
        <v>0</v>
      </c>
      <c r="C271" s="167">
        <v>1</v>
      </c>
      <c r="D271" s="168">
        <v>2</v>
      </c>
      <c r="E271" s="169">
        <v>3</v>
      </c>
    </row>
    <row r="272" spans="1:5" ht="21.75" thickTop="1" thickBot="1" x14ac:dyDescent="0.25">
      <c r="B272" s="1178" t="str">
        <f>$B$16</f>
        <v>1. Stan na dzień 31. XII. 2010 r.</v>
      </c>
      <c r="C272" s="1367">
        <v>11</v>
      </c>
      <c r="D272" s="1368">
        <v>522</v>
      </c>
      <c r="E272" s="1369">
        <v>569</v>
      </c>
    </row>
    <row r="273" spans="2:5" ht="21" thickBot="1" x14ac:dyDescent="0.25">
      <c r="B273" s="1179" t="str">
        <f>$B$17</f>
        <v>2. Przybyło w 2011 r.</v>
      </c>
      <c r="C273" s="1370">
        <v>0</v>
      </c>
      <c r="D273" s="1371">
        <v>3</v>
      </c>
      <c r="E273" s="1372">
        <v>82</v>
      </c>
    </row>
    <row r="274" spans="2:5" ht="21" thickBot="1" x14ac:dyDescent="0.25">
      <c r="B274" s="1179" t="str">
        <f>$B$18</f>
        <v>3. Ubyło w 2011 r.</v>
      </c>
      <c r="C274" s="1370">
        <v>0</v>
      </c>
      <c r="D274" s="1371">
        <v>1</v>
      </c>
      <c r="E274" s="1372">
        <v>56</v>
      </c>
    </row>
    <row r="275" spans="2:5" ht="21" thickBot="1" x14ac:dyDescent="0.25">
      <c r="B275" s="1179" t="str">
        <f>B243</f>
        <v>4. Stan na dzień 31. XII. 2011 r. (w.1+w.2-w.3)</v>
      </c>
      <c r="C275" s="355">
        <f>C272+C273-C274</f>
        <v>11</v>
      </c>
      <c r="D275" s="936">
        <f>D272+D273-D274</f>
        <v>524</v>
      </c>
      <c r="E275" s="357">
        <f>E272+E273-E274</f>
        <v>595</v>
      </c>
    </row>
    <row r="276" spans="2:5" ht="21" thickBot="1" x14ac:dyDescent="0.25">
      <c r="B276" s="1180" t="str">
        <f>B244</f>
        <v>5. Planowane zwiększenie w 2012 r.</v>
      </c>
      <c r="C276" s="1373">
        <v>1</v>
      </c>
      <c r="D276" s="1374">
        <v>13</v>
      </c>
      <c r="E276" s="170" t="s">
        <v>51</v>
      </c>
    </row>
    <row r="277" spans="2:5" ht="14.25" thickTop="1" thickBot="1" x14ac:dyDescent="0.25">
      <c r="B277" s="3"/>
      <c r="C277" s="3"/>
      <c r="D277" s="3"/>
      <c r="E277" s="3"/>
    </row>
    <row r="278" spans="2:5" ht="21.75" thickTop="1" thickBot="1" x14ac:dyDescent="0.35">
      <c r="B278" s="1181" t="str">
        <f>$B$22</f>
        <v>I.  Liczba osób umieszczonych w środowisk. domach samopomocy w 2011 r.</v>
      </c>
      <c r="C278" s="171"/>
      <c r="D278" s="171"/>
      <c r="E278" s="1375">
        <v>82</v>
      </c>
    </row>
    <row r="279" spans="2:5" ht="20.25" x14ac:dyDescent="0.3">
      <c r="B279" s="172" t="s">
        <v>119</v>
      </c>
      <c r="C279" s="173"/>
      <c r="D279" s="173"/>
      <c r="E279" s="1195"/>
    </row>
    <row r="280" spans="2:5" ht="21" thickBot="1" x14ac:dyDescent="0.35">
      <c r="B280" s="1182" t="str">
        <f>$B$24</f>
        <v xml:space="preserve">    domach samopomocy wg stanu na dzień 31. XII. 2011 r.</v>
      </c>
      <c r="C280" s="174"/>
      <c r="D280" s="174"/>
      <c r="E280" s="1376">
        <v>24</v>
      </c>
    </row>
    <row r="281" spans="2:5" ht="20.25" x14ac:dyDescent="0.3">
      <c r="B281" s="175" t="s">
        <v>120</v>
      </c>
      <c r="C281" s="176"/>
      <c r="D281" s="176"/>
      <c r="E281" s="177"/>
    </row>
    <row r="282" spans="2:5" ht="21" thickBot="1" x14ac:dyDescent="0.35">
      <c r="B282" s="133" t="s">
        <v>121</v>
      </c>
      <c r="C282" s="178"/>
      <c r="D282" s="178"/>
      <c r="E282" s="354">
        <f>IF(E278=0,0,ROUND((E278*100/(E278+E280))*0.01, 3))</f>
        <v>0.77400000000000002</v>
      </c>
    </row>
    <row r="283" spans="2:5" ht="13.5" thickTop="1" x14ac:dyDescent="0.2">
      <c r="B283" s="3"/>
      <c r="C283" s="3"/>
      <c r="D283" s="3"/>
      <c r="E283" s="3"/>
    </row>
    <row r="284" spans="2:5" x14ac:dyDescent="0.2">
      <c r="B284" s="3"/>
      <c r="C284" s="3"/>
      <c r="D284" s="3"/>
      <c r="E284" s="3"/>
    </row>
    <row r="285" spans="2:5" ht="18" x14ac:dyDescent="0.25">
      <c r="B285" s="11" t="s">
        <v>123</v>
      </c>
      <c r="C285" s="27"/>
      <c r="D285" s="27"/>
      <c r="E285" s="3"/>
    </row>
    <row r="286" spans="2:5" ht="18" x14ac:dyDescent="0.25">
      <c r="B286" s="11" t="s">
        <v>132</v>
      </c>
    </row>
    <row r="287" spans="2:5" ht="18" x14ac:dyDescent="0.25">
      <c r="B287" s="11"/>
      <c r="C287" s="11" t="s">
        <v>133</v>
      </c>
      <c r="D287" s="27"/>
    </row>
    <row r="288" spans="2:5" ht="18" x14ac:dyDescent="0.25">
      <c r="B288" s="11" t="s">
        <v>137</v>
      </c>
      <c r="C288" s="14" t="s">
        <v>136</v>
      </c>
      <c r="D288" s="14"/>
    </row>
    <row r="290" spans="1:5" ht="26.25" x14ac:dyDescent="0.4">
      <c r="A290" s="267" t="s">
        <v>201</v>
      </c>
      <c r="B290" s="11" t="s">
        <v>116</v>
      </c>
      <c r="C290" s="3"/>
      <c r="D290" s="3"/>
      <c r="E290" s="10" t="s">
        <v>15</v>
      </c>
    </row>
    <row r="291" spans="1:5" ht="18" x14ac:dyDescent="0.25">
      <c r="B291" s="14" t="s">
        <v>129</v>
      </c>
      <c r="C291" s="3"/>
      <c r="D291" s="11"/>
      <c r="E291" s="11"/>
    </row>
    <row r="292" spans="1:5" ht="18" x14ac:dyDescent="0.25">
      <c r="B292" s="11" t="s">
        <v>144</v>
      </c>
      <c r="C292" s="11"/>
      <c r="D292" s="1862" t="str">
        <f>'Tab.1. bilans_Polska'!$E$59</f>
        <v>Termin: 29 luty 2012 r.</v>
      </c>
      <c r="E292" s="1862"/>
    </row>
    <row r="293" spans="1:5" ht="18" x14ac:dyDescent="0.25">
      <c r="B293" s="11"/>
      <c r="C293" s="3"/>
      <c r="D293" s="3"/>
      <c r="E293" s="3"/>
    </row>
    <row r="294" spans="1:5" ht="18" x14ac:dyDescent="0.25">
      <c r="B294" s="11" t="s">
        <v>130</v>
      </c>
      <c r="C294" s="3"/>
      <c r="D294" s="3"/>
      <c r="E294" s="3"/>
    </row>
    <row r="295" spans="1:5" ht="15.75" x14ac:dyDescent="0.25">
      <c r="B295" s="1" t="s">
        <v>131</v>
      </c>
      <c r="C295" s="3"/>
      <c r="D295" s="3"/>
      <c r="E295" s="3"/>
    </row>
    <row r="296" spans="1:5" ht="18" x14ac:dyDescent="0.25">
      <c r="B296" s="11"/>
      <c r="C296" s="3"/>
      <c r="D296" s="3"/>
      <c r="E296" s="3"/>
    </row>
    <row r="297" spans="1:5" ht="23.25" x14ac:dyDescent="0.35">
      <c r="B297" s="1839" t="str">
        <f>$B$9</f>
        <v>ŚRODOWISKOWE  DOMY  SAMOPOMOCY  w 2011 r.</v>
      </c>
      <c r="C297" s="1839"/>
      <c r="D297" s="1839"/>
      <c r="E297" s="1839"/>
    </row>
    <row r="298" spans="1:5" ht="23.25" x14ac:dyDescent="0.35">
      <c r="B298" s="26"/>
      <c r="C298" s="30"/>
      <c r="D298" s="30"/>
      <c r="E298" s="30"/>
    </row>
    <row r="299" spans="1:5" ht="18.75" thickBot="1" x14ac:dyDescent="0.3">
      <c r="B299" s="11"/>
      <c r="C299" s="3"/>
      <c r="D299" s="3"/>
      <c r="E299" s="3"/>
    </row>
    <row r="300" spans="1:5" ht="19.5" thickTop="1" thickBot="1" x14ac:dyDescent="0.25">
      <c r="B300" s="31"/>
      <c r="C300" s="1863" t="s">
        <v>4</v>
      </c>
      <c r="D300" s="1864"/>
      <c r="E300" s="1865"/>
    </row>
    <row r="301" spans="1:5" ht="20.25" x14ac:dyDescent="0.2">
      <c r="B301" s="117" t="s">
        <v>21</v>
      </c>
      <c r="C301" s="118" t="s">
        <v>41</v>
      </c>
      <c r="D301" s="119" t="s">
        <v>13</v>
      </c>
      <c r="E301" s="120" t="s">
        <v>117</v>
      </c>
    </row>
    <row r="302" spans="1:5" ht="18.75" thickBot="1" x14ac:dyDescent="0.25">
      <c r="B302" s="165"/>
      <c r="C302" s="122"/>
      <c r="D302" s="123"/>
      <c r="E302" s="124" t="s">
        <v>118</v>
      </c>
    </row>
    <row r="303" spans="1:5" ht="16.5" thickBot="1" x14ac:dyDescent="0.3">
      <c r="B303" s="166">
        <v>0</v>
      </c>
      <c r="C303" s="167">
        <v>1</v>
      </c>
      <c r="D303" s="168">
        <v>2</v>
      </c>
      <c r="E303" s="169">
        <v>3</v>
      </c>
    </row>
    <row r="304" spans="1:5" ht="21.75" thickTop="1" thickBot="1" x14ac:dyDescent="0.25">
      <c r="B304" s="1178" t="str">
        <f>$B$16</f>
        <v>1. Stan na dzień 31. XII. 2010 r.</v>
      </c>
      <c r="C304" s="1377">
        <v>60</v>
      </c>
      <c r="D304" s="1368">
        <v>1811</v>
      </c>
      <c r="E304" s="1369">
        <v>1946</v>
      </c>
    </row>
    <row r="305" spans="2:5" ht="21" thickBot="1" x14ac:dyDescent="0.25">
      <c r="B305" s="1179" t="str">
        <f>$B$17</f>
        <v>2. Przybyło w 2011 r.</v>
      </c>
      <c r="C305" s="1370">
        <v>0</v>
      </c>
      <c r="D305" s="1371">
        <v>222</v>
      </c>
      <c r="E305" s="1372">
        <v>286</v>
      </c>
    </row>
    <row r="306" spans="2:5" ht="21" thickBot="1" x14ac:dyDescent="0.25">
      <c r="B306" s="1179" t="str">
        <f>$B$18</f>
        <v>3. Ubyło w 2011 r.</v>
      </c>
      <c r="C306" s="1370">
        <v>0</v>
      </c>
      <c r="D306" s="1371">
        <v>32</v>
      </c>
      <c r="E306" s="1372">
        <v>167</v>
      </c>
    </row>
    <row r="307" spans="2:5" ht="21" thickBot="1" x14ac:dyDescent="0.25">
      <c r="B307" s="1179" t="str">
        <f>B275</f>
        <v>4. Stan na dzień 31. XII. 2011 r. (w.1+w.2-w.3)</v>
      </c>
      <c r="C307" s="355">
        <f>C304+C305-C306</f>
        <v>60</v>
      </c>
      <c r="D307" s="356">
        <f>D304+D305-D306</f>
        <v>2001</v>
      </c>
      <c r="E307" s="357">
        <f>E304+E305-E306</f>
        <v>2065</v>
      </c>
    </row>
    <row r="308" spans="2:5" ht="21" thickBot="1" x14ac:dyDescent="0.25">
      <c r="B308" s="1180" t="str">
        <f>B276</f>
        <v>5. Planowane zwiększenie w 2012 r.</v>
      </c>
      <c r="C308" s="1373">
        <v>0</v>
      </c>
      <c r="D308" s="1374">
        <v>60</v>
      </c>
      <c r="E308" s="170" t="s">
        <v>51</v>
      </c>
    </row>
    <row r="309" spans="2:5" ht="14.25" thickTop="1" thickBot="1" x14ac:dyDescent="0.25">
      <c r="B309" s="3"/>
      <c r="C309" s="3"/>
      <c r="D309" s="3"/>
      <c r="E309" s="3"/>
    </row>
    <row r="310" spans="2:5" ht="21.75" thickTop="1" thickBot="1" x14ac:dyDescent="0.35">
      <c r="B310" s="1181" t="str">
        <f>$B$22</f>
        <v>I.  Liczba osób umieszczonych w środowisk. domach samopomocy w 2011 r.</v>
      </c>
      <c r="C310" s="171"/>
      <c r="D310" s="171"/>
      <c r="E310" s="1375">
        <v>270</v>
      </c>
    </row>
    <row r="311" spans="2:5" ht="20.25" x14ac:dyDescent="0.3">
      <c r="B311" s="172" t="s">
        <v>119</v>
      </c>
      <c r="C311" s="173"/>
      <c r="D311" s="173"/>
      <c r="E311" s="1195"/>
    </row>
    <row r="312" spans="2:5" ht="21" thickBot="1" x14ac:dyDescent="0.35">
      <c r="B312" s="1182" t="str">
        <f>$B$24</f>
        <v xml:space="preserve">    domach samopomocy wg stanu na dzień 31. XII. 2011 r.</v>
      </c>
      <c r="C312" s="174"/>
      <c r="D312" s="174"/>
      <c r="E312" s="1376">
        <v>61</v>
      </c>
    </row>
    <row r="313" spans="2:5" ht="20.25" x14ac:dyDescent="0.3">
      <c r="B313" s="175" t="s">
        <v>120</v>
      </c>
      <c r="C313" s="176"/>
      <c r="D313" s="176"/>
      <c r="E313" s="177"/>
    </row>
    <row r="314" spans="2:5" ht="21" thickBot="1" x14ac:dyDescent="0.35">
      <c r="B314" s="133" t="s">
        <v>121</v>
      </c>
      <c r="C314" s="178"/>
      <c r="D314" s="178"/>
      <c r="E314" s="354">
        <f>IF(E310=0,0,ROUND((E310*100/(E310+E312))*0.01, 3))</f>
        <v>0.81599999999999995</v>
      </c>
    </row>
    <row r="315" spans="2:5" ht="13.5" thickTop="1" x14ac:dyDescent="0.2">
      <c r="B315" s="3"/>
      <c r="C315" s="3"/>
      <c r="D315" s="3"/>
      <c r="E315" s="3"/>
    </row>
    <row r="316" spans="2:5" x14ac:dyDescent="0.2">
      <c r="B316" s="3"/>
      <c r="C316" s="3"/>
      <c r="D316" s="3"/>
      <c r="E316" s="3"/>
    </row>
    <row r="317" spans="2:5" ht="18" x14ac:dyDescent="0.25">
      <c r="B317" s="11" t="s">
        <v>123</v>
      </c>
      <c r="C317" s="27"/>
      <c r="D317" s="27"/>
      <c r="E317" s="3"/>
    </row>
    <row r="318" spans="2:5" ht="18" x14ac:dyDescent="0.25">
      <c r="B318" s="11" t="s">
        <v>132</v>
      </c>
    </row>
    <row r="319" spans="2:5" ht="18" x14ac:dyDescent="0.25">
      <c r="B319" s="11"/>
      <c r="C319" s="11" t="s">
        <v>133</v>
      </c>
      <c r="D319" s="27"/>
    </row>
    <row r="320" spans="2:5" ht="18" x14ac:dyDescent="0.25">
      <c r="B320" s="11" t="s">
        <v>137</v>
      </c>
      <c r="C320" s="14" t="s">
        <v>136</v>
      </c>
      <c r="D320" s="14"/>
    </row>
    <row r="322" spans="1:5" ht="26.25" x14ac:dyDescent="0.4">
      <c r="A322" s="267" t="s">
        <v>202</v>
      </c>
      <c r="B322" s="11" t="s">
        <v>116</v>
      </c>
      <c r="C322" s="3"/>
      <c r="D322" s="3"/>
      <c r="E322" s="10" t="s">
        <v>15</v>
      </c>
    </row>
    <row r="323" spans="1:5" ht="18" x14ac:dyDescent="0.25">
      <c r="B323" s="14" t="s">
        <v>129</v>
      </c>
      <c r="C323" s="3"/>
      <c r="D323" s="11"/>
      <c r="E323" s="11"/>
    </row>
    <row r="324" spans="1:5" ht="18" x14ac:dyDescent="0.25">
      <c r="B324" s="11" t="s">
        <v>144</v>
      </c>
      <c r="C324" s="11"/>
      <c r="D324" s="1862" t="str">
        <f>'Tab.1. bilans_Polska'!$E$59</f>
        <v>Termin: 29 luty 2012 r.</v>
      </c>
      <c r="E324" s="1862"/>
    </row>
    <row r="325" spans="1:5" ht="18" x14ac:dyDescent="0.25">
      <c r="B325" s="11"/>
      <c r="C325" s="3"/>
      <c r="D325" s="3"/>
      <c r="E325" s="3"/>
    </row>
    <row r="326" spans="1:5" ht="18" x14ac:dyDescent="0.25">
      <c r="B326" s="11" t="s">
        <v>130</v>
      </c>
      <c r="C326" s="3"/>
      <c r="D326" s="3"/>
      <c r="E326" s="3"/>
    </row>
    <row r="327" spans="1:5" ht="15.75" x14ac:dyDescent="0.25">
      <c r="B327" s="1" t="s">
        <v>131</v>
      </c>
      <c r="C327" s="3"/>
      <c r="D327" s="3"/>
      <c r="E327" s="3"/>
    </row>
    <row r="328" spans="1:5" ht="18" x14ac:dyDescent="0.25">
      <c r="B328" s="11"/>
      <c r="C328" s="3"/>
      <c r="D328" s="3"/>
      <c r="E328" s="3"/>
    </row>
    <row r="329" spans="1:5" ht="23.25" x14ac:dyDescent="0.35">
      <c r="B329" s="1839" t="str">
        <f>$B$9</f>
        <v>ŚRODOWISKOWE  DOMY  SAMOPOMOCY  w 2011 r.</v>
      </c>
      <c r="C329" s="1839"/>
      <c r="D329" s="1839"/>
      <c r="E329" s="1839"/>
    </row>
    <row r="330" spans="1:5" ht="23.25" x14ac:dyDescent="0.35">
      <c r="B330" s="26"/>
      <c r="C330" s="30"/>
      <c r="D330" s="30"/>
      <c r="E330" s="30"/>
    </row>
    <row r="331" spans="1:5" ht="18.75" thickBot="1" x14ac:dyDescent="0.3">
      <c r="B331" s="11"/>
      <c r="C331" s="3"/>
      <c r="D331" s="3"/>
      <c r="E331" s="3"/>
    </row>
    <row r="332" spans="1:5" ht="19.5" thickTop="1" thickBot="1" x14ac:dyDescent="0.25">
      <c r="B332" s="31"/>
      <c r="C332" s="1863" t="s">
        <v>4</v>
      </c>
      <c r="D332" s="1864"/>
      <c r="E332" s="1865"/>
    </row>
    <row r="333" spans="1:5" ht="20.25" x14ac:dyDescent="0.2">
      <c r="B333" s="117" t="s">
        <v>21</v>
      </c>
      <c r="C333" s="118" t="s">
        <v>41</v>
      </c>
      <c r="D333" s="119" t="s">
        <v>13</v>
      </c>
      <c r="E333" s="120" t="s">
        <v>117</v>
      </c>
    </row>
    <row r="334" spans="1:5" ht="18.75" thickBot="1" x14ac:dyDescent="0.25">
      <c r="B334" s="165"/>
      <c r="C334" s="122"/>
      <c r="D334" s="123"/>
      <c r="E334" s="124" t="s">
        <v>118</v>
      </c>
    </row>
    <row r="335" spans="1:5" ht="16.5" thickBot="1" x14ac:dyDescent="0.3">
      <c r="B335" s="166">
        <v>0</v>
      </c>
      <c r="C335" s="167">
        <v>1</v>
      </c>
      <c r="D335" s="168">
        <v>2</v>
      </c>
      <c r="E335" s="169">
        <v>3</v>
      </c>
    </row>
    <row r="336" spans="1:5" ht="21.75" thickTop="1" thickBot="1" x14ac:dyDescent="0.25">
      <c r="B336" s="1178" t="str">
        <f>$B$16</f>
        <v>1. Stan na dzień 31. XII. 2010 r.</v>
      </c>
      <c r="C336" s="1377">
        <v>9</v>
      </c>
      <c r="D336" s="1378">
        <v>249</v>
      </c>
      <c r="E336" s="1379">
        <v>251</v>
      </c>
    </row>
    <row r="337" spans="2:5" ht="21" thickBot="1" x14ac:dyDescent="0.25">
      <c r="B337" s="1179" t="str">
        <f>$B$17</f>
        <v>2. Przybyło w 2011 r.</v>
      </c>
      <c r="C337" s="1370">
        <v>1</v>
      </c>
      <c r="D337" s="1371">
        <v>36</v>
      </c>
      <c r="E337" s="1372">
        <v>80</v>
      </c>
    </row>
    <row r="338" spans="2:5" ht="21" thickBot="1" x14ac:dyDescent="0.25">
      <c r="B338" s="1179" t="str">
        <f>$B$18</f>
        <v>3. Ubyło w 2011 r.</v>
      </c>
      <c r="C338" s="1370">
        <v>0</v>
      </c>
      <c r="D338" s="1371">
        <v>3</v>
      </c>
      <c r="E338" s="1372">
        <v>46</v>
      </c>
    </row>
    <row r="339" spans="2:5" ht="21" thickBot="1" x14ac:dyDescent="0.25">
      <c r="B339" s="1179" t="str">
        <f>B307</f>
        <v>4. Stan na dzień 31. XII. 2011 r. (w.1+w.2-w.3)</v>
      </c>
      <c r="C339" s="355">
        <f>C336+C337-C338</f>
        <v>10</v>
      </c>
      <c r="D339" s="356">
        <f>D336+D337-D338</f>
        <v>282</v>
      </c>
      <c r="E339" s="357">
        <f>E336+E337-E338</f>
        <v>285</v>
      </c>
    </row>
    <row r="340" spans="2:5" ht="21" thickBot="1" x14ac:dyDescent="0.25">
      <c r="B340" s="1180" t="str">
        <f>B308</f>
        <v>5. Planowane zwiększenie w 2012 r.</v>
      </c>
      <c r="C340" s="1373">
        <v>0</v>
      </c>
      <c r="D340" s="1374">
        <v>12</v>
      </c>
      <c r="E340" s="170" t="s">
        <v>51</v>
      </c>
    </row>
    <row r="341" spans="2:5" ht="14.25" thickTop="1" thickBot="1" x14ac:dyDescent="0.25">
      <c r="B341" s="3"/>
      <c r="C341" s="3"/>
      <c r="D341" s="3"/>
      <c r="E341" s="3"/>
    </row>
    <row r="342" spans="2:5" ht="21.75" thickTop="1" thickBot="1" x14ac:dyDescent="0.35">
      <c r="B342" s="1181" t="str">
        <f>$B$22</f>
        <v>I.  Liczba osób umieszczonych w środowisk. domach samopomocy w 2011 r.</v>
      </c>
      <c r="C342" s="171"/>
      <c r="D342" s="171"/>
      <c r="E342" s="1375">
        <v>80</v>
      </c>
    </row>
    <row r="343" spans="2:5" ht="20.25" x14ac:dyDescent="0.3">
      <c r="B343" s="172" t="s">
        <v>119</v>
      </c>
      <c r="C343" s="173"/>
      <c r="D343" s="173"/>
      <c r="E343" s="1195"/>
    </row>
    <row r="344" spans="2:5" ht="21" thickBot="1" x14ac:dyDescent="0.35">
      <c r="B344" s="1182" t="str">
        <f>$B$24</f>
        <v xml:space="preserve">    domach samopomocy wg stanu na dzień 31. XII. 2011 r.</v>
      </c>
      <c r="C344" s="174"/>
      <c r="D344" s="174"/>
      <c r="E344" s="1376">
        <v>19</v>
      </c>
    </row>
    <row r="345" spans="2:5" ht="20.25" x14ac:dyDescent="0.3">
      <c r="B345" s="175" t="s">
        <v>120</v>
      </c>
      <c r="C345" s="176"/>
      <c r="D345" s="176"/>
      <c r="E345" s="177"/>
    </row>
    <row r="346" spans="2:5" ht="21" thickBot="1" x14ac:dyDescent="0.35">
      <c r="B346" s="133" t="s">
        <v>121</v>
      </c>
      <c r="C346" s="178"/>
      <c r="D346" s="178"/>
      <c r="E346" s="354">
        <f>IF(E342=0,0,ROUND((E342*100/(E342+E344))*0.01, 3))</f>
        <v>0.80800000000000005</v>
      </c>
    </row>
    <row r="347" spans="2:5" ht="13.5" thickTop="1" x14ac:dyDescent="0.2">
      <c r="B347" s="3"/>
      <c r="C347" s="3"/>
      <c r="D347" s="3"/>
      <c r="E347" s="3"/>
    </row>
    <row r="348" spans="2:5" x14ac:dyDescent="0.2">
      <c r="B348" s="3"/>
      <c r="C348" s="3"/>
      <c r="D348" s="3"/>
      <c r="E348" s="3"/>
    </row>
    <row r="349" spans="2:5" ht="18" x14ac:dyDescent="0.25">
      <c r="B349" s="11" t="s">
        <v>123</v>
      </c>
      <c r="C349" s="27"/>
      <c r="D349" s="27"/>
      <c r="E349" s="3"/>
    </row>
    <row r="350" spans="2:5" ht="18" x14ac:dyDescent="0.25">
      <c r="B350" s="11" t="s">
        <v>132</v>
      </c>
    </row>
    <row r="351" spans="2:5" ht="18" x14ac:dyDescent="0.25">
      <c r="B351" s="11"/>
      <c r="C351" s="11" t="s">
        <v>133</v>
      </c>
      <c r="D351" s="27"/>
    </row>
    <row r="352" spans="2:5" ht="18" x14ac:dyDescent="0.25">
      <c r="B352" s="11" t="s">
        <v>137</v>
      </c>
      <c r="C352" s="14" t="s">
        <v>136</v>
      </c>
      <c r="D352" s="14"/>
    </row>
    <row r="354" spans="1:5" ht="26.25" x14ac:dyDescent="0.4">
      <c r="A354" s="267" t="s">
        <v>203</v>
      </c>
      <c r="B354" s="11" t="s">
        <v>116</v>
      </c>
      <c r="C354" s="3"/>
      <c r="D354" s="3"/>
      <c r="E354" s="10" t="s">
        <v>15</v>
      </c>
    </row>
    <row r="355" spans="1:5" ht="18" x14ac:dyDescent="0.25">
      <c r="B355" s="14" t="s">
        <v>129</v>
      </c>
      <c r="C355" s="3"/>
      <c r="D355" s="11"/>
      <c r="E355" s="11"/>
    </row>
    <row r="356" spans="1:5" ht="18" x14ac:dyDescent="0.25">
      <c r="B356" s="11" t="s">
        <v>144</v>
      </c>
      <c r="C356" s="11"/>
      <c r="D356" s="1862" t="str">
        <f>'Tab.1. bilans_Polska'!$E$59</f>
        <v>Termin: 29 luty 2012 r.</v>
      </c>
      <c r="E356" s="1862"/>
    </row>
    <row r="357" spans="1:5" ht="18" x14ac:dyDescent="0.25">
      <c r="B357" s="11"/>
      <c r="C357" s="3"/>
      <c r="D357" s="3"/>
      <c r="E357" s="3"/>
    </row>
    <row r="358" spans="1:5" ht="18" x14ac:dyDescent="0.25">
      <c r="B358" s="11" t="s">
        <v>130</v>
      </c>
      <c r="C358" s="3"/>
      <c r="D358" s="3"/>
      <c r="E358" s="3"/>
    </row>
    <row r="359" spans="1:5" ht="15.75" x14ac:dyDescent="0.25">
      <c r="B359" s="1" t="s">
        <v>131</v>
      </c>
      <c r="C359" s="3"/>
      <c r="D359" s="3"/>
      <c r="E359" s="3"/>
    </row>
    <row r="360" spans="1:5" ht="18" x14ac:dyDescent="0.25">
      <c r="B360" s="11"/>
      <c r="C360" s="3"/>
      <c r="D360" s="3"/>
      <c r="E360" s="3"/>
    </row>
    <row r="361" spans="1:5" ht="23.25" x14ac:dyDescent="0.35">
      <c r="B361" s="1839" t="str">
        <f>$B$9</f>
        <v>ŚRODOWISKOWE  DOMY  SAMOPOMOCY  w 2011 r.</v>
      </c>
      <c r="C361" s="1839"/>
      <c r="D361" s="1839"/>
      <c r="E361" s="1839"/>
    </row>
    <row r="362" spans="1:5" ht="23.25" x14ac:dyDescent="0.35">
      <c r="B362" s="26"/>
      <c r="C362" s="30"/>
      <c r="D362" s="30"/>
      <c r="E362" s="30"/>
    </row>
    <row r="363" spans="1:5" ht="18.75" thickBot="1" x14ac:dyDescent="0.3">
      <c r="B363" s="11"/>
      <c r="C363" s="3"/>
      <c r="D363" s="3"/>
      <c r="E363" s="3"/>
    </row>
    <row r="364" spans="1:5" ht="19.5" thickTop="1" thickBot="1" x14ac:dyDescent="0.25">
      <c r="B364" s="31"/>
      <c r="C364" s="1863" t="s">
        <v>4</v>
      </c>
      <c r="D364" s="1864"/>
      <c r="E364" s="1865"/>
    </row>
    <row r="365" spans="1:5" ht="20.25" x14ac:dyDescent="0.2">
      <c r="B365" s="117" t="s">
        <v>21</v>
      </c>
      <c r="C365" s="118" t="s">
        <v>41</v>
      </c>
      <c r="D365" s="119" t="s">
        <v>13</v>
      </c>
      <c r="E365" s="120" t="s">
        <v>117</v>
      </c>
    </row>
    <row r="366" spans="1:5" ht="18.75" thickBot="1" x14ac:dyDescent="0.25">
      <c r="B366" s="165"/>
      <c r="C366" s="122"/>
      <c r="D366" s="123"/>
      <c r="E366" s="124" t="s">
        <v>118</v>
      </c>
    </row>
    <row r="367" spans="1:5" ht="16.5" thickBot="1" x14ac:dyDescent="0.3">
      <c r="B367" s="166">
        <v>0</v>
      </c>
      <c r="C367" s="167">
        <v>1</v>
      </c>
      <c r="D367" s="168">
        <v>2</v>
      </c>
      <c r="E367" s="169">
        <v>3</v>
      </c>
    </row>
    <row r="368" spans="1:5" ht="21.75" thickTop="1" thickBot="1" x14ac:dyDescent="0.25">
      <c r="B368" s="1178" t="str">
        <f>$B$16</f>
        <v>1. Stan na dzień 31. XII. 2010 r.</v>
      </c>
      <c r="C368" s="1377">
        <v>56</v>
      </c>
      <c r="D368" s="1378">
        <v>1490</v>
      </c>
      <c r="E368" s="1379">
        <v>1452</v>
      </c>
    </row>
    <row r="369" spans="2:5" ht="21" thickBot="1" x14ac:dyDescent="0.25">
      <c r="B369" s="1179" t="str">
        <f>$B$17</f>
        <v>2. Przybyło w 2011 r.</v>
      </c>
      <c r="C369" s="1370">
        <v>1</v>
      </c>
      <c r="D369" s="1371">
        <v>84</v>
      </c>
      <c r="E369" s="1372">
        <v>319</v>
      </c>
    </row>
    <row r="370" spans="2:5" ht="21" thickBot="1" x14ac:dyDescent="0.25">
      <c r="B370" s="1179" t="str">
        <f>$B$18</f>
        <v>3. Ubyło w 2011 r.</v>
      </c>
      <c r="C370" s="1370">
        <v>1</v>
      </c>
      <c r="D370" s="1371">
        <v>20</v>
      </c>
      <c r="E370" s="1372">
        <v>257</v>
      </c>
    </row>
    <row r="371" spans="2:5" ht="21" thickBot="1" x14ac:dyDescent="0.25">
      <c r="B371" s="1179" t="str">
        <f>B339</f>
        <v>4. Stan na dzień 31. XII. 2011 r. (w.1+w.2-w.3)</v>
      </c>
      <c r="C371" s="355">
        <f>C368+C369-C370</f>
        <v>56</v>
      </c>
      <c r="D371" s="356">
        <f>D368+D369-D370</f>
        <v>1554</v>
      </c>
      <c r="E371" s="357">
        <f>E368+E369-E370</f>
        <v>1514</v>
      </c>
    </row>
    <row r="372" spans="2:5" ht="21" thickBot="1" x14ac:dyDescent="0.25">
      <c r="B372" s="1180" t="str">
        <f>B340</f>
        <v>5. Planowane zwiększenie w 2012 r.</v>
      </c>
      <c r="C372" s="1373">
        <v>1</v>
      </c>
      <c r="D372" s="1374">
        <v>52</v>
      </c>
      <c r="E372" s="170" t="s">
        <v>51</v>
      </c>
    </row>
    <row r="373" spans="2:5" ht="14.25" thickTop="1" thickBot="1" x14ac:dyDescent="0.25">
      <c r="B373" s="3"/>
      <c r="C373" s="3"/>
      <c r="D373" s="3"/>
      <c r="E373" s="3"/>
    </row>
    <row r="374" spans="2:5" ht="21.75" thickTop="1" thickBot="1" x14ac:dyDescent="0.35">
      <c r="B374" s="1181" t="str">
        <f>$B$22</f>
        <v>I.  Liczba osób umieszczonych w środowisk. domach samopomocy w 2011 r.</v>
      </c>
      <c r="C374" s="171"/>
      <c r="D374" s="171"/>
      <c r="E374" s="1375">
        <v>315</v>
      </c>
    </row>
    <row r="375" spans="2:5" ht="20.25" x14ac:dyDescent="0.3">
      <c r="B375" s="172" t="s">
        <v>119</v>
      </c>
      <c r="C375" s="173"/>
      <c r="D375" s="173"/>
      <c r="E375" s="1195"/>
    </row>
    <row r="376" spans="2:5" ht="21" thickBot="1" x14ac:dyDescent="0.35">
      <c r="B376" s="1182" t="str">
        <f>$B$24</f>
        <v xml:space="preserve">    domach samopomocy wg stanu na dzień 31. XII. 2011 r.</v>
      </c>
      <c r="C376" s="174"/>
      <c r="D376" s="174"/>
      <c r="E376" s="1376">
        <v>150</v>
      </c>
    </row>
    <row r="377" spans="2:5" ht="20.25" x14ac:dyDescent="0.3">
      <c r="B377" s="175" t="s">
        <v>120</v>
      </c>
      <c r="C377" s="176"/>
      <c r="D377" s="176"/>
      <c r="E377" s="177"/>
    </row>
    <row r="378" spans="2:5" ht="21" thickBot="1" x14ac:dyDescent="0.35">
      <c r="B378" s="133" t="s">
        <v>121</v>
      </c>
      <c r="C378" s="178"/>
      <c r="D378" s="178"/>
      <c r="E378" s="354">
        <f>IF(E374=0,0,ROUND((E374*100/(E374+E376))*0.01, 3))</f>
        <v>0.67700000000000005</v>
      </c>
    </row>
    <row r="379" spans="2:5" ht="13.5" thickTop="1" x14ac:dyDescent="0.2">
      <c r="B379" s="3"/>
      <c r="C379" s="3"/>
      <c r="D379" s="3"/>
      <c r="E379" s="3"/>
    </row>
    <row r="380" spans="2:5" x14ac:dyDescent="0.2">
      <c r="B380" s="3"/>
      <c r="C380" s="3"/>
      <c r="D380" s="3"/>
      <c r="E380" s="3"/>
    </row>
    <row r="381" spans="2:5" ht="18" x14ac:dyDescent="0.25">
      <c r="B381" s="11" t="s">
        <v>123</v>
      </c>
      <c r="C381" s="27"/>
      <c r="D381" s="27"/>
      <c r="E381" s="3"/>
    </row>
    <row r="382" spans="2:5" ht="18" x14ac:dyDescent="0.25">
      <c r="B382" s="11" t="s">
        <v>132</v>
      </c>
    </row>
    <row r="383" spans="2:5" ht="18" x14ac:dyDescent="0.25">
      <c r="B383" s="11"/>
      <c r="C383" s="11" t="s">
        <v>133</v>
      </c>
      <c r="D383" s="27"/>
    </row>
    <row r="384" spans="2:5" ht="18" x14ac:dyDescent="0.25">
      <c r="B384" s="11" t="s">
        <v>137</v>
      </c>
      <c r="C384" s="14" t="s">
        <v>136</v>
      </c>
      <c r="D384" s="14"/>
    </row>
    <row r="386" spans="1:5" ht="26.25" x14ac:dyDescent="0.4">
      <c r="A386" s="267" t="s">
        <v>204</v>
      </c>
      <c r="B386" s="11" t="s">
        <v>116</v>
      </c>
      <c r="C386" s="3"/>
      <c r="D386" s="3"/>
      <c r="E386" s="10" t="s">
        <v>15</v>
      </c>
    </row>
    <row r="387" spans="1:5" ht="18" x14ac:dyDescent="0.25">
      <c r="B387" s="14" t="s">
        <v>129</v>
      </c>
      <c r="C387" s="3"/>
      <c r="D387" s="11"/>
      <c r="E387" s="11"/>
    </row>
    <row r="388" spans="1:5" ht="18" x14ac:dyDescent="0.25">
      <c r="B388" s="11" t="s">
        <v>144</v>
      </c>
      <c r="C388" s="11"/>
      <c r="D388" s="1862" t="str">
        <f>'Tab.1. bilans_Polska'!$E$59</f>
        <v>Termin: 29 luty 2012 r.</v>
      </c>
      <c r="E388" s="1862"/>
    </row>
    <row r="389" spans="1:5" ht="18" x14ac:dyDescent="0.25">
      <c r="B389" s="11"/>
      <c r="C389" s="3"/>
      <c r="D389" s="3"/>
      <c r="E389" s="3"/>
    </row>
    <row r="390" spans="1:5" ht="18" x14ac:dyDescent="0.25">
      <c r="B390" s="11" t="s">
        <v>130</v>
      </c>
      <c r="C390" s="3"/>
      <c r="D390" s="3"/>
      <c r="E390" s="3"/>
    </row>
    <row r="391" spans="1:5" ht="15.75" x14ac:dyDescent="0.25">
      <c r="B391" s="1" t="s">
        <v>131</v>
      </c>
      <c r="C391" s="3"/>
      <c r="D391" s="3"/>
      <c r="E391" s="3"/>
    </row>
    <row r="392" spans="1:5" ht="18" x14ac:dyDescent="0.25">
      <c r="B392" s="11"/>
      <c r="C392" s="3"/>
      <c r="D392" s="3"/>
      <c r="E392" s="3"/>
    </row>
    <row r="393" spans="1:5" ht="23.25" x14ac:dyDescent="0.35">
      <c r="B393" s="1839" t="str">
        <f>$B$9</f>
        <v>ŚRODOWISKOWE  DOMY  SAMOPOMOCY  w 2011 r.</v>
      </c>
      <c r="C393" s="1839"/>
      <c r="D393" s="1839"/>
      <c r="E393" s="1839"/>
    </row>
    <row r="394" spans="1:5" ht="23.25" x14ac:dyDescent="0.35">
      <c r="B394" s="26"/>
      <c r="C394" s="30"/>
      <c r="D394" s="30"/>
      <c r="E394" s="30"/>
    </row>
    <row r="395" spans="1:5" ht="18.75" thickBot="1" x14ac:dyDescent="0.3">
      <c r="B395" s="11"/>
      <c r="C395" s="3"/>
      <c r="D395" s="3"/>
      <c r="E395" s="3"/>
    </row>
    <row r="396" spans="1:5" ht="19.5" thickTop="1" thickBot="1" x14ac:dyDescent="0.25">
      <c r="B396" s="31"/>
      <c r="C396" s="1863" t="s">
        <v>4</v>
      </c>
      <c r="D396" s="1864"/>
      <c r="E396" s="1865"/>
    </row>
    <row r="397" spans="1:5" ht="20.25" x14ac:dyDescent="0.2">
      <c r="B397" s="117" t="s">
        <v>21</v>
      </c>
      <c r="C397" s="118" t="s">
        <v>41</v>
      </c>
      <c r="D397" s="119" t="s">
        <v>13</v>
      </c>
      <c r="E397" s="120" t="s">
        <v>117</v>
      </c>
    </row>
    <row r="398" spans="1:5" ht="18.75" thickBot="1" x14ac:dyDescent="0.25">
      <c r="B398" s="165"/>
      <c r="C398" s="122"/>
      <c r="D398" s="123"/>
      <c r="E398" s="124" t="s">
        <v>118</v>
      </c>
    </row>
    <row r="399" spans="1:5" ht="16.5" thickBot="1" x14ac:dyDescent="0.3">
      <c r="B399" s="166">
        <v>0</v>
      </c>
      <c r="C399" s="167">
        <v>1</v>
      </c>
      <c r="D399" s="168">
        <v>2</v>
      </c>
      <c r="E399" s="169">
        <v>3</v>
      </c>
    </row>
    <row r="400" spans="1:5" ht="21.75" thickTop="1" thickBot="1" x14ac:dyDescent="0.25">
      <c r="B400" s="1178" t="str">
        <f>$B$16</f>
        <v>1. Stan na dzień 31. XII. 2010 r.</v>
      </c>
      <c r="C400" s="1377">
        <v>38</v>
      </c>
      <c r="D400" s="1378">
        <v>1366</v>
      </c>
      <c r="E400" s="1379">
        <v>1328</v>
      </c>
    </row>
    <row r="401" spans="2:7" ht="21" thickBot="1" x14ac:dyDescent="0.25">
      <c r="B401" s="1179" t="str">
        <f>$B$17</f>
        <v>2. Przybyło w 2011 r.</v>
      </c>
      <c r="C401" s="1370">
        <v>0</v>
      </c>
      <c r="D401" s="1371">
        <v>78</v>
      </c>
      <c r="E401" s="1372">
        <v>709</v>
      </c>
    </row>
    <row r="402" spans="2:7" ht="21" thickBot="1" x14ac:dyDescent="0.25">
      <c r="B402" s="1179" t="str">
        <f>$B$18</f>
        <v>3. Ubyło w 2011 r.</v>
      </c>
      <c r="C402" s="1370">
        <v>0</v>
      </c>
      <c r="D402" s="1371">
        <v>37</v>
      </c>
      <c r="E402" s="1372">
        <v>641</v>
      </c>
    </row>
    <row r="403" spans="2:7" ht="21" thickBot="1" x14ac:dyDescent="0.25">
      <c r="B403" s="1179" t="str">
        <f>B371</f>
        <v>4. Stan na dzień 31. XII. 2011 r. (w.1+w.2-w.3)</v>
      </c>
      <c r="C403" s="355">
        <f>C400+C401-C402</f>
        <v>38</v>
      </c>
      <c r="D403" s="356">
        <f>D400+D401-D402</f>
        <v>1407</v>
      </c>
      <c r="E403" s="357">
        <f>E400+E401-E402</f>
        <v>1396</v>
      </c>
    </row>
    <row r="404" spans="2:7" ht="21" thickBot="1" x14ac:dyDescent="0.25">
      <c r="B404" s="1180" t="str">
        <f>B372</f>
        <v>5. Planowane zwiększenie w 2012 r.</v>
      </c>
      <c r="C404" s="1373">
        <v>0</v>
      </c>
      <c r="D404" s="1374">
        <v>49</v>
      </c>
      <c r="E404" s="170" t="s">
        <v>51</v>
      </c>
    </row>
    <row r="405" spans="2:7" ht="14.25" thickTop="1" thickBot="1" x14ac:dyDescent="0.25">
      <c r="B405" s="3"/>
      <c r="C405" s="3"/>
      <c r="D405" s="3"/>
      <c r="E405" s="3"/>
    </row>
    <row r="406" spans="2:7" ht="21.75" thickTop="1" thickBot="1" x14ac:dyDescent="0.35">
      <c r="B406" s="1181" t="str">
        <f>$B$22</f>
        <v>I.  Liczba osób umieszczonych w środowisk. domach samopomocy w 2011 r.</v>
      </c>
      <c r="C406" s="171"/>
      <c r="D406" s="171"/>
      <c r="E406" s="1375">
        <v>526</v>
      </c>
    </row>
    <row r="407" spans="2:7" ht="20.25" x14ac:dyDescent="0.3">
      <c r="B407" s="172" t="s">
        <v>119</v>
      </c>
      <c r="C407" s="173"/>
      <c r="D407" s="173"/>
      <c r="E407" s="1195"/>
    </row>
    <row r="408" spans="2:7" ht="21" thickBot="1" x14ac:dyDescent="0.35">
      <c r="B408" s="1182" t="str">
        <f>$B$24</f>
        <v xml:space="preserve">    domach samopomocy wg stanu na dzień 31. XII. 2011 r.</v>
      </c>
      <c r="C408" s="174"/>
      <c r="D408" s="174"/>
      <c r="E408" s="1376">
        <v>86</v>
      </c>
    </row>
    <row r="409" spans="2:7" ht="20.25" x14ac:dyDescent="0.3">
      <c r="B409" s="175" t="s">
        <v>120</v>
      </c>
      <c r="C409" s="176"/>
      <c r="D409" s="176"/>
      <c r="E409" s="797"/>
    </row>
    <row r="410" spans="2:7" ht="21" thickBot="1" x14ac:dyDescent="0.35">
      <c r="B410" s="133" t="s">
        <v>121</v>
      </c>
      <c r="C410" s="178"/>
      <c r="D410" s="178"/>
      <c r="E410" s="354">
        <f>IF(E406=0,0,ROUND((E406*100/(E406+E408))*0.01, 3))</f>
        <v>0.85899999999999999</v>
      </c>
      <c r="G410" s="407"/>
    </row>
    <row r="411" spans="2:7" ht="13.5" thickTop="1" x14ac:dyDescent="0.2">
      <c r="B411" s="3"/>
      <c r="C411" s="3"/>
      <c r="D411" s="3"/>
      <c r="E411" s="3"/>
    </row>
    <row r="412" spans="2:7" x14ac:dyDescent="0.2">
      <c r="B412" s="3"/>
      <c r="C412" s="3"/>
      <c r="D412" s="3"/>
      <c r="E412" s="3"/>
    </row>
    <row r="413" spans="2:7" ht="18" x14ac:dyDescent="0.25">
      <c r="B413" s="11" t="s">
        <v>123</v>
      </c>
      <c r="C413" s="27"/>
      <c r="D413" s="27"/>
      <c r="E413" s="406"/>
    </row>
    <row r="414" spans="2:7" ht="18" x14ac:dyDescent="0.25">
      <c r="B414" s="11" t="s">
        <v>132</v>
      </c>
    </row>
    <row r="415" spans="2:7" ht="18" x14ac:dyDescent="0.25">
      <c r="B415" s="11"/>
      <c r="C415" s="11" t="s">
        <v>133</v>
      </c>
      <c r="D415" s="27"/>
    </row>
    <row r="416" spans="2:7" ht="18" x14ac:dyDescent="0.25">
      <c r="B416" s="11" t="s">
        <v>137</v>
      </c>
      <c r="C416" s="14" t="s">
        <v>136</v>
      </c>
      <c r="D416" s="14"/>
    </row>
    <row r="418" spans="1:5" ht="26.25" x14ac:dyDescent="0.4">
      <c r="A418" s="267" t="s">
        <v>205</v>
      </c>
      <c r="B418" s="11" t="s">
        <v>116</v>
      </c>
      <c r="C418" s="3"/>
      <c r="D418" s="3"/>
      <c r="E418" s="10" t="s">
        <v>15</v>
      </c>
    </row>
    <row r="419" spans="1:5" ht="18" x14ac:dyDescent="0.25">
      <c r="B419" s="14" t="s">
        <v>129</v>
      </c>
      <c r="C419" s="3"/>
      <c r="D419" s="11"/>
      <c r="E419" s="11"/>
    </row>
    <row r="420" spans="1:5" ht="18" x14ac:dyDescent="0.25">
      <c r="B420" s="11" t="s">
        <v>144</v>
      </c>
      <c r="C420" s="11"/>
      <c r="D420" s="1862" t="str">
        <f>'Tab.1. bilans_Polska'!$E$59</f>
        <v>Termin: 29 luty 2012 r.</v>
      </c>
      <c r="E420" s="1862"/>
    </row>
    <row r="421" spans="1:5" ht="18" x14ac:dyDescent="0.25">
      <c r="B421" s="11"/>
      <c r="C421" s="3"/>
      <c r="D421" s="3"/>
      <c r="E421" s="3"/>
    </row>
    <row r="422" spans="1:5" ht="18" x14ac:dyDescent="0.25">
      <c r="B422" s="11" t="s">
        <v>130</v>
      </c>
      <c r="C422" s="3"/>
      <c r="D422" s="3"/>
      <c r="E422" s="3"/>
    </row>
    <row r="423" spans="1:5" ht="15.75" x14ac:dyDescent="0.25">
      <c r="B423" s="1" t="s">
        <v>131</v>
      </c>
      <c r="C423" s="3"/>
      <c r="D423" s="3"/>
      <c r="E423" s="3"/>
    </row>
    <row r="424" spans="1:5" ht="18" x14ac:dyDescent="0.25">
      <c r="B424" s="11"/>
      <c r="C424" s="3"/>
      <c r="D424" s="3"/>
      <c r="E424" s="3"/>
    </row>
    <row r="425" spans="1:5" ht="23.25" x14ac:dyDescent="0.35">
      <c r="B425" s="1839" t="str">
        <f>$B$9</f>
        <v>ŚRODOWISKOWE  DOMY  SAMOPOMOCY  w 2011 r.</v>
      </c>
      <c r="C425" s="1839"/>
      <c r="D425" s="1839"/>
      <c r="E425" s="1839"/>
    </row>
    <row r="426" spans="1:5" ht="23.25" x14ac:dyDescent="0.35">
      <c r="B426" s="26"/>
      <c r="C426" s="30"/>
      <c r="D426" s="30"/>
      <c r="E426" s="30"/>
    </row>
    <row r="427" spans="1:5" ht="18.75" thickBot="1" x14ac:dyDescent="0.3">
      <c r="B427" s="11"/>
      <c r="C427" s="3"/>
      <c r="D427" s="3"/>
      <c r="E427" s="3"/>
    </row>
    <row r="428" spans="1:5" ht="19.5" thickTop="1" thickBot="1" x14ac:dyDescent="0.25">
      <c r="B428" s="31"/>
      <c r="C428" s="1863" t="s">
        <v>4</v>
      </c>
      <c r="D428" s="1864"/>
      <c r="E428" s="1865"/>
    </row>
    <row r="429" spans="1:5" ht="20.25" x14ac:dyDescent="0.2">
      <c r="B429" s="117" t="s">
        <v>21</v>
      </c>
      <c r="C429" s="118" t="s">
        <v>41</v>
      </c>
      <c r="D429" s="119" t="s">
        <v>13</v>
      </c>
      <c r="E429" s="120" t="s">
        <v>117</v>
      </c>
    </row>
    <row r="430" spans="1:5" ht="18.75" thickBot="1" x14ac:dyDescent="0.25">
      <c r="B430" s="165"/>
      <c r="C430" s="122"/>
      <c r="D430" s="123"/>
      <c r="E430" s="124" t="s">
        <v>118</v>
      </c>
    </row>
    <row r="431" spans="1:5" ht="16.5" thickBot="1" x14ac:dyDescent="0.3">
      <c r="B431" s="166">
        <v>0</v>
      </c>
      <c r="C431" s="167">
        <v>1</v>
      </c>
      <c r="D431" s="168">
        <v>2</v>
      </c>
      <c r="E431" s="169">
        <v>3</v>
      </c>
    </row>
    <row r="432" spans="1:5" ht="21.75" thickTop="1" thickBot="1" x14ac:dyDescent="0.25">
      <c r="B432" s="1178" t="str">
        <f>$B$16</f>
        <v>1. Stan na dzień 31. XII. 2010 r.</v>
      </c>
      <c r="C432" s="1367">
        <v>31</v>
      </c>
      <c r="D432" s="1368">
        <v>793</v>
      </c>
      <c r="E432" s="1369">
        <v>800</v>
      </c>
    </row>
    <row r="433" spans="2:5" ht="21" thickBot="1" x14ac:dyDescent="0.25">
      <c r="B433" s="1179" t="str">
        <f>$B$17</f>
        <v>2. Przybyło w 2011 r.</v>
      </c>
      <c r="C433" s="1370">
        <v>0</v>
      </c>
      <c r="D433" s="1371">
        <v>22</v>
      </c>
      <c r="E433" s="1372">
        <v>125</v>
      </c>
    </row>
    <row r="434" spans="2:5" ht="21" thickBot="1" x14ac:dyDescent="0.25">
      <c r="B434" s="1179" t="str">
        <f>$B$18</f>
        <v>3. Ubyło w 2011 r.</v>
      </c>
      <c r="C434" s="1370">
        <v>0</v>
      </c>
      <c r="D434" s="1371">
        <v>0</v>
      </c>
      <c r="E434" s="1372">
        <v>90</v>
      </c>
    </row>
    <row r="435" spans="2:5" ht="21" thickBot="1" x14ac:dyDescent="0.25">
      <c r="B435" s="1179" t="str">
        <f>B403</f>
        <v>4. Stan na dzień 31. XII. 2011 r. (w.1+w.2-w.3)</v>
      </c>
      <c r="C435" s="355">
        <f>C432+C433-C434</f>
        <v>31</v>
      </c>
      <c r="D435" s="356">
        <f>D432+D433-D434</f>
        <v>815</v>
      </c>
      <c r="E435" s="1197">
        <f>E432+E433-E434</f>
        <v>835</v>
      </c>
    </row>
    <row r="436" spans="2:5" ht="21" thickBot="1" x14ac:dyDescent="0.25">
      <c r="B436" s="1180" t="str">
        <f>B404</f>
        <v>5. Planowane zwiększenie w 2012 r.</v>
      </c>
      <c r="C436" s="1373">
        <v>0</v>
      </c>
      <c r="D436" s="1374">
        <v>36</v>
      </c>
      <c r="E436" s="170" t="s">
        <v>51</v>
      </c>
    </row>
    <row r="437" spans="2:5" ht="14.25" thickTop="1" thickBot="1" x14ac:dyDescent="0.25">
      <c r="B437" s="3"/>
      <c r="C437" s="3"/>
      <c r="D437" s="3"/>
      <c r="E437" s="3"/>
    </row>
    <row r="438" spans="2:5" ht="21.75" thickTop="1" thickBot="1" x14ac:dyDescent="0.35">
      <c r="B438" s="1181" t="str">
        <f>$B$22</f>
        <v>I.  Liczba osób umieszczonych w środowisk. domach samopomocy w 2011 r.</v>
      </c>
      <c r="C438" s="171"/>
      <c r="D438" s="171"/>
      <c r="E438" s="1375">
        <v>125</v>
      </c>
    </row>
    <row r="439" spans="2:5" ht="20.25" x14ac:dyDescent="0.3">
      <c r="B439" s="172" t="s">
        <v>119</v>
      </c>
      <c r="C439" s="173"/>
      <c r="D439" s="173"/>
      <c r="E439" s="1195"/>
    </row>
    <row r="440" spans="2:5" ht="21" thickBot="1" x14ac:dyDescent="0.35">
      <c r="B440" s="1182" t="str">
        <f>$B$24</f>
        <v xml:space="preserve">    domach samopomocy wg stanu na dzień 31. XII. 2011 r.</v>
      </c>
      <c r="C440" s="174"/>
      <c r="D440" s="174"/>
      <c r="E440" s="1376">
        <v>19</v>
      </c>
    </row>
    <row r="441" spans="2:5" ht="20.25" x14ac:dyDescent="0.3">
      <c r="B441" s="175" t="s">
        <v>120</v>
      </c>
      <c r="C441" s="176"/>
      <c r="D441" s="176"/>
      <c r="E441" s="177"/>
    </row>
    <row r="442" spans="2:5" ht="21" thickBot="1" x14ac:dyDescent="0.35">
      <c r="B442" s="133" t="s">
        <v>121</v>
      </c>
      <c r="C442" s="178"/>
      <c r="D442" s="178"/>
      <c r="E442" s="354">
        <f>IF(E438=0,0,ROUND((E438*100/(E438+E440))*0.01, 3))</f>
        <v>0.86799999999999999</v>
      </c>
    </row>
    <row r="443" spans="2:5" ht="13.5" thickTop="1" x14ac:dyDescent="0.2">
      <c r="B443" s="3"/>
      <c r="C443" s="3"/>
      <c r="D443" s="3"/>
      <c r="E443" s="3"/>
    </row>
    <row r="444" spans="2:5" x14ac:dyDescent="0.2">
      <c r="B444" s="3"/>
      <c r="C444" s="3"/>
      <c r="D444" s="3"/>
      <c r="E444" s="3"/>
    </row>
    <row r="445" spans="2:5" ht="18" x14ac:dyDescent="0.25">
      <c r="B445" s="11" t="s">
        <v>123</v>
      </c>
      <c r="C445" s="27"/>
      <c r="D445" s="27"/>
      <c r="E445" s="3"/>
    </row>
    <row r="446" spans="2:5" ht="18" x14ac:dyDescent="0.25">
      <c r="B446" s="11" t="s">
        <v>132</v>
      </c>
    </row>
    <row r="447" spans="2:5" ht="18" x14ac:dyDescent="0.25">
      <c r="B447" s="11"/>
      <c r="C447" s="11" t="s">
        <v>133</v>
      </c>
      <c r="D447" s="27"/>
    </row>
    <row r="448" spans="2:5" ht="18" x14ac:dyDescent="0.25">
      <c r="B448" s="11" t="s">
        <v>137</v>
      </c>
      <c r="C448" s="14" t="s">
        <v>136</v>
      </c>
      <c r="D448" s="14"/>
    </row>
    <row r="450" spans="1:5" ht="26.25" x14ac:dyDescent="0.4">
      <c r="A450" s="267" t="s">
        <v>206</v>
      </c>
      <c r="B450" s="11" t="s">
        <v>116</v>
      </c>
      <c r="C450" s="3"/>
      <c r="D450" s="3"/>
      <c r="E450" s="10" t="s">
        <v>15</v>
      </c>
    </row>
    <row r="451" spans="1:5" ht="18" x14ac:dyDescent="0.25">
      <c r="B451" s="14" t="s">
        <v>129</v>
      </c>
      <c r="C451" s="3"/>
      <c r="D451" s="11"/>
      <c r="E451" s="11"/>
    </row>
    <row r="452" spans="1:5" ht="18" x14ac:dyDescent="0.25">
      <c r="B452" s="11" t="s">
        <v>144</v>
      </c>
      <c r="C452" s="11"/>
      <c r="D452" s="1862" t="str">
        <f>'Tab.1. bilans_Polska'!$E$59</f>
        <v>Termin: 29 luty 2012 r.</v>
      </c>
      <c r="E452" s="1862"/>
    </row>
    <row r="453" spans="1:5" ht="18" x14ac:dyDescent="0.25">
      <c r="B453" s="11"/>
      <c r="C453" s="3"/>
      <c r="D453" s="3"/>
      <c r="E453" s="3"/>
    </row>
    <row r="454" spans="1:5" ht="18" x14ac:dyDescent="0.25">
      <c r="B454" s="11" t="s">
        <v>130</v>
      </c>
      <c r="C454" s="3"/>
      <c r="D454" s="3"/>
      <c r="E454" s="3"/>
    </row>
    <row r="455" spans="1:5" ht="15.75" x14ac:dyDescent="0.25">
      <c r="B455" s="1" t="s">
        <v>131</v>
      </c>
      <c r="C455" s="3"/>
      <c r="D455" s="3"/>
      <c r="E455" s="3"/>
    </row>
    <row r="456" spans="1:5" ht="18" x14ac:dyDescent="0.25">
      <c r="B456" s="11"/>
      <c r="C456" s="3"/>
      <c r="D456" s="3"/>
      <c r="E456" s="3"/>
    </row>
    <row r="457" spans="1:5" ht="23.25" x14ac:dyDescent="0.35">
      <c r="B457" s="1839" t="str">
        <f>$B$9</f>
        <v>ŚRODOWISKOWE  DOMY  SAMOPOMOCY  w 2011 r.</v>
      </c>
      <c r="C457" s="1839"/>
      <c r="D457" s="1839"/>
      <c r="E457" s="1839"/>
    </row>
    <row r="458" spans="1:5" ht="23.25" x14ac:dyDescent="0.35">
      <c r="B458" s="26"/>
      <c r="C458" s="30"/>
      <c r="D458" s="30"/>
      <c r="E458" s="30"/>
    </row>
    <row r="459" spans="1:5" ht="18.75" thickBot="1" x14ac:dyDescent="0.3">
      <c r="B459" s="11"/>
      <c r="C459" s="3"/>
      <c r="D459" s="3"/>
      <c r="E459" s="3"/>
    </row>
    <row r="460" spans="1:5" ht="19.5" thickTop="1" thickBot="1" x14ac:dyDescent="0.25">
      <c r="B460" s="31"/>
      <c r="C460" s="1863" t="s">
        <v>4</v>
      </c>
      <c r="D460" s="1864"/>
      <c r="E460" s="1865"/>
    </row>
    <row r="461" spans="1:5" ht="20.25" x14ac:dyDescent="0.2">
      <c r="B461" s="117" t="s">
        <v>21</v>
      </c>
      <c r="C461" s="118" t="s">
        <v>41</v>
      </c>
      <c r="D461" s="119" t="s">
        <v>13</v>
      </c>
      <c r="E461" s="120" t="s">
        <v>117</v>
      </c>
    </row>
    <row r="462" spans="1:5" ht="18.75" thickBot="1" x14ac:dyDescent="0.25">
      <c r="B462" s="165"/>
      <c r="C462" s="122"/>
      <c r="D462" s="123"/>
      <c r="E462" s="124" t="s">
        <v>118</v>
      </c>
    </row>
    <row r="463" spans="1:5" ht="16.5" thickBot="1" x14ac:dyDescent="0.3">
      <c r="B463" s="166">
        <v>0</v>
      </c>
      <c r="C463" s="167">
        <v>1</v>
      </c>
      <c r="D463" s="168">
        <v>2</v>
      </c>
      <c r="E463" s="169">
        <v>3</v>
      </c>
    </row>
    <row r="464" spans="1:5" ht="21.75" thickTop="1" thickBot="1" x14ac:dyDescent="0.25">
      <c r="B464" s="1178" t="str">
        <f>$B$16</f>
        <v>1. Stan na dzień 31. XII. 2010 r.</v>
      </c>
      <c r="C464" s="1377">
        <v>48</v>
      </c>
      <c r="D464" s="1378">
        <v>2059</v>
      </c>
      <c r="E464" s="1379">
        <v>2040</v>
      </c>
    </row>
    <row r="465" spans="2:5" ht="21" thickBot="1" x14ac:dyDescent="0.25">
      <c r="B465" s="1179" t="str">
        <f>$B$17</f>
        <v>2. Przybyło w 2011 r.</v>
      </c>
      <c r="C465" s="1370">
        <v>5</v>
      </c>
      <c r="D465" s="1371">
        <v>291</v>
      </c>
      <c r="E465" s="1372">
        <v>785</v>
      </c>
    </row>
    <row r="466" spans="2:5" ht="21" thickBot="1" x14ac:dyDescent="0.25">
      <c r="B466" s="1179" t="str">
        <f>$B$18</f>
        <v>3. Ubyło w 2011 r.</v>
      </c>
      <c r="C466" s="1370">
        <v>0</v>
      </c>
      <c r="D466" s="1371">
        <v>3</v>
      </c>
      <c r="E466" s="1372">
        <v>517</v>
      </c>
    </row>
    <row r="467" spans="2:5" ht="21" thickBot="1" x14ac:dyDescent="0.25">
      <c r="B467" s="1179" t="str">
        <f>B435</f>
        <v>4. Stan na dzień 31. XII. 2011 r. (w.1+w.2-w.3)</v>
      </c>
      <c r="C467" s="355">
        <f>C464+C465-C466</f>
        <v>53</v>
      </c>
      <c r="D467" s="356">
        <f>D464+D465-D466</f>
        <v>2347</v>
      </c>
      <c r="E467" s="357">
        <f>E464+E465-E466</f>
        <v>2308</v>
      </c>
    </row>
    <row r="468" spans="2:5" ht="21" thickBot="1" x14ac:dyDescent="0.25">
      <c r="B468" s="1180" t="str">
        <f>B436</f>
        <v>5. Planowane zwiększenie w 2012 r.</v>
      </c>
      <c r="C468" s="1373">
        <v>1</v>
      </c>
      <c r="D468" s="1374">
        <v>238</v>
      </c>
      <c r="E468" s="170" t="s">
        <v>51</v>
      </c>
    </row>
    <row r="469" spans="2:5" ht="14.25" thickTop="1" thickBot="1" x14ac:dyDescent="0.25">
      <c r="B469" s="3"/>
      <c r="C469" s="3"/>
      <c r="D469" s="3"/>
      <c r="E469" s="3"/>
    </row>
    <row r="470" spans="2:5" ht="21.75" thickTop="1" thickBot="1" x14ac:dyDescent="0.35">
      <c r="B470" s="1181" t="str">
        <f>$B$22</f>
        <v>I.  Liczba osób umieszczonych w środowisk. domach samopomocy w 2011 r.</v>
      </c>
      <c r="C470" s="171"/>
      <c r="D470" s="171"/>
      <c r="E470" s="1375">
        <v>785</v>
      </c>
    </row>
    <row r="471" spans="2:5" ht="20.25" x14ac:dyDescent="0.3">
      <c r="B471" s="172" t="s">
        <v>119</v>
      </c>
      <c r="C471" s="173"/>
      <c r="D471" s="173"/>
      <c r="E471" s="1195"/>
    </row>
    <row r="472" spans="2:5" ht="21" thickBot="1" x14ac:dyDescent="0.35">
      <c r="B472" s="1182" t="str">
        <f>$B$24</f>
        <v xml:space="preserve">    domach samopomocy wg stanu na dzień 31. XII. 2011 r.</v>
      </c>
      <c r="C472" s="174"/>
      <c r="D472" s="174"/>
      <c r="E472" s="1376">
        <v>121</v>
      </c>
    </row>
    <row r="473" spans="2:5" ht="20.25" x14ac:dyDescent="0.3">
      <c r="B473" s="175" t="s">
        <v>120</v>
      </c>
      <c r="C473" s="176"/>
      <c r="D473" s="176"/>
      <c r="E473" s="177"/>
    </row>
    <row r="474" spans="2:5" ht="21" thickBot="1" x14ac:dyDescent="0.35">
      <c r="B474" s="133" t="s">
        <v>121</v>
      </c>
      <c r="C474" s="178"/>
      <c r="D474" s="178"/>
      <c r="E474" s="354">
        <f>IF(E470=0,0,ROUND((E470*100/(E470+E472))*0.01, 3))</f>
        <v>0.86599999999999999</v>
      </c>
    </row>
    <row r="475" spans="2:5" ht="13.5" thickTop="1" x14ac:dyDescent="0.2">
      <c r="B475" s="3"/>
      <c r="C475" s="3"/>
      <c r="D475" s="3"/>
      <c r="E475" s="3"/>
    </row>
    <row r="476" spans="2:5" x14ac:dyDescent="0.2">
      <c r="B476" s="3"/>
      <c r="C476" s="3"/>
      <c r="D476" s="3"/>
      <c r="E476" s="3"/>
    </row>
    <row r="477" spans="2:5" ht="18" x14ac:dyDescent="0.25">
      <c r="B477" s="11" t="s">
        <v>123</v>
      </c>
      <c r="C477" s="27"/>
      <c r="D477" s="27"/>
      <c r="E477" s="3"/>
    </row>
    <row r="478" spans="2:5" ht="18" x14ac:dyDescent="0.25">
      <c r="B478" s="11" t="s">
        <v>132</v>
      </c>
    </row>
    <row r="479" spans="2:5" ht="18" x14ac:dyDescent="0.25">
      <c r="B479" s="11"/>
      <c r="C479" s="11" t="s">
        <v>133</v>
      </c>
      <c r="D479" s="27"/>
    </row>
    <row r="480" spans="2:5" ht="18" x14ac:dyDescent="0.25">
      <c r="B480" s="11" t="s">
        <v>137</v>
      </c>
      <c r="C480" s="14" t="s">
        <v>136</v>
      </c>
      <c r="D480" s="14"/>
    </row>
    <row r="482" spans="1:5" ht="26.25" x14ac:dyDescent="0.4">
      <c r="A482" s="267" t="s">
        <v>207</v>
      </c>
      <c r="B482" s="11" t="s">
        <v>116</v>
      </c>
      <c r="C482" s="3"/>
      <c r="D482" s="3"/>
      <c r="E482" s="10" t="s">
        <v>15</v>
      </c>
    </row>
    <row r="483" spans="1:5" ht="18" x14ac:dyDescent="0.25">
      <c r="B483" s="14" t="s">
        <v>129</v>
      </c>
      <c r="C483" s="3"/>
      <c r="D483" s="11"/>
      <c r="E483" s="11"/>
    </row>
    <row r="484" spans="1:5" ht="18" x14ac:dyDescent="0.25">
      <c r="B484" s="11" t="s">
        <v>144</v>
      </c>
      <c r="C484" s="11"/>
      <c r="D484" s="1862" t="str">
        <f>'Tab.1. bilans_Polska'!$E$59</f>
        <v>Termin: 29 luty 2012 r.</v>
      </c>
      <c r="E484" s="1862"/>
    </row>
    <row r="485" spans="1:5" ht="18" x14ac:dyDescent="0.25">
      <c r="B485" s="11"/>
      <c r="C485" s="3"/>
      <c r="D485" s="3"/>
      <c r="E485" s="3"/>
    </row>
    <row r="486" spans="1:5" ht="18" x14ac:dyDescent="0.25">
      <c r="B486" s="11" t="s">
        <v>130</v>
      </c>
      <c r="C486" s="3"/>
      <c r="D486" s="3"/>
      <c r="E486" s="3"/>
    </row>
    <row r="487" spans="1:5" ht="15.75" x14ac:dyDescent="0.25">
      <c r="B487" s="1" t="s">
        <v>131</v>
      </c>
      <c r="C487" s="3"/>
      <c r="D487" s="3"/>
      <c r="E487" s="3"/>
    </row>
    <row r="488" spans="1:5" ht="18" x14ac:dyDescent="0.25">
      <c r="B488" s="11"/>
      <c r="C488" s="3"/>
      <c r="D488" s="3"/>
      <c r="E488" s="3"/>
    </row>
    <row r="489" spans="1:5" ht="23.25" x14ac:dyDescent="0.35">
      <c r="B489" s="1839" t="str">
        <f>$B$9</f>
        <v>ŚRODOWISKOWE  DOMY  SAMOPOMOCY  w 2011 r.</v>
      </c>
      <c r="C489" s="1839"/>
      <c r="D489" s="1839"/>
      <c r="E489" s="1839"/>
    </row>
    <row r="490" spans="1:5" ht="23.25" x14ac:dyDescent="0.35">
      <c r="B490" s="26"/>
      <c r="C490" s="30"/>
      <c r="D490" s="30"/>
      <c r="E490" s="30"/>
    </row>
    <row r="491" spans="1:5" ht="18.75" thickBot="1" x14ac:dyDescent="0.3">
      <c r="B491" s="11"/>
      <c r="C491" s="3"/>
      <c r="D491" s="3"/>
      <c r="E491" s="3"/>
    </row>
    <row r="492" spans="1:5" ht="19.5" thickTop="1" thickBot="1" x14ac:dyDescent="0.25">
      <c r="B492" s="31"/>
      <c r="C492" s="1863" t="s">
        <v>4</v>
      </c>
      <c r="D492" s="1864"/>
      <c r="E492" s="1865"/>
    </row>
    <row r="493" spans="1:5" ht="20.25" x14ac:dyDescent="0.2">
      <c r="B493" s="117" t="s">
        <v>21</v>
      </c>
      <c r="C493" s="118" t="s">
        <v>41</v>
      </c>
      <c r="D493" s="119" t="s">
        <v>13</v>
      </c>
      <c r="E493" s="120" t="s">
        <v>117</v>
      </c>
    </row>
    <row r="494" spans="1:5" ht="18.75" thickBot="1" x14ac:dyDescent="0.25">
      <c r="B494" s="165"/>
      <c r="C494" s="122"/>
      <c r="D494" s="123"/>
      <c r="E494" s="124" t="s">
        <v>118</v>
      </c>
    </row>
    <row r="495" spans="1:5" ht="16.5" thickBot="1" x14ac:dyDescent="0.3">
      <c r="B495" s="166">
        <v>0</v>
      </c>
      <c r="C495" s="167">
        <v>1</v>
      </c>
      <c r="D495" s="168">
        <v>2</v>
      </c>
      <c r="E495" s="169">
        <v>3</v>
      </c>
    </row>
    <row r="496" spans="1:5" ht="21.75" thickTop="1" thickBot="1" x14ac:dyDescent="0.25">
      <c r="B496" s="1178" t="str">
        <f>$B$16</f>
        <v>1. Stan na dzień 31. XII. 2010 r.</v>
      </c>
      <c r="C496" s="1377">
        <v>65</v>
      </c>
      <c r="D496" s="1378">
        <v>2215</v>
      </c>
      <c r="E496" s="1379">
        <v>2169</v>
      </c>
    </row>
    <row r="497" spans="2:5" ht="21" thickBot="1" x14ac:dyDescent="0.25">
      <c r="B497" s="1179" t="str">
        <f>$B$17</f>
        <v>2. Przybyło w 2011 r.</v>
      </c>
      <c r="C497" s="1370">
        <v>1</v>
      </c>
      <c r="D497" s="1371">
        <v>35</v>
      </c>
      <c r="E497" s="1372">
        <v>634</v>
      </c>
    </row>
    <row r="498" spans="2:5" ht="21" thickBot="1" x14ac:dyDescent="0.25">
      <c r="B498" s="1179" t="str">
        <f>$B$18</f>
        <v>3. Ubyło w 2011 r.</v>
      </c>
      <c r="C498" s="1370">
        <v>0</v>
      </c>
      <c r="D498" s="1371">
        <v>2</v>
      </c>
      <c r="E498" s="1372">
        <v>596</v>
      </c>
    </row>
    <row r="499" spans="2:5" ht="21" thickBot="1" x14ac:dyDescent="0.25">
      <c r="B499" s="1179" t="str">
        <f>B467</f>
        <v>4. Stan na dzień 31. XII. 2011 r. (w.1+w.2-w.3)</v>
      </c>
      <c r="C499" s="355">
        <f>C496+C497-C498</f>
        <v>66</v>
      </c>
      <c r="D499" s="356">
        <f>D496+D497-D498</f>
        <v>2248</v>
      </c>
      <c r="E499" s="357">
        <f>E496+E497-E498</f>
        <v>2207</v>
      </c>
    </row>
    <row r="500" spans="2:5" ht="21" thickBot="1" x14ac:dyDescent="0.25">
      <c r="B500" s="1180" t="str">
        <f>B468</f>
        <v>5. Planowane zwiększenie w 2012 r.</v>
      </c>
      <c r="C500" s="1382">
        <v>0</v>
      </c>
      <c r="D500" s="1381">
        <v>32</v>
      </c>
      <c r="E500" s="170" t="s">
        <v>51</v>
      </c>
    </row>
    <row r="501" spans="2:5" ht="14.25" thickTop="1" thickBot="1" x14ac:dyDescent="0.25">
      <c r="B501" s="3"/>
      <c r="C501" s="3"/>
      <c r="D501" s="3"/>
      <c r="E501" s="3"/>
    </row>
    <row r="502" spans="2:5" ht="21.75" thickTop="1" thickBot="1" x14ac:dyDescent="0.35">
      <c r="B502" s="1181" t="str">
        <f>$B$22</f>
        <v>I.  Liczba osób umieszczonych w środowisk. domach samopomocy w 2011 r.</v>
      </c>
      <c r="C502" s="171"/>
      <c r="D502" s="171"/>
      <c r="E502" s="1375">
        <v>604</v>
      </c>
    </row>
    <row r="503" spans="2:5" ht="20.25" x14ac:dyDescent="0.3">
      <c r="B503" s="172" t="s">
        <v>119</v>
      </c>
      <c r="C503" s="173"/>
      <c r="D503" s="173"/>
      <c r="E503" s="1195"/>
    </row>
    <row r="504" spans="2:5" ht="21" thickBot="1" x14ac:dyDescent="0.35">
      <c r="B504" s="1182" t="str">
        <f>$B$24</f>
        <v xml:space="preserve">    domach samopomocy wg stanu na dzień 31. XII. 2011 r.</v>
      </c>
      <c r="C504" s="174"/>
      <c r="D504" s="174"/>
      <c r="E504" s="1376">
        <v>73</v>
      </c>
    </row>
    <row r="505" spans="2:5" ht="20.25" x14ac:dyDescent="0.3">
      <c r="B505" s="175" t="s">
        <v>120</v>
      </c>
      <c r="C505" s="176"/>
      <c r="D505" s="176"/>
      <c r="E505" s="177"/>
    </row>
    <row r="506" spans="2:5" ht="21" thickBot="1" x14ac:dyDescent="0.35">
      <c r="B506" s="133" t="s">
        <v>121</v>
      </c>
      <c r="C506" s="178"/>
      <c r="D506" s="178"/>
      <c r="E506" s="354">
        <f>IF(E502=0,0,ROUND((E502*100/(E502+E504))*0.01, 3))</f>
        <v>0.89200000000000002</v>
      </c>
    </row>
    <row r="507" spans="2:5" ht="13.5" thickTop="1" x14ac:dyDescent="0.2">
      <c r="B507" s="3"/>
      <c r="C507" s="3"/>
      <c r="D507" s="3"/>
      <c r="E507" s="3"/>
    </row>
    <row r="508" spans="2:5" x14ac:dyDescent="0.2">
      <c r="B508" s="3"/>
      <c r="C508" s="3"/>
      <c r="D508" s="3"/>
      <c r="E508" s="3"/>
    </row>
    <row r="509" spans="2:5" ht="18" x14ac:dyDescent="0.25">
      <c r="B509" s="11" t="s">
        <v>123</v>
      </c>
      <c r="C509" s="27"/>
      <c r="D509" s="27"/>
      <c r="E509" s="3"/>
    </row>
    <row r="510" spans="2:5" ht="18" x14ac:dyDescent="0.25">
      <c r="B510" s="11" t="s">
        <v>132</v>
      </c>
    </row>
    <row r="511" spans="2:5" ht="18" x14ac:dyDescent="0.25">
      <c r="B511" s="11"/>
      <c r="C511" s="11" t="s">
        <v>133</v>
      </c>
      <c r="D511" s="27"/>
    </row>
    <row r="512" spans="2:5" ht="18" x14ac:dyDescent="0.25">
      <c r="B512" s="11" t="s">
        <v>137</v>
      </c>
      <c r="C512" s="14" t="s">
        <v>136</v>
      </c>
      <c r="D512" s="14"/>
    </row>
    <row r="514" spans="1:5" ht="26.25" x14ac:dyDescent="0.4">
      <c r="A514" s="267" t="s">
        <v>208</v>
      </c>
      <c r="B514" s="11" t="s">
        <v>116</v>
      </c>
      <c r="C514" s="3"/>
      <c r="D514" s="3"/>
      <c r="E514" s="10" t="s">
        <v>15</v>
      </c>
    </row>
    <row r="515" spans="1:5" ht="18" x14ac:dyDescent="0.25">
      <c r="B515" s="14" t="s">
        <v>129</v>
      </c>
      <c r="C515" s="3"/>
      <c r="D515" s="11"/>
      <c r="E515" s="11"/>
    </row>
    <row r="516" spans="1:5" ht="18" x14ac:dyDescent="0.25">
      <c r="B516" s="11" t="s">
        <v>144</v>
      </c>
      <c r="C516" s="11"/>
      <c r="D516" s="1862" t="str">
        <f>'Tab.1. bilans_Polska'!$E$59</f>
        <v>Termin: 29 luty 2012 r.</v>
      </c>
      <c r="E516" s="1862"/>
    </row>
    <row r="517" spans="1:5" ht="18" x14ac:dyDescent="0.25">
      <c r="B517" s="11"/>
      <c r="C517" s="3"/>
      <c r="D517" s="3"/>
      <c r="E517" s="3"/>
    </row>
    <row r="518" spans="1:5" ht="18" x14ac:dyDescent="0.25">
      <c r="B518" s="11" t="s">
        <v>130</v>
      </c>
      <c r="C518" s="3"/>
      <c r="D518" s="3"/>
      <c r="E518" s="3"/>
    </row>
    <row r="519" spans="1:5" ht="15.75" x14ac:dyDescent="0.25">
      <c r="B519" s="1" t="s">
        <v>131</v>
      </c>
      <c r="C519" s="3"/>
      <c r="D519" s="3"/>
      <c r="E519" s="3"/>
    </row>
    <row r="520" spans="1:5" ht="18" x14ac:dyDescent="0.25">
      <c r="B520" s="11"/>
      <c r="C520" s="3"/>
      <c r="D520" s="3"/>
      <c r="E520" s="3"/>
    </row>
    <row r="521" spans="1:5" ht="23.25" x14ac:dyDescent="0.35">
      <c r="B521" s="1839" t="str">
        <f>$B$9</f>
        <v>ŚRODOWISKOWE  DOMY  SAMOPOMOCY  w 2011 r.</v>
      </c>
      <c r="C521" s="1839"/>
      <c r="D521" s="1839"/>
      <c r="E521" s="1839"/>
    </row>
    <row r="522" spans="1:5" ht="23.25" x14ac:dyDescent="0.35">
      <c r="B522" s="26"/>
      <c r="C522" s="30"/>
      <c r="D522" s="30"/>
      <c r="E522" s="30"/>
    </row>
    <row r="523" spans="1:5" ht="18.75" thickBot="1" x14ac:dyDescent="0.3">
      <c r="B523" s="11"/>
      <c r="C523" s="3"/>
      <c r="D523" s="3"/>
      <c r="E523" s="3"/>
    </row>
    <row r="524" spans="1:5" ht="19.5" thickTop="1" thickBot="1" x14ac:dyDescent="0.25">
      <c r="B524" s="31"/>
      <c r="C524" s="1863" t="s">
        <v>4</v>
      </c>
      <c r="D524" s="1864"/>
      <c r="E524" s="1865"/>
    </row>
    <row r="525" spans="1:5" ht="20.25" x14ac:dyDescent="0.2">
      <c r="B525" s="117" t="s">
        <v>21</v>
      </c>
      <c r="C525" s="118" t="s">
        <v>41</v>
      </c>
      <c r="D525" s="119" t="s">
        <v>13</v>
      </c>
      <c r="E525" s="120" t="s">
        <v>117</v>
      </c>
    </row>
    <row r="526" spans="1:5" ht="18.75" thickBot="1" x14ac:dyDescent="0.25">
      <c r="B526" s="165"/>
      <c r="C526" s="122"/>
      <c r="D526" s="123"/>
      <c r="E526" s="124" t="s">
        <v>118</v>
      </c>
    </row>
    <row r="527" spans="1:5" ht="16.5" thickBot="1" x14ac:dyDescent="0.3">
      <c r="B527" s="166">
        <v>0</v>
      </c>
      <c r="C527" s="167">
        <v>1</v>
      </c>
      <c r="D527" s="168">
        <v>2</v>
      </c>
      <c r="E527" s="169">
        <v>3</v>
      </c>
    </row>
    <row r="528" spans="1:5" ht="21.75" thickTop="1" thickBot="1" x14ac:dyDescent="0.25">
      <c r="B528" s="1178" t="str">
        <f>$B$16</f>
        <v>1. Stan na dzień 31. XII. 2010 r.</v>
      </c>
      <c r="C528" s="1377">
        <v>38</v>
      </c>
      <c r="D528" s="1378">
        <v>1091</v>
      </c>
      <c r="E528" s="1379">
        <v>1056</v>
      </c>
    </row>
    <row r="529" spans="2:5" ht="21" thickBot="1" x14ac:dyDescent="0.25">
      <c r="B529" s="1179" t="str">
        <f>$B$17</f>
        <v>2. Przybyło w 2011 r.</v>
      </c>
      <c r="C529" s="1370">
        <v>1</v>
      </c>
      <c r="D529" s="1371">
        <v>38</v>
      </c>
      <c r="E529" s="1372">
        <v>164</v>
      </c>
    </row>
    <row r="530" spans="2:5" ht="21" thickBot="1" x14ac:dyDescent="0.25">
      <c r="B530" s="1179" t="str">
        <f>$B$18</f>
        <v>3. Ubyło w 2011 r.</v>
      </c>
      <c r="C530" s="1370">
        <v>0</v>
      </c>
      <c r="D530" s="1371">
        <v>0</v>
      </c>
      <c r="E530" s="1372">
        <v>135</v>
      </c>
    </row>
    <row r="531" spans="2:5" ht="21" thickBot="1" x14ac:dyDescent="0.25">
      <c r="B531" s="1179" t="str">
        <f>B499</f>
        <v>4. Stan na dzień 31. XII. 2011 r. (w.1+w.2-w.3)</v>
      </c>
      <c r="C531" s="355">
        <f>C528+C529-C530</f>
        <v>39</v>
      </c>
      <c r="D531" s="356">
        <f>D528+D529-D530</f>
        <v>1129</v>
      </c>
      <c r="E531" s="357">
        <f>E528+E529-E530</f>
        <v>1085</v>
      </c>
    </row>
    <row r="532" spans="2:5" ht="21" thickBot="1" x14ac:dyDescent="0.25">
      <c r="B532" s="1180" t="str">
        <f>B500</f>
        <v>5. Planowane zwiększenie w 2012 r.</v>
      </c>
      <c r="C532" s="1373">
        <v>0</v>
      </c>
      <c r="D532" s="1374">
        <v>154</v>
      </c>
      <c r="E532" s="170" t="s">
        <v>51</v>
      </c>
    </row>
    <row r="533" spans="2:5" ht="14.25" thickTop="1" thickBot="1" x14ac:dyDescent="0.25">
      <c r="B533" s="3"/>
      <c r="C533" s="3"/>
      <c r="D533" s="3"/>
      <c r="E533" s="3"/>
    </row>
    <row r="534" spans="2:5" ht="21.75" thickTop="1" thickBot="1" x14ac:dyDescent="0.35">
      <c r="B534" s="1181" t="str">
        <f>$B$22</f>
        <v>I.  Liczba osób umieszczonych w środowisk. domach samopomocy w 2011 r.</v>
      </c>
      <c r="C534" s="171"/>
      <c r="D534" s="171"/>
      <c r="E534" s="1375">
        <v>164</v>
      </c>
    </row>
    <row r="535" spans="2:5" ht="20.25" x14ac:dyDescent="0.3">
      <c r="B535" s="172" t="s">
        <v>119</v>
      </c>
      <c r="C535" s="173"/>
      <c r="D535" s="173"/>
      <c r="E535" s="1195"/>
    </row>
    <row r="536" spans="2:5" ht="21" thickBot="1" x14ac:dyDescent="0.35">
      <c r="B536" s="1182" t="str">
        <f>$B$24</f>
        <v xml:space="preserve">    domach samopomocy wg stanu na dzień 31. XII. 2011 r.</v>
      </c>
      <c r="C536" s="174"/>
      <c r="D536" s="174"/>
      <c r="E536" s="1376">
        <v>61</v>
      </c>
    </row>
    <row r="537" spans="2:5" ht="20.25" x14ac:dyDescent="0.3">
      <c r="B537" s="175" t="s">
        <v>120</v>
      </c>
      <c r="C537" s="176"/>
      <c r="D537" s="176"/>
      <c r="E537" s="177"/>
    </row>
    <row r="538" spans="2:5" ht="21" thickBot="1" x14ac:dyDescent="0.35">
      <c r="B538" s="133" t="s">
        <v>121</v>
      </c>
      <c r="C538" s="178"/>
      <c r="D538" s="178"/>
      <c r="E538" s="1110">
        <f>IF(E534=0,0,ROUND((E534*100/(E534+E536))*0.01, 3))</f>
        <v>0.72899999999999998</v>
      </c>
    </row>
    <row r="539" spans="2:5" ht="13.5" thickTop="1" x14ac:dyDescent="0.2">
      <c r="B539" s="3"/>
      <c r="C539" s="3"/>
      <c r="D539" s="3"/>
      <c r="E539" s="3"/>
    </row>
    <row r="540" spans="2:5" x14ac:dyDescent="0.2">
      <c r="B540" s="3"/>
      <c r="C540" s="3"/>
      <c r="D540" s="3"/>
      <c r="E540" s="3"/>
    </row>
    <row r="541" spans="2:5" ht="18" x14ac:dyDescent="0.25">
      <c r="B541" s="11" t="s">
        <v>123</v>
      </c>
      <c r="C541" s="27"/>
      <c r="D541" s="27"/>
      <c r="E541" s="3"/>
    </row>
    <row r="542" spans="2:5" ht="18" x14ac:dyDescent="0.25">
      <c r="B542" s="11" t="s">
        <v>132</v>
      </c>
    </row>
    <row r="543" spans="2:5" ht="18" x14ac:dyDescent="0.25">
      <c r="B543" s="11"/>
      <c r="C543" s="11" t="s">
        <v>133</v>
      </c>
      <c r="D543" s="27"/>
    </row>
    <row r="544" spans="2:5" ht="18" x14ac:dyDescent="0.25">
      <c r="B544" s="11" t="s">
        <v>137</v>
      </c>
      <c r="C544" s="14" t="s">
        <v>136</v>
      </c>
      <c r="D544" s="14"/>
    </row>
  </sheetData>
  <mergeCells count="50">
    <mergeCell ref="B521:E521"/>
    <mergeCell ref="C524:E524"/>
    <mergeCell ref="B457:E457"/>
    <mergeCell ref="C460:E460"/>
    <mergeCell ref="B489:E489"/>
    <mergeCell ref="C492:E492"/>
    <mergeCell ref="D516:E516"/>
    <mergeCell ref="B393:E393"/>
    <mergeCell ref="C396:E396"/>
    <mergeCell ref="B425:E425"/>
    <mergeCell ref="C428:E428"/>
    <mergeCell ref="C268:E268"/>
    <mergeCell ref="B297:E297"/>
    <mergeCell ref="C300:E300"/>
    <mergeCell ref="D292:E292"/>
    <mergeCell ref="C204:E204"/>
    <mergeCell ref="B233:E233"/>
    <mergeCell ref="C236:E236"/>
    <mergeCell ref="B265:E265"/>
    <mergeCell ref="D228:E228"/>
    <mergeCell ref="D260:E260"/>
    <mergeCell ref="B169:E169"/>
    <mergeCell ref="C172:E172"/>
    <mergeCell ref="B201:E201"/>
    <mergeCell ref="D196:E196"/>
    <mergeCell ref="B9:E9"/>
    <mergeCell ref="C12:E12"/>
    <mergeCell ref="B41:E41"/>
    <mergeCell ref="C44:E44"/>
    <mergeCell ref="D36:E36"/>
    <mergeCell ref="D68:E68"/>
    <mergeCell ref="D100:E100"/>
    <mergeCell ref="D132:E132"/>
    <mergeCell ref="D164:E164"/>
    <mergeCell ref="B73:E73"/>
    <mergeCell ref="C76:E76"/>
    <mergeCell ref="B105:E105"/>
    <mergeCell ref="C108:E108"/>
    <mergeCell ref="B137:E137"/>
    <mergeCell ref="C140:E140"/>
    <mergeCell ref="D452:E452"/>
    <mergeCell ref="D484:E484"/>
    <mergeCell ref="D324:E324"/>
    <mergeCell ref="D356:E356"/>
    <mergeCell ref="D388:E388"/>
    <mergeCell ref="D420:E420"/>
    <mergeCell ref="B329:E329"/>
    <mergeCell ref="C332:E332"/>
    <mergeCell ref="B361:E361"/>
    <mergeCell ref="C364:E364"/>
  </mergeCells>
  <phoneticPr fontId="82" type="noConversion"/>
  <printOptions horizontalCentered="1"/>
  <pageMargins left="1.0629921259842521" right="0.70866141732283472" top="1.8110236220472442" bottom="0.98425196850393704" header="0.51181102362204722" footer="0.51181102362204722"/>
  <pageSetup paperSize="9" scale="69" orientation="portrait" r:id="rId1"/>
  <headerFooter alignWithMargins="0"/>
  <ignoredErrors>
    <ignoredError sqref="A450 A322 A290 A98 A66 A130 A514 A354 A1 A386 A482 A258 A226 A194 A162 A418 A34" numberStoredAsText="1"/>
    <ignoredError sqref="C19:D19" formula="1"/>
    <ignoredError sqref="E22 E24" emptyCellReference="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heetViews>
  <sheetFormatPr defaultRowHeight="12.75" x14ac:dyDescent="0.2"/>
  <cols>
    <col min="1" max="1" width="3.7109375" customWidth="1"/>
    <col min="2" max="2" width="24.5703125" bestFit="1" customWidth="1"/>
    <col min="3" max="11" width="11.7109375" customWidth="1"/>
    <col min="12" max="12" width="15.7109375" customWidth="1"/>
  </cols>
  <sheetData>
    <row r="1" spans="1:12" ht="15.75" x14ac:dyDescent="0.25">
      <c r="A1" s="1" t="s">
        <v>195</v>
      </c>
      <c r="B1" s="3"/>
      <c r="C1" s="3"/>
      <c r="D1" s="3"/>
      <c r="E1" s="3"/>
      <c r="F1" s="413"/>
      <c r="G1" s="413"/>
      <c r="H1" s="413"/>
      <c r="J1" s="1603" t="s">
        <v>370</v>
      </c>
      <c r="K1" s="1603"/>
    </row>
    <row r="2" spans="1:12" x14ac:dyDescent="0.2">
      <c r="A2" s="3" t="s">
        <v>214</v>
      </c>
      <c r="B2" s="3"/>
      <c r="C2" s="3"/>
    </row>
    <row r="3" spans="1:12" x14ac:dyDescent="0.2">
      <c r="A3" s="3" t="s">
        <v>216</v>
      </c>
      <c r="B3" s="3"/>
      <c r="C3" s="3"/>
      <c r="D3" s="3"/>
      <c r="E3" s="3"/>
      <c r="F3" s="3"/>
      <c r="G3" s="3"/>
      <c r="H3" s="3"/>
      <c r="I3" s="3"/>
      <c r="J3" s="3"/>
      <c r="K3" s="3"/>
    </row>
    <row r="4" spans="1:12" x14ac:dyDescent="0.2">
      <c r="A4" s="3" t="s">
        <v>128</v>
      </c>
      <c r="B4" s="3"/>
      <c r="C4" s="3"/>
      <c r="D4" s="3"/>
      <c r="E4" s="3"/>
      <c r="F4" s="3"/>
      <c r="G4" s="3"/>
      <c r="H4" s="3"/>
      <c r="I4" s="3"/>
      <c r="J4" s="3"/>
      <c r="K4" s="3"/>
    </row>
    <row r="5" spans="1:12" x14ac:dyDescent="0.2">
      <c r="A5" s="3"/>
      <c r="B5" s="3"/>
      <c r="C5" s="3"/>
      <c r="D5" s="3"/>
      <c r="E5" s="3"/>
      <c r="F5" s="3"/>
      <c r="G5" s="3"/>
      <c r="H5" s="3"/>
      <c r="I5" s="3"/>
      <c r="J5" s="3"/>
      <c r="K5" s="3"/>
    </row>
    <row r="6" spans="1:12" ht="15.75" x14ac:dyDescent="0.25">
      <c r="L6" s="504"/>
    </row>
    <row r="7" spans="1:12" ht="15.75" x14ac:dyDescent="0.25">
      <c r="A7" s="1691" t="str">
        <f>"ŚRODOWISKOWE DOMY SAMOPOMOCY W "&amp;'Tab.1. bilans_Polska'!A2&amp;" r."</f>
        <v>ŚRODOWISKOWE DOMY SAMOPOMOCY W 2011 r.</v>
      </c>
      <c r="B7" s="1690"/>
      <c r="C7" s="1690"/>
      <c r="D7" s="1690"/>
      <c r="E7" s="1690"/>
      <c r="F7" s="1690"/>
      <c r="G7" s="1690"/>
      <c r="H7" s="1690"/>
      <c r="I7" s="1690"/>
      <c r="J7" s="1690"/>
      <c r="K7" s="1690"/>
      <c r="L7" s="504"/>
    </row>
    <row r="9" spans="1:12" ht="13.5" thickBot="1" x14ac:dyDescent="0.25">
      <c r="A9" s="3"/>
      <c r="B9" s="3"/>
      <c r="C9" s="3"/>
      <c r="D9" s="3"/>
      <c r="E9" s="3"/>
      <c r="F9" s="3"/>
      <c r="G9" s="3"/>
      <c r="H9" s="3"/>
      <c r="I9" s="3"/>
      <c r="J9" s="3"/>
      <c r="K9" s="3"/>
    </row>
    <row r="10" spans="1:12" ht="13.5" customHeight="1" thickTop="1" x14ac:dyDescent="0.2">
      <c r="A10" s="1692" t="s">
        <v>226</v>
      </c>
      <c r="B10" s="1695" t="s">
        <v>256</v>
      </c>
      <c r="C10" s="1866" t="str">
        <f>"STAN NA DZIEŃ 31.XII."&amp;'Tab.1. bilans_Polska'!A2-1&amp;" r."</f>
        <v>STAN NA DZIEŃ 31.XII.2010 r.</v>
      </c>
      <c r="D10" s="1867"/>
      <c r="E10" s="1868"/>
      <c r="F10" s="1866" t="str">
        <f>"PRZYBYŁO w "&amp;'Tab.1. bilans_Polska'!A2&amp;" r."</f>
        <v>PRZYBYŁO w 2011 r.</v>
      </c>
      <c r="G10" s="1867"/>
      <c r="H10" s="1868"/>
      <c r="I10" s="1870" t="str">
        <f>"UBYŁO w "&amp;'Tab.1. bilans_Polska'!A2&amp;" r."</f>
        <v>UBYŁO w 2011 r.</v>
      </c>
      <c r="J10" s="1867"/>
      <c r="K10" s="1871"/>
    </row>
    <row r="11" spans="1:12" ht="39.75" customHeight="1" x14ac:dyDescent="0.2">
      <c r="A11" s="1693"/>
      <c r="B11" s="1696"/>
      <c r="C11" s="1760" t="s">
        <v>368</v>
      </c>
      <c r="D11" s="1749" t="s">
        <v>234</v>
      </c>
      <c r="E11" s="1787" t="s">
        <v>369</v>
      </c>
      <c r="F11" s="1760" t="s">
        <v>368</v>
      </c>
      <c r="G11" s="1749" t="s">
        <v>234</v>
      </c>
      <c r="H11" s="1787" t="s">
        <v>369</v>
      </c>
      <c r="I11" s="1777" t="s">
        <v>368</v>
      </c>
      <c r="J11" s="1749" t="s">
        <v>234</v>
      </c>
      <c r="K11" s="1758" t="s">
        <v>369</v>
      </c>
    </row>
    <row r="12" spans="1:12" ht="12.75" customHeight="1" x14ac:dyDescent="0.2">
      <c r="A12" s="1693"/>
      <c r="B12" s="1696"/>
      <c r="C12" s="1760"/>
      <c r="D12" s="1748"/>
      <c r="E12" s="1787"/>
      <c r="F12" s="1869"/>
      <c r="G12" s="1749"/>
      <c r="H12" s="1786"/>
      <c r="I12" s="1777"/>
      <c r="J12" s="1748"/>
      <c r="K12" s="1758"/>
    </row>
    <row r="13" spans="1:12" x14ac:dyDescent="0.2">
      <c r="A13" s="1694"/>
      <c r="B13" s="1697"/>
      <c r="C13" s="1760"/>
      <c r="D13" s="1748"/>
      <c r="E13" s="1787"/>
      <c r="F13" s="1869"/>
      <c r="G13" s="1749"/>
      <c r="H13" s="1786"/>
      <c r="I13" s="1777"/>
      <c r="J13" s="1748"/>
      <c r="K13" s="1758"/>
    </row>
    <row r="14" spans="1:12" ht="13.5" thickBot="1" x14ac:dyDescent="0.25">
      <c r="A14" s="425"/>
      <c r="B14" s="429">
        <v>0</v>
      </c>
      <c r="C14" s="496">
        <v>1</v>
      </c>
      <c r="D14" s="466">
        <v>2</v>
      </c>
      <c r="E14" s="468">
        <v>3</v>
      </c>
      <c r="F14" s="496">
        <v>4</v>
      </c>
      <c r="G14" s="466">
        <v>5</v>
      </c>
      <c r="H14" s="468">
        <v>6</v>
      </c>
      <c r="I14" s="490">
        <v>7</v>
      </c>
      <c r="J14" s="466">
        <v>8</v>
      </c>
      <c r="K14" s="593">
        <v>9</v>
      </c>
    </row>
    <row r="15" spans="1:12" ht="13.5" thickTop="1" x14ac:dyDescent="0.2">
      <c r="A15" s="461">
        <v>1</v>
      </c>
      <c r="B15" s="508" t="s">
        <v>236</v>
      </c>
      <c r="C15" s="1256">
        <f>'Tab.7. Środ.d.s._Polska'!C48</f>
        <v>33</v>
      </c>
      <c r="D15" s="1257">
        <f>'Tab.7. Środ.d.s._Polska'!D48</f>
        <v>972</v>
      </c>
      <c r="E15" s="1258">
        <f>'Tab.7. Środ.d.s._Polska'!E48</f>
        <v>958</v>
      </c>
      <c r="F15" s="1256">
        <f>'Tab.7. Środ.d.s._Polska'!C49</f>
        <v>1</v>
      </c>
      <c r="G15" s="1257">
        <f>'Tab.7. Środ.d.s._Polska'!D49</f>
        <v>45</v>
      </c>
      <c r="H15" s="1258">
        <f>'Tab.7. Środ.d.s._Polska'!E49</f>
        <v>204</v>
      </c>
      <c r="I15" s="1259">
        <f>'Tab.7. Środ.d.s._Polska'!C50</f>
        <v>0</v>
      </c>
      <c r="J15" s="1257">
        <f>'Tab.7. Środ.d.s._Polska'!D50</f>
        <v>0</v>
      </c>
      <c r="K15" s="1260">
        <f>'Tab.7. Środ.d.s._Polska'!E50</f>
        <v>149</v>
      </c>
    </row>
    <row r="16" spans="1:12" x14ac:dyDescent="0.2">
      <c r="A16" s="462">
        <v>2</v>
      </c>
      <c r="B16" s="509" t="s">
        <v>237</v>
      </c>
      <c r="C16" s="1261">
        <f>'Tab.7. Środ.d.s._Polska'!C80</f>
        <v>34</v>
      </c>
      <c r="D16" s="1262">
        <f>'Tab.7. Środ.d.s._Polska'!D80</f>
        <v>1060</v>
      </c>
      <c r="E16" s="1263">
        <f>'Tab.7. Środ.d.s._Polska'!E80</f>
        <v>1051</v>
      </c>
      <c r="F16" s="1261">
        <f>'Tab.7. Środ.d.s._Polska'!C81</f>
        <v>2</v>
      </c>
      <c r="G16" s="1262">
        <f>'Tab.7. Środ.d.s._Polska'!D81</f>
        <v>73</v>
      </c>
      <c r="H16" s="1263">
        <f>'Tab.7. Środ.d.s._Polska'!E81</f>
        <v>256</v>
      </c>
      <c r="I16" s="1264">
        <f>'Tab.7. Środ.d.s._Polska'!C82</f>
        <v>0</v>
      </c>
      <c r="J16" s="1262">
        <f>'Tab.7. Środ.d.s._Polska'!D82</f>
        <v>0</v>
      </c>
      <c r="K16" s="1265">
        <f>'Tab.7. Środ.d.s._Polska'!E82</f>
        <v>164</v>
      </c>
    </row>
    <row r="17" spans="1:11" x14ac:dyDescent="0.2">
      <c r="A17" s="462">
        <v>3</v>
      </c>
      <c r="B17" s="509" t="s">
        <v>238</v>
      </c>
      <c r="C17" s="1261">
        <f>'Tab.7. Środ.d.s._Polska'!C112</f>
        <v>42</v>
      </c>
      <c r="D17" s="1262">
        <f>'Tab.7. Środ.d.s._Polska'!D112</f>
        <v>1541</v>
      </c>
      <c r="E17" s="1263">
        <f>'Tab.7. Środ.d.s._Polska'!E112</f>
        <v>1661</v>
      </c>
      <c r="F17" s="1261">
        <f>'Tab.7. Środ.d.s._Polska'!C113</f>
        <v>4</v>
      </c>
      <c r="G17" s="1262">
        <f>'Tab.7. Środ.d.s._Polska'!D113</f>
        <v>112</v>
      </c>
      <c r="H17" s="1263">
        <f>'Tab.7. Środ.d.s._Polska'!E113</f>
        <v>386</v>
      </c>
      <c r="I17" s="1264">
        <f>'Tab.7. Środ.d.s._Polska'!C114</f>
        <v>0</v>
      </c>
      <c r="J17" s="1262">
        <f>'Tab.7. Środ.d.s._Polska'!D114</f>
        <v>5</v>
      </c>
      <c r="K17" s="1265">
        <f>'Tab.7. Środ.d.s._Polska'!E114</f>
        <v>316</v>
      </c>
    </row>
    <row r="18" spans="1:11" x14ac:dyDescent="0.2">
      <c r="A18" s="462">
        <v>4</v>
      </c>
      <c r="B18" s="509" t="s">
        <v>239</v>
      </c>
      <c r="C18" s="1261">
        <f>'Tab.7. Środ.d.s._Polska'!C144</f>
        <v>29</v>
      </c>
      <c r="D18" s="1262">
        <f>'Tab.7. Środ.d.s._Polska'!D144</f>
        <v>717</v>
      </c>
      <c r="E18" s="1263">
        <f>'Tab.7. Środ.d.s._Polska'!E144</f>
        <v>652</v>
      </c>
      <c r="F18" s="1261">
        <f>'Tab.7. Środ.d.s._Polska'!C145</f>
        <v>1</v>
      </c>
      <c r="G18" s="1262">
        <f>'Tab.7. Środ.d.s._Polska'!D145</f>
        <v>32</v>
      </c>
      <c r="H18" s="1263">
        <f>'Tab.7. Środ.d.s._Polska'!E145</f>
        <v>110</v>
      </c>
      <c r="I18" s="1264">
        <f>'Tab.7. Środ.d.s._Polska'!C146</f>
        <v>0</v>
      </c>
      <c r="J18" s="1262">
        <f>'Tab.7. Środ.d.s._Polska'!D146</f>
        <v>18</v>
      </c>
      <c r="K18" s="1265">
        <f>'Tab.7. Środ.d.s._Polska'!E146</f>
        <v>80</v>
      </c>
    </row>
    <row r="19" spans="1:11" x14ac:dyDescent="0.2">
      <c r="A19" s="462">
        <v>5</v>
      </c>
      <c r="B19" s="509" t="s">
        <v>240</v>
      </c>
      <c r="C19" s="1261">
        <f>'Tab.7. Środ.d.s._Polska'!C176</f>
        <v>40</v>
      </c>
      <c r="D19" s="1262">
        <f>'Tab.7. Środ.d.s._Polska'!D176</f>
        <v>1424</v>
      </c>
      <c r="E19" s="1263">
        <f>'Tab.7. Środ.d.s._Polska'!E176</f>
        <v>1455</v>
      </c>
      <c r="F19" s="1261">
        <f>'Tab.7. Środ.d.s._Polska'!C177</f>
        <v>1</v>
      </c>
      <c r="G19" s="1262">
        <f>'Tab.7. Środ.d.s._Polska'!D177</f>
        <v>94</v>
      </c>
      <c r="H19" s="1263">
        <f>'Tab.7. Środ.d.s._Polska'!E177</f>
        <v>324</v>
      </c>
      <c r="I19" s="1264">
        <f>'Tab.7. Środ.d.s._Polska'!C178</f>
        <v>0</v>
      </c>
      <c r="J19" s="1262">
        <f>'Tab.7. Środ.d.s._Polska'!D178</f>
        <v>0</v>
      </c>
      <c r="K19" s="1265">
        <f>'Tab.7. Środ.d.s._Polska'!E178</f>
        <v>244</v>
      </c>
    </row>
    <row r="20" spans="1:11" x14ac:dyDescent="0.2">
      <c r="A20" s="462">
        <v>6</v>
      </c>
      <c r="B20" s="509" t="s">
        <v>241</v>
      </c>
      <c r="C20" s="1261">
        <f>'Tab.7. Środ.d.s._Polska'!C208</f>
        <v>68</v>
      </c>
      <c r="D20" s="1262">
        <f>'Tab.7. Środ.d.s._Polska'!D208</f>
        <v>2347</v>
      </c>
      <c r="E20" s="1263">
        <f>'Tab.7. Środ.d.s._Polska'!E208</f>
        <v>2431</v>
      </c>
      <c r="F20" s="1261">
        <f>'Tab.7. Środ.d.s._Polska'!C209</f>
        <v>3</v>
      </c>
      <c r="G20" s="1262">
        <f>'Tab.7. Środ.d.s._Polska'!D209</f>
        <v>89</v>
      </c>
      <c r="H20" s="1263">
        <f>'Tab.7. Środ.d.s._Polska'!E209</f>
        <v>369</v>
      </c>
      <c r="I20" s="1264">
        <f>'Tab.7. Środ.d.s._Polska'!C210</f>
        <v>0</v>
      </c>
      <c r="J20" s="1262">
        <f>'Tab.7. Środ.d.s._Polska'!D210</f>
        <v>0</v>
      </c>
      <c r="K20" s="1265">
        <f>'Tab.7. Środ.d.s._Polska'!E210</f>
        <v>319</v>
      </c>
    </row>
    <row r="21" spans="1:11" x14ac:dyDescent="0.2">
      <c r="A21" s="462">
        <v>7</v>
      </c>
      <c r="B21" s="509" t="s">
        <v>242</v>
      </c>
      <c r="C21" s="1261">
        <f>'Tab.7. Środ.d.s._Polska'!C240</f>
        <v>65</v>
      </c>
      <c r="D21" s="1262">
        <f>'Tab.7. Środ.d.s._Polska'!D240</f>
        <v>1854</v>
      </c>
      <c r="E21" s="1263">
        <f>'Tab.7. Środ.d.s._Polska'!E240</f>
        <v>1807</v>
      </c>
      <c r="F21" s="1261">
        <f>'Tab.7. Środ.d.s._Polska'!C241</f>
        <v>4</v>
      </c>
      <c r="G21" s="1262">
        <f>'Tab.7. Środ.d.s._Polska'!D241</f>
        <v>143</v>
      </c>
      <c r="H21" s="1263">
        <f>'Tab.7. Środ.d.s._Polska'!E241</f>
        <v>431</v>
      </c>
      <c r="I21" s="1264">
        <f>'Tab.7. Środ.d.s._Polska'!C242</f>
        <v>1</v>
      </c>
      <c r="J21" s="1262">
        <f>'Tab.7. Środ.d.s._Polska'!D242</f>
        <v>0</v>
      </c>
      <c r="K21" s="1265">
        <f>'Tab.7. Środ.d.s._Polska'!E242</f>
        <v>322</v>
      </c>
    </row>
    <row r="22" spans="1:11" x14ac:dyDescent="0.2">
      <c r="A22" s="462">
        <v>8</v>
      </c>
      <c r="B22" s="509" t="s">
        <v>243</v>
      </c>
      <c r="C22" s="1261">
        <f>'Tab.7. Środ.d.s._Polska'!C272</f>
        <v>11</v>
      </c>
      <c r="D22" s="1262">
        <f>'Tab.7. Środ.d.s._Polska'!D272</f>
        <v>522</v>
      </c>
      <c r="E22" s="1263">
        <f>'Tab.7. Środ.d.s._Polska'!E272</f>
        <v>569</v>
      </c>
      <c r="F22" s="1261">
        <f>'Tab.7. Środ.d.s._Polska'!C273</f>
        <v>0</v>
      </c>
      <c r="G22" s="1262">
        <f>'Tab.7. Środ.d.s._Polska'!D273</f>
        <v>3</v>
      </c>
      <c r="H22" s="1263">
        <f>'Tab.7. Środ.d.s._Polska'!E273</f>
        <v>82</v>
      </c>
      <c r="I22" s="1264">
        <f>'Tab.7. Środ.d.s._Polska'!C274</f>
        <v>0</v>
      </c>
      <c r="J22" s="1262">
        <f>'Tab.7. Środ.d.s._Polska'!D274</f>
        <v>1</v>
      </c>
      <c r="K22" s="1265">
        <f>'Tab.7. Środ.d.s._Polska'!E274</f>
        <v>56</v>
      </c>
    </row>
    <row r="23" spans="1:11" x14ac:dyDescent="0.2">
      <c r="A23" s="462">
        <v>9</v>
      </c>
      <c r="B23" s="509" t="s">
        <v>244</v>
      </c>
      <c r="C23" s="1261">
        <f>'Tab.7. Środ.d.s._Polska'!C304</f>
        <v>60</v>
      </c>
      <c r="D23" s="1262">
        <f>'Tab.7. Środ.d.s._Polska'!D304</f>
        <v>1811</v>
      </c>
      <c r="E23" s="1263">
        <f>'Tab.7. Środ.d.s._Polska'!E304</f>
        <v>1946</v>
      </c>
      <c r="F23" s="1261">
        <f>'Tab.7. Środ.d.s._Polska'!C305</f>
        <v>0</v>
      </c>
      <c r="G23" s="1262">
        <f>'Tab.7. Środ.d.s._Polska'!D305</f>
        <v>222</v>
      </c>
      <c r="H23" s="1263">
        <f>'Tab.7. Środ.d.s._Polska'!E305</f>
        <v>286</v>
      </c>
      <c r="I23" s="1264">
        <f>'Tab.7. Środ.d.s._Polska'!C306</f>
        <v>0</v>
      </c>
      <c r="J23" s="1262">
        <f>'Tab.7. Środ.d.s._Polska'!D306</f>
        <v>32</v>
      </c>
      <c r="K23" s="1265">
        <f>'Tab.7. Środ.d.s._Polska'!E306</f>
        <v>167</v>
      </c>
    </row>
    <row r="24" spans="1:11" x14ac:dyDescent="0.2">
      <c r="A24" s="463">
        <v>10</v>
      </c>
      <c r="B24" s="509" t="s">
        <v>245</v>
      </c>
      <c r="C24" s="1261">
        <f>'Tab.7. Środ.d.s._Polska'!C336</f>
        <v>9</v>
      </c>
      <c r="D24" s="1262">
        <f>'Tab.7. Środ.d.s._Polska'!D336</f>
        <v>249</v>
      </c>
      <c r="E24" s="1263">
        <f>'Tab.7. Środ.d.s._Polska'!E336</f>
        <v>251</v>
      </c>
      <c r="F24" s="1261">
        <f>'Tab.7. Środ.d.s._Polska'!C337</f>
        <v>1</v>
      </c>
      <c r="G24" s="1262">
        <f>'Tab.7. Środ.d.s._Polska'!D337</f>
        <v>36</v>
      </c>
      <c r="H24" s="1263">
        <f>'Tab.7. Środ.d.s._Polska'!E337</f>
        <v>80</v>
      </c>
      <c r="I24" s="1264">
        <f>'Tab.7. Środ.d.s._Polska'!C338</f>
        <v>0</v>
      </c>
      <c r="J24" s="1262">
        <f>'Tab.7. Środ.d.s._Polska'!D338</f>
        <v>3</v>
      </c>
      <c r="K24" s="1265">
        <f>'Tab.7. Środ.d.s._Polska'!E338</f>
        <v>46</v>
      </c>
    </row>
    <row r="25" spans="1:11" x14ac:dyDescent="0.2">
      <c r="A25" s="463">
        <v>11</v>
      </c>
      <c r="B25" s="509" t="s">
        <v>246</v>
      </c>
      <c r="C25" s="1261">
        <f>'Tab.7. Środ.d.s._Polska'!C368</f>
        <v>56</v>
      </c>
      <c r="D25" s="1262">
        <f>'Tab.7. Środ.d.s._Polska'!D368</f>
        <v>1490</v>
      </c>
      <c r="E25" s="1263">
        <f>'Tab.7. Środ.d.s._Polska'!E368</f>
        <v>1452</v>
      </c>
      <c r="F25" s="1261">
        <f>'Tab.7. Środ.d.s._Polska'!C369</f>
        <v>1</v>
      </c>
      <c r="G25" s="1262">
        <f>'Tab.7. Środ.d.s._Polska'!D369</f>
        <v>84</v>
      </c>
      <c r="H25" s="1263">
        <f>'Tab.7. Środ.d.s._Polska'!E369</f>
        <v>319</v>
      </c>
      <c r="I25" s="1264">
        <f>'Tab.7. Środ.d.s._Polska'!C370</f>
        <v>1</v>
      </c>
      <c r="J25" s="1262">
        <f>'Tab.7. Środ.d.s._Polska'!D370</f>
        <v>20</v>
      </c>
      <c r="K25" s="1265">
        <f>'Tab.7. Środ.d.s._Polska'!E370</f>
        <v>257</v>
      </c>
    </row>
    <row r="26" spans="1:11" x14ac:dyDescent="0.2">
      <c r="A26" s="463">
        <v>12</v>
      </c>
      <c r="B26" s="509" t="s">
        <v>247</v>
      </c>
      <c r="C26" s="1261">
        <f>'Tab.7. Środ.d.s._Polska'!C400</f>
        <v>38</v>
      </c>
      <c r="D26" s="1262">
        <f>'Tab.7. Środ.d.s._Polska'!D400</f>
        <v>1366</v>
      </c>
      <c r="E26" s="1263">
        <f>'Tab.7. Środ.d.s._Polska'!E400</f>
        <v>1328</v>
      </c>
      <c r="F26" s="1261">
        <f>'Tab.7. Środ.d.s._Polska'!C401</f>
        <v>0</v>
      </c>
      <c r="G26" s="1262">
        <f>'Tab.7. Środ.d.s._Polska'!D401</f>
        <v>78</v>
      </c>
      <c r="H26" s="1263">
        <f>'Tab.7. Środ.d.s._Polska'!E401</f>
        <v>709</v>
      </c>
      <c r="I26" s="1264">
        <f>'Tab.7. Środ.d.s._Polska'!C402</f>
        <v>0</v>
      </c>
      <c r="J26" s="1262">
        <f>'Tab.7. Środ.d.s._Polska'!D402</f>
        <v>37</v>
      </c>
      <c r="K26" s="1265">
        <f>'Tab.7. Środ.d.s._Polska'!E402</f>
        <v>641</v>
      </c>
    </row>
    <row r="27" spans="1:11" x14ac:dyDescent="0.2">
      <c r="A27" s="463">
        <v>13</v>
      </c>
      <c r="B27" s="509" t="s">
        <v>248</v>
      </c>
      <c r="C27" s="1261">
        <f>'Tab.7. Środ.d.s._Polska'!C432</f>
        <v>31</v>
      </c>
      <c r="D27" s="1262">
        <f>'Tab.7. Środ.d.s._Polska'!D432</f>
        <v>793</v>
      </c>
      <c r="E27" s="1263">
        <f>'Tab.7. Środ.d.s._Polska'!E432</f>
        <v>800</v>
      </c>
      <c r="F27" s="1261">
        <f>'Tab.7. Środ.d.s._Polska'!C433</f>
        <v>0</v>
      </c>
      <c r="G27" s="1262">
        <f>'Tab.7. Środ.d.s._Polska'!D433</f>
        <v>22</v>
      </c>
      <c r="H27" s="1263">
        <f>'Tab.7. Środ.d.s._Polska'!E433</f>
        <v>125</v>
      </c>
      <c r="I27" s="1264">
        <f>'Tab.7. Środ.d.s._Polska'!C434</f>
        <v>0</v>
      </c>
      <c r="J27" s="1262">
        <f>'Tab.7. Środ.d.s._Polska'!D434</f>
        <v>0</v>
      </c>
      <c r="K27" s="1265">
        <f>'Tab.7. Środ.d.s._Polska'!E434</f>
        <v>90</v>
      </c>
    </row>
    <row r="28" spans="1:11" x14ac:dyDescent="0.2">
      <c r="A28" s="463">
        <v>14</v>
      </c>
      <c r="B28" s="509" t="s">
        <v>249</v>
      </c>
      <c r="C28" s="1261">
        <f>'Tab.7. Środ.d.s._Polska'!C464</f>
        <v>48</v>
      </c>
      <c r="D28" s="1262">
        <f>'Tab.7. Środ.d.s._Polska'!D464</f>
        <v>2059</v>
      </c>
      <c r="E28" s="1263">
        <f>'Tab.7. Środ.d.s._Polska'!E464</f>
        <v>2040</v>
      </c>
      <c r="F28" s="1261">
        <f>'Tab.7. Środ.d.s._Polska'!C465</f>
        <v>5</v>
      </c>
      <c r="G28" s="1262">
        <f>'Tab.7. Środ.d.s._Polska'!D465</f>
        <v>291</v>
      </c>
      <c r="H28" s="1263">
        <f>'Tab.7. Środ.d.s._Polska'!E465</f>
        <v>785</v>
      </c>
      <c r="I28" s="1264">
        <f>'Tab.7. Środ.d.s._Polska'!C466</f>
        <v>0</v>
      </c>
      <c r="J28" s="1262">
        <f>'Tab.7. Środ.d.s._Polska'!D466</f>
        <v>3</v>
      </c>
      <c r="K28" s="1265">
        <f>'Tab.7. Środ.d.s._Polska'!E466</f>
        <v>517</v>
      </c>
    </row>
    <row r="29" spans="1:11" x14ac:dyDescent="0.2">
      <c r="A29" s="463">
        <v>15</v>
      </c>
      <c r="B29" s="509" t="s">
        <v>250</v>
      </c>
      <c r="C29" s="1261">
        <f>'Tab.7. Środ.d.s._Polska'!C496</f>
        <v>65</v>
      </c>
      <c r="D29" s="1262">
        <f>'Tab.7. Środ.d.s._Polska'!D496</f>
        <v>2215</v>
      </c>
      <c r="E29" s="1263">
        <f>'Tab.7. Środ.d.s._Polska'!E496</f>
        <v>2169</v>
      </c>
      <c r="F29" s="1261">
        <f>'Tab.7. Środ.d.s._Polska'!C497</f>
        <v>1</v>
      </c>
      <c r="G29" s="1262">
        <f>'Tab.7. Środ.d.s._Polska'!D497</f>
        <v>35</v>
      </c>
      <c r="H29" s="1263">
        <f>'Tab.7. Środ.d.s._Polska'!E497</f>
        <v>634</v>
      </c>
      <c r="I29" s="1264">
        <f>'Tab.7. Środ.d.s._Polska'!C498</f>
        <v>0</v>
      </c>
      <c r="J29" s="1262">
        <f>'Tab.7. Środ.d.s._Polska'!D498</f>
        <v>2</v>
      </c>
      <c r="K29" s="1265">
        <f>'Tab.7. Środ.d.s._Polska'!E498</f>
        <v>596</v>
      </c>
    </row>
    <row r="30" spans="1:11" ht="13.5" thickBot="1" x14ac:dyDescent="0.25">
      <c r="A30" s="463">
        <v>16</v>
      </c>
      <c r="B30" s="510" t="s">
        <v>251</v>
      </c>
      <c r="C30" s="1266">
        <f>'Tab.7. Środ.d.s._Polska'!C528</f>
        <v>38</v>
      </c>
      <c r="D30" s="1267">
        <f>'Tab.7. Środ.d.s._Polska'!D528</f>
        <v>1091</v>
      </c>
      <c r="E30" s="1268">
        <f>'Tab.7. Środ.d.s._Polska'!E528</f>
        <v>1056</v>
      </c>
      <c r="F30" s="1266">
        <f>'Tab.7. Środ.d.s._Polska'!C529</f>
        <v>1</v>
      </c>
      <c r="G30" s="1267">
        <f>'Tab.7. Środ.d.s._Polska'!D529</f>
        <v>38</v>
      </c>
      <c r="H30" s="1268">
        <f>'Tab.7. Środ.d.s._Polska'!E529</f>
        <v>164</v>
      </c>
      <c r="I30" s="1269">
        <f>'Tab.7. Środ.d.s._Polska'!C530</f>
        <v>0</v>
      </c>
      <c r="J30" s="1267">
        <f>'Tab.7. Środ.d.s._Polska'!D530</f>
        <v>0</v>
      </c>
      <c r="K30" s="1270">
        <f>'Tab.7. Środ.d.s._Polska'!E530</f>
        <v>135</v>
      </c>
    </row>
    <row r="31" spans="1:11" ht="16.5" thickBot="1" x14ac:dyDescent="0.3">
      <c r="A31" s="445" t="s">
        <v>252</v>
      </c>
      <c r="B31" s="446"/>
      <c r="C31" s="1222">
        <f>SUM(C15:C30)</f>
        <v>667</v>
      </c>
      <c r="D31" s="1213">
        <f t="shared" ref="D31:K31" si="0">SUM(D15:D30)</f>
        <v>21511</v>
      </c>
      <c r="E31" s="1271">
        <f t="shared" si="0"/>
        <v>21626</v>
      </c>
      <c r="F31" s="1222">
        <f t="shared" si="0"/>
        <v>25</v>
      </c>
      <c r="G31" s="1213">
        <f t="shared" si="0"/>
        <v>1397</v>
      </c>
      <c r="H31" s="1271">
        <f t="shared" si="0"/>
        <v>5264</v>
      </c>
      <c r="I31" s="1217">
        <f t="shared" si="0"/>
        <v>2</v>
      </c>
      <c r="J31" s="1213">
        <f t="shared" si="0"/>
        <v>121</v>
      </c>
      <c r="K31" s="1272">
        <f t="shared" si="0"/>
        <v>4099</v>
      </c>
    </row>
    <row r="32" spans="1:11" ht="13.5" thickTop="1" x14ac:dyDescent="0.2"/>
  </sheetData>
  <mergeCells count="16">
    <mergeCell ref="I10:K10"/>
    <mergeCell ref="J11:J13"/>
    <mergeCell ref="K11:K13"/>
    <mergeCell ref="G11:G13"/>
    <mergeCell ref="H11:H13"/>
    <mergeCell ref="I11:I13"/>
    <mergeCell ref="J1:K1"/>
    <mergeCell ref="A7:K7"/>
    <mergeCell ref="A10:A13"/>
    <mergeCell ref="C11:C13"/>
    <mergeCell ref="D11:D13"/>
    <mergeCell ref="E11:E13"/>
    <mergeCell ref="C10:E10"/>
    <mergeCell ref="B10:B13"/>
    <mergeCell ref="F11:F13"/>
    <mergeCell ref="F10:H10"/>
  </mergeCells>
  <phoneticPr fontId="82" type="noConversion"/>
  <printOptions horizontalCentered="1" verticalCentered="1"/>
  <pageMargins left="0.31496062992125984" right="0.3937007874015748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heetViews>
  <sheetFormatPr defaultRowHeight="12.75" x14ac:dyDescent="0.2"/>
  <cols>
    <col min="1" max="1" width="3.7109375" customWidth="1"/>
    <col min="2" max="2" width="24.5703125" bestFit="1" customWidth="1"/>
    <col min="3" max="10" width="13.7109375" customWidth="1"/>
    <col min="11" max="11" width="15.7109375" customWidth="1"/>
  </cols>
  <sheetData>
    <row r="1" spans="1:11" ht="15.75" x14ac:dyDescent="0.25">
      <c r="A1" s="1" t="s">
        <v>195</v>
      </c>
      <c r="B1" s="3"/>
      <c r="C1" s="3"/>
      <c r="D1" s="3"/>
      <c r="E1" s="3"/>
      <c r="F1" s="413"/>
      <c r="G1" s="413"/>
      <c r="I1" s="1603" t="s">
        <v>371</v>
      </c>
      <c r="J1" s="1603"/>
    </row>
    <row r="2" spans="1:11" x14ac:dyDescent="0.2">
      <c r="A2" s="3" t="s">
        <v>214</v>
      </c>
      <c r="B2" s="3"/>
    </row>
    <row r="3" spans="1:11" x14ac:dyDescent="0.2">
      <c r="A3" s="3" t="s">
        <v>216</v>
      </c>
      <c r="B3" s="3"/>
      <c r="C3" s="3"/>
      <c r="D3" s="3"/>
      <c r="E3" s="3"/>
      <c r="F3" s="3"/>
      <c r="G3" s="3"/>
      <c r="H3" s="3"/>
      <c r="I3" s="3"/>
      <c r="J3" s="3"/>
    </row>
    <row r="4" spans="1:11" x14ac:dyDescent="0.2">
      <c r="A4" s="3" t="s">
        <v>128</v>
      </c>
      <c r="B4" s="3"/>
      <c r="C4" s="3"/>
      <c r="D4" s="3"/>
      <c r="E4" s="3"/>
      <c r="F4" s="3"/>
      <c r="G4" s="3"/>
      <c r="H4" s="3"/>
      <c r="I4" s="3"/>
      <c r="J4" s="3"/>
    </row>
    <row r="5" spans="1:11" x14ac:dyDescent="0.2">
      <c r="A5" s="3"/>
      <c r="B5" s="3"/>
      <c r="C5" s="3"/>
      <c r="D5" s="3"/>
      <c r="E5" s="3"/>
      <c r="F5" s="3"/>
      <c r="G5" s="3"/>
      <c r="H5" s="3"/>
      <c r="I5" s="3"/>
      <c r="J5" s="3"/>
    </row>
    <row r="6" spans="1:11" ht="15.75" x14ac:dyDescent="0.25">
      <c r="K6" s="504"/>
    </row>
    <row r="7" spans="1:11" ht="15.75" x14ac:dyDescent="0.25">
      <c r="A7" s="1691" t="str">
        <f>"ŚRODOWISKOWE DOMY SAMOPOMOCY W "&amp;'Tab.1. bilans_Polska'!A2&amp;" r. c. d."</f>
        <v>ŚRODOWISKOWE DOMY SAMOPOMOCY W 2011 r. c. d.</v>
      </c>
      <c r="B7" s="1690"/>
      <c r="C7" s="1690"/>
      <c r="D7" s="1690"/>
      <c r="E7" s="1690"/>
      <c r="F7" s="1690"/>
      <c r="G7" s="1690"/>
      <c r="H7" s="1690"/>
      <c r="I7" s="1690"/>
      <c r="J7" s="1690"/>
      <c r="K7" s="504"/>
    </row>
    <row r="9" spans="1:11" ht="13.5" thickBot="1" x14ac:dyDescent="0.25">
      <c r="A9" s="3"/>
      <c r="B9" s="3"/>
      <c r="C9" s="3"/>
      <c r="D9" s="3"/>
      <c r="E9" s="3"/>
      <c r="F9" s="3"/>
      <c r="G9" s="3"/>
      <c r="H9" s="3"/>
      <c r="I9" s="3"/>
      <c r="J9" s="3"/>
    </row>
    <row r="10" spans="1:11" ht="13.5" customHeight="1" thickTop="1" x14ac:dyDescent="0.2">
      <c r="A10" s="1692" t="s">
        <v>226</v>
      </c>
      <c r="B10" s="1695" t="s">
        <v>256</v>
      </c>
      <c r="C10" s="1866" t="str">
        <f>"STAN NA DZIEŃ 31.XII."&amp;'Tab.1. bilans_Polska'!A2&amp;" r."</f>
        <v>STAN NA DZIEŃ 31.XII.2011 r.</v>
      </c>
      <c r="D10" s="1867"/>
      <c r="E10" s="1868"/>
      <c r="F10" s="1882" t="str">
        <f>"PLANOWANE ZWIĘKSZENIE W "&amp;'Tab.1. bilans_Polska'!A2+1&amp;" r."</f>
        <v>PLANOWANE ZWIĘKSZENIE W 2012 r.</v>
      </c>
      <c r="G10" s="1883"/>
      <c r="H10" s="1872" t="s">
        <v>2</v>
      </c>
      <c r="I10" s="1873"/>
      <c r="J10" s="1874" t="s">
        <v>372</v>
      </c>
    </row>
    <row r="11" spans="1:11" ht="39.75" customHeight="1" x14ac:dyDescent="0.2">
      <c r="A11" s="1693"/>
      <c r="B11" s="1696"/>
      <c r="C11" s="1760" t="s">
        <v>368</v>
      </c>
      <c r="D11" s="1749" t="s">
        <v>234</v>
      </c>
      <c r="E11" s="1787" t="s">
        <v>373</v>
      </c>
      <c r="F11" s="1884"/>
      <c r="G11" s="1885"/>
      <c r="H11" s="1878" t="str">
        <f>"UMIESZCZO-
NYCH 
W "&amp;'Tab.1. bilans_Polska'!A2&amp;" r."</f>
        <v>UMIESZCZO-
NYCH 
W 2011 r.</v>
      </c>
      <c r="I11" s="1877" t="str">
        <f>"OCZEKUJĄ-
CYCH NA UMIESZCZE-
NIE STAN 31.XII."&amp;'Tab.1. bilans_Polska'!A2&amp;" r."</f>
        <v>OCZEKUJĄ-
CYCH NA UMIESZCZE-
NIE STAN 31.XII.2011 r.</v>
      </c>
      <c r="J11" s="1875"/>
    </row>
    <row r="12" spans="1:11" ht="12.75" customHeight="1" x14ac:dyDescent="0.2">
      <c r="A12" s="1693"/>
      <c r="B12" s="1696"/>
      <c r="C12" s="1760"/>
      <c r="D12" s="1748"/>
      <c r="E12" s="1787"/>
      <c r="F12" s="1794" t="s">
        <v>368</v>
      </c>
      <c r="G12" s="1880" t="s">
        <v>234</v>
      </c>
      <c r="H12" s="1879"/>
      <c r="I12" s="1877"/>
      <c r="J12" s="1875"/>
    </row>
    <row r="13" spans="1:11" x14ac:dyDescent="0.2">
      <c r="A13" s="1694"/>
      <c r="B13" s="1697"/>
      <c r="C13" s="1760"/>
      <c r="D13" s="1748"/>
      <c r="E13" s="1787"/>
      <c r="F13" s="1795"/>
      <c r="G13" s="1881"/>
      <c r="H13" s="1879"/>
      <c r="I13" s="1877"/>
      <c r="J13" s="1876"/>
    </row>
    <row r="14" spans="1:11" ht="13.5" thickBot="1" x14ac:dyDescent="0.25">
      <c r="A14" s="425"/>
      <c r="B14" s="429">
        <v>0</v>
      </c>
      <c r="C14" s="496">
        <v>10</v>
      </c>
      <c r="D14" s="466">
        <v>11</v>
      </c>
      <c r="E14" s="468">
        <v>12</v>
      </c>
      <c r="F14" s="496">
        <v>13</v>
      </c>
      <c r="G14" s="468">
        <v>14</v>
      </c>
      <c r="H14" s="496">
        <v>16</v>
      </c>
      <c r="I14" s="468">
        <v>17</v>
      </c>
      <c r="J14" s="497">
        <v>18</v>
      </c>
    </row>
    <row r="15" spans="1:11" ht="13.5" thickTop="1" x14ac:dyDescent="0.2">
      <c r="A15" s="461">
        <v>1</v>
      </c>
      <c r="B15" s="508" t="s">
        <v>236</v>
      </c>
      <c r="C15" s="1256">
        <f>'Tab.7. Środ.d.s._Polska'!C51</f>
        <v>34</v>
      </c>
      <c r="D15" s="1257">
        <f>'Tab.7. Środ.d.s._Polska'!D51</f>
        <v>1017</v>
      </c>
      <c r="E15" s="1258">
        <f>'Tab.7. Środ.d.s._Polska'!E51</f>
        <v>1013</v>
      </c>
      <c r="F15" s="1256">
        <f>'Tab.7. Środ.d.s._Polska'!C52</f>
        <v>1</v>
      </c>
      <c r="G15" s="1258">
        <f>'Tab.7. Środ.d.s._Polska'!D52</f>
        <v>30</v>
      </c>
      <c r="H15" s="1256">
        <f>'Tab.7. Środ.d.s._Polska'!E54</f>
        <v>204</v>
      </c>
      <c r="I15" s="1258">
        <f>'Tab.7. Środ.d.s._Polska'!E56</f>
        <v>48</v>
      </c>
      <c r="J15" s="1273">
        <f>IF(H15&gt;0, ROUND(H15*100/(H15+I15), 1), "")</f>
        <v>81</v>
      </c>
    </row>
    <row r="16" spans="1:11" x14ac:dyDescent="0.2">
      <c r="A16" s="462">
        <v>2</v>
      </c>
      <c r="B16" s="509" t="s">
        <v>237</v>
      </c>
      <c r="C16" s="1261">
        <f>'Tab.7. Środ.d.s._Polska'!C83</f>
        <v>36</v>
      </c>
      <c r="D16" s="1262">
        <f>'Tab.7. Środ.d.s._Polska'!D83</f>
        <v>1133</v>
      </c>
      <c r="E16" s="1263">
        <f>'Tab.7. Środ.d.s._Polska'!E83</f>
        <v>1143</v>
      </c>
      <c r="F16" s="1261">
        <f>'Tab.7. Środ.d.s._Polska'!C84</f>
        <v>0</v>
      </c>
      <c r="G16" s="1263">
        <f>'Tab.7. Środ.d.s._Polska'!D84</f>
        <v>62</v>
      </c>
      <c r="H16" s="1261">
        <f>'Tab.7. Środ.d.s._Polska'!E86</f>
        <v>256</v>
      </c>
      <c r="I16" s="1263">
        <f>'Tab.7. Środ.d.s._Polska'!E88</f>
        <v>74</v>
      </c>
      <c r="J16" s="1274">
        <f>IF(H16&gt;0, ROUND(H16*100/(H16+I16), 1), "")</f>
        <v>77.599999999999994</v>
      </c>
    </row>
    <row r="17" spans="1:10" x14ac:dyDescent="0.2">
      <c r="A17" s="462">
        <v>3</v>
      </c>
      <c r="B17" s="509" t="s">
        <v>238</v>
      </c>
      <c r="C17" s="1261">
        <f>'Tab.7. Środ.d.s._Polska'!C115</f>
        <v>46</v>
      </c>
      <c r="D17" s="1262">
        <f>'Tab.7. Środ.d.s._Polska'!D115</f>
        <v>1648</v>
      </c>
      <c r="E17" s="1263">
        <f>'Tab.7. Środ.d.s._Polska'!E115</f>
        <v>1731</v>
      </c>
      <c r="F17" s="1261">
        <f>'Tab.7. Środ.d.s._Polska'!C116</f>
        <v>0</v>
      </c>
      <c r="G17" s="1263">
        <f>'Tab.7. Środ.d.s._Polska'!D116</f>
        <v>44</v>
      </c>
      <c r="H17" s="1261">
        <f>'Tab.7. Środ.d.s._Polska'!E118</f>
        <v>378</v>
      </c>
      <c r="I17" s="1263">
        <f>'Tab.7. Środ.d.s._Polska'!E120</f>
        <v>72</v>
      </c>
      <c r="J17" s="1274">
        <f t="shared" ref="J17:J30" si="0">IF(H17&gt;0, ROUND(H17*100/(H17+I17), 1), "")</f>
        <v>84</v>
      </c>
    </row>
    <row r="18" spans="1:10" x14ac:dyDescent="0.2">
      <c r="A18" s="462">
        <v>4</v>
      </c>
      <c r="B18" s="509" t="s">
        <v>239</v>
      </c>
      <c r="C18" s="1261">
        <f>'Tab.7. Środ.d.s._Polska'!C147</f>
        <v>30</v>
      </c>
      <c r="D18" s="1262">
        <f>'Tab.7. Środ.d.s._Polska'!D147</f>
        <v>731</v>
      </c>
      <c r="E18" s="1263">
        <f>'Tab.7. Środ.d.s._Polska'!E147</f>
        <v>682</v>
      </c>
      <c r="F18" s="1261">
        <f>'Tab.7. Środ.d.s._Polska'!C148</f>
        <v>0</v>
      </c>
      <c r="G18" s="1263">
        <f>'Tab.7. Środ.d.s._Polska'!D148</f>
        <v>13</v>
      </c>
      <c r="H18" s="1261">
        <f>'Tab.7. Środ.d.s._Polska'!E150</f>
        <v>110</v>
      </c>
      <c r="I18" s="1263">
        <f>'Tab.7. Środ.d.s._Polska'!E152</f>
        <v>6</v>
      </c>
      <c r="J18" s="1274">
        <f t="shared" si="0"/>
        <v>94.8</v>
      </c>
    </row>
    <row r="19" spans="1:10" x14ac:dyDescent="0.2">
      <c r="A19" s="462">
        <v>5</v>
      </c>
      <c r="B19" s="509" t="s">
        <v>240</v>
      </c>
      <c r="C19" s="1261">
        <f>'Tab.7. Środ.d.s._Polska'!C179</f>
        <v>41</v>
      </c>
      <c r="D19" s="1262">
        <f>'Tab.7. Środ.d.s._Polska'!D179</f>
        <v>1518</v>
      </c>
      <c r="E19" s="1263">
        <f>'Tab.7. Środ.d.s._Polska'!E179</f>
        <v>1535</v>
      </c>
      <c r="F19" s="1261">
        <f>'Tab.7. Środ.d.s._Polska'!C180</f>
        <v>10</v>
      </c>
      <c r="G19" s="1263">
        <f>'Tab.7. Środ.d.s._Polska'!D180</f>
        <v>57</v>
      </c>
      <c r="H19" s="1261">
        <f>'Tab.7. Środ.d.s._Polska'!E182</f>
        <v>311</v>
      </c>
      <c r="I19" s="1263">
        <f>'Tab.7. Środ.d.s._Polska'!E184</f>
        <v>187</v>
      </c>
      <c r="J19" s="1274">
        <f t="shared" si="0"/>
        <v>62.4</v>
      </c>
    </row>
    <row r="20" spans="1:10" x14ac:dyDescent="0.2">
      <c r="A20" s="462">
        <v>6</v>
      </c>
      <c r="B20" s="509" t="s">
        <v>241</v>
      </c>
      <c r="C20" s="1261">
        <f>'Tab.7. Środ.d.s._Polska'!C211</f>
        <v>71</v>
      </c>
      <c r="D20" s="1262">
        <f>'Tab.7. Środ.d.s._Polska'!D211</f>
        <v>2436</v>
      </c>
      <c r="E20" s="1263">
        <f>'Tab.7. Środ.d.s._Polska'!E211</f>
        <v>2481</v>
      </c>
      <c r="F20" s="1261">
        <f>'Tab.7. Środ.d.s._Polska'!C212</f>
        <v>0</v>
      </c>
      <c r="G20" s="1263">
        <f>'Tab.7. Środ.d.s._Polska'!D212</f>
        <v>28</v>
      </c>
      <c r="H20" s="1261">
        <f>'Tab.7. Środ.d.s._Polska'!E214</f>
        <v>368</v>
      </c>
      <c r="I20" s="1263">
        <f>'Tab.7. Środ.d.s._Polska'!E216</f>
        <v>120</v>
      </c>
      <c r="J20" s="1274">
        <f t="shared" si="0"/>
        <v>75.400000000000006</v>
      </c>
    </row>
    <row r="21" spans="1:10" x14ac:dyDescent="0.2">
      <c r="A21" s="462">
        <v>7</v>
      </c>
      <c r="B21" s="509" t="s">
        <v>242</v>
      </c>
      <c r="C21" s="1261">
        <f>'Tab.7. Środ.d.s._Polska'!C243</f>
        <v>68</v>
      </c>
      <c r="D21" s="1262">
        <f>'Tab.7. Środ.d.s._Polska'!D243</f>
        <v>1997</v>
      </c>
      <c r="E21" s="1263">
        <f>'Tab.7. Środ.d.s._Polska'!E243</f>
        <v>1916</v>
      </c>
      <c r="F21" s="1261">
        <f>'Tab.7. Środ.d.s._Polska'!C244</f>
        <v>0</v>
      </c>
      <c r="G21" s="1263">
        <f>'Tab.7. Środ.d.s._Polska'!D244</f>
        <v>52</v>
      </c>
      <c r="H21" s="1261">
        <f>'Tab.7. Środ.d.s._Polska'!E246</f>
        <v>431</v>
      </c>
      <c r="I21" s="1263">
        <f>'Tab.7. Środ.d.s._Polska'!E248</f>
        <v>106</v>
      </c>
      <c r="J21" s="1274">
        <f t="shared" si="0"/>
        <v>80.3</v>
      </c>
    </row>
    <row r="22" spans="1:10" x14ac:dyDescent="0.2">
      <c r="A22" s="462">
        <v>8</v>
      </c>
      <c r="B22" s="509" t="s">
        <v>243</v>
      </c>
      <c r="C22" s="1261">
        <f>'Tab.7. Środ.d.s._Polska'!C275</f>
        <v>11</v>
      </c>
      <c r="D22" s="1262">
        <f>'Tab.7. Środ.d.s._Polska'!D275</f>
        <v>524</v>
      </c>
      <c r="E22" s="1263">
        <f>'Tab.7. Środ.d.s._Polska'!E275</f>
        <v>595</v>
      </c>
      <c r="F22" s="1261">
        <f>'Tab.7. Środ.d.s._Polska'!C276</f>
        <v>1</v>
      </c>
      <c r="G22" s="1263">
        <f>'Tab.7. Środ.d.s._Polska'!D276</f>
        <v>13</v>
      </c>
      <c r="H22" s="1261">
        <f>'Tab.7. Środ.d.s._Polska'!E278</f>
        <v>82</v>
      </c>
      <c r="I22" s="1263">
        <f>'Tab.7. Środ.d.s._Polska'!E280</f>
        <v>24</v>
      </c>
      <c r="J22" s="1274">
        <f t="shared" si="0"/>
        <v>77.400000000000006</v>
      </c>
    </row>
    <row r="23" spans="1:10" x14ac:dyDescent="0.2">
      <c r="A23" s="462">
        <v>9</v>
      </c>
      <c r="B23" s="509" t="s">
        <v>244</v>
      </c>
      <c r="C23" s="1261">
        <f>'Tab.7. Środ.d.s._Polska'!C307</f>
        <v>60</v>
      </c>
      <c r="D23" s="1262">
        <f>'Tab.7. Środ.d.s._Polska'!D307</f>
        <v>2001</v>
      </c>
      <c r="E23" s="1263">
        <f>'Tab.7. Środ.d.s._Polska'!E307</f>
        <v>2065</v>
      </c>
      <c r="F23" s="1261">
        <f>'Tab.7. Środ.d.s._Polska'!C308</f>
        <v>0</v>
      </c>
      <c r="G23" s="1263">
        <f>'Tab.7. Środ.d.s._Polska'!D308</f>
        <v>60</v>
      </c>
      <c r="H23" s="1261">
        <f>'Tab.7. Środ.d.s._Polska'!E310</f>
        <v>270</v>
      </c>
      <c r="I23" s="1263">
        <f>'Tab.7. Środ.d.s._Polska'!E312</f>
        <v>61</v>
      </c>
      <c r="J23" s="1274">
        <f t="shared" si="0"/>
        <v>81.599999999999994</v>
      </c>
    </row>
    <row r="24" spans="1:10" x14ac:dyDescent="0.2">
      <c r="A24" s="463">
        <v>10</v>
      </c>
      <c r="B24" s="509" t="s">
        <v>245</v>
      </c>
      <c r="C24" s="1261">
        <f>'Tab.7. Środ.d.s._Polska'!C339</f>
        <v>10</v>
      </c>
      <c r="D24" s="1262">
        <f>'Tab.7. Środ.d.s._Polska'!D339</f>
        <v>282</v>
      </c>
      <c r="E24" s="1263">
        <f>'Tab.7. Środ.d.s._Polska'!E339</f>
        <v>285</v>
      </c>
      <c r="F24" s="1261">
        <f>'Tab.7. Środ.d.s._Polska'!C340</f>
        <v>0</v>
      </c>
      <c r="G24" s="1263">
        <f>'Tab.7. Środ.d.s._Polska'!D340</f>
        <v>12</v>
      </c>
      <c r="H24" s="1261">
        <f>'Tab.7. Środ.d.s._Polska'!E342</f>
        <v>80</v>
      </c>
      <c r="I24" s="1263">
        <f>'Tab.7. Środ.d.s._Polska'!E344</f>
        <v>19</v>
      </c>
      <c r="J24" s="1274">
        <f t="shared" si="0"/>
        <v>80.8</v>
      </c>
    </row>
    <row r="25" spans="1:10" x14ac:dyDescent="0.2">
      <c r="A25" s="463">
        <v>11</v>
      </c>
      <c r="B25" s="509" t="s">
        <v>246</v>
      </c>
      <c r="C25" s="1261">
        <f>'Tab.7. Środ.d.s._Polska'!C371</f>
        <v>56</v>
      </c>
      <c r="D25" s="1262">
        <f>'Tab.7. Środ.d.s._Polska'!D371</f>
        <v>1554</v>
      </c>
      <c r="E25" s="1263">
        <f>'Tab.7. Środ.d.s._Polska'!E371</f>
        <v>1514</v>
      </c>
      <c r="F25" s="1261">
        <f>'Tab.7. Środ.d.s._Polska'!C372</f>
        <v>1</v>
      </c>
      <c r="G25" s="1263">
        <f>'Tab.7. Środ.d.s._Polska'!D372</f>
        <v>52</v>
      </c>
      <c r="H25" s="1261">
        <f>'Tab.7. Środ.d.s._Polska'!E374</f>
        <v>315</v>
      </c>
      <c r="I25" s="1263">
        <f>'Tab.7. Środ.d.s._Polska'!E376</f>
        <v>150</v>
      </c>
      <c r="J25" s="1274">
        <f t="shared" si="0"/>
        <v>67.7</v>
      </c>
    </row>
    <row r="26" spans="1:10" x14ac:dyDescent="0.2">
      <c r="A26" s="463">
        <v>12</v>
      </c>
      <c r="B26" s="509" t="s">
        <v>247</v>
      </c>
      <c r="C26" s="1261">
        <f>'Tab.7. Środ.d.s._Polska'!C403</f>
        <v>38</v>
      </c>
      <c r="D26" s="1262">
        <f>'Tab.7. Środ.d.s._Polska'!D403</f>
        <v>1407</v>
      </c>
      <c r="E26" s="1263">
        <f>'Tab.7. Środ.d.s._Polska'!E403</f>
        <v>1396</v>
      </c>
      <c r="F26" s="1261">
        <f>'Tab.7. Środ.d.s._Polska'!C404</f>
        <v>0</v>
      </c>
      <c r="G26" s="1263">
        <f>'Tab.7. Środ.d.s._Polska'!D404</f>
        <v>49</v>
      </c>
      <c r="H26" s="1261">
        <f>'Tab.7. Środ.d.s._Polska'!E406</f>
        <v>526</v>
      </c>
      <c r="I26" s="1263">
        <f>'Tab.7. Środ.d.s._Polska'!E408</f>
        <v>86</v>
      </c>
      <c r="J26" s="1274">
        <f t="shared" si="0"/>
        <v>85.9</v>
      </c>
    </row>
    <row r="27" spans="1:10" x14ac:dyDescent="0.2">
      <c r="A27" s="463">
        <v>13</v>
      </c>
      <c r="B27" s="509" t="s">
        <v>248</v>
      </c>
      <c r="C27" s="1261">
        <f>'Tab.7. Środ.d.s._Polska'!C435</f>
        <v>31</v>
      </c>
      <c r="D27" s="1262">
        <f>'Tab.7. Środ.d.s._Polska'!D435</f>
        <v>815</v>
      </c>
      <c r="E27" s="1263">
        <f>'Tab.7. Środ.d.s._Polska'!E435</f>
        <v>835</v>
      </c>
      <c r="F27" s="1261">
        <f>'Tab.7. Środ.d.s._Polska'!C436</f>
        <v>0</v>
      </c>
      <c r="G27" s="1263">
        <f>'Tab.7. Środ.d.s._Polska'!D436</f>
        <v>36</v>
      </c>
      <c r="H27" s="1261">
        <f>'Tab.7. Środ.d.s._Polska'!E438</f>
        <v>125</v>
      </c>
      <c r="I27" s="1263">
        <f>'Tab.7. Środ.d.s._Polska'!E440</f>
        <v>19</v>
      </c>
      <c r="J27" s="1274">
        <f t="shared" si="0"/>
        <v>86.8</v>
      </c>
    </row>
    <row r="28" spans="1:10" x14ac:dyDescent="0.2">
      <c r="A28" s="463">
        <v>14</v>
      </c>
      <c r="B28" s="509" t="s">
        <v>249</v>
      </c>
      <c r="C28" s="1261">
        <f>'Tab.7. Środ.d.s._Polska'!C467</f>
        <v>53</v>
      </c>
      <c r="D28" s="1262">
        <f>'Tab.7. Środ.d.s._Polska'!D467</f>
        <v>2347</v>
      </c>
      <c r="E28" s="1263">
        <f>'Tab.7. Środ.d.s._Polska'!E467</f>
        <v>2308</v>
      </c>
      <c r="F28" s="1261">
        <f>'Tab.7. Środ.d.s._Polska'!C468</f>
        <v>1</v>
      </c>
      <c r="G28" s="1263">
        <f>'Tab.7. Środ.d.s._Polska'!D468</f>
        <v>238</v>
      </c>
      <c r="H28" s="1261">
        <f>'Tab.7. Środ.d.s._Polska'!E470</f>
        <v>785</v>
      </c>
      <c r="I28" s="1263">
        <f>'Tab.7. Środ.d.s._Polska'!E472</f>
        <v>121</v>
      </c>
      <c r="J28" s="1274">
        <f t="shared" si="0"/>
        <v>86.6</v>
      </c>
    </row>
    <row r="29" spans="1:10" x14ac:dyDescent="0.2">
      <c r="A29" s="463">
        <v>15</v>
      </c>
      <c r="B29" s="509" t="s">
        <v>250</v>
      </c>
      <c r="C29" s="1261">
        <f>'Tab.7. Środ.d.s._Polska'!C499</f>
        <v>66</v>
      </c>
      <c r="D29" s="1262">
        <f>'Tab.7. Środ.d.s._Polska'!D499</f>
        <v>2248</v>
      </c>
      <c r="E29" s="1263">
        <f>'Tab.7. Środ.d.s._Polska'!E499</f>
        <v>2207</v>
      </c>
      <c r="F29" s="1261">
        <f>'Tab.7. Środ.d.s._Polska'!C500</f>
        <v>0</v>
      </c>
      <c r="G29" s="1263">
        <f>'Tab.7. Środ.d.s._Polska'!D500</f>
        <v>32</v>
      </c>
      <c r="H29" s="1261">
        <f>'Tab.7. Środ.d.s._Polska'!E502</f>
        <v>604</v>
      </c>
      <c r="I29" s="1263">
        <f>'Tab.7. Środ.d.s._Polska'!E504</f>
        <v>73</v>
      </c>
      <c r="J29" s="1274">
        <f t="shared" si="0"/>
        <v>89.2</v>
      </c>
    </row>
    <row r="30" spans="1:10" ht="13.5" thickBot="1" x14ac:dyDescent="0.25">
      <c r="A30" s="463">
        <v>16</v>
      </c>
      <c r="B30" s="510" t="s">
        <v>251</v>
      </c>
      <c r="C30" s="1266">
        <f>'Tab.7. Środ.d.s._Polska'!C531</f>
        <v>39</v>
      </c>
      <c r="D30" s="1267">
        <f>'Tab.7. Środ.d.s._Polska'!D531</f>
        <v>1129</v>
      </c>
      <c r="E30" s="1268">
        <f>'Tab.7. Środ.d.s._Polska'!E531</f>
        <v>1085</v>
      </c>
      <c r="F30" s="1266">
        <f>'Tab.7. Środ.d.s._Polska'!C532</f>
        <v>0</v>
      </c>
      <c r="G30" s="1268">
        <f>'Tab.7. Środ.d.s._Polska'!D532</f>
        <v>154</v>
      </c>
      <c r="H30" s="1266">
        <f>'Tab.7. Środ.d.s._Polska'!E534</f>
        <v>164</v>
      </c>
      <c r="I30" s="1268">
        <f>'Tab.7. Środ.d.s._Polska'!E536</f>
        <v>61</v>
      </c>
      <c r="J30" s="1275">
        <f t="shared" si="0"/>
        <v>72.900000000000006</v>
      </c>
    </row>
    <row r="31" spans="1:10" ht="16.5" thickBot="1" x14ac:dyDescent="0.3">
      <c r="A31" s="445" t="s">
        <v>252</v>
      </c>
      <c r="B31" s="446"/>
      <c r="C31" s="1222">
        <f t="shared" ref="C31:I31" si="1">SUM(C15:C30)</f>
        <v>690</v>
      </c>
      <c r="D31" s="1213">
        <f t="shared" si="1"/>
        <v>22787</v>
      </c>
      <c r="E31" s="1271">
        <f t="shared" si="1"/>
        <v>22791</v>
      </c>
      <c r="F31" s="1222">
        <f t="shared" si="1"/>
        <v>14</v>
      </c>
      <c r="G31" s="1271">
        <f t="shared" si="1"/>
        <v>932</v>
      </c>
      <c r="H31" s="1222">
        <f t="shared" si="1"/>
        <v>5009</v>
      </c>
      <c r="I31" s="1271">
        <f t="shared" si="1"/>
        <v>1227</v>
      </c>
      <c r="J31" s="1276">
        <f>AVERAGE(J15:J30)</f>
        <v>80.274999999999991</v>
      </c>
    </row>
    <row r="32" spans="1:10" ht="13.5" thickTop="1" x14ac:dyDescent="0.2"/>
  </sheetData>
  <mergeCells count="15">
    <mergeCell ref="C10:E10"/>
    <mergeCell ref="B10:B13"/>
    <mergeCell ref="G12:G13"/>
    <mergeCell ref="F10:G11"/>
    <mergeCell ref="F12:F13"/>
    <mergeCell ref="H10:I10"/>
    <mergeCell ref="J10:J13"/>
    <mergeCell ref="I11:I13"/>
    <mergeCell ref="H11:H13"/>
    <mergeCell ref="I1:J1"/>
    <mergeCell ref="A7:J7"/>
    <mergeCell ref="A10:A13"/>
    <mergeCell ref="C11:C13"/>
    <mergeCell ref="D11:D13"/>
    <mergeCell ref="E11:E13"/>
  </mergeCells>
  <phoneticPr fontId="82" type="noConversion"/>
  <printOptions horizontalCentered="1" verticalCentered="1"/>
  <pageMargins left="0.31496062992125984" right="0.48" top="0.98425196850393704" bottom="0.98425196850393704" header="0.51181102362204722" footer="0.51181102362204722"/>
  <pageSetup paperSize="9" orientation="landscape" r:id="rId1"/>
  <headerFooter alignWithMargins="0"/>
  <ignoredErrors>
    <ignoredError sqref="H16:I16" emptyCellReference="1"/>
    <ignoredError sqref="J16" formula="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4"/>
  <sheetViews>
    <sheetView workbookViewId="0"/>
  </sheetViews>
  <sheetFormatPr defaultRowHeight="12.75" x14ac:dyDescent="0.2"/>
  <cols>
    <col min="1" max="1" width="4.7109375" customWidth="1"/>
    <col min="2" max="2" width="53.5703125" customWidth="1"/>
    <col min="3" max="3" width="31.7109375" customWidth="1"/>
  </cols>
  <sheetData>
    <row r="1" spans="1:3" ht="26.25" x14ac:dyDescent="0.4">
      <c r="A1" s="1163" t="s">
        <v>196</v>
      </c>
      <c r="B1" s="266" t="s">
        <v>195</v>
      </c>
    </row>
    <row r="2" spans="1:3" ht="18" x14ac:dyDescent="0.25">
      <c r="B2" s="11" t="s">
        <v>116</v>
      </c>
      <c r="C2" s="10" t="s">
        <v>58</v>
      </c>
    </row>
    <row r="3" spans="1:3" ht="18" x14ac:dyDescent="0.25">
      <c r="B3" s="14" t="s">
        <v>129</v>
      </c>
    </row>
    <row r="4" spans="1:3" ht="18" x14ac:dyDescent="0.25">
      <c r="B4" s="11" t="s">
        <v>144</v>
      </c>
      <c r="C4" s="1151" t="str">
        <f>"Termin: 27 luty "&amp;'Tab.1. bilans_Polska'!A2+1&amp;" r."</f>
        <v>Termin: 27 luty 2012 r.</v>
      </c>
    </row>
    <row r="5" spans="1:3" ht="18" x14ac:dyDescent="0.25">
      <c r="B5" s="11"/>
    </row>
    <row r="6" spans="1:3" ht="18" x14ac:dyDescent="0.25">
      <c r="B6" s="1138" t="s">
        <v>130</v>
      </c>
    </row>
    <row r="7" spans="1:3" ht="15.75" x14ac:dyDescent="0.25">
      <c r="B7" s="1150" t="s">
        <v>131</v>
      </c>
    </row>
    <row r="8" spans="1:3" ht="15.75" x14ac:dyDescent="0.25">
      <c r="B8" s="1"/>
    </row>
    <row r="9" spans="1:3" ht="15.75" x14ac:dyDescent="0.25">
      <c r="B9" s="1"/>
    </row>
    <row r="10" spans="1:3" ht="18" x14ac:dyDescent="0.25">
      <c r="B10" s="1823" t="s">
        <v>59</v>
      </c>
      <c r="C10" s="1823"/>
    </row>
    <row r="11" spans="1:3" s="62" customFormat="1" ht="24.95" customHeight="1" x14ac:dyDescent="0.35">
      <c r="B11" s="1823" t="s">
        <v>61</v>
      </c>
      <c r="C11" s="1823"/>
    </row>
    <row r="12" spans="1:3" s="62" customFormat="1" ht="24.95" customHeight="1" x14ac:dyDescent="0.35">
      <c r="B12" s="1823" t="s">
        <v>63</v>
      </c>
      <c r="C12" s="1823"/>
    </row>
    <row r="13" spans="1:3" s="62" customFormat="1" ht="24.95" customHeight="1" x14ac:dyDescent="0.35">
      <c r="B13" s="1886" t="str">
        <f>"WG STANU NA DZIEŃ 31. XII. "&amp;'Tab.1. bilans_Polska'!A2&amp;" r."</f>
        <v>WG STANU NA DZIEŃ 31. XII. 2011 r.</v>
      </c>
      <c r="C13" s="1886"/>
    </row>
    <row r="15" spans="1:3" ht="13.5" thickBot="1" x14ac:dyDescent="0.25"/>
    <row r="16" spans="1:3" ht="13.5" thickTop="1" x14ac:dyDescent="0.2">
      <c r="B16" s="5"/>
      <c r="C16" s="63"/>
    </row>
    <row r="17" spans="2:3" ht="18" x14ac:dyDescent="0.25">
      <c r="B17" s="189" t="s">
        <v>21</v>
      </c>
      <c r="C17" s="83" t="s">
        <v>2</v>
      </c>
    </row>
    <row r="18" spans="2:3" x14ac:dyDescent="0.2">
      <c r="B18" s="6"/>
      <c r="C18" s="66"/>
    </row>
    <row r="19" spans="2:3" ht="15.75" thickBot="1" x14ac:dyDescent="0.3">
      <c r="B19" s="67">
        <v>0</v>
      </c>
      <c r="C19" s="68">
        <v>1</v>
      </c>
    </row>
    <row r="20" spans="2:3" ht="39.950000000000003" customHeight="1" thickTop="1" x14ac:dyDescent="0.25">
      <c r="B20" s="190" t="s">
        <v>65</v>
      </c>
      <c r="C20" s="607">
        <f>C22+C26</f>
        <v>7300</v>
      </c>
    </row>
    <row r="21" spans="2:3" ht="15.75" thickBot="1" x14ac:dyDescent="0.25">
      <c r="B21" s="193" t="s">
        <v>49</v>
      </c>
      <c r="C21" s="970"/>
    </row>
    <row r="22" spans="2:3" ht="24.95" customHeight="1" thickTop="1" x14ac:dyDescent="0.2">
      <c r="B22" s="194" t="s">
        <v>66</v>
      </c>
      <c r="C22" s="607">
        <f>SUM(C24:C25)</f>
        <v>6543</v>
      </c>
    </row>
    <row r="23" spans="2:3" ht="15" x14ac:dyDescent="0.2">
      <c r="B23" s="195" t="s">
        <v>34</v>
      </c>
      <c r="C23" s="971"/>
    </row>
    <row r="24" spans="2:3" ht="30" customHeight="1" x14ac:dyDescent="0.2">
      <c r="B24" s="194" t="s">
        <v>67</v>
      </c>
      <c r="C24" s="608">
        <f>C56+C88+C120+C152+C184+C216+C248+C280+C312+C344+C376+C408+C440+C472+C504+C536</f>
        <v>4618</v>
      </c>
    </row>
    <row r="25" spans="2:3" ht="30" customHeight="1" thickBot="1" x14ac:dyDescent="0.25">
      <c r="B25" s="196" t="s">
        <v>68</v>
      </c>
      <c r="C25" s="609">
        <f>C57+C89+C121+C153+C185+C217+C249+C281+C313+C345+C377+C409+C441+C473+C505+C537</f>
        <v>1925</v>
      </c>
    </row>
    <row r="26" spans="2:3" ht="35.1" customHeight="1" thickBot="1" x14ac:dyDescent="0.25">
      <c r="B26" s="197" t="s">
        <v>69</v>
      </c>
      <c r="C26" s="610">
        <f>C58+C90+C122+C154+C186+C218+C250+C282+C314+C346+C378+C410+C442+C474+C506+C538</f>
        <v>757</v>
      </c>
    </row>
    <row r="27" spans="2:3" ht="12" customHeight="1" thickTop="1" x14ac:dyDescent="0.2"/>
    <row r="29" spans="2:3" ht="20.25" customHeight="1" x14ac:dyDescent="0.2">
      <c r="B29" s="1155" t="s">
        <v>123</v>
      </c>
      <c r="C29" s="1155"/>
    </row>
    <row r="30" spans="2:3" ht="20.25" customHeight="1" x14ac:dyDescent="0.2">
      <c r="B30" s="1155" t="s">
        <v>132</v>
      </c>
      <c r="C30" s="1155"/>
    </row>
    <row r="31" spans="2:3" ht="11.45" customHeight="1" x14ac:dyDescent="0.2">
      <c r="B31" s="1155"/>
      <c r="C31" s="1156" t="s">
        <v>138</v>
      </c>
    </row>
    <row r="32" spans="2:3" ht="17.45" customHeight="1" x14ac:dyDescent="0.2">
      <c r="B32" s="1155" t="s">
        <v>137</v>
      </c>
      <c r="C32" s="1157" t="s">
        <v>139</v>
      </c>
    </row>
    <row r="33" spans="1:5" ht="18" customHeight="1" x14ac:dyDescent="0.2"/>
    <row r="34" spans="1:5" ht="18" customHeight="1" x14ac:dyDescent="0.25">
      <c r="A34" s="358" t="s">
        <v>166</v>
      </c>
      <c r="B34" s="11" t="s">
        <v>116</v>
      </c>
      <c r="C34" s="10" t="s">
        <v>58</v>
      </c>
    </row>
    <row r="35" spans="1:5" ht="18" customHeight="1" x14ac:dyDescent="0.25">
      <c r="B35" s="14" t="s">
        <v>129</v>
      </c>
    </row>
    <row r="36" spans="1:5" s="9" customFormat="1" ht="30" customHeight="1" x14ac:dyDescent="0.25">
      <c r="B36" s="11" t="s">
        <v>144</v>
      </c>
      <c r="C36" s="1172" t="str">
        <f>'Tab.1. bilans_Polska'!$E$59</f>
        <v>Termin: 29 luty 2012 r.</v>
      </c>
      <c r="D36"/>
      <c r="E36"/>
    </row>
    <row r="37" spans="1:5" ht="18" x14ac:dyDescent="0.25">
      <c r="B37" s="11"/>
    </row>
    <row r="38" spans="1:5" ht="18" x14ac:dyDescent="0.25">
      <c r="B38" s="11" t="s">
        <v>130</v>
      </c>
    </row>
    <row r="39" spans="1:5" ht="15.75" x14ac:dyDescent="0.25">
      <c r="B39" s="1" t="s">
        <v>131</v>
      </c>
    </row>
    <row r="40" spans="1:5" ht="15.75" x14ac:dyDescent="0.25">
      <c r="B40" s="1"/>
    </row>
    <row r="41" spans="1:5" ht="15.75" x14ac:dyDescent="0.25">
      <c r="B41" s="1"/>
    </row>
    <row r="42" spans="1:5" ht="18" x14ac:dyDescent="0.25">
      <c r="B42" s="1823" t="s">
        <v>59</v>
      </c>
      <c r="C42" s="1823"/>
    </row>
    <row r="43" spans="1:5" ht="18" x14ac:dyDescent="0.25">
      <c r="B43" s="1823" t="s">
        <v>61</v>
      </c>
      <c r="C43" s="1823"/>
    </row>
    <row r="44" spans="1:5" ht="18" x14ac:dyDescent="0.25">
      <c r="B44" s="1823" t="s">
        <v>63</v>
      </c>
      <c r="C44" s="1823"/>
    </row>
    <row r="45" spans="1:5" ht="18" x14ac:dyDescent="0.25">
      <c r="B45" s="1887" t="str">
        <f>$B$13</f>
        <v>WG STANU NA DZIEŃ 31. XII. 2011 r.</v>
      </c>
      <c r="C45" s="1887"/>
    </row>
    <row r="47" spans="1:5" ht="13.5" thickBot="1" x14ac:dyDescent="0.25"/>
    <row r="48" spans="1:5" ht="13.5" thickTop="1" x14ac:dyDescent="0.2">
      <c r="B48" s="5"/>
      <c r="C48" s="63"/>
    </row>
    <row r="49" spans="2:3" ht="18" x14ac:dyDescent="0.25">
      <c r="B49" s="189" t="s">
        <v>21</v>
      </c>
      <c r="C49" s="83" t="s">
        <v>2</v>
      </c>
    </row>
    <row r="50" spans="2:3" x14ac:dyDescent="0.2">
      <c r="B50" s="6"/>
      <c r="C50" s="66"/>
    </row>
    <row r="51" spans="2:3" ht="15.75" thickBot="1" x14ac:dyDescent="0.3">
      <c r="B51" s="67">
        <v>0</v>
      </c>
      <c r="C51" s="68">
        <v>1</v>
      </c>
    </row>
    <row r="52" spans="2:3" ht="16.5" thickTop="1" x14ac:dyDescent="0.25">
      <c r="B52" s="190" t="s">
        <v>65</v>
      </c>
      <c r="C52" s="359">
        <f>C54+C58</f>
        <v>350</v>
      </c>
    </row>
    <row r="53" spans="2:3" ht="15.75" thickBot="1" x14ac:dyDescent="0.25">
      <c r="B53" s="193" t="s">
        <v>49</v>
      </c>
      <c r="C53" s="191"/>
    </row>
    <row r="54" spans="2:3" ht="15.75" thickTop="1" x14ac:dyDescent="0.2">
      <c r="B54" s="194" t="s">
        <v>66</v>
      </c>
      <c r="C54" s="359">
        <f>SUM(C56:C57)</f>
        <v>296</v>
      </c>
    </row>
    <row r="55" spans="2:3" ht="15" x14ac:dyDescent="0.2">
      <c r="B55" s="195" t="s">
        <v>34</v>
      </c>
      <c r="C55" s="192"/>
    </row>
    <row r="56" spans="2:3" ht="15" x14ac:dyDescent="0.2">
      <c r="B56" s="194" t="s">
        <v>67</v>
      </c>
      <c r="C56" s="1383">
        <v>196</v>
      </c>
    </row>
    <row r="57" spans="2:3" ht="15.75" thickBot="1" x14ac:dyDescent="0.25">
      <c r="B57" s="196" t="s">
        <v>68</v>
      </c>
      <c r="C57" s="1384">
        <v>100</v>
      </c>
    </row>
    <row r="58" spans="2:3" ht="15.75" thickBot="1" x14ac:dyDescent="0.25">
      <c r="B58" s="197" t="s">
        <v>69</v>
      </c>
      <c r="C58" s="1385">
        <v>54</v>
      </c>
    </row>
    <row r="59" spans="2:3" ht="13.5" thickTop="1" x14ac:dyDescent="0.2"/>
    <row r="61" spans="2:3" ht="15" x14ac:dyDescent="0.2">
      <c r="B61" s="12" t="s">
        <v>123</v>
      </c>
      <c r="C61" s="12"/>
    </row>
    <row r="62" spans="2:3" ht="15" x14ac:dyDescent="0.2">
      <c r="B62" s="12" t="s">
        <v>132</v>
      </c>
      <c r="C62" s="12"/>
    </row>
    <row r="63" spans="2:3" ht="15" x14ac:dyDescent="0.2">
      <c r="B63" s="12"/>
      <c r="C63" s="255" t="s">
        <v>138</v>
      </c>
    </row>
    <row r="64" spans="2:3" ht="15" x14ac:dyDescent="0.2">
      <c r="B64" s="12" t="s">
        <v>137</v>
      </c>
      <c r="C64" s="13" t="s">
        <v>139</v>
      </c>
    </row>
    <row r="66" spans="1:3" ht="20.25" x14ac:dyDescent="0.25">
      <c r="A66" s="358" t="s">
        <v>168</v>
      </c>
      <c r="B66" s="11" t="s">
        <v>116</v>
      </c>
      <c r="C66" s="10" t="s">
        <v>58</v>
      </c>
    </row>
    <row r="67" spans="1:3" ht="18" x14ac:dyDescent="0.25">
      <c r="B67" s="14" t="s">
        <v>129</v>
      </c>
    </row>
    <row r="68" spans="1:3" ht="18" x14ac:dyDescent="0.25">
      <c r="A68" s="9"/>
      <c r="B68" s="11" t="s">
        <v>144</v>
      </c>
      <c r="C68" s="1172" t="str">
        <f>'Tab.1. bilans_Polska'!$E$59</f>
        <v>Termin: 29 luty 2012 r.</v>
      </c>
    </row>
    <row r="69" spans="1:3" ht="18" x14ac:dyDescent="0.25">
      <c r="B69" s="11"/>
    </row>
    <row r="70" spans="1:3" ht="18" x14ac:dyDescent="0.25">
      <c r="B70" s="11" t="s">
        <v>130</v>
      </c>
    </row>
    <row r="71" spans="1:3" ht="15.75" x14ac:dyDescent="0.25">
      <c r="B71" s="1" t="s">
        <v>131</v>
      </c>
    </row>
    <row r="72" spans="1:3" ht="15.75" x14ac:dyDescent="0.25">
      <c r="B72" s="1"/>
    </row>
    <row r="73" spans="1:3" ht="15.75" x14ac:dyDescent="0.25">
      <c r="B73" s="1"/>
    </row>
    <row r="74" spans="1:3" ht="18" x14ac:dyDescent="0.25">
      <c r="B74" s="1823" t="s">
        <v>59</v>
      </c>
      <c r="C74" s="1823"/>
    </row>
    <row r="75" spans="1:3" ht="18" x14ac:dyDescent="0.25">
      <c r="B75" s="1823" t="s">
        <v>61</v>
      </c>
      <c r="C75" s="1823"/>
    </row>
    <row r="76" spans="1:3" ht="18" x14ac:dyDescent="0.25">
      <c r="B76" s="1823" t="s">
        <v>63</v>
      </c>
      <c r="C76" s="1823"/>
    </row>
    <row r="77" spans="1:3" ht="18" x14ac:dyDescent="0.25">
      <c r="B77" s="1887" t="str">
        <f>$B$13</f>
        <v>WG STANU NA DZIEŃ 31. XII. 2011 r.</v>
      </c>
      <c r="C77" s="1887"/>
    </row>
    <row r="79" spans="1:3" ht="13.5" thickBot="1" x14ac:dyDescent="0.25"/>
    <row r="80" spans="1:3" ht="13.5" thickTop="1" x14ac:dyDescent="0.2">
      <c r="B80" s="5"/>
      <c r="C80" s="63"/>
    </row>
    <row r="81" spans="2:3" ht="18" x14ac:dyDescent="0.25">
      <c r="B81" s="189" t="s">
        <v>21</v>
      </c>
      <c r="C81" s="83" t="s">
        <v>2</v>
      </c>
    </row>
    <row r="82" spans="2:3" x14ac:dyDescent="0.2">
      <c r="B82" s="6"/>
      <c r="C82" s="66"/>
    </row>
    <row r="83" spans="2:3" ht="15.75" thickBot="1" x14ac:dyDescent="0.3">
      <c r="B83" s="67">
        <v>0</v>
      </c>
      <c r="C83" s="68">
        <v>1</v>
      </c>
    </row>
    <row r="84" spans="2:3" ht="16.5" thickTop="1" x14ac:dyDescent="0.25">
      <c r="B84" s="190" t="s">
        <v>65</v>
      </c>
      <c r="C84" s="359">
        <f>C86+C90</f>
        <v>366</v>
      </c>
    </row>
    <row r="85" spans="2:3" ht="15.75" thickBot="1" x14ac:dyDescent="0.25">
      <c r="B85" s="193" t="s">
        <v>49</v>
      </c>
      <c r="C85" s="191"/>
    </row>
    <row r="86" spans="2:3" ht="15.75" thickTop="1" x14ac:dyDescent="0.2">
      <c r="B86" s="194" t="s">
        <v>66</v>
      </c>
      <c r="C86" s="359">
        <f>SUM(C88:C89)</f>
        <v>341</v>
      </c>
    </row>
    <row r="87" spans="2:3" ht="15" x14ac:dyDescent="0.2">
      <c r="B87" s="195" t="s">
        <v>34</v>
      </c>
      <c r="C87" s="192"/>
    </row>
    <row r="88" spans="2:3" ht="15" x14ac:dyDescent="0.2">
      <c r="B88" s="194" t="s">
        <v>67</v>
      </c>
      <c r="C88" s="1383">
        <v>267</v>
      </c>
    </row>
    <row r="89" spans="2:3" ht="15.75" thickBot="1" x14ac:dyDescent="0.25">
      <c r="B89" s="196" t="s">
        <v>68</v>
      </c>
      <c r="C89" s="1384">
        <v>74</v>
      </c>
    </row>
    <row r="90" spans="2:3" ht="15.75" thickBot="1" x14ac:dyDescent="0.25">
      <c r="B90" s="197" t="s">
        <v>69</v>
      </c>
      <c r="C90" s="1385">
        <v>25</v>
      </c>
    </row>
    <row r="91" spans="2:3" ht="13.5" thickTop="1" x14ac:dyDescent="0.2"/>
    <row r="93" spans="2:3" ht="15" x14ac:dyDescent="0.2">
      <c r="B93" s="12" t="s">
        <v>123</v>
      </c>
      <c r="C93" s="12"/>
    </row>
    <row r="94" spans="2:3" ht="15" x14ac:dyDescent="0.2">
      <c r="B94" s="12" t="s">
        <v>132</v>
      </c>
      <c r="C94" s="12"/>
    </row>
    <row r="95" spans="2:3" ht="15" x14ac:dyDescent="0.2">
      <c r="B95" s="12"/>
      <c r="C95" s="255" t="s">
        <v>138</v>
      </c>
    </row>
    <row r="96" spans="2:3" ht="15" x14ac:dyDescent="0.2">
      <c r="B96" s="12" t="s">
        <v>137</v>
      </c>
      <c r="C96" s="13" t="s">
        <v>139</v>
      </c>
    </row>
    <row r="97" spans="1:3" ht="20.25" x14ac:dyDescent="0.2">
      <c r="A97" s="358" t="s">
        <v>170</v>
      </c>
    </row>
    <row r="98" spans="1:3" ht="18" x14ac:dyDescent="0.25">
      <c r="B98" s="11" t="s">
        <v>116</v>
      </c>
      <c r="C98" s="10" t="s">
        <v>58</v>
      </c>
    </row>
    <row r="99" spans="1:3" ht="18" x14ac:dyDescent="0.25">
      <c r="B99" s="14" t="s">
        <v>129</v>
      </c>
    </row>
    <row r="100" spans="1:3" ht="18" x14ac:dyDescent="0.25">
      <c r="A100" s="9"/>
      <c r="B100" s="11" t="s">
        <v>144</v>
      </c>
      <c r="C100" s="1172" t="str">
        <f>'Tab.1. bilans_Polska'!$E$59</f>
        <v>Termin: 29 luty 2012 r.</v>
      </c>
    </row>
    <row r="101" spans="1:3" ht="18" x14ac:dyDescent="0.25">
      <c r="B101" s="11"/>
    </row>
    <row r="102" spans="1:3" ht="18" x14ac:dyDescent="0.25">
      <c r="B102" s="11" t="s">
        <v>130</v>
      </c>
    </row>
    <row r="103" spans="1:3" ht="15.75" x14ac:dyDescent="0.25">
      <c r="B103" s="1" t="s">
        <v>131</v>
      </c>
    </row>
    <row r="104" spans="1:3" ht="15.75" x14ac:dyDescent="0.25">
      <c r="B104" s="1"/>
    </row>
    <row r="105" spans="1:3" ht="15.75" x14ac:dyDescent="0.25">
      <c r="B105" s="1"/>
    </row>
    <row r="106" spans="1:3" ht="18" x14ac:dyDescent="0.25">
      <c r="B106" s="1823" t="s">
        <v>59</v>
      </c>
      <c r="C106" s="1823"/>
    </row>
    <row r="107" spans="1:3" ht="18" x14ac:dyDescent="0.25">
      <c r="B107" s="1823" t="s">
        <v>61</v>
      </c>
      <c r="C107" s="1823"/>
    </row>
    <row r="108" spans="1:3" ht="18" x14ac:dyDescent="0.25">
      <c r="B108" s="1823" t="s">
        <v>63</v>
      </c>
      <c r="C108" s="1823"/>
    </row>
    <row r="109" spans="1:3" ht="18" x14ac:dyDescent="0.25">
      <c r="B109" s="1887" t="str">
        <f>$B$13</f>
        <v>WG STANU NA DZIEŃ 31. XII. 2011 r.</v>
      </c>
      <c r="C109" s="1887"/>
    </row>
    <row r="111" spans="1:3" ht="13.5" thickBot="1" x14ac:dyDescent="0.25"/>
    <row r="112" spans="1:3" ht="13.5" thickTop="1" x14ac:dyDescent="0.2">
      <c r="B112" s="5"/>
      <c r="C112" s="63"/>
    </row>
    <row r="113" spans="2:3" ht="18" x14ac:dyDescent="0.25">
      <c r="B113" s="189" t="s">
        <v>21</v>
      </c>
      <c r="C113" s="83" t="s">
        <v>2</v>
      </c>
    </row>
    <row r="114" spans="2:3" x14ac:dyDescent="0.2">
      <c r="B114" s="6"/>
      <c r="C114" s="66"/>
    </row>
    <row r="115" spans="2:3" ht="15.75" thickBot="1" x14ac:dyDescent="0.3">
      <c r="B115" s="67">
        <v>0</v>
      </c>
      <c r="C115" s="68">
        <v>1</v>
      </c>
    </row>
    <row r="116" spans="2:3" ht="16.5" thickTop="1" x14ac:dyDescent="0.25">
      <c r="B116" s="190" t="s">
        <v>65</v>
      </c>
      <c r="C116" s="359">
        <f>C118+C122</f>
        <v>583</v>
      </c>
    </row>
    <row r="117" spans="2:3" ht="15.75" thickBot="1" x14ac:dyDescent="0.25">
      <c r="B117" s="193" t="s">
        <v>49</v>
      </c>
      <c r="C117" s="191"/>
    </row>
    <row r="118" spans="2:3" ht="15.75" thickTop="1" x14ac:dyDescent="0.2">
      <c r="B118" s="194" t="s">
        <v>66</v>
      </c>
      <c r="C118" s="359">
        <f>SUM(C120:C121)</f>
        <v>527</v>
      </c>
    </row>
    <row r="119" spans="2:3" ht="15" x14ac:dyDescent="0.2">
      <c r="B119" s="195" t="s">
        <v>34</v>
      </c>
      <c r="C119" s="192"/>
    </row>
    <row r="120" spans="2:3" ht="15" x14ac:dyDescent="0.2">
      <c r="B120" s="194" t="s">
        <v>67</v>
      </c>
      <c r="C120" s="1383">
        <v>341</v>
      </c>
    </row>
    <row r="121" spans="2:3" ht="15.75" thickBot="1" x14ac:dyDescent="0.25">
      <c r="B121" s="196" t="s">
        <v>68</v>
      </c>
      <c r="C121" s="1384">
        <v>186</v>
      </c>
    </row>
    <row r="122" spans="2:3" ht="15.75" thickBot="1" x14ac:dyDescent="0.25">
      <c r="B122" s="197" t="s">
        <v>69</v>
      </c>
      <c r="C122" s="1385">
        <v>56</v>
      </c>
    </row>
    <row r="123" spans="2:3" ht="13.5" thickTop="1" x14ac:dyDescent="0.2"/>
    <row r="125" spans="2:3" ht="15" x14ac:dyDescent="0.2">
      <c r="B125" s="12" t="s">
        <v>123</v>
      </c>
      <c r="C125" s="12"/>
    </row>
    <row r="126" spans="2:3" ht="15" x14ac:dyDescent="0.2">
      <c r="B126" s="12" t="s">
        <v>132</v>
      </c>
      <c r="C126" s="12"/>
    </row>
    <row r="127" spans="2:3" ht="15" x14ac:dyDescent="0.2">
      <c r="B127" s="12"/>
      <c r="C127" s="255" t="s">
        <v>138</v>
      </c>
    </row>
    <row r="128" spans="2:3" ht="15" x14ac:dyDescent="0.2">
      <c r="B128" s="12" t="s">
        <v>137</v>
      </c>
      <c r="C128" s="13" t="s">
        <v>139</v>
      </c>
    </row>
    <row r="130" spans="1:3" ht="20.25" x14ac:dyDescent="0.25">
      <c r="A130" s="358" t="s">
        <v>172</v>
      </c>
      <c r="B130" s="11" t="s">
        <v>116</v>
      </c>
      <c r="C130" s="10" t="s">
        <v>58</v>
      </c>
    </row>
    <row r="131" spans="1:3" ht="18" x14ac:dyDescent="0.25">
      <c r="B131" s="14" t="s">
        <v>129</v>
      </c>
    </row>
    <row r="132" spans="1:3" ht="18" x14ac:dyDescent="0.25">
      <c r="A132" s="9"/>
      <c r="B132" s="11" t="s">
        <v>144</v>
      </c>
      <c r="C132" s="1172" t="str">
        <f>'Tab.1. bilans_Polska'!$E$59</f>
        <v>Termin: 29 luty 2012 r.</v>
      </c>
    </row>
    <row r="133" spans="1:3" ht="18" x14ac:dyDescent="0.25">
      <c r="B133" s="11"/>
    </row>
    <row r="134" spans="1:3" ht="18" x14ac:dyDescent="0.25">
      <c r="B134" s="11" t="s">
        <v>130</v>
      </c>
    </row>
    <row r="135" spans="1:3" ht="15.75" x14ac:dyDescent="0.25">
      <c r="B135" s="1" t="s">
        <v>131</v>
      </c>
    </row>
    <row r="136" spans="1:3" ht="15.75" x14ac:dyDescent="0.25">
      <c r="B136" s="1"/>
    </row>
    <row r="137" spans="1:3" ht="15.75" x14ac:dyDescent="0.25">
      <c r="B137" s="1"/>
    </row>
    <row r="138" spans="1:3" ht="18" x14ac:dyDescent="0.25">
      <c r="B138" s="1823" t="s">
        <v>59</v>
      </c>
      <c r="C138" s="1823"/>
    </row>
    <row r="139" spans="1:3" ht="18" x14ac:dyDescent="0.25">
      <c r="B139" s="1823" t="s">
        <v>61</v>
      </c>
      <c r="C139" s="1823"/>
    </row>
    <row r="140" spans="1:3" ht="18" x14ac:dyDescent="0.25">
      <c r="B140" s="1823" t="s">
        <v>63</v>
      </c>
      <c r="C140" s="1823"/>
    </row>
    <row r="141" spans="1:3" ht="18" x14ac:dyDescent="0.25">
      <c r="B141" s="1887" t="str">
        <f>$B$13</f>
        <v>WG STANU NA DZIEŃ 31. XII. 2011 r.</v>
      </c>
      <c r="C141" s="1887"/>
    </row>
    <row r="143" spans="1:3" ht="13.5" thickBot="1" x14ac:dyDescent="0.25"/>
    <row r="144" spans="1:3" ht="13.5" thickTop="1" x14ac:dyDescent="0.2">
      <c r="B144" s="5"/>
      <c r="C144" s="63"/>
    </row>
    <row r="145" spans="2:3" ht="18" x14ac:dyDescent="0.25">
      <c r="B145" s="189" t="s">
        <v>21</v>
      </c>
      <c r="C145" s="83" t="s">
        <v>2</v>
      </c>
    </row>
    <row r="146" spans="2:3" x14ac:dyDescent="0.2">
      <c r="B146" s="6"/>
      <c r="C146" s="66"/>
    </row>
    <row r="147" spans="2:3" ht="15.75" thickBot="1" x14ac:dyDescent="0.3">
      <c r="B147" s="67">
        <v>0</v>
      </c>
      <c r="C147" s="68">
        <v>1</v>
      </c>
    </row>
    <row r="148" spans="2:3" ht="16.5" thickTop="1" x14ac:dyDescent="0.25">
      <c r="B148" s="190" t="s">
        <v>65</v>
      </c>
      <c r="C148" s="359">
        <f>C150+C154</f>
        <v>205</v>
      </c>
    </row>
    <row r="149" spans="2:3" ht="15.75" thickBot="1" x14ac:dyDescent="0.25">
      <c r="B149" s="193" t="s">
        <v>49</v>
      </c>
      <c r="C149" s="191"/>
    </row>
    <row r="150" spans="2:3" ht="15.75" thickTop="1" x14ac:dyDescent="0.2">
      <c r="B150" s="194" t="s">
        <v>66</v>
      </c>
      <c r="C150" s="359">
        <f>SUM(C152:C153)</f>
        <v>178</v>
      </c>
    </row>
    <row r="151" spans="2:3" ht="15" x14ac:dyDescent="0.2">
      <c r="B151" s="195" t="s">
        <v>34</v>
      </c>
      <c r="C151" s="192"/>
    </row>
    <row r="152" spans="2:3" ht="15" x14ac:dyDescent="0.2">
      <c r="B152" s="194" t="s">
        <v>67</v>
      </c>
      <c r="C152" s="1383">
        <v>110</v>
      </c>
    </row>
    <row r="153" spans="2:3" ht="15.75" thickBot="1" x14ac:dyDescent="0.25">
      <c r="B153" s="196" t="s">
        <v>68</v>
      </c>
      <c r="C153" s="1384">
        <v>68</v>
      </c>
    </row>
    <row r="154" spans="2:3" ht="15.75" thickBot="1" x14ac:dyDescent="0.25">
      <c r="B154" s="197" t="s">
        <v>69</v>
      </c>
      <c r="C154" s="1385">
        <v>27</v>
      </c>
    </row>
    <row r="155" spans="2:3" ht="13.5" thickTop="1" x14ac:dyDescent="0.2"/>
    <row r="157" spans="2:3" ht="15" x14ac:dyDescent="0.2">
      <c r="B157" s="12" t="s">
        <v>123</v>
      </c>
      <c r="C157" s="12"/>
    </row>
    <row r="158" spans="2:3" ht="15" x14ac:dyDescent="0.2">
      <c r="B158" s="12" t="s">
        <v>132</v>
      </c>
      <c r="C158" s="12"/>
    </row>
    <row r="159" spans="2:3" ht="15" x14ac:dyDescent="0.2">
      <c r="B159" s="12"/>
      <c r="C159" s="255" t="s">
        <v>138</v>
      </c>
    </row>
    <row r="160" spans="2:3" ht="15" x14ac:dyDescent="0.2">
      <c r="B160" s="12" t="s">
        <v>137</v>
      </c>
      <c r="C160" s="13" t="s">
        <v>139</v>
      </c>
    </row>
    <row r="162" spans="1:3" ht="20.25" x14ac:dyDescent="0.25">
      <c r="A162" s="358" t="s">
        <v>197</v>
      </c>
      <c r="B162" s="11" t="s">
        <v>116</v>
      </c>
      <c r="C162" s="10" t="s">
        <v>58</v>
      </c>
    </row>
    <row r="163" spans="1:3" ht="18" x14ac:dyDescent="0.25">
      <c r="B163" s="14" t="s">
        <v>129</v>
      </c>
    </row>
    <row r="164" spans="1:3" ht="18" x14ac:dyDescent="0.25">
      <c r="A164" s="9"/>
      <c r="B164" s="11" t="s">
        <v>144</v>
      </c>
      <c r="C164" s="1172" t="str">
        <f>'Tab.1. bilans_Polska'!$E$59</f>
        <v>Termin: 29 luty 2012 r.</v>
      </c>
    </row>
    <row r="165" spans="1:3" ht="18" x14ac:dyDescent="0.25">
      <c r="B165" s="11"/>
    </row>
    <row r="166" spans="1:3" ht="18" x14ac:dyDescent="0.25">
      <c r="B166" s="11" t="s">
        <v>130</v>
      </c>
    </row>
    <row r="167" spans="1:3" ht="15.75" x14ac:dyDescent="0.25">
      <c r="B167" s="1" t="s">
        <v>131</v>
      </c>
    </row>
    <row r="168" spans="1:3" ht="15.75" x14ac:dyDescent="0.25">
      <c r="B168" s="1"/>
    </row>
    <row r="169" spans="1:3" ht="15.75" x14ac:dyDescent="0.25">
      <c r="B169" s="1"/>
    </row>
    <row r="170" spans="1:3" ht="18" x14ac:dyDescent="0.25">
      <c r="B170" s="1823" t="s">
        <v>59</v>
      </c>
      <c r="C170" s="1823"/>
    </row>
    <row r="171" spans="1:3" ht="18" x14ac:dyDescent="0.25">
      <c r="B171" s="1823" t="s">
        <v>61</v>
      </c>
      <c r="C171" s="1823"/>
    </row>
    <row r="172" spans="1:3" ht="18" x14ac:dyDescent="0.25">
      <c r="B172" s="1823" t="s">
        <v>63</v>
      </c>
      <c r="C172" s="1823"/>
    </row>
    <row r="173" spans="1:3" ht="18" x14ac:dyDescent="0.25">
      <c r="B173" s="1887" t="str">
        <f>$B$13</f>
        <v>WG STANU NA DZIEŃ 31. XII. 2011 r.</v>
      </c>
      <c r="C173" s="1887"/>
    </row>
    <row r="175" spans="1:3" ht="13.5" thickBot="1" x14ac:dyDescent="0.25"/>
    <row r="176" spans="1:3" ht="13.5" thickTop="1" x14ac:dyDescent="0.2">
      <c r="B176" s="5"/>
      <c r="C176" s="63"/>
    </row>
    <row r="177" spans="2:3" ht="18" x14ac:dyDescent="0.25">
      <c r="B177" s="189" t="s">
        <v>21</v>
      </c>
      <c r="C177" s="83" t="s">
        <v>2</v>
      </c>
    </row>
    <row r="178" spans="2:3" x14ac:dyDescent="0.2">
      <c r="B178" s="6"/>
      <c r="C178" s="66"/>
    </row>
    <row r="179" spans="2:3" ht="15.75" thickBot="1" x14ac:dyDescent="0.3">
      <c r="B179" s="67">
        <v>0</v>
      </c>
      <c r="C179" s="68">
        <v>1</v>
      </c>
    </row>
    <row r="180" spans="2:3" ht="16.5" thickTop="1" x14ac:dyDescent="0.25">
      <c r="B180" s="190" t="s">
        <v>65</v>
      </c>
      <c r="C180" s="359">
        <f>C182+C186</f>
        <v>508</v>
      </c>
    </row>
    <row r="181" spans="2:3" ht="15.75" thickBot="1" x14ac:dyDescent="0.25">
      <c r="B181" s="193" t="s">
        <v>49</v>
      </c>
      <c r="C181" s="191"/>
    </row>
    <row r="182" spans="2:3" ht="15.75" thickTop="1" x14ac:dyDescent="0.2">
      <c r="B182" s="194" t="s">
        <v>66</v>
      </c>
      <c r="C182" s="359">
        <f>SUM(C184:C185)</f>
        <v>458</v>
      </c>
    </row>
    <row r="183" spans="2:3" ht="15" x14ac:dyDescent="0.2">
      <c r="B183" s="195" t="s">
        <v>34</v>
      </c>
      <c r="C183" s="192"/>
    </row>
    <row r="184" spans="2:3" ht="15" x14ac:dyDescent="0.2">
      <c r="B184" s="194" t="s">
        <v>67</v>
      </c>
      <c r="C184" s="1383">
        <v>290</v>
      </c>
    </row>
    <row r="185" spans="2:3" ht="15.75" thickBot="1" x14ac:dyDescent="0.25">
      <c r="B185" s="196" t="s">
        <v>68</v>
      </c>
      <c r="C185" s="1384">
        <v>168</v>
      </c>
    </row>
    <row r="186" spans="2:3" ht="15.75" thickBot="1" x14ac:dyDescent="0.25">
      <c r="B186" s="197" t="s">
        <v>69</v>
      </c>
      <c r="C186" s="1385">
        <v>50</v>
      </c>
    </row>
    <row r="187" spans="2:3" ht="13.5" thickTop="1" x14ac:dyDescent="0.2"/>
    <row r="189" spans="2:3" ht="15" x14ac:dyDescent="0.2">
      <c r="B189" s="12" t="s">
        <v>123</v>
      </c>
      <c r="C189" s="12"/>
    </row>
    <row r="190" spans="2:3" ht="15" x14ac:dyDescent="0.2">
      <c r="B190" s="12" t="s">
        <v>132</v>
      </c>
      <c r="C190" s="12"/>
    </row>
    <row r="191" spans="2:3" ht="15" x14ac:dyDescent="0.2">
      <c r="B191" s="12"/>
      <c r="C191" s="255" t="s">
        <v>138</v>
      </c>
    </row>
    <row r="192" spans="2:3" ht="15" x14ac:dyDescent="0.2">
      <c r="B192" s="12" t="s">
        <v>137</v>
      </c>
      <c r="C192" s="13" t="s">
        <v>139</v>
      </c>
    </row>
    <row r="194" spans="1:3" ht="20.25" x14ac:dyDescent="0.25">
      <c r="A194" s="358" t="s">
        <v>198</v>
      </c>
      <c r="B194" s="11" t="s">
        <v>116</v>
      </c>
      <c r="C194" s="10" t="s">
        <v>58</v>
      </c>
    </row>
    <row r="195" spans="1:3" ht="18" x14ac:dyDescent="0.25">
      <c r="B195" s="14" t="s">
        <v>129</v>
      </c>
    </row>
    <row r="196" spans="1:3" ht="18" x14ac:dyDescent="0.25">
      <c r="A196" s="9"/>
      <c r="B196" s="11" t="s">
        <v>144</v>
      </c>
      <c r="C196" s="1172" t="str">
        <f>'Tab.1. bilans_Polska'!$E$59</f>
        <v>Termin: 29 luty 2012 r.</v>
      </c>
    </row>
    <row r="197" spans="1:3" ht="18" x14ac:dyDescent="0.25">
      <c r="B197" s="11"/>
    </row>
    <row r="198" spans="1:3" ht="18" x14ac:dyDescent="0.25">
      <c r="B198" s="11" t="s">
        <v>130</v>
      </c>
    </row>
    <row r="199" spans="1:3" ht="15.75" x14ac:dyDescent="0.25">
      <c r="B199" s="1" t="s">
        <v>131</v>
      </c>
    </row>
    <row r="200" spans="1:3" ht="15.75" x14ac:dyDescent="0.25">
      <c r="B200" s="1"/>
    </row>
    <row r="201" spans="1:3" ht="15.75" x14ac:dyDescent="0.25">
      <c r="B201" s="1"/>
    </row>
    <row r="202" spans="1:3" ht="18" x14ac:dyDescent="0.25">
      <c r="B202" s="1823" t="s">
        <v>59</v>
      </c>
      <c r="C202" s="1823"/>
    </row>
    <row r="203" spans="1:3" ht="18" x14ac:dyDescent="0.25">
      <c r="B203" s="1823" t="s">
        <v>61</v>
      </c>
      <c r="C203" s="1823"/>
    </row>
    <row r="204" spans="1:3" ht="18" x14ac:dyDescent="0.25">
      <c r="B204" s="1823" t="s">
        <v>63</v>
      </c>
      <c r="C204" s="1823"/>
    </row>
    <row r="205" spans="1:3" ht="18" x14ac:dyDescent="0.25">
      <c r="B205" s="1887" t="str">
        <f>$B$13</f>
        <v>WG STANU NA DZIEŃ 31. XII. 2011 r.</v>
      </c>
      <c r="C205" s="1887"/>
    </row>
    <row r="207" spans="1:3" ht="13.5" thickBot="1" x14ac:dyDescent="0.25"/>
    <row r="208" spans="1:3" ht="13.5" thickTop="1" x14ac:dyDescent="0.2">
      <c r="B208" s="5"/>
      <c r="C208" s="63"/>
    </row>
    <row r="209" spans="2:3" ht="18" x14ac:dyDescent="0.25">
      <c r="B209" s="189" t="s">
        <v>21</v>
      </c>
      <c r="C209" s="83" t="s">
        <v>2</v>
      </c>
    </row>
    <row r="210" spans="2:3" x14ac:dyDescent="0.2">
      <c r="B210" s="6"/>
      <c r="C210" s="66"/>
    </row>
    <row r="211" spans="2:3" ht="15.75" thickBot="1" x14ac:dyDescent="0.3">
      <c r="B211" s="67">
        <v>0</v>
      </c>
      <c r="C211" s="68">
        <v>1</v>
      </c>
    </row>
    <row r="212" spans="2:3" ht="16.5" thickTop="1" x14ac:dyDescent="0.25">
      <c r="B212" s="190" t="s">
        <v>65</v>
      </c>
      <c r="C212" s="359">
        <f>C214+C218</f>
        <v>768</v>
      </c>
    </row>
    <row r="213" spans="2:3" ht="15.75" thickBot="1" x14ac:dyDescent="0.25">
      <c r="B213" s="193" t="s">
        <v>49</v>
      </c>
      <c r="C213" s="191"/>
    </row>
    <row r="214" spans="2:3" ht="15.75" thickTop="1" x14ac:dyDescent="0.2">
      <c r="B214" s="194" t="s">
        <v>66</v>
      </c>
      <c r="C214" s="359">
        <f>SUM(C216:C217)</f>
        <v>689</v>
      </c>
    </row>
    <row r="215" spans="2:3" ht="15" x14ac:dyDescent="0.2">
      <c r="B215" s="195" t="s">
        <v>34</v>
      </c>
      <c r="C215" s="192"/>
    </row>
    <row r="216" spans="2:3" ht="15" x14ac:dyDescent="0.2">
      <c r="B216" s="194" t="s">
        <v>67</v>
      </c>
      <c r="C216" s="1383">
        <v>452</v>
      </c>
    </row>
    <row r="217" spans="2:3" ht="15.75" thickBot="1" x14ac:dyDescent="0.25">
      <c r="B217" s="196" t="s">
        <v>68</v>
      </c>
      <c r="C217" s="1384">
        <v>237</v>
      </c>
    </row>
    <row r="218" spans="2:3" ht="15.75" thickBot="1" x14ac:dyDescent="0.25">
      <c r="B218" s="197" t="s">
        <v>69</v>
      </c>
      <c r="C218" s="1385">
        <v>79</v>
      </c>
    </row>
    <row r="219" spans="2:3" ht="13.5" thickTop="1" x14ac:dyDescent="0.2"/>
    <row r="221" spans="2:3" ht="15" x14ac:dyDescent="0.2">
      <c r="B221" s="12" t="s">
        <v>123</v>
      </c>
      <c r="C221" s="12"/>
    </row>
    <row r="222" spans="2:3" ht="15" x14ac:dyDescent="0.2">
      <c r="B222" s="12" t="s">
        <v>132</v>
      </c>
      <c r="C222" s="12"/>
    </row>
    <row r="223" spans="2:3" ht="15" x14ac:dyDescent="0.2">
      <c r="B223" s="12"/>
      <c r="C223" s="255" t="s">
        <v>138</v>
      </c>
    </row>
    <row r="224" spans="2:3" ht="15" x14ac:dyDescent="0.2">
      <c r="B224" s="12" t="s">
        <v>137</v>
      </c>
      <c r="C224" s="13" t="s">
        <v>139</v>
      </c>
    </row>
    <row r="226" spans="1:3" ht="20.25" x14ac:dyDescent="0.25">
      <c r="A226" s="358" t="s">
        <v>199</v>
      </c>
      <c r="B226" s="11" t="s">
        <v>116</v>
      </c>
      <c r="C226" s="10" t="s">
        <v>58</v>
      </c>
    </row>
    <row r="227" spans="1:3" ht="18" x14ac:dyDescent="0.25">
      <c r="B227" s="14" t="s">
        <v>129</v>
      </c>
    </row>
    <row r="228" spans="1:3" ht="18" x14ac:dyDescent="0.25">
      <c r="A228" s="9"/>
      <c r="B228" s="11" t="s">
        <v>144</v>
      </c>
      <c r="C228" s="1172" t="str">
        <f>'Tab.1. bilans_Polska'!$E$59</f>
        <v>Termin: 29 luty 2012 r.</v>
      </c>
    </row>
    <row r="229" spans="1:3" ht="18" x14ac:dyDescent="0.25">
      <c r="B229" s="11"/>
    </row>
    <row r="230" spans="1:3" ht="18" x14ac:dyDescent="0.25">
      <c r="B230" s="11" t="s">
        <v>130</v>
      </c>
    </row>
    <row r="231" spans="1:3" ht="15.75" x14ac:dyDescent="0.25">
      <c r="B231" s="1" t="s">
        <v>131</v>
      </c>
    </row>
    <row r="232" spans="1:3" ht="15.75" x14ac:dyDescent="0.25">
      <c r="B232" s="1"/>
    </row>
    <row r="233" spans="1:3" ht="15.75" x14ac:dyDescent="0.25">
      <c r="B233" s="1"/>
    </row>
    <row r="234" spans="1:3" ht="18" x14ac:dyDescent="0.25">
      <c r="B234" s="1823" t="s">
        <v>59</v>
      </c>
      <c r="C234" s="1823"/>
    </row>
    <row r="235" spans="1:3" ht="18" x14ac:dyDescent="0.25">
      <c r="B235" s="1823" t="s">
        <v>61</v>
      </c>
      <c r="C235" s="1823"/>
    </row>
    <row r="236" spans="1:3" ht="18" x14ac:dyDescent="0.25">
      <c r="B236" s="1823" t="s">
        <v>63</v>
      </c>
      <c r="C236" s="1823"/>
    </row>
    <row r="237" spans="1:3" ht="18" x14ac:dyDescent="0.25">
      <c r="B237" s="1887" t="str">
        <f>$B$13</f>
        <v>WG STANU NA DZIEŃ 31. XII. 2011 r.</v>
      </c>
      <c r="C237" s="1887"/>
    </row>
    <row r="239" spans="1:3" ht="13.5" thickBot="1" x14ac:dyDescent="0.25"/>
    <row r="240" spans="1:3" ht="13.5" thickTop="1" x14ac:dyDescent="0.2">
      <c r="B240" s="5"/>
      <c r="C240" s="63"/>
    </row>
    <row r="241" spans="2:3" ht="18" x14ac:dyDescent="0.25">
      <c r="B241" s="189" t="s">
        <v>21</v>
      </c>
      <c r="C241" s="83" t="s">
        <v>2</v>
      </c>
    </row>
    <row r="242" spans="2:3" x14ac:dyDescent="0.2">
      <c r="B242" s="6"/>
      <c r="C242" s="66"/>
    </row>
    <row r="243" spans="2:3" ht="15.75" thickBot="1" x14ac:dyDescent="0.3">
      <c r="B243" s="67">
        <v>0</v>
      </c>
      <c r="C243" s="68">
        <v>1</v>
      </c>
    </row>
    <row r="244" spans="2:3" ht="16.5" thickTop="1" x14ac:dyDescent="0.25">
      <c r="B244" s="190" t="s">
        <v>65</v>
      </c>
      <c r="C244" s="359">
        <f>C246+C250</f>
        <v>556</v>
      </c>
    </row>
    <row r="245" spans="2:3" ht="15.75" thickBot="1" x14ac:dyDescent="0.25">
      <c r="B245" s="193" t="s">
        <v>49</v>
      </c>
      <c r="C245" s="191"/>
    </row>
    <row r="246" spans="2:3" ht="15.75" thickTop="1" x14ac:dyDescent="0.2">
      <c r="B246" s="194" t="s">
        <v>66</v>
      </c>
      <c r="C246" s="359">
        <f>SUM(C248:C249)</f>
        <v>512</v>
      </c>
    </row>
    <row r="247" spans="2:3" ht="15" x14ac:dyDescent="0.2">
      <c r="B247" s="195" t="s">
        <v>34</v>
      </c>
      <c r="C247" s="192"/>
    </row>
    <row r="248" spans="2:3" ht="15" x14ac:dyDescent="0.2">
      <c r="B248" s="194" t="s">
        <v>67</v>
      </c>
      <c r="C248" s="1383">
        <v>351</v>
      </c>
    </row>
    <row r="249" spans="2:3" ht="15.75" thickBot="1" x14ac:dyDescent="0.25">
      <c r="B249" s="196" t="s">
        <v>68</v>
      </c>
      <c r="C249" s="1384">
        <v>161</v>
      </c>
    </row>
    <row r="250" spans="2:3" ht="15.75" thickBot="1" x14ac:dyDescent="0.25">
      <c r="B250" s="197" t="s">
        <v>69</v>
      </c>
      <c r="C250" s="1385">
        <v>44</v>
      </c>
    </row>
    <row r="251" spans="2:3" ht="13.5" thickTop="1" x14ac:dyDescent="0.2"/>
    <row r="253" spans="2:3" ht="15" x14ac:dyDescent="0.2">
      <c r="B253" s="12" t="s">
        <v>123</v>
      </c>
      <c r="C253" s="12"/>
    </row>
    <row r="254" spans="2:3" ht="15" x14ac:dyDescent="0.2">
      <c r="B254" s="12" t="s">
        <v>132</v>
      </c>
      <c r="C254" s="12"/>
    </row>
    <row r="255" spans="2:3" ht="15" x14ac:dyDescent="0.2">
      <c r="B255" s="12"/>
      <c r="C255" s="255" t="s">
        <v>138</v>
      </c>
    </row>
    <row r="256" spans="2:3" ht="15" x14ac:dyDescent="0.2">
      <c r="B256" s="12" t="s">
        <v>137</v>
      </c>
      <c r="C256" s="13" t="s">
        <v>139</v>
      </c>
    </row>
    <row r="258" spans="1:3" ht="20.25" x14ac:dyDescent="0.25">
      <c r="A258" s="358" t="s">
        <v>200</v>
      </c>
      <c r="B258" s="11" t="s">
        <v>116</v>
      </c>
      <c r="C258" s="10" t="s">
        <v>58</v>
      </c>
    </row>
    <row r="259" spans="1:3" ht="18" x14ac:dyDescent="0.25">
      <c r="B259" s="14" t="s">
        <v>129</v>
      </c>
    </row>
    <row r="260" spans="1:3" ht="18" x14ac:dyDescent="0.25">
      <c r="A260" s="9"/>
      <c r="B260" s="11" t="s">
        <v>144</v>
      </c>
      <c r="C260" s="1172" t="str">
        <f>'Tab.1. bilans_Polska'!$E$59</f>
        <v>Termin: 29 luty 2012 r.</v>
      </c>
    </row>
    <row r="261" spans="1:3" ht="18" x14ac:dyDescent="0.25">
      <c r="B261" s="11"/>
    </row>
    <row r="262" spans="1:3" ht="18" x14ac:dyDescent="0.25">
      <c r="B262" s="11" t="s">
        <v>130</v>
      </c>
    </row>
    <row r="263" spans="1:3" ht="15.75" x14ac:dyDescent="0.25">
      <c r="B263" s="1" t="s">
        <v>131</v>
      </c>
    </row>
    <row r="264" spans="1:3" ht="15.75" x14ac:dyDescent="0.25">
      <c r="B264" s="1"/>
    </row>
    <row r="265" spans="1:3" ht="15.75" x14ac:dyDescent="0.25">
      <c r="B265" s="1"/>
    </row>
    <row r="266" spans="1:3" ht="18" x14ac:dyDescent="0.25">
      <c r="B266" s="1823" t="s">
        <v>59</v>
      </c>
      <c r="C266" s="1823"/>
    </row>
    <row r="267" spans="1:3" ht="18" x14ac:dyDescent="0.25">
      <c r="B267" s="1823" t="s">
        <v>61</v>
      </c>
      <c r="C267" s="1823"/>
    </row>
    <row r="268" spans="1:3" ht="18" x14ac:dyDescent="0.25">
      <c r="B268" s="1823" t="s">
        <v>63</v>
      </c>
      <c r="C268" s="1823"/>
    </row>
    <row r="269" spans="1:3" ht="18" x14ac:dyDescent="0.25">
      <c r="B269" s="1887" t="str">
        <f>$B$13</f>
        <v>WG STANU NA DZIEŃ 31. XII. 2011 r.</v>
      </c>
      <c r="C269" s="1887"/>
    </row>
    <row r="271" spans="1:3" ht="13.5" thickBot="1" x14ac:dyDescent="0.25"/>
    <row r="272" spans="1:3" ht="13.5" thickTop="1" x14ac:dyDescent="0.2">
      <c r="B272" s="5"/>
      <c r="C272" s="63"/>
    </row>
    <row r="273" spans="2:3" ht="18" x14ac:dyDescent="0.25">
      <c r="B273" s="189" t="s">
        <v>21</v>
      </c>
      <c r="C273" s="83" t="s">
        <v>2</v>
      </c>
    </row>
    <row r="274" spans="2:3" x14ac:dyDescent="0.2">
      <c r="B274" s="6"/>
      <c r="C274" s="66"/>
    </row>
    <row r="275" spans="2:3" ht="15.75" thickBot="1" x14ac:dyDescent="0.3">
      <c r="B275" s="67">
        <v>0</v>
      </c>
      <c r="C275" s="68">
        <v>1</v>
      </c>
    </row>
    <row r="276" spans="2:3" ht="16.5" thickTop="1" x14ac:dyDescent="0.25">
      <c r="B276" s="190" t="s">
        <v>65</v>
      </c>
      <c r="C276" s="359">
        <f>C278+C282</f>
        <v>141</v>
      </c>
    </row>
    <row r="277" spans="2:3" ht="15.75" thickBot="1" x14ac:dyDescent="0.25">
      <c r="B277" s="193" t="s">
        <v>49</v>
      </c>
      <c r="C277" s="191"/>
    </row>
    <row r="278" spans="2:3" ht="15.75" thickTop="1" x14ac:dyDescent="0.2">
      <c r="B278" s="194" t="s">
        <v>66</v>
      </c>
      <c r="C278" s="359">
        <f>SUM(C280:C281)</f>
        <v>137</v>
      </c>
    </row>
    <row r="279" spans="2:3" ht="15" x14ac:dyDescent="0.2">
      <c r="B279" s="195" t="s">
        <v>34</v>
      </c>
      <c r="C279" s="192"/>
    </row>
    <row r="280" spans="2:3" ht="15" x14ac:dyDescent="0.2">
      <c r="B280" s="194" t="s">
        <v>67</v>
      </c>
      <c r="C280" s="1383">
        <v>107</v>
      </c>
    </row>
    <row r="281" spans="2:3" ht="15.75" thickBot="1" x14ac:dyDescent="0.25">
      <c r="B281" s="196" t="s">
        <v>68</v>
      </c>
      <c r="C281" s="1384">
        <v>30</v>
      </c>
    </row>
    <row r="282" spans="2:3" ht="15.75" thickBot="1" x14ac:dyDescent="0.25">
      <c r="B282" s="197" t="s">
        <v>69</v>
      </c>
      <c r="C282" s="1385">
        <v>4</v>
      </c>
    </row>
    <row r="283" spans="2:3" ht="13.5" thickTop="1" x14ac:dyDescent="0.2"/>
    <row r="285" spans="2:3" ht="15" x14ac:dyDescent="0.2">
      <c r="B285" s="12" t="s">
        <v>123</v>
      </c>
      <c r="C285" s="12"/>
    </row>
    <row r="286" spans="2:3" ht="15" x14ac:dyDescent="0.2">
      <c r="B286" s="12" t="s">
        <v>132</v>
      </c>
      <c r="C286" s="12"/>
    </row>
    <row r="287" spans="2:3" ht="15" x14ac:dyDescent="0.2">
      <c r="B287" s="12"/>
      <c r="C287" s="255" t="s">
        <v>138</v>
      </c>
    </row>
    <row r="288" spans="2:3" ht="15" x14ac:dyDescent="0.2">
      <c r="B288" s="12" t="s">
        <v>137</v>
      </c>
      <c r="C288" s="13" t="s">
        <v>139</v>
      </c>
    </row>
    <row r="290" spans="1:3" ht="20.25" x14ac:dyDescent="0.25">
      <c r="A290" s="358" t="s">
        <v>201</v>
      </c>
      <c r="B290" s="11" t="s">
        <v>116</v>
      </c>
      <c r="C290" s="10" t="s">
        <v>58</v>
      </c>
    </row>
    <row r="291" spans="1:3" ht="18" x14ac:dyDescent="0.25">
      <c r="B291" s="14" t="s">
        <v>129</v>
      </c>
    </row>
    <row r="292" spans="1:3" ht="18" x14ac:dyDescent="0.25">
      <c r="A292" s="9"/>
      <c r="B292" s="11" t="s">
        <v>144</v>
      </c>
      <c r="C292" s="1172" t="str">
        <f>'Tab.1. bilans_Polska'!$E$59</f>
        <v>Termin: 29 luty 2012 r.</v>
      </c>
    </row>
    <row r="293" spans="1:3" ht="18" x14ac:dyDescent="0.25">
      <c r="B293" s="11"/>
    </row>
    <row r="294" spans="1:3" ht="18" x14ac:dyDescent="0.25">
      <c r="B294" s="11" t="s">
        <v>130</v>
      </c>
    </row>
    <row r="295" spans="1:3" ht="15.75" x14ac:dyDescent="0.25">
      <c r="B295" s="1" t="s">
        <v>131</v>
      </c>
    </row>
    <row r="296" spans="1:3" ht="15.75" x14ac:dyDescent="0.25">
      <c r="B296" s="1"/>
    </row>
    <row r="297" spans="1:3" ht="15.75" x14ac:dyDescent="0.25">
      <c r="B297" s="1"/>
    </row>
    <row r="298" spans="1:3" ht="18" x14ac:dyDescent="0.25">
      <c r="B298" s="1823" t="s">
        <v>59</v>
      </c>
      <c r="C298" s="1823"/>
    </row>
    <row r="299" spans="1:3" ht="18" x14ac:dyDescent="0.25">
      <c r="B299" s="1823" t="s">
        <v>61</v>
      </c>
      <c r="C299" s="1823"/>
    </row>
    <row r="300" spans="1:3" ht="18" x14ac:dyDescent="0.25">
      <c r="B300" s="1823" t="s">
        <v>63</v>
      </c>
      <c r="C300" s="1823"/>
    </row>
    <row r="301" spans="1:3" ht="18" x14ac:dyDescent="0.25">
      <c r="B301" s="1887" t="str">
        <f>$B$13</f>
        <v>WG STANU NA DZIEŃ 31. XII. 2011 r.</v>
      </c>
      <c r="C301" s="1887"/>
    </row>
    <row r="303" spans="1:3" ht="13.5" thickBot="1" x14ac:dyDescent="0.25"/>
    <row r="304" spans="1:3" ht="13.5" thickTop="1" x14ac:dyDescent="0.2">
      <c r="B304" s="5"/>
      <c r="C304" s="63"/>
    </row>
    <row r="305" spans="2:3" ht="18" x14ac:dyDescent="0.25">
      <c r="B305" s="189" t="s">
        <v>21</v>
      </c>
      <c r="C305" s="83" t="s">
        <v>2</v>
      </c>
    </row>
    <row r="306" spans="2:3" x14ac:dyDescent="0.2">
      <c r="B306" s="6"/>
      <c r="C306" s="66"/>
    </row>
    <row r="307" spans="2:3" ht="15.75" thickBot="1" x14ac:dyDescent="0.3">
      <c r="B307" s="67">
        <v>0</v>
      </c>
      <c r="C307" s="68">
        <v>1</v>
      </c>
    </row>
    <row r="308" spans="2:3" ht="16.5" thickTop="1" x14ac:dyDescent="0.25">
      <c r="B308" s="190" t="s">
        <v>65</v>
      </c>
      <c r="C308" s="359">
        <f>C310+C314</f>
        <v>579</v>
      </c>
    </row>
    <row r="309" spans="2:3" ht="15.75" thickBot="1" x14ac:dyDescent="0.25">
      <c r="B309" s="193" t="s">
        <v>49</v>
      </c>
      <c r="C309" s="191"/>
    </row>
    <row r="310" spans="2:3" ht="15.75" thickTop="1" x14ac:dyDescent="0.2">
      <c r="B310" s="194" t="s">
        <v>66</v>
      </c>
      <c r="C310" s="359">
        <f>SUM(C312:C313)</f>
        <v>532</v>
      </c>
    </row>
    <row r="311" spans="2:3" ht="15" x14ac:dyDescent="0.2">
      <c r="B311" s="195" t="s">
        <v>34</v>
      </c>
      <c r="C311" s="192"/>
    </row>
    <row r="312" spans="2:3" ht="15" x14ac:dyDescent="0.2">
      <c r="B312" s="194" t="s">
        <v>67</v>
      </c>
      <c r="C312" s="1383">
        <v>421</v>
      </c>
    </row>
    <row r="313" spans="2:3" ht="15.75" thickBot="1" x14ac:dyDescent="0.25">
      <c r="B313" s="196" t="s">
        <v>68</v>
      </c>
      <c r="C313" s="1384">
        <v>111</v>
      </c>
    </row>
    <row r="314" spans="2:3" ht="15.75" thickBot="1" x14ac:dyDescent="0.25">
      <c r="B314" s="197" t="s">
        <v>69</v>
      </c>
      <c r="C314" s="1385">
        <v>47</v>
      </c>
    </row>
    <row r="315" spans="2:3" ht="13.5" thickTop="1" x14ac:dyDescent="0.2"/>
    <row r="317" spans="2:3" ht="15" x14ac:dyDescent="0.2">
      <c r="B317" s="12" t="s">
        <v>123</v>
      </c>
      <c r="C317" s="12"/>
    </row>
    <row r="318" spans="2:3" ht="15" x14ac:dyDescent="0.2">
      <c r="B318" s="12" t="s">
        <v>132</v>
      </c>
      <c r="C318" s="12"/>
    </row>
    <row r="319" spans="2:3" ht="15" x14ac:dyDescent="0.2">
      <c r="B319" s="12"/>
      <c r="C319" s="255" t="s">
        <v>138</v>
      </c>
    </row>
    <row r="320" spans="2:3" ht="15" x14ac:dyDescent="0.2">
      <c r="B320" s="12" t="s">
        <v>137</v>
      </c>
      <c r="C320" s="13" t="s">
        <v>139</v>
      </c>
    </row>
    <row r="322" spans="1:3" ht="20.25" x14ac:dyDescent="0.25">
      <c r="A322" s="358" t="s">
        <v>202</v>
      </c>
      <c r="B322" s="11" t="s">
        <v>116</v>
      </c>
      <c r="C322" s="10" t="s">
        <v>58</v>
      </c>
    </row>
    <row r="323" spans="1:3" ht="18" x14ac:dyDescent="0.25">
      <c r="B323" s="14" t="s">
        <v>129</v>
      </c>
    </row>
    <row r="324" spans="1:3" ht="18" x14ac:dyDescent="0.25">
      <c r="A324" s="9"/>
      <c r="B324" s="11" t="s">
        <v>144</v>
      </c>
      <c r="C324" s="1172" t="str">
        <f>'Tab.1. bilans_Polska'!$E$59</f>
        <v>Termin: 29 luty 2012 r.</v>
      </c>
    </row>
    <row r="325" spans="1:3" ht="18" x14ac:dyDescent="0.25">
      <c r="B325" s="11"/>
    </row>
    <row r="326" spans="1:3" ht="18" x14ac:dyDescent="0.25">
      <c r="B326" s="11" t="s">
        <v>130</v>
      </c>
    </row>
    <row r="327" spans="1:3" ht="15.75" x14ac:dyDescent="0.25">
      <c r="B327" s="1" t="s">
        <v>131</v>
      </c>
    </row>
    <row r="328" spans="1:3" ht="15.75" x14ac:dyDescent="0.25">
      <c r="B328" s="1"/>
    </row>
    <row r="329" spans="1:3" ht="15.75" x14ac:dyDescent="0.25">
      <c r="B329" s="1"/>
    </row>
    <row r="330" spans="1:3" ht="18" x14ac:dyDescent="0.25">
      <c r="B330" s="1823" t="s">
        <v>59</v>
      </c>
      <c r="C330" s="1823"/>
    </row>
    <row r="331" spans="1:3" ht="18" x14ac:dyDescent="0.25">
      <c r="B331" s="1823" t="s">
        <v>61</v>
      </c>
      <c r="C331" s="1823"/>
    </row>
    <row r="332" spans="1:3" ht="18" x14ac:dyDescent="0.25">
      <c r="B332" s="1823" t="s">
        <v>63</v>
      </c>
      <c r="C332" s="1823"/>
    </row>
    <row r="333" spans="1:3" ht="18" x14ac:dyDescent="0.25">
      <c r="B333" s="1887" t="str">
        <f>$B$13</f>
        <v>WG STANU NA DZIEŃ 31. XII. 2011 r.</v>
      </c>
      <c r="C333" s="1887"/>
    </row>
    <row r="335" spans="1:3" ht="13.5" thickBot="1" x14ac:dyDescent="0.25"/>
    <row r="336" spans="1:3" ht="13.5" thickTop="1" x14ac:dyDescent="0.2">
      <c r="B336" s="5"/>
      <c r="C336" s="63"/>
    </row>
    <row r="337" spans="2:3" ht="18" x14ac:dyDescent="0.25">
      <c r="B337" s="189" t="s">
        <v>21</v>
      </c>
      <c r="C337" s="83" t="s">
        <v>2</v>
      </c>
    </row>
    <row r="338" spans="2:3" x14ac:dyDescent="0.2">
      <c r="B338" s="6"/>
      <c r="C338" s="66"/>
    </row>
    <row r="339" spans="2:3" ht="15.75" thickBot="1" x14ac:dyDescent="0.3">
      <c r="B339" s="67">
        <v>0</v>
      </c>
      <c r="C339" s="68">
        <v>1</v>
      </c>
    </row>
    <row r="340" spans="2:3" ht="16.5" thickTop="1" x14ac:dyDescent="0.25">
      <c r="B340" s="190" t="s">
        <v>65</v>
      </c>
      <c r="C340" s="359">
        <f>C342+C346</f>
        <v>104</v>
      </c>
    </row>
    <row r="341" spans="2:3" ht="15.75" thickBot="1" x14ac:dyDescent="0.25">
      <c r="B341" s="193" t="s">
        <v>49</v>
      </c>
      <c r="C341" s="191"/>
    </row>
    <row r="342" spans="2:3" ht="15.75" thickTop="1" x14ac:dyDescent="0.2">
      <c r="B342" s="194" t="s">
        <v>66</v>
      </c>
      <c r="C342" s="359">
        <f>SUM(C344:C345)</f>
        <v>95</v>
      </c>
    </row>
    <row r="343" spans="2:3" ht="15" x14ac:dyDescent="0.2">
      <c r="B343" s="195" t="s">
        <v>34</v>
      </c>
      <c r="C343" s="192"/>
    </row>
    <row r="344" spans="2:3" ht="15" x14ac:dyDescent="0.2">
      <c r="B344" s="194" t="s">
        <v>67</v>
      </c>
      <c r="C344" s="1383">
        <v>61</v>
      </c>
    </row>
    <row r="345" spans="2:3" ht="15.75" thickBot="1" x14ac:dyDescent="0.25">
      <c r="B345" s="196" t="s">
        <v>68</v>
      </c>
      <c r="C345" s="1384">
        <v>34</v>
      </c>
    </row>
    <row r="346" spans="2:3" ht="15.75" thickBot="1" x14ac:dyDescent="0.25">
      <c r="B346" s="197" t="s">
        <v>69</v>
      </c>
      <c r="C346" s="1385">
        <v>9</v>
      </c>
    </row>
    <row r="347" spans="2:3" ht="13.5" thickTop="1" x14ac:dyDescent="0.2"/>
    <row r="349" spans="2:3" ht="15" x14ac:dyDescent="0.2">
      <c r="B349" s="12" t="s">
        <v>123</v>
      </c>
      <c r="C349" s="12"/>
    </row>
    <row r="350" spans="2:3" ht="15" x14ac:dyDescent="0.2">
      <c r="B350" s="12" t="s">
        <v>132</v>
      </c>
      <c r="C350" s="12"/>
    </row>
    <row r="351" spans="2:3" ht="15" x14ac:dyDescent="0.2">
      <c r="B351" s="12"/>
      <c r="C351" s="255" t="s">
        <v>138</v>
      </c>
    </row>
    <row r="352" spans="2:3" ht="15" x14ac:dyDescent="0.2">
      <c r="B352" s="12" t="s">
        <v>137</v>
      </c>
      <c r="C352" s="13" t="s">
        <v>139</v>
      </c>
    </row>
    <row r="354" spans="1:3" ht="20.25" x14ac:dyDescent="0.25">
      <c r="A354" s="358" t="s">
        <v>203</v>
      </c>
      <c r="B354" s="11" t="s">
        <v>116</v>
      </c>
      <c r="C354" s="10" t="s">
        <v>58</v>
      </c>
    </row>
    <row r="355" spans="1:3" ht="18" x14ac:dyDescent="0.25">
      <c r="B355" s="14" t="s">
        <v>129</v>
      </c>
    </row>
    <row r="356" spans="1:3" ht="18" x14ac:dyDescent="0.25">
      <c r="A356" s="9"/>
      <c r="B356" s="11" t="s">
        <v>144</v>
      </c>
      <c r="C356" s="1172" t="str">
        <f>'Tab.1. bilans_Polska'!$E$59</f>
        <v>Termin: 29 luty 2012 r.</v>
      </c>
    </row>
    <row r="357" spans="1:3" ht="18" x14ac:dyDescent="0.25">
      <c r="B357" s="11"/>
    </row>
    <row r="358" spans="1:3" ht="18" x14ac:dyDescent="0.25">
      <c r="B358" s="11" t="s">
        <v>130</v>
      </c>
    </row>
    <row r="359" spans="1:3" ht="15.75" x14ac:dyDescent="0.25">
      <c r="B359" s="1" t="s">
        <v>131</v>
      </c>
    </row>
    <row r="360" spans="1:3" ht="15.75" x14ac:dyDescent="0.25">
      <c r="B360" s="1"/>
    </row>
    <row r="361" spans="1:3" ht="15.75" x14ac:dyDescent="0.25">
      <c r="B361" s="1"/>
    </row>
    <row r="362" spans="1:3" ht="18" x14ac:dyDescent="0.25">
      <c r="B362" s="1823" t="s">
        <v>59</v>
      </c>
      <c r="C362" s="1823"/>
    </row>
    <row r="363" spans="1:3" ht="18" x14ac:dyDescent="0.25">
      <c r="B363" s="1823" t="s">
        <v>61</v>
      </c>
      <c r="C363" s="1823"/>
    </row>
    <row r="364" spans="1:3" ht="18" x14ac:dyDescent="0.25">
      <c r="B364" s="1823" t="s">
        <v>63</v>
      </c>
      <c r="C364" s="1823"/>
    </row>
    <row r="365" spans="1:3" ht="18" x14ac:dyDescent="0.25">
      <c r="B365" s="1887" t="str">
        <f>$B$13</f>
        <v>WG STANU NA DZIEŃ 31. XII. 2011 r.</v>
      </c>
      <c r="C365" s="1887"/>
    </row>
    <row r="367" spans="1:3" ht="13.5" thickBot="1" x14ac:dyDescent="0.25"/>
    <row r="368" spans="1:3" ht="13.5" thickTop="1" x14ac:dyDescent="0.2">
      <c r="B368" s="5"/>
      <c r="C368" s="63"/>
    </row>
    <row r="369" spans="2:3" ht="18" x14ac:dyDescent="0.25">
      <c r="B369" s="189" t="s">
        <v>21</v>
      </c>
      <c r="C369" s="83" t="s">
        <v>2</v>
      </c>
    </row>
    <row r="370" spans="2:3" x14ac:dyDescent="0.2">
      <c r="B370" s="6"/>
      <c r="C370" s="66"/>
    </row>
    <row r="371" spans="2:3" ht="15.75" thickBot="1" x14ac:dyDescent="0.3">
      <c r="B371" s="67">
        <v>0</v>
      </c>
      <c r="C371" s="68">
        <v>1</v>
      </c>
    </row>
    <row r="372" spans="2:3" ht="16.5" thickTop="1" x14ac:dyDescent="0.25">
      <c r="B372" s="190" t="s">
        <v>65</v>
      </c>
      <c r="C372" s="359">
        <f>C374+C378</f>
        <v>498</v>
      </c>
    </row>
    <row r="373" spans="2:3" ht="15.75" thickBot="1" x14ac:dyDescent="0.25">
      <c r="B373" s="193" t="s">
        <v>49</v>
      </c>
      <c r="C373" s="191"/>
    </row>
    <row r="374" spans="2:3" ht="15.75" thickTop="1" x14ac:dyDescent="0.2">
      <c r="B374" s="194" t="s">
        <v>66</v>
      </c>
      <c r="C374" s="359">
        <f>SUM(C376:C377)</f>
        <v>415</v>
      </c>
    </row>
    <row r="375" spans="2:3" ht="15" x14ac:dyDescent="0.2">
      <c r="B375" s="195" t="s">
        <v>34</v>
      </c>
      <c r="C375" s="192"/>
    </row>
    <row r="376" spans="2:3" ht="15" x14ac:dyDescent="0.2">
      <c r="B376" s="194" t="s">
        <v>67</v>
      </c>
      <c r="C376" s="1383">
        <v>301</v>
      </c>
    </row>
    <row r="377" spans="2:3" ht="15.75" thickBot="1" x14ac:dyDescent="0.25">
      <c r="B377" s="196" t="s">
        <v>68</v>
      </c>
      <c r="C377" s="1384">
        <v>114</v>
      </c>
    </row>
    <row r="378" spans="2:3" ht="15.75" thickBot="1" x14ac:dyDescent="0.25">
      <c r="B378" s="197" t="s">
        <v>69</v>
      </c>
      <c r="C378" s="1385">
        <v>83</v>
      </c>
    </row>
    <row r="379" spans="2:3" ht="13.5" thickTop="1" x14ac:dyDescent="0.2"/>
    <row r="381" spans="2:3" ht="15" x14ac:dyDescent="0.2">
      <c r="B381" s="12" t="s">
        <v>123</v>
      </c>
      <c r="C381" s="12"/>
    </row>
    <row r="382" spans="2:3" ht="15" x14ac:dyDescent="0.2">
      <c r="B382" s="12" t="s">
        <v>132</v>
      </c>
      <c r="C382" s="12"/>
    </row>
    <row r="383" spans="2:3" ht="15" x14ac:dyDescent="0.2">
      <c r="B383" s="12"/>
      <c r="C383" s="255" t="s">
        <v>138</v>
      </c>
    </row>
    <row r="384" spans="2:3" ht="15" x14ac:dyDescent="0.2">
      <c r="B384" s="12" t="s">
        <v>137</v>
      </c>
      <c r="C384" s="13" t="s">
        <v>139</v>
      </c>
    </row>
    <row r="386" spans="1:3" ht="20.25" x14ac:dyDescent="0.25">
      <c r="A386" s="358" t="s">
        <v>204</v>
      </c>
      <c r="B386" s="11" t="s">
        <v>116</v>
      </c>
      <c r="C386" s="10" t="s">
        <v>58</v>
      </c>
    </row>
    <row r="387" spans="1:3" ht="18" x14ac:dyDescent="0.25">
      <c r="B387" s="14" t="s">
        <v>129</v>
      </c>
    </row>
    <row r="388" spans="1:3" ht="18" x14ac:dyDescent="0.25">
      <c r="A388" s="9"/>
      <c r="B388" s="11" t="s">
        <v>144</v>
      </c>
      <c r="C388" s="1172" t="str">
        <f>'Tab.1. bilans_Polska'!$E$59</f>
        <v>Termin: 29 luty 2012 r.</v>
      </c>
    </row>
    <row r="389" spans="1:3" ht="18" x14ac:dyDescent="0.25">
      <c r="B389" s="11"/>
    </row>
    <row r="390" spans="1:3" ht="18" x14ac:dyDescent="0.25">
      <c r="B390" s="11" t="s">
        <v>130</v>
      </c>
    </row>
    <row r="391" spans="1:3" ht="15.75" x14ac:dyDescent="0.25">
      <c r="B391" s="1" t="s">
        <v>131</v>
      </c>
    </row>
    <row r="392" spans="1:3" ht="15.75" x14ac:dyDescent="0.25">
      <c r="B392" s="1"/>
    </row>
    <row r="393" spans="1:3" ht="15.75" x14ac:dyDescent="0.25">
      <c r="B393" s="1"/>
    </row>
    <row r="394" spans="1:3" ht="18" x14ac:dyDescent="0.25">
      <c r="B394" s="1823" t="s">
        <v>59</v>
      </c>
      <c r="C394" s="1823"/>
    </row>
    <row r="395" spans="1:3" ht="18" x14ac:dyDescent="0.25">
      <c r="B395" s="1823" t="s">
        <v>61</v>
      </c>
      <c r="C395" s="1823"/>
    </row>
    <row r="396" spans="1:3" ht="18" x14ac:dyDescent="0.25">
      <c r="B396" s="1823" t="s">
        <v>63</v>
      </c>
      <c r="C396" s="1823"/>
    </row>
    <row r="397" spans="1:3" ht="18" x14ac:dyDescent="0.25">
      <c r="B397" s="1887" t="str">
        <f>$B$13</f>
        <v>WG STANU NA DZIEŃ 31. XII. 2011 r.</v>
      </c>
      <c r="C397" s="1887"/>
    </row>
    <row r="399" spans="1:3" ht="13.5" thickBot="1" x14ac:dyDescent="0.25"/>
    <row r="400" spans="1:3" ht="13.5" thickTop="1" x14ac:dyDescent="0.2">
      <c r="B400" s="5"/>
      <c r="C400" s="63"/>
    </row>
    <row r="401" spans="2:3" ht="18" x14ac:dyDescent="0.25">
      <c r="B401" s="189" t="s">
        <v>21</v>
      </c>
      <c r="C401" s="83" t="s">
        <v>2</v>
      </c>
    </row>
    <row r="402" spans="2:3" x14ac:dyDescent="0.2">
      <c r="B402" s="6"/>
      <c r="C402" s="66"/>
    </row>
    <row r="403" spans="2:3" ht="15.75" thickBot="1" x14ac:dyDescent="0.3">
      <c r="B403" s="67">
        <v>0</v>
      </c>
      <c r="C403" s="68">
        <v>1</v>
      </c>
    </row>
    <row r="404" spans="2:3" ht="16.5" thickTop="1" x14ac:dyDescent="0.25">
      <c r="B404" s="190" t="s">
        <v>65</v>
      </c>
      <c r="C404" s="359">
        <f>C406+C410</f>
        <v>484</v>
      </c>
    </row>
    <row r="405" spans="2:3" ht="15.75" thickBot="1" x14ac:dyDescent="0.25">
      <c r="B405" s="193" t="s">
        <v>49</v>
      </c>
      <c r="C405" s="191"/>
    </row>
    <row r="406" spans="2:3" ht="15.75" thickTop="1" x14ac:dyDescent="0.2">
      <c r="B406" s="194" t="s">
        <v>66</v>
      </c>
      <c r="C406" s="359">
        <f>SUM(C408:C409)</f>
        <v>460</v>
      </c>
    </row>
    <row r="407" spans="2:3" ht="15" x14ac:dyDescent="0.2">
      <c r="B407" s="195" t="s">
        <v>34</v>
      </c>
      <c r="C407" s="192"/>
    </row>
    <row r="408" spans="2:3" ht="15" x14ac:dyDescent="0.2">
      <c r="B408" s="194" t="s">
        <v>67</v>
      </c>
      <c r="C408" s="1383">
        <v>330</v>
      </c>
    </row>
    <row r="409" spans="2:3" ht="15.75" thickBot="1" x14ac:dyDescent="0.25">
      <c r="B409" s="196" t="s">
        <v>68</v>
      </c>
      <c r="C409" s="1384">
        <v>130</v>
      </c>
    </row>
    <row r="410" spans="2:3" ht="15.75" thickBot="1" x14ac:dyDescent="0.25">
      <c r="B410" s="197" t="s">
        <v>69</v>
      </c>
      <c r="C410" s="1385">
        <v>24</v>
      </c>
    </row>
    <row r="411" spans="2:3" ht="13.5" thickTop="1" x14ac:dyDescent="0.2"/>
    <row r="413" spans="2:3" ht="15" x14ac:dyDescent="0.2">
      <c r="B413" s="12" t="s">
        <v>123</v>
      </c>
      <c r="C413" s="12"/>
    </row>
    <row r="414" spans="2:3" ht="15" x14ac:dyDescent="0.2">
      <c r="B414" s="12" t="s">
        <v>132</v>
      </c>
      <c r="C414" s="12"/>
    </row>
    <row r="415" spans="2:3" ht="15" x14ac:dyDescent="0.2">
      <c r="B415" s="12"/>
      <c r="C415" s="255" t="s">
        <v>138</v>
      </c>
    </row>
    <row r="416" spans="2:3" ht="15" x14ac:dyDescent="0.2">
      <c r="B416" s="12" t="s">
        <v>137</v>
      </c>
      <c r="C416" s="13" t="s">
        <v>139</v>
      </c>
    </row>
    <row r="418" spans="1:3" ht="20.25" x14ac:dyDescent="0.25">
      <c r="A418" s="358" t="s">
        <v>205</v>
      </c>
      <c r="B418" s="11" t="s">
        <v>116</v>
      </c>
      <c r="C418" s="10" t="s">
        <v>58</v>
      </c>
    </row>
    <row r="419" spans="1:3" ht="18" x14ac:dyDescent="0.25">
      <c r="B419" s="14" t="s">
        <v>129</v>
      </c>
    </row>
    <row r="420" spans="1:3" ht="18" x14ac:dyDescent="0.25">
      <c r="A420" s="9"/>
      <c r="B420" s="11" t="s">
        <v>144</v>
      </c>
      <c r="C420" s="1172" t="str">
        <f>'Tab.1. bilans_Polska'!$E$59</f>
        <v>Termin: 29 luty 2012 r.</v>
      </c>
    </row>
    <row r="421" spans="1:3" ht="18" x14ac:dyDescent="0.25">
      <c r="B421" s="11"/>
    </row>
    <row r="422" spans="1:3" ht="18" x14ac:dyDescent="0.25">
      <c r="B422" s="11" t="s">
        <v>130</v>
      </c>
    </row>
    <row r="423" spans="1:3" ht="15.75" x14ac:dyDescent="0.25">
      <c r="B423" s="1" t="s">
        <v>131</v>
      </c>
    </row>
    <row r="424" spans="1:3" ht="15.75" x14ac:dyDescent="0.25">
      <c r="B424" s="1"/>
    </row>
    <row r="425" spans="1:3" ht="15.75" x14ac:dyDescent="0.25">
      <c r="B425" s="1"/>
    </row>
    <row r="426" spans="1:3" ht="18" x14ac:dyDescent="0.25">
      <c r="B426" s="1823" t="s">
        <v>59</v>
      </c>
      <c r="C426" s="1823"/>
    </row>
    <row r="427" spans="1:3" ht="18" x14ac:dyDescent="0.25">
      <c r="B427" s="1823" t="s">
        <v>61</v>
      </c>
      <c r="C427" s="1823"/>
    </row>
    <row r="428" spans="1:3" ht="18" x14ac:dyDescent="0.25">
      <c r="B428" s="1823" t="s">
        <v>63</v>
      </c>
      <c r="C428" s="1823"/>
    </row>
    <row r="429" spans="1:3" ht="18" x14ac:dyDescent="0.25">
      <c r="B429" s="1887" t="str">
        <f>$B$13</f>
        <v>WG STANU NA DZIEŃ 31. XII. 2011 r.</v>
      </c>
      <c r="C429" s="1887"/>
    </row>
    <row r="431" spans="1:3" ht="13.5" thickBot="1" x14ac:dyDescent="0.25"/>
    <row r="432" spans="1:3" ht="13.5" thickTop="1" x14ac:dyDescent="0.2">
      <c r="B432" s="5"/>
      <c r="C432" s="63"/>
    </row>
    <row r="433" spans="2:3" ht="18" x14ac:dyDescent="0.25">
      <c r="B433" s="189" t="s">
        <v>21</v>
      </c>
      <c r="C433" s="83" t="s">
        <v>2</v>
      </c>
    </row>
    <row r="434" spans="2:3" x14ac:dyDescent="0.2">
      <c r="B434" s="6"/>
      <c r="C434" s="66"/>
    </row>
    <row r="435" spans="2:3" ht="15.75" thickBot="1" x14ac:dyDescent="0.3">
      <c r="B435" s="67">
        <v>0</v>
      </c>
      <c r="C435" s="68">
        <v>1</v>
      </c>
    </row>
    <row r="436" spans="2:3" ht="16.5" thickTop="1" x14ac:dyDescent="0.25">
      <c r="B436" s="190" t="s">
        <v>65</v>
      </c>
      <c r="C436" s="359">
        <f>C438+C442</f>
        <v>302</v>
      </c>
    </row>
    <row r="437" spans="2:3" ht="15.75" thickBot="1" x14ac:dyDescent="0.25">
      <c r="B437" s="193" t="s">
        <v>49</v>
      </c>
      <c r="C437" s="191"/>
    </row>
    <row r="438" spans="2:3" ht="15.75" thickTop="1" x14ac:dyDescent="0.2">
      <c r="B438" s="194" t="s">
        <v>66</v>
      </c>
      <c r="C438" s="359">
        <f>SUM(C440:C441)</f>
        <v>275</v>
      </c>
    </row>
    <row r="439" spans="2:3" ht="15" x14ac:dyDescent="0.2">
      <c r="B439" s="195" t="s">
        <v>34</v>
      </c>
      <c r="C439" s="192"/>
    </row>
    <row r="440" spans="2:3" ht="15" x14ac:dyDescent="0.2">
      <c r="B440" s="194" t="s">
        <v>67</v>
      </c>
      <c r="C440" s="1383">
        <v>206</v>
      </c>
    </row>
    <row r="441" spans="2:3" ht="15.75" thickBot="1" x14ac:dyDescent="0.25">
      <c r="B441" s="196" t="s">
        <v>68</v>
      </c>
      <c r="C441" s="1384">
        <v>69</v>
      </c>
    </row>
    <row r="442" spans="2:3" ht="15.75" thickBot="1" x14ac:dyDescent="0.25">
      <c r="B442" s="197" t="s">
        <v>69</v>
      </c>
      <c r="C442" s="1385">
        <v>27</v>
      </c>
    </row>
    <row r="443" spans="2:3" ht="13.5" thickTop="1" x14ac:dyDescent="0.2"/>
    <row r="445" spans="2:3" ht="15" x14ac:dyDescent="0.2">
      <c r="B445" s="12" t="s">
        <v>123</v>
      </c>
      <c r="C445" s="12"/>
    </row>
    <row r="446" spans="2:3" ht="15" x14ac:dyDescent="0.2">
      <c r="B446" s="12" t="s">
        <v>132</v>
      </c>
      <c r="C446" s="12"/>
    </row>
    <row r="447" spans="2:3" ht="15" x14ac:dyDescent="0.2">
      <c r="B447" s="12"/>
      <c r="C447" s="255" t="s">
        <v>138</v>
      </c>
    </row>
    <row r="448" spans="2:3" ht="15" x14ac:dyDescent="0.2">
      <c r="B448" s="12" t="s">
        <v>137</v>
      </c>
      <c r="C448" s="13" t="s">
        <v>139</v>
      </c>
    </row>
    <row r="449" spans="1:3" ht="20.25" x14ac:dyDescent="0.2">
      <c r="A449" s="358" t="s">
        <v>206</v>
      </c>
    </row>
    <row r="450" spans="1:3" ht="18" x14ac:dyDescent="0.25">
      <c r="B450" s="11" t="s">
        <v>116</v>
      </c>
      <c r="C450" s="10" t="s">
        <v>58</v>
      </c>
    </row>
    <row r="451" spans="1:3" ht="18" x14ac:dyDescent="0.25">
      <c r="B451" s="14" t="s">
        <v>129</v>
      </c>
    </row>
    <row r="452" spans="1:3" ht="18" x14ac:dyDescent="0.25">
      <c r="A452" s="9"/>
      <c r="B452" s="11" t="s">
        <v>144</v>
      </c>
      <c r="C452" s="1172" t="str">
        <f>'Tab.1. bilans_Polska'!$E$59</f>
        <v>Termin: 29 luty 2012 r.</v>
      </c>
    </row>
    <row r="453" spans="1:3" ht="18" x14ac:dyDescent="0.25">
      <c r="B453" s="11"/>
    </row>
    <row r="454" spans="1:3" ht="18" x14ac:dyDescent="0.25">
      <c r="B454" s="11" t="s">
        <v>130</v>
      </c>
    </row>
    <row r="455" spans="1:3" ht="15.75" x14ac:dyDescent="0.25">
      <c r="B455" s="1" t="s">
        <v>131</v>
      </c>
    </row>
    <row r="456" spans="1:3" ht="15.75" x14ac:dyDescent="0.25">
      <c r="B456" s="1"/>
    </row>
    <row r="457" spans="1:3" ht="15.75" x14ac:dyDescent="0.25">
      <c r="B457" s="1"/>
    </row>
    <row r="458" spans="1:3" ht="18" x14ac:dyDescent="0.25">
      <c r="B458" s="1823" t="s">
        <v>59</v>
      </c>
      <c r="C458" s="1823"/>
    </row>
    <row r="459" spans="1:3" ht="18" x14ac:dyDescent="0.25">
      <c r="B459" s="1823" t="s">
        <v>61</v>
      </c>
      <c r="C459" s="1823"/>
    </row>
    <row r="460" spans="1:3" ht="18" x14ac:dyDescent="0.25">
      <c r="B460" s="1823" t="s">
        <v>63</v>
      </c>
      <c r="C460" s="1823"/>
    </row>
    <row r="461" spans="1:3" ht="18" x14ac:dyDescent="0.25">
      <c r="B461" s="1887" t="str">
        <f>$B$13</f>
        <v>WG STANU NA DZIEŃ 31. XII. 2011 r.</v>
      </c>
      <c r="C461" s="1887"/>
    </row>
    <row r="463" spans="1:3" ht="13.5" thickBot="1" x14ac:dyDescent="0.25"/>
    <row r="464" spans="1:3" ht="13.5" thickTop="1" x14ac:dyDescent="0.2">
      <c r="B464" s="5"/>
      <c r="C464" s="63"/>
    </row>
    <row r="465" spans="2:3" ht="18" x14ac:dyDescent="0.25">
      <c r="B465" s="189" t="s">
        <v>21</v>
      </c>
      <c r="C465" s="83" t="s">
        <v>2</v>
      </c>
    </row>
    <row r="466" spans="2:3" x14ac:dyDescent="0.2">
      <c r="B466" s="6"/>
      <c r="C466" s="66"/>
    </row>
    <row r="467" spans="2:3" ht="15.75" thickBot="1" x14ac:dyDescent="0.3">
      <c r="B467" s="67">
        <v>0</v>
      </c>
      <c r="C467" s="68">
        <v>1</v>
      </c>
    </row>
    <row r="468" spans="2:3" ht="16.5" thickTop="1" x14ac:dyDescent="0.25">
      <c r="B468" s="190" t="s">
        <v>65</v>
      </c>
      <c r="C468" s="359">
        <f>C470+C474</f>
        <v>743</v>
      </c>
    </row>
    <row r="469" spans="2:3" ht="15.75" thickBot="1" x14ac:dyDescent="0.25">
      <c r="B469" s="193" t="s">
        <v>49</v>
      </c>
      <c r="C469" s="191"/>
    </row>
    <row r="470" spans="2:3" ht="15.75" thickTop="1" x14ac:dyDescent="0.2">
      <c r="B470" s="194" t="s">
        <v>66</v>
      </c>
      <c r="C470" s="359">
        <f>SUM(C472:C473)</f>
        <v>681</v>
      </c>
    </row>
    <row r="471" spans="2:3" ht="15" x14ac:dyDescent="0.2">
      <c r="B471" s="195" t="s">
        <v>34</v>
      </c>
      <c r="C471" s="192"/>
    </row>
    <row r="472" spans="2:3" ht="15" x14ac:dyDescent="0.2">
      <c r="B472" s="194" t="s">
        <v>67</v>
      </c>
      <c r="C472" s="1383">
        <v>478</v>
      </c>
    </row>
    <row r="473" spans="2:3" ht="15.75" thickBot="1" x14ac:dyDescent="0.25">
      <c r="B473" s="196" t="s">
        <v>68</v>
      </c>
      <c r="C473" s="1384">
        <v>203</v>
      </c>
    </row>
    <row r="474" spans="2:3" ht="15.75" thickBot="1" x14ac:dyDescent="0.25">
      <c r="B474" s="197" t="s">
        <v>69</v>
      </c>
      <c r="C474" s="1385">
        <v>62</v>
      </c>
    </row>
    <row r="475" spans="2:3" ht="13.5" thickTop="1" x14ac:dyDescent="0.2"/>
    <row r="477" spans="2:3" ht="15" x14ac:dyDescent="0.2">
      <c r="B477" s="12" t="s">
        <v>123</v>
      </c>
      <c r="C477" s="12"/>
    </row>
    <row r="478" spans="2:3" ht="15" x14ac:dyDescent="0.2">
      <c r="B478" s="12" t="s">
        <v>132</v>
      </c>
      <c r="C478" s="12"/>
    </row>
    <row r="479" spans="2:3" ht="15" x14ac:dyDescent="0.2">
      <c r="B479" s="12"/>
      <c r="C479" s="255" t="s">
        <v>138</v>
      </c>
    </row>
    <row r="480" spans="2:3" ht="15" x14ac:dyDescent="0.2">
      <c r="B480" s="12" t="s">
        <v>137</v>
      </c>
      <c r="C480" s="13" t="s">
        <v>139</v>
      </c>
    </row>
    <row r="482" spans="1:3" ht="20.25" x14ac:dyDescent="0.25">
      <c r="A482" s="358" t="s">
        <v>207</v>
      </c>
      <c r="B482" s="11" t="s">
        <v>116</v>
      </c>
      <c r="C482" s="10" t="s">
        <v>58</v>
      </c>
    </row>
    <row r="483" spans="1:3" ht="18" x14ac:dyDescent="0.25">
      <c r="B483" s="14" t="s">
        <v>129</v>
      </c>
    </row>
    <row r="484" spans="1:3" ht="18" x14ac:dyDescent="0.25">
      <c r="A484" s="9"/>
      <c r="B484" s="11" t="s">
        <v>144</v>
      </c>
      <c r="C484" s="1172" t="str">
        <f>'Tab.1. bilans_Polska'!$E$59</f>
        <v>Termin: 29 luty 2012 r.</v>
      </c>
    </row>
    <row r="485" spans="1:3" ht="18" x14ac:dyDescent="0.25">
      <c r="B485" s="11"/>
    </row>
    <row r="486" spans="1:3" ht="18" x14ac:dyDescent="0.25">
      <c r="B486" s="11" t="s">
        <v>130</v>
      </c>
    </row>
    <row r="487" spans="1:3" ht="15.75" x14ac:dyDescent="0.25">
      <c r="B487" s="1" t="s">
        <v>131</v>
      </c>
    </row>
    <row r="488" spans="1:3" ht="15.75" x14ac:dyDescent="0.25">
      <c r="B488" s="1"/>
    </row>
    <row r="489" spans="1:3" ht="15.75" x14ac:dyDescent="0.25">
      <c r="B489" s="1"/>
    </row>
    <row r="490" spans="1:3" ht="18" x14ac:dyDescent="0.25">
      <c r="B490" s="1823" t="s">
        <v>59</v>
      </c>
      <c r="C490" s="1823"/>
    </row>
    <row r="491" spans="1:3" ht="18" x14ac:dyDescent="0.25">
      <c r="B491" s="1823" t="s">
        <v>61</v>
      </c>
      <c r="C491" s="1823"/>
    </row>
    <row r="492" spans="1:3" ht="18" x14ac:dyDescent="0.25">
      <c r="B492" s="1823" t="s">
        <v>63</v>
      </c>
      <c r="C492" s="1823"/>
    </row>
    <row r="493" spans="1:3" ht="18" x14ac:dyDescent="0.25">
      <c r="B493" s="1887" t="str">
        <f>$B$13</f>
        <v>WG STANU NA DZIEŃ 31. XII. 2011 r.</v>
      </c>
      <c r="C493" s="1887"/>
    </row>
    <row r="495" spans="1:3" ht="13.5" thickBot="1" x14ac:dyDescent="0.25"/>
    <row r="496" spans="1:3" ht="13.5" thickTop="1" x14ac:dyDescent="0.2">
      <c r="B496" s="5"/>
      <c r="C496" s="63"/>
    </row>
    <row r="497" spans="2:3" ht="18" x14ac:dyDescent="0.25">
      <c r="B497" s="189" t="s">
        <v>21</v>
      </c>
      <c r="C497" s="83" t="s">
        <v>2</v>
      </c>
    </row>
    <row r="498" spans="2:3" x14ac:dyDescent="0.2">
      <c r="B498" s="6"/>
      <c r="C498" s="66"/>
    </row>
    <row r="499" spans="2:3" ht="15.75" thickBot="1" x14ac:dyDescent="0.3">
      <c r="B499" s="67">
        <v>0</v>
      </c>
      <c r="C499" s="68">
        <v>1</v>
      </c>
    </row>
    <row r="500" spans="2:3" ht="16.5" thickTop="1" x14ac:dyDescent="0.25">
      <c r="B500" s="190" t="s">
        <v>65</v>
      </c>
      <c r="C500" s="359">
        <f>C502+C506</f>
        <v>826</v>
      </c>
    </row>
    <row r="501" spans="2:3" ht="15.75" thickBot="1" x14ac:dyDescent="0.25">
      <c r="B501" s="193" t="s">
        <v>49</v>
      </c>
      <c r="C501" s="191"/>
    </row>
    <row r="502" spans="2:3" ht="15.75" thickTop="1" x14ac:dyDescent="0.2">
      <c r="B502" s="194" t="s">
        <v>66</v>
      </c>
      <c r="C502" s="359">
        <f>SUM(C504:C505)</f>
        <v>699</v>
      </c>
    </row>
    <row r="503" spans="2:3" ht="15" x14ac:dyDescent="0.2">
      <c r="B503" s="195" t="s">
        <v>34</v>
      </c>
      <c r="C503" s="192"/>
    </row>
    <row r="504" spans="2:3" ht="15" x14ac:dyDescent="0.2">
      <c r="B504" s="194" t="s">
        <v>67</v>
      </c>
      <c r="C504" s="1383">
        <v>502</v>
      </c>
    </row>
    <row r="505" spans="2:3" ht="15.75" thickBot="1" x14ac:dyDescent="0.25">
      <c r="B505" s="196" t="s">
        <v>68</v>
      </c>
      <c r="C505" s="1384">
        <v>197</v>
      </c>
    </row>
    <row r="506" spans="2:3" ht="15.75" thickBot="1" x14ac:dyDescent="0.25">
      <c r="B506" s="197" t="s">
        <v>69</v>
      </c>
      <c r="C506" s="1385">
        <v>127</v>
      </c>
    </row>
    <row r="507" spans="2:3" ht="13.5" thickTop="1" x14ac:dyDescent="0.2"/>
    <row r="509" spans="2:3" ht="15" x14ac:dyDescent="0.2">
      <c r="B509" s="12" t="s">
        <v>123</v>
      </c>
      <c r="C509" s="12"/>
    </row>
    <row r="510" spans="2:3" ht="15" x14ac:dyDescent="0.2">
      <c r="B510" s="12" t="s">
        <v>132</v>
      </c>
      <c r="C510" s="12"/>
    </row>
    <row r="511" spans="2:3" ht="15" x14ac:dyDescent="0.2">
      <c r="B511" s="12"/>
      <c r="C511" s="255" t="s">
        <v>138</v>
      </c>
    </row>
    <row r="512" spans="2:3" ht="15" x14ac:dyDescent="0.2">
      <c r="B512" s="12" t="s">
        <v>137</v>
      </c>
      <c r="C512" s="13" t="s">
        <v>139</v>
      </c>
    </row>
    <row r="514" spans="1:3" ht="20.25" x14ac:dyDescent="0.25">
      <c r="A514" s="358" t="s">
        <v>208</v>
      </c>
      <c r="B514" s="11" t="s">
        <v>116</v>
      </c>
      <c r="C514" s="10" t="s">
        <v>58</v>
      </c>
    </row>
    <row r="515" spans="1:3" ht="18" x14ac:dyDescent="0.25">
      <c r="B515" s="14" t="s">
        <v>129</v>
      </c>
    </row>
    <row r="516" spans="1:3" ht="18" x14ac:dyDescent="0.25">
      <c r="A516" s="9"/>
      <c r="B516" s="11" t="s">
        <v>144</v>
      </c>
      <c r="C516" s="1172" t="str">
        <f>'Tab.1. bilans_Polska'!$E$59</f>
        <v>Termin: 29 luty 2012 r.</v>
      </c>
    </row>
    <row r="517" spans="1:3" ht="18" x14ac:dyDescent="0.25">
      <c r="B517" s="11"/>
    </row>
    <row r="518" spans="1:3" ht="18" x14ac:dyDescent="0.25">
      <c r="B518" s="11" t="s">
        <v>130</v>
      </c>
    </row>
    <row r="519" spans="1:3" ht="15.75" x14ac:dyDescent="0.25">
      <c r="B519" s="1" t="s">
        <v>131</v>
      </c>
    </row>
    <row r="520" spans="1:3" ht="15.75" x14ac:dyDescent="0.25">
      <c r="B520" s="1"/>
    </row>
    <row r="521" spans="1:3" ht="15.75" x14ac:dyDescent="0.25">
      <c r="B521" s="1"/>
    </row>
    <row r="522" spans="1:3" ht="18" x14ac:dyDescent="0.25">
      <c r="B522" s="1823" t="s">
        <v>59</v>
      </c>
      <c r="C522" s="1823"/>
    </row>
    <row r="523" spans="1:3" ht="18" x14ac:dyDescent="0.25">
      <c r="B523" s="1823" t="s">
        <v>61</v>
      </c>
      <c r="C523" s="1823"/>
    </row>
    <row r="524" spans="1:3" ht="18" x14ac:dyDescent="0.25">
      <c r="B524" s="1823" t="s">
        <v>63</v>
      </c>
      <c r="C524" s="1823"/>
    </row>
    <row r="525" spans="1:3" ht="18" x14ac:dyDescent="0.25">
      <c r="B525" s="1887" t="str">
        <f>$B$13</f>
        <v>WG STANU NA DZIEŃ 31. XII. 2011 r.</v>
      </c>
      <c r="C525" s="1887"/>
    </row>
    <row r="527" spans="1:3" ht="13.5" thickBot="1" x14ac:dyDescent="0.25"/>
    <row r="528" spans="1:3" ht="13.5" thickTop="1" x14ac:dyDescent="0.2">
      <c r="B528" s="5"/>
      <c r="C528" s="63"/>
    </row>
    <row r="529" spans="2:3" ht="18" x14ac:dyDescent="0.25">
      <c r="B529" s="189" t="s">
        <v>21</v>
      </c>
      <c r="C529" s="83" t="s">
        <v>2</v>
      </c>
    </row>
    <row r="530" spans="2:3" x14ac:dyDescent="0.2">
      <c r="B530" s="6"/>
      <c r="C530" s="66"/>
    </row>
    <row r="531" spans="2:3" ht="15.75" thickBot="1" x14ac:dyDescent="0.3">
      <c r="B531" s="67">
        <v>0</v>
      </c>
      <c r="C531" s="68">
        <v>1</v>
      </c>
    </row>
    <row r="532" spans="2:3" ht="16.5" thickTop="1" x14ac:dyDescent="0.25">
      <c r="B532" s="190" t="s">
        <v>65</v>
      </c>
      <c r="C532" s="359">
        <f>C534+C538</f>
        <v>287</v>
      </c>
    </row>
    <row r="533" spans="2:3" ht="15.75" thickBot="1" x14ac:dyDescent="0.25">
      <c r="B533" s="193" t="s">
        <v>49</v>
      </c>
      <c r="C533" s="191"/>
    </row>
    <row r="534" spans="2:3" ht="15.75" thickTop="1" x14ac:dyDescent="0.2">
      <c r="B534" s="194" t="s">
        <v>66</v>
      </c>
      <c r="C534" s="359">
        <f>SUM(C536:C537)</f>
        <v>248</v>
      </c>
    </row>
    <row r="535" spans="2:3" ht="15" x14ac:dyDescent="0.2">
      <c r="B535" s="195" t="s">
        <v>34</v>
      </c>
      <c r="C535" s="192"/>
    </row>
    <row r="536" spans="2:3" ht="15" x14ac:dyDescent="0.2">
      <c r="B536" s="194" t="s">
        <v>67</v>
      </c>
      <c r="C536" s="1383">
        <v>205</v>
      </c>
    </row>
    <row r="537" spans="2:3" ht="15.75" thickBot="1" x14ac:dyDescent="0.25">
      <c r="B537" s="196" t="s">
        <v>68</v>
      </c>
      <c r="C537" s="1386">
        <v>43</v>
      </c>
    </row>
    <row r="538" spans="2:3" ht="15.75" thickBot="1" x14ac:dyDescent="0.25">
      <c r="B538" s="197" t="s">
        <v>69</v>
      </c>
      <c r="C538" s="1385">
        <v>39</v>
      </c>
    </row>
    <row r="539" spans="2:3" ht="13.5" thickTop="1" x14ac:dyDescent="0.2"/>
    <row r="541" spans="2:3" ht="15" x14ac:dyDescent="0.2">
      <c r="B541" s="12" t="s">
        <v>123</v>
      </c>
      <c r="C541" s="12"/>
    </row>
    <row r="542" spans="2:3" ht="15" x14ac:dyDescent="0.2">
      <c r="B542" s="12" t="s">
        <v>132</v>
      </c>
      <c r="C542" s="12"/>
    </row>
    <row r="543" spans="2:3" ht="15" x14ac:dyDescent="0.2">
      <c r="B543" s="12"/>
      <c r="C543" s="255" t="s">
        <v>138</v>
      </c>
    </row>
    <row r="544" spans="2:3" ht="15" x14ac:dyDescent="0.2">
      <c r="B544" s="12" t="s">
        <v>137</v>
      </c>
      <c r="C544" s="13" t="s">
        <v>139</v>
      </c>
    </row>
  </sheetData>
  <mergeCells count="68">
    <mergeCell ref="B522:C522"/>
    <mergeCell ref="B523:C523"/>
    <mergeCell ref="B524:C524"/>
    <mergeCell ref="B525:C525"/>
    <mergeCell ref="B490:C490"/>
    <mergeCell ref="B491:C491"/>
    <mergeCell ref="B492:C492"/>
    <mergeCell ref="B493:C493"/>
    <mergeCell ref="B458:C458"/>
    <mergeCell ref="B459:C459"/>
    <mergeCell ref="B460:C460"/>
    <mergeCell ref="B461:C461"/>
    <mergeCell ref="B426:C426"/>
    <mergeCell ref="B427:C427"/>
    <mergeCell ref="B428:C428"/>
    <mergeCell ref="B429:C429"/>
    <mergeCell ref="B394:C394"/>
    <mergeCell ref="B395:C395"/>
    <mergeCell ref="B396:C396"/>
    <mergeCell ref="B397:C397"/>
    <mergeCell ref="B362:C362"/>
    <mergeCell ref="B363:C363"/>
    <mergeCell ref="B364:C364"/>
    <mergeCell ref="B365:C365"/>
    <mergeCell ref="B330:C330"/>
    <mergeCell ref="B331:C331"/>
    <mergeCell ref="B332:C332"/>
    <mergeCell ref="B333:C333"/>
    <mergeCell ref="B298:C298"/>
    <mergeCell ref="B299:C299"/>
    <mergeCell ref="B300:C300"/>
    <mergeCell ref="B301:C301"/>
    <mergeCell ref="B266:C266"/>
    <mergeCell ref="B267:C267"/>
    <mergeCell ref="B268:C268"/>
    <mergeCell ref="B269:C269"/>
    <mergeCell ref="B234:C234"/>
    <mergeCell ref="B235:C235"/>
    <mergeCell ref="B236:C236"/>
    <mergeCell ref="B237:C237"/>
    <mergeCell ref="B202:C202"/>
    <mergeCell ref="B203:C203"/>
    <mergeCell ref="B204:C204"/>
    <mergeCell ref="B205:C205"/>
    <mergeCell ref="B170:C170"/>
    <mergeCell ref="B171:C171"/>
    <mergeCell ref="B172:C172"/>
    <mergeCell ref="B173:C173"/>
    <mergeCell ref="B138:C138"/>
    <mergeCell ref="B139:C139"/>
    <mergeCell ref="B140:C140"/>
    <mergeCell ref="B141:C141"/>
    <mergeCell ref="B106:C106"/>
    <mergeCell ref="B107:C107"/>
    <mergeCell ref="B108:C108"/>
    <mergeCell ref="B109:C109"/>
    <mergeCell ref="B76:C76"/>
    <mergeCell ref="B77:C77"/>
    <mergeCell ref="B42:C42"/>
    <mergeCell ref="B43:C43"/>
    <mergeCell ref="B44:C44"/>
    <mergeCell ref="B45:C45"/>
    <mergeCell ref="B10:C10"/>
    <mergeCell ref="B11:C11"/>
    <mergeCell ref="B13:C13"/>
    <mergeCell ref="B12:C12"/>
    <mergeCell ref="B74:C74"/>
    <mergeCell ref="B75:C75"/>
  </mergeCells>
  <phoneticPr fontId="82" type="noConversion"/>
  <printOptions horizontalCentered="1"/>
  <pageMargins left="0.98425196850393704" right="0.39370078740157483" top="1.4566929133858268" bottom="0.15748031496062992" header="0.43307086614173229" footer="0"/>
  <pageSetup paperSize="9" orientation="portrait" r:id="rId1"/>
  <headerFooter alignWithMargins="0"/>
  <ignoredErrors>
    <ignoredError sqref="A482 A290 A449 A386 A322 A1 A418 A34 A514 A354 A258 A226 A194 A130 A66 A162 A97" numberStoredAsText="1"/>
    <ignoredError sqref="C438" formulaRange="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heetViews>
  <sheetFormatPr defaultRowHeight="12.75" x14ac:dyDescent="0.2"/>
  <cols>
    <col min="1" max="1" width="3.7109375" customWidth="1"/>
    <col min="2" max="2" width="24.5703125" bestFit="1" customWidth="1"/>
    <col min="4" max="11" width="12.7109375" customWidth="1"/>
  </cols>
  <sheetData>
    <row r="1" spans="1:11" ht="15.75" x14ac:dyDescent="0.25">
      <c r="A1" s="1" t="s">
        <v>195</v>
      </c>
      <c r="B1" s="3"/>
      <c r="C1" s="4"/>
      <c r="D1" s="3"/>
      <c r="E1" s="3"/>
      <c r="F1" s="3"/>
      <c r="G1" s="413"/>
      <c r="H1" s="413"/>
      <c r="J1" s="1603" t="s">
        <v>374</v>
      </c>
      <c r="K1" s="1603"/>
    </row>
    <row r="2" spans="1:11" x14ac:dyDescent="0.2">
      <c r="A2" s="3" t="s">
        <v>214</v>
      </c>
      <c r="B2" s="3"/>
    </row>
    <row r="3" spans="1:11" x14ac:dyDescent="0.2">
      <c r="A3" s="3" t="s">
        <v>216</v>
      </c>
      <c r="B3" s="3"/>
      <c r="C3" s="3"/>
      <c r="D3" s="3"/>
      <c r="E3" s="3"/>
      <c r="F3" s="3"/>
      <c r="G3" s="3"/>
      <c r="H3" s="3"/>
      <c r="I3" s="3"/>
    </row>
    <row r="4" spans="1:11" x14ac:dyDescent="0.2">
      <c r="A4" s="3" t="s">
        <v>128</v>
      </c>
      <c r="B4" s="3"/>
      <c r="C4" s="3"/>
      <c r="D4" s="3"/>
      <c r="E4" s="3"/>
      <c r="F4" s="3"/>
      <c r="G4" s="3"/>
      <c r="H4" s="3"/>
      <c r="I4" s="3"/>
    </row>
    <row r="5" spans="1:11" x14ac:dyDescent="0.2">
      <c r="A5" s="3"/>
      <c r="B5" s="3"/>
      <c r="C5" s="3"/>
      <c r="D5" s="3"/>
      <c r="E5" s="3"/>
      <c r="F5" s="3"/>
      <c r="G5" s="3"/>
      <c r="H5" s="3"/>
      <c r="I5" s="3"/>
    </row>
    <row r="6" spans="1:11" ht="15.75" x14ac:dyDescent="0.25">
      <c r="A6" s="1604" t="s">
        <v>378</v>
      </c>
      <c r="B6" s="1604"/>
      <c r="C6" s="1604"/>
      <c r="D6" s="1604"/>
      <c r="E6" s="1604"/>
      <c r="F6" s="1604"/>
      <c r="G6" s="1604"/>
      <c r="H6" s="1604"/>
      <c r="I6" s="1604"/>
      <c r="J6" s="1604"/>
      <c r="K6" s="1604"/>
    </row>
    <row r="7" spans="1:11" ht="15.75" x14ac:dyDescent="0.25">
      <c r="A7" s="1604" t="s">
        <v>379</v>
      </c>
      <c r="B7" s="1604"/>
      <c r="C7" s="1604"/>
      <c r="D7" s="1604"/>
      <c r="E7" s="1604"/>
      <c r="F7" s="1604"/>
      <c r="G7" s="1604"/>
      <c r="H7" s="1604"/>
      <c r="I7" s="1604"/>
      <c r="J7" s="1604"/>
      <c r="K7" s="1604"/>
    </row>
    <row r="8" spans="1:11" ht="15.75" x14ac:dyDescent="0.25">
      <c r="A8" s="1691" t="str">
        <f>"WG STANU NA DZIEŃ 31.XII."&amp;'Tab.1. bilans_Polska'!A2&amp;" r."</f>
        <v>WG STANU NA DZIEŃ 31.XII.2011 r.</v>
      </c>
      <c r="B8" s="1690"/>
      <c r="C8" s="1690"/>
      <c r="D8" s="1690"/>
      <c r="E8" s="1690"/>
      <c r="F8" s="1690"/>
      <c r="G8" s="1690"/>
      <c r="H8" s="1690"/>
      <c r="I8" s="1690"/>
      <c r="J8" s="1690"/>
      <c r="K8" s="1690"/>
    </row>
    <row r="9" spans="1:11" ht="13.5" thickBot="1" x14ac:dyDescent="0.25">
      <c r="A9" s="3"/>
      <c r="B9" s="3"/>
      <c r="C9" s="3"/>
      <c r="D9" s="3"/>
      <c r="E9" s="3"/>
      <c r="F9" s="3"/>
      <c r="G9" s="3"/>
      <c r="H9" s="3"/>
      <c r="I9" s="3"/>
    </row>
    <row r="10" spans="1:11" ht="12.75" customHeight="1" thickTop="1" x14ac:dyDescent="0.2">
      <c r="A10" s="1692" t="s">
        <v>226</v>
      </c>
      <c r="B10" s="1695" t="s">
        <v>256</v>
      </c>
      <c r="C10" s="1889" t="s">
        <v>375</v>
      </c>
      <c r="D10" s="1891" t="s">
        <v>49</v>
      </c>
      <c r="E10" s="1891"/>
      <c r="F10" s="1891"/>
      <c r="G10" s="1891"/>
      <c r="H10" s="1891"/>
      <c r="I10" s="1891"/>
      <c r="J10" s="1891"/>
      <c r="K10" s="1892"/>
    </row>
    <row r="11" spans="1:11" ht="12.75" customHeight="1" x14ac:dyDescent="0.2">
      <c r="A11" s="1693"/>
      <c r="B11" s="1696"/>
      <c r="C11" s="1890"/>
      <c r="D11" s="1893" t="s">
        <v>376</v>
      </c>
      <c r="E11" s="1893"/>
      <c r="F11" s="1893"/>
      <c r="G11" s="1893"/>
      <c r="H11" s="1893"/>
      <c r="I11" s="1893"/>
      <c r="J11" s="1893" t="s">
        <v>340</v>
      </c>
      <c r="K11" s="1894"/>
    </row>
    <row r="12" spans="1:11" ht="12.75" customHeight="1" x14ac:dyDescent="0.2">
      <c r="A12" s="1693"/>
      <c r="B12" s="1696"/>
      <c r="C12" s="1890"/>
      <c r="D12" s="1893" t="s">
        <v>336</v>
      </c>
      <c r="E12" s="1895" t="s">
        <v>337</v>
      </c>
      <c r="F12" s="1893" t="s">
        <v>338</v>
      </c>
      <c r="G12" s="1895"/>
      <c r="H12" s="1893" t="s">
        <v>339</v>
      </c>
      <c r="I12" s="1895"/>
      <c r="J12" s="1893" t="s">
        <v>0</v>
      </c>
      <c r="K12" s="1888" t="s">
        <v>337</v>
      </c>
    </row>
    <row r="13" spans="1:11" ht="12.75" customHeight="1" x14ac:dyDescent="0.2">
      <c r="A13" s="1694"/>
      <c r="B13" s="1697"/>
      <c r="C13" s="1701"/>
      <c r="D13" s="1893"/>
      <c r="E13" s="1895"/>
      <c r="F13" s="596" t="s">
        <v>0</v>
      </c>
      <c r="G13" s="606" t="s">
        <v>337</v>
      </c>
      <c r="H13" s="596" t="s">
        <v>0</v>
      </c>
      <c r="I13" s="606" t="s">
        <v>337</v>
      </c>
      <c r="J13" s="1895"/>
      <c r="K13" s="1888"/>
    </row>
    <row r="14" spans="1:11" ht="13.5" thickBot="1" x14ac:dyDescent="0.25">
      <c r="A14" s="425"/>
      <c r="B14" s="429">
        <v>0</v>
      </c>
      <c r="C14" s="464">
        <v>1</v>
      </c>
      <c r="D14" s="496">
        <v>2</v>
      </c>
      <c r="E14" s="466">
        <v>3</v>
      </c>
      <c r="F14" s="466">
        <v>4</v>
      </c>
      <c r="G14" s="466">
        <v>5</v>
      </c>
      <c r="H14" s="467">
        <v>6</v>
      </c>
      <c r="I14" s="428">
        <v>7</v>
      </c>
      <c r="J14" s="428">
        <v>8</v>
      </c>
      <c r="K14" s="431">
        <v>9</v>
      </c>
    </row>
    <row r="15" spans="1:11" ht="13.5" thickTop="1" x14ac:dyDescent="0.2">
      <c r="A15" s="461">
        <v>1</v>
      </c>
      <c r="B15" s="508" t="s">
        <v>236</v>
      </c>
      <c r="C15" s="1244">
        <f>D15+J15</f>
        <v>350</v>
      </c>
      <c r="D15" s="447">
        <f>F15+H15</f>
        <v>296</v>
      </c>
      <c r="E15" s="611">
        <f>IF(C15=0,0,ROUND(D15*100/$C15, 1))</f>
        <v>84.6</v>
      </c>
      <c r="F15" s="435">
        <f>'Tab.8. l.os.zatr środ_Polska'!C56</f>
        <v>196</v>
      </c>
      <c r="G15" s="611">
        <f>IF(C15=0,0,ROUND(F15*100/$C15, 1))</f>
        <v>56</v>
      </c>
      <c r="H15" s="437">
        <f>'Tab.8. l.os.zatr środ_Polska'!C57</f>
        <v>100</v>
      </c>
      <c r="I15" s="615">
        <f>IF(H15&gt;0, ROUND(H15*100/$C15,1), "")</f>
        <v>28.6</v>
      </c>
      <c r="J15" s="1280">
        <f>'Tab.8. l.os.zatr środ_Polska'!C58</f>
        <v>54</v>
      </c>
      <c r="K15" s="617">
        <f>IF(J15&gt;0, ROUND(J15*100/$C15, 1), "")</f>
        <v>15.4</v>
      </c>
    </row>
    <row r="16" spans="1:11" x14ac:dyDescent="0.2">
      <c r="A16" s="462">
        <v>2</v>
      </c>
      <c r="B16" s="509" t="s">
        <v>237</v>
      </c>
      <c r="C16" s="1248">
        <f t="shared" ref="C16:C30" si="0">D16+J16</f>
        <v>366</v>
      </c>
      <c r="D16" s="450">
        <f t="shared" ref="D16:D30" si="1">F16+H16</f>
        <v>341</v>
      </c>
      <c r="E16" s="612">
        <f>IF(C16=0,0,ROUND(D16*100/$C16, 1))</f>
        <v>93.2</v>
      </c>
      <c r="F16" s="441">
        <f>'Tab.8. l.os.zatr środ_Polska'!C88</f>
        <v>267</v>
      </c>
      <c r="G16" s="612">
        <f>IF(C16=0,0,ROUND(F16*100/$C16, 1))</f>
        <v>73</v>
      </c>
      <c r="H16" s="443">
        <f>'Tab.8. l.os.zatr środ_Polska'!C89</f>
        <v>74</v>
      </c>
      <c r="I16" s="612">
        <f t="shared" ref="I16:I30" si="2">IF(H16&gt;0, ROUND(H16*100/$C16,1), "")</f>
        <v>20.2</v>
      </c>
      <c r="J16" s="441">
        <f>'Tab.8. l.os.zatr środ_Polska'!C90</f>
        <v>25</v>
      </c>
      <c r="K16" s="618">
        <f t="shared" ref="K16:K30" si="3">IF(J16&gt;0, ROUND(J16*100/$C16, 1), "")</f>
        <v>6.8</v>
      </c>
    </row>
    <row r="17" spans="1:11" x14ac:dyDescent="0.2">
      <c r="A17" s="462">
        <v>3</v>
      </c>
      <c r="B17" s="509" t="s">
        <v>238</v>
      </c>
      <c r="C17" s="1248">
        <f t="shared" si="0"/>
        <v>583</v>
      </c>
      <c r="D17" s="450">
        <f t="shared" si="1"/>
        <v>527</v>
      </c>
      <c r="E17" s="612">
        <f t="shared" ref="E17:E30" si="4">IF(C17=0,0,ROUND(D17*100/$C17, 1))</f>
        <v>90.4</v>
      </c>
      <c r="F17" s="441">
        <f>'Tab.8. l.os.zatr środ_Polska'!C120</f>
        <v>341</v>
      </c>
      <c r="G17" s="612">
        <f t="shared" ref="G17:G30" si="5">IF(C17=0,0,ROUND(F17*100/$C17, 1))</f>
        <v>58.5</v>
      </c>
      <c r="H17" s="443">
        <f>'Tab.8. l.os.zatr środ_Polska'!C121</f>
        <v>186</v>
      </c>
      <c r="I17" s="612">
        <f t="shared" si="2"/>
        <v>31.9</v>
      </c>
      <c r="J17" s="441">
        <f>'Tab.8. l.os.zatr środ_Polska'!C122</f>
        <v>56</v>
      </c>
      <c r="K17" s="618">
        <f t="shared" si="3"/>
        <v>9.6</v>
      </c>
    </row>
    <row r="18" spans="1:11" x14ac:dyDescent="0.2">
      <c r="A18" s="462">
        <v>4</v>
      </c>
      <c r="B18" s="509" t="s">
        <v>239</v>
      </c>
      <c r="C18" s="1248">
        <f t="shared" si="0"/>
        <v>205</v>
      </c>
      <c r="D18" s="450">
        <f t="shared" si="1"/>
        <v>178</v>
      </c>
      <c r="E18" s="612">
        <f t="shared" si="4"/>
        <v>86.8</v>
      </c>
      <c r="F18" s="441">
        <f>'Tab.8. l.os.zatr środ_Polska'!C152</f>
        <v>110</v>
      </c>
      <c r="G18" s="612">
        <f t="shared" si="5"/>
        <v>53.7</v>
      </c>
      <c r="H18" s="443">
        <f>'Tab.8. l.os.zatr środ_Polska'!C153</f>
        <v>68</v>
      </c>
      <c r="I18" s="612">
        <f t="shared" si="2"/>
        <v>33.200000000000003</v>
      </c>
      <c r="J18" s="441">
        <f>'Tab.8. l.os.zatr środ_Polska'!C154</f>
        <v>27</v>
      </c>
      <c r="K18" s="618">
        <f t="shared" si="3"/>
        <v>13.2</v>
      </c>
    </row>
    <row r="19" spans="1:11" x14ac:dyDescent="0.2">
      <c r="A19" s="462">
        <v>5</v>
      </c>
      <c r="B19" s="509" t="s">
        <v>240</v>
      </c>
      <c r="C19" s="1248">
        <f t="shared" si="0"/>
        <v>508</v>
      </c>
      <c r="D19" s="450">
        <f t="shared" si="1"/>
        <v>458</v>
      </c>
      <c r="E19" s="612">
        <f t="shared" si="4"/>
        <v>90.2</v>
      </c>
      <c r="F19" s="441">
        <f>'Tab.8. l.os.zatr środ_Polska'!C184</f>
        <v>290</v>
      </c>
      <c r="G19" s="612">
        <f t="shared" si="5"/>
        <v>57.1</v>
      </c>
      <c r="H19" s="443">
        <f>'Tab.8. l.os.zatr środ_Polska'!C185</f>
        <v>168</v>
      </c>
      <c r="I19" s="612">
        <f t="shared" si="2"/>
        <v>33.1</v>
      </c>
      <c r="J19" s="441">
        <f>'Tab.8. l.os.zatr środ_Polska'!C186</f>
        <v>50</v>
      </c>
      <c r="K19" s="618">
        <f t="shared" si="3"/>
        <v>9.8000000000000007</v>
      </c>
    </row>
    <row r="20" spans="1:11" x14ac:dyDescent="0.2">
      <c r="A20" s="462">
        <v>6</v>
      </c>
      <c r="B20" s="509" t="s">
        <v>241</v>
      </c>
      <c r="C20" s="1248">
        <f t="shared" si="0"/>
        <v>768</v>
      </c>
      <c r="D20" s="450">
        <f t="shared" si="1"/>
        <v>689</v>
      </c>
      <c r="E20" s="612">
        <f t="shared" si="4"/>
        <v>89.7</v>
      </c>
      <c r="F20" s="441">
        <f>'Tab.8. l.os.zatr środ_Polska'!C216</f>
        <v>452</v>
      </c>
      <c r="G20" s="612">
        <f t="shared" si="5"/>
        <v>58.9</v>
      </c>
      <c r="H20" s="443">
        <f>'Tab.8. l.os.zatr środ_Polska'!C217</f>
        <v>237</v>
      </c>
      <c r="I20" s="612">
        <f t="shared" si="2"/>
        <v>30.9</v>
      </c>
      <c r="J20" s="441">
        <f>'Tab.8. l.os.zatr środ_Polska'!C218</f>
        <v>79</v>
      </c>
      <c r="K20" s="618">
        <f t="shared" si="3"/>
        <v>10.3</v>
      </c>
    </row>
    <row r="21" spans="1:11" x14ac:dyDescent="0.2">
      <c r="A21" s="462">
        <v>7</v>
      </c>
      <c r="B21" s="509" t="s">
        <v>242</v>
      </c>
      <c r="C21" s="1248">
        <f t="shared" si="0"/>
        <v>556</v>
      </c>
      <c r="D21" s="450">
        <f t="shared" si="1"/>
        <v>512</v>
      </c>
      <c r="E21" s="612">
        <f t="shared" si="4"/>
        <v>92.1</v>
      </c>
      <c r="F21" s="441">
        <f>'Tab.8. l.os.zatr środ_Polska'!C248</f>
        <v>351</v>
      </c>
      <c r="G21" s="612">
        <f t="shared" si="5"/>
        <v>63.1</v>
      </c>
      <c r="H21" s="443">
        <f>'Tab.8. l.os.zatr środ_Polska'!C249</f>
        <v>161</v>
      </c>
      <c r="I21" s="612">
        <f t="shared" si="2"/>
        <v>29</v>
      </c>
      <c r="J21" s="441">
        <f>'Tab.8. l.os.zatr środ_Polska'!C250</f>
        <v>44</v>
      </c>
      <c r="K21" s="618">
        <f t="shared" si="3"/>
        <v>7.9</v>
      </c>
    </row>
    <row r="22" spans="1:11" x14ac:dyDescent="0.2">
      <c r="A22" s="462">
        <v>8</v>
      </c>
      <c r="B22" s="509" t="s">
        <v>243</v>
      </c>
      <c r="C22" s="1248">
        <f t="shared" si="0"/>
        <v>141</v>
      </c>
      <c r="D22" s="450">
        <f t="shared" si="1"/>
        <v>137</v>
      </c>
      <c r="E22" s="612">
        <f t="shared" si="4"/>
        <v>97.2</v>
      </c>
      <c r="F22" s="441">
        <f>'Tab.8. l.os.zatr środ_Polska'!C280</f>
        <v>107</v>
      </c>
      <c r="G22" s="612">
        <f t="shared" si="5"/>
        <v>75.900000000000006</v>
      </c>
      <c r="H22" s="443">
        <f>'Tab.8. l.os.zatr środ_Polska'!C281</f>
        <v>30</v>
      </c>
      <c r="I22" s="612">
        <f t="shared" si="2"/>
        <v>21.3</v>
      </c>
      <c r="J22" s="441">
        <f>'Tab.8. l.os.zatr środ_Polska'!C282</f>
        <v>4</v>
      </c>
      <c r="K22" s="618">
        <f t="shared" si="3"/>
        <v>2.8</v>
      </c>
    </row>
    <row r="23" spans="1:11" x14ac:dyDescent="0.2">
      <c r="A23" s="462">
        <v>9</v>
      </c>
      <c r="B23" s="509" t="s">
        <v>244</v>
      </c>
      <c r="C23" s="1248">
        <f t="shared" si="0"/>
        <v>579</v>
      </c>
      <c r="D23" s="450">
        <f t="shared" si="1"/>
        <v>532</v>
      </c>
      <c r="E23" s="612">
        <f t="shared" si="4"/>
        <v>91.9</v>
      </c>
      <c r="F23" s="441">
        <f>'Tab.8. l.os.zatr środ_Polska'!C312</f>
        <v>421</v>
      </c>
      <c r="G23" s="612">
        <f t="shared" si="5"/>
        <v>72.7</v>
      </c>
      <c r="H23" s="443">
        <f>'Tab.8. l.os.zatr środ_Polska'!C313</f>
        <v>111</v>
      </c>
      <c r="I23" s="612">
        <f t="shared" si="2"/>
        <v>19.2</v>
      </c>
      <c r="J23" s="441">
        <f>'Tab.8. l.os.zatr środ_Polska'!C314</f>
        <v>47</v>
      </c>
      <c r="K23" s="618">
        <f t="shared" si="3"/>
        <v>8.1</v>
      </c>
    </row>
    <row r="24" spans="1:11" x14ac:dyDescent="0.2">
      <c r="A24" s="463">
        <v>10</v>
      </c>
      <c r="B24" s="509" t="s">
        <v>245</v>
      </c>
      <c r="C24" s="1248">
        <f t="shared" si="0"/>
        <v>104</v>
      </c>
      <c r="D24" s="450">
        <f t="shared" si="1"/>
        <v>95</v>
      </c>
      <c r="E24" s="612">
        <f t="shared" si="4"/>
        <v>91.3</v>
      </c>
      <c r="F24" s="441">
        <f>'Tab.8. l.os.zatr środ_Polska'!C344</f>
        <v>61</v>
      </c>
      <c r="G24" s="612">
        <f t="shared" si="5"/>
        <v>58.7</v>
      </c>
      <c r="H24" s="443">
        <f>'Tab.8. l.os.zatr środ_Polska'!C345</f>
        <v>34</v>
      </c>
      <c r="I24" s="612">
        <f t="shared" si="2"/>
        <v>32.700000000000003</v>
      </c>
      <c r="J24" s="441">
        <f>'Tab.8. l.os.zatr środ_Polska'!C346</f>
        <v>9</v>
      </c>
      <c r="K24" s="618">
        <f t="shared" si="3"/>
        <v>8.6999999999999993</v>
      </c>
    </row>
    <row r="25" spans="1:11" x14ac:dyDescent="0.2">
      <c r="A25" s="463">
        <v>11</v>
      </c>
      <c r="B25" s="509" t="s">
        <v>246</v>
      </c>
      <c r="C25" s="1248">
        <f t="shared" si="0"/>
        <v>498</v>
      </c>
      <c r="D25" s="450">
        <f t="shared" si="1"/>
        <v>415</v>
      </c>
      <c r="E25" s="612">
        <f t="shared" si="4"/>
        <v>83.3</v>
      </c>
      <c r="F25" s="441">
        <f>'Tab.8. l.os.zatr środ_Polska'!C376</f>
        <v>301</v>
      </c>
      <c r="G25" s="612">
        <f t="shared" si="5"/>
        <v>60.4</v>
      </c>
      <c r="H25" s="443">
        <f>'Tab.8. l.os.zatr środ_Polska'!C377</f>
        <v>114</v>
      </c>
      <c r="I25" s="612">
        <f t="shared" si="2"/>
        <v>22.9</v>
      </c>
      <c r="J25" s="441">
        <f>'Tab.8. l.os.zatr środ_Polska'!C378</f>
        <v>83</v>
      </c>
      <c r="K25" s="618">
        <f t="shared" si="3"/>
        <v>16.7</v>
      </c>
    </row>
    <row r="26" spans="1:11" x14ac:dyDescent="0.2">
      <c r="A26" s="463">
        <v>12</v>
      </c>
      <c r="B26" s="509" t="s">
        <v>247</v>
      </c>
      <c r="C26" s="1248">
        <f t="shared" si="0"/>
        <v>484</v>
      </c>
      <c r="D26" s="450">
        <f t="shared" si="1"/>
        <v>460</v>
      </c>
      <c r="E26" s="612">
        <f t="shared" si="4"/>
        <v>95</v>
      </c>
      <c r="F26" s="441">
        <f>'Tab.8. l.os.zatr środ_Polska'!C408</f>
        <v>330</v>
      </c>
      <c r="G26" s="612">
        <f t="shared" si="5"/>
        <v>68.2</v>
      </c>
      <c r="H26" s="443">
        <f>'Tab.8. l.os.zatr środ_Polska'!C409</f>
        <v>130</v>
      </c>
      <c r="I26" s="612">
        <f t="shared" si="2"/>
        <v>26.9</v>
      </c>
      <c r="J26" s="441">
        <f>'Tab.8. l.os.zatr środ_Polska'!C410</f>
        <v>24</v>
      </c>
      <c r="K26" s="618">
        <f t="shared" si="3"/>
        <v>5</v>
      </c>
    </row>
    <row r="27" spans="1:11" x14ac:dyDescent="0.2">
      <c r="A27" s="463">
        <v>13</v>
      </c>
      <c r="B27" s="509" t="s">
        <v>248</v>
      </c>
      <c r="C27" s="1248">
        <f t="shared" si="0"/>
        <v>302</v>
      </c>
      <c r="D27" s="450">
        <f t="shared" si="1"/>
        <v>275</v>
      </c>
      <c r="E27" s="612">
        <f t="shared" si="4"/>
        <v>91.1</v>
      </c>
      <c r="F27" s="441">
        <f>'Tab.8. l.os.zatr środ_Polska'!C440</f>
        <v>206</v>
      </c>
      <c r="G27" s="612">
        <f t="shared" si="5"/>
        <v>68.2</v>
      </c>
      <c r="H27" s="443">
        <f>'Tab.8. l.os.zatr środ_Polska'!C441</f>
        <v>69</v>
      </c>
      <c r="I27" s="612">
        <f t="shared" si="2"/>
        <v>22.8</v>
      </c>
      <c r="J27" s="441">
        <f>'Tab.8. l.os.zatr środ_Polska'!C442</f>
        <v>27</v>
      </c>
      <c r="K27" s="618">
        <f t="shared" si="3"/>
        <v>8.9</v>
      </c>
    </row>
    <row r="28" spans="1:11" x14ac:dyDescent="0.2">
      <c r="A28" s="463">
        <v>14</v>
      </c>
      <c r="B28" s="509" t="s">
        <v>249</v>
      </c>
      <c r="C28" s="1248">
        <f t="shared" si="0"/>
        <v>743</v>
      </c>
      <c r="D28" s="450">
        <f t="shared" si="1"/>
        <v>681</v>
      </c>
      <c r="E28" s="612">
        <f t="shared" si="4"/>
        <v>91.7</v>
      </c>
      <c r="F28" s="441">
        <f>'Tab.8. l.os.zatr środ_Polska'!C472</f>
        <v>478</v>
      </c>
      <c r="G28" s="612">
        <f t="shared" si="5"/>
        <v>64.3</v>
      </c>
      <c r="H28" s="443">
        <f>'Tab.8. l.os.zatr środ_Polska'!C473</f>
        <v>203</v>
      </c>
      <c r="I28" s="612">
        <f t="shared" si="2"/>
        <v>27.3</v>
      </c>
      <c r="J28" s="441">
        <f>'Tab.8. l.os.zatr środ_Polska'!C474</f>
        <v>62</v>
      </c>
      <c r="K28" s="618">
        <f t="shared" si="3"/>
        <v>8.3000000000000007</v>
      </c>
    </row>
    <row r="29" spans="1:11" x14ac:dyDescent="0.2">
      <c r="A29" s="463">
        <v>15</v>
      </c>
      <c r="B29" s="509" t="s">
        <v>250</v>
      </c>
      <c r="C29" s="1248">
        <f t="shared" si="0"/>
        <v>826</v>
      </c>
      <c r="D29" s="450">
        <f t="shared" si="1"/>
        <v>699</v>
      </c>
      <c r="E29" s="612">
        <f t="shared" si="4"/>
        <v>84.6</v>
      </c>
      <c r="F29" s="441">
        <f>'Tab.8. l.os.zatr środ_Polska'!C504</f>
        <v>502</v>
      </c>
      <c r="G29" s="612">
        <f t="shared" si="5"/>
        <v>60.8</v>
      </c>
      <c r="H29" s="443">
        <f>'Tab.8. l.os.zatr środ_Polska'!C505</f>
        <v>197</v>
      </c>
      <c r="I29" s="612">
        <f t="shared" si="2"/>
        <v>23.8</v>
      </c>
      <c r="J29" s="441">
        <f>'Tab.8. l.os.zatr środ_Polska'!C506</f>
        <v>127</v>
      </c>
      <c r="K29" s="618">
        <f t="shared" si="3"/>
        <v>15.4</v>
      </c>
    </row>
    <row r="30" spans="1:11" ht="13.5" thickBot="1" x14ac:dyDescent="0.25">
      <c r="A30" s="463">
        <v>16</v>
      </c>
      <c r="B30" s="510" t="s">
        <v>251</v>
      </c>
      <c r="C30" s="1248">
        <f t="shared" si="0"/>
        <v>287</v>
      </c>
      <c r="D30" s="1277">
        <f t="shared" si="1"/>
        <v>248</v>
      </c>
      <c r="E30" s="613">
        <f t="shared" si="4"/>
        <v>86.4</v>
      </c>
      <c r="F30" s="1087">
        <f>'Tab.8. l.os.zatr środ_Polska'!C536</f>
        <v>205</v>
      </c>
      <c r="G30" s="613">
        <f t="shared" si="5"/>
        <v>71.400000000000006</v>
      </c>
      <c r="H30" s="1278">
        <f>'Tab.8. l.os.zatr środ_Polska'!C537</f>
        <v>43</v>
      </c>
      <c r="I30" s="613">
        <f t="shared" si="2"/>
        <v>15</v>
      </c>
      <c r="J30" s="1087">
        <f>'Tab.8. l.os.zatr środ_Polska'!C538</f>
        <v>39</v>
      </c>
      <c r="K30" s="619">
        <f t="shared" si="3"/>
        <v>13.6</v>
      </c>
    </row>
    <row r="31" spans="1:11" ht="16.5" thickBot="1" x14ac:dyDescent="0.3">
      <c r="A31" s="445" t="s">
        <v>252</v>
      </c>
      <c r="B31" s="446"/>
      <c r="C31" s="1238">
        <f t="shared" ref="C31:H31" si="6">SUM(C15:C30)</f>
        <v>7300</v>
      </c>
      <c r="D31" s="1239">
        <f t="shared" si="6"/>
        <v>6543</v>
      </c>
      <c r="E31" s="614">
        <f>AVERAGE(E15:E30)</f>
        <v>89.96875</v>
      </c>
      <c r="F31" s="1240">
        <f t="shared" si="6"/>
        <v>4618</v>
      </c>
      <c r="G31" s="614">
        <f>AVERAGE(G15:G30)</f>
        <v>63.806250000000006</v>
      </c>
      <c r="H31" s="1279">
        <f t="shared" si="6"/>
        <v>1925</v>
      </c>
      <c r="I31" s="616">
        <f>AVERAGE(I15:I30)</f>
        <v>26.175000000000001</v>
      </c>
      <c r="J31" s="1281">
        <f>SUM(J15:J30)</f>
        <v>757</v>
      </c>
      <c r="K31" s="620">
        <f>AVERAGE(K15:K30)</f>
        <v>10.03125</v>
      </c>
    </row>
    <row r="32" spans="1:11" ht="13.5" thickTop="1" x14ac:dyDescent="0.2"/>
  </sheetData>
  <mergeCells count="16">
    <mergeCell ref="J11:K11"/>
    <mergeCell ref="D12:D13"/>
    <mergeCell ref="E12:E13"/>
    <mergeCell ref="F12:G12"/>
    <mergeCell ref="H12:I12"/>
    <mergeCell ref="J12:J13"/>
    <mergeCell ref="A10:A13"/>
    <mergeCell ref="K12:K13"/>
    <mergeCell ref="J1:K1"/>
    <mergeCell ref="A6:K6"/>
    <mergeCell ref="A7:K7"/>
    <mergeCell ref="A8:K8"/>
    <mergeCell ref="C10:C13"/>
    <mergeCell ref="B10:B13"/>
    <mergeCell ref="D10:K10"/>
    <mergeCell ref="D11:I11"/>
  </mergeCells>
  <phoneticPr fontId="82" type="noConversion"/>
  <printOptions horizontalCentered="1" verticalCentered="1"/>
  <pageMargins left="0.35433070866141736" right="0.45" top="0.98425196850393704" bottom="0.98425196850393704" header="0.51181102362204722" footer="0.51181102362204722"/>
  <pageSetup paperSize="9" orientation="landscape" r:id="rId1"/>
  <headerFooter alignWithMargins="0"/>
  <ignoredErrors>
    <ignoredError sqref="E31:I31 J15:J30 F15:F30 H15:H30" formula="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4"/>
  <sheetViews>
    <sheetView workbookViewId="0"/>
  </sheetViews>
  <sheetFormatPr defaultRowHeight="12.75" x14ac:dyDescent="0.2"/>
  <cols>
    <col min="1" max="1" width="5.7109375" customWidth="1"/>
    <col min="2" max="2" width="56.7109375" customWidth="1"/>
    <col min="3" max="3" width="25.7109375" customWidth="1"/>
    <col min="4" max="4" width="24.5703125" customWidth="1"/>
    <col min="11" max="11" width="9.5703125" bestFit="1" customWidth="1"/>
  </cols>
  <sheetData>
    <row r="1" spans="1:4" ht="26.25" x14ac:dyDescent="0.4">
      <c r="A1" s="267" t="s">
        <v>196</v>
      </c>
      <c r="B1" s="266" t="s">
        <v>195</v>
      </c>
    </row>
    <row r="2" spans="1:4" ht="18" customHeight="1" x14ac:dyDescent="0.25">
      <c r="B2" s="11" t="s">
        <v>116</v>
      </c>
      <c r="D2" s="10" t="s">
        <v>71</v>
      </c>
    </row>
    <row r="3" spans="1:4" ht="18" x14ac:dyDescent="0.25">
      <c r="B3" s="14" t="s">
        <v>129</v>
      </c>
    </row>
    <row r="4" spans="1:4" ht="18" x14ac:dyDescent="0.25">
      <c r="B4" s="11" t="s">
        <v>144</v>
      </c>
    </row>
    <row r="5" spans="1:4" ht="18" x14ac:dyDescent="0.25">
      <c r="B5" s="11"/>
    </row>
    <row r="9" spans="1:4" ht="20.25" x14ac:dyDescent="0.3">
      <c r="B9" s="1896" t="s">
        <v>74</v>
      </c>
      <c r="C9" s="1896"/>
      <c r="D9" s="1896"/>
    </row>
    <row r="10" spans="1:4" ht="20.25" x14ac:dyDescent="0.3">
      <c r="B10" s="1896" t="s">
        <v>76</v>
      </c>
      <c r="C10" s="1896"/>
      <c r="D10" s="1896"/>
    </row>
    <row r="11" spans="1:4" ht="20.25" x14ac:dyDescent="0.3">
      <c r="B11" s="1898" t="str">
        <f>"NA  PEŁNE  ETATY  WG  DZIAŁÓW  WG  STANU  NA  DZIEŃ  31.XII."&amp;'Tab.1. bilans_Polska'!A2&amp;" r."</f>
        <v>NA  PEŁNE  ETATY  WG  DZIAŁÓW  WG  STANU  NA  DZIEŃ  31.XII.2011 r.</v>
      </c>
      <c r="C11" s="1898"/>
      <c r="D11" s="1898"/>
    </row>
    <row r="12" spans="1:4" s="16" customFormat="1" ht="13.5" thickBot="1" x14ac:dyDescent="0.25"/>
    <row r="13" spans="1:4" ht="15.75" customHeight="1" thickTop="1" x14ac:dyDescent="0.25">
      <c r="B13" s="58"/>
      <c r="C13" s="74"/>
      <c r="D13" s="63"/>
    </row>
    <row r="14" spans="1:4" ht="23.25" customHeight="1" x14ac:dyDescent="0.25">
      <c r="B14" s="60"/>
      <c r="C14" s="75"/>
      <c r="D14" s="71"/>
    </row>
    <row r="15" spans="1:4" ht="21.75" customHeight="1" x14ac:dyDescent="0.25">
      <c r="B15" s="198" t="s">
        <v>80</v>
      </c>
      <c r="C15" s="82" t="s">
        <v>4</v>
      </c>
      <c r="D15" s="83" t="s">
        <v>81</v>
      </c>
    </row>
    <row r="16" spans="1:4" ht="20.25" customHeight="1" x14ac:dyDescent="0.25">
      <c r="B16" s="198"/>
      <c r="C16" s="82" t="s">
        <v>8</v>
      </c>
      <c r="D16" s="83" t="s">
        <v>16</v>
      </c>
    </row>
    <row r="17" spans="2:4" ht="21.75" customHeight="1" x14ac:dyDescent="0.25">
      <c r="B17" s="60"/>
      <c r="C17" s="75"/>
      <c r="D17" s="90"/>
    </row>
    <row r="18" spans="2:4" ht="13.5" customHeight="1" thickBot="1" x14ac:dyDescent="0.3">
      <c r="B18" s="91">
        <v>0</v>
      </c>
      <c r="C18" s="95">
        <v>1</v>
      </c>
      <c r="D18" s="68">
        <v>2</v>
      </c>
    </row>
    <row r="19" spans="2:4" ht="30" customHeight="1" thickTop="1" x14ac:dyDescent="0.35">
      <c r="B19" s="97" t="s">
        <v>86</v>
      </c>
      <c r="C19" s="360">
        <f>SUM(C21:C25)</f>
        <v>6543</v>
      </c>
      <c r="D19" s="361">
        <f>SUM(D21:D25)</f>
        <v>5484.31</v>
      </c>
    </row>
    <row r="20" spans="2:4" ht="18.75" customHeight="1" thickBot="1" x14ac:dyDescent="0.3">
      <c r="B20" s="99" t="s">
        <v>49</v>
      </c>
      <c r="C20" s="921" t="str">
        <f>IF('Tab.8. l.os.zatr środ_Polska'!C22=C19,"","t8w1k1"&amp;"="&amp;'Tab.8. l.os.zatr środ_Polska'!C22)</f>
        <v/>
      </c>
      <c r="D20" s="179"/>
    </row>
    <row r="21" spans="2:4" ht="30" customHeight="1" thickTop="1" x14ac:dyDescent="0.25">
      <c r="B21" s="101" t="s">
        <v>87</v>
      </c>
      <c r="C21" s="362">
        <f t="shared" ref="C21:D25" si="0">C53+C85+C117+C149+C181+C213+C245+C277+C309+C341+C373+C405+C437+C469+C501+C533</f>
        <v>641</v>
      </c>
      <c r="D21" s="363">
        <f t="shared" si="0"/>
        <v>588.71</v>
      </c>
    </row>
    <row r="22" spans="2:4" ht="30" customHeight="1" x14ac:dyDescent="0.25">
      <c r="B22" s="103" t="s">
        <v>88</v>
      </c>
      <c r="C22" s="337">
        <f t="shared" si="0"/>
        <v>3827</v>
      </c>
      <c r="D22" s="364">
        <f t="shared" si="0"/>
        <v>3428.08</v>
      </c>
    </row>
    <row r="23" spans="2:4" ht="30" customHeight="1" x14ac:dyDescent="0.25">
      <c r="B23" s="103" t="s">
        <v>89</v>
      </c>
      <c r="C23" s="337">
        <f t="shared" si="0"/>
        <v>624</v>
      </c>
      <c r="D23" s="364">
        <f t="shared" si="0"/>
        <v>485.73</v>
      </c>
    </row>
    <row r="24" spans="2:4" ht="30" customHeight="1" x14ac:dyDescent="0.25">
      <c r="B24" s="103" t="s">
        <v>90</v>
      </c>
      <c r="C24" s="337">
        <f t="shared" si="0"/>
        <v>688</v>
      </c>
      <c r="D24" s="364">
        <f t="shared" si="0"/>
        <v>396.62</v>
      </c>
    </row>
    <row r="25" spans="2:4" ht="30" customHeight="1" thickBot="1" x14ac:dyDescent="0.3">
      <c r="B25" s="105" t="s">
        <v>91</v>
      </c>
      <c r="C25" s="365">
        <f t="shared" si="0"/>
        <v>763</v>
      </c>
      <c r="D25" s="366">
        <f t="shared" si="0"/>
        <v>585.16999999999996</v>
      </c>
    </row>
    <row r="26" spans="2:4" ht="13.5" thickTop="1" x14ac:dyDescent="0.2"/>
    <row r="27" spans="2:4" ht="15.75" customHeight="1" x14ac:dyDescent="0.25">
      <c r="B27" s="1" t="s">
        <v>92</v>
      </c>
    </row>
    <row r="29" spans="2:4" ht="15.75" x14ac:dyDescent="0.25">
      <c r="B29" s="1150" t="s">
        <v>123</v>
      </c>
      <c r="C29" s="1155"/>
      <c r="D29" s="805"/>
    </row>
    <row r="30" spans="2:4" ht="15.75" customHeight="1" x14ac:dyDescent="0.25">
      <c r="B30" s="1150" t="s">
        <v>132</v>
      </c>
      <c r="C30" s="1155"/>
      <c r="D30" s="1140"/>
    </row>
    <row r="31" spans="2:4" ht="18" customHeight="1" x14ac:dyDescent="0.25">
      <c r="B31" s="1150"/>
      <c r="C31" s="805"/>
      <c r="D31" s="1150" t="s">
        <v>141</v>
      </c>
    </row>
    <row r="32" spans="2:4" ht="15.75" x14ac:dyDescent="0.25">
      <c r="B32" s="1150" t="s">
        <v>137</v>
      </c>
      <c r="C32" s="805"/>
      <c r="D32" s="1158" t="s">
        <v>140</v>
      </c>
    </row>
    <row r="34" spans="1:4" ht="20.25" x14ac:dyDescent="0.25">
      <c r="A34" s="358" t="s">
        <v>166</v>
      </c>
      <c r="B34" s="11" t="s">
        <v>116</v>
      </c>
      <c r="D34" s="10" t="s">
        <v>71</v>
      </c>
    </row>
    <row r="35" spans="1:4" ht="18" x14ac:dyDescent="0.25">
      <c r="B35" s="14" t="s">
        <v>129</v>
      </c>
    </row>
    <row r="36" spans="1:4" ht="18" x14ac:dyDescent="0.25">
      <c r="B36" s="11" t="s">
        <v>144</v>
      </c>
      <c r="C36" s="1806" t="str">
        <f>'Tab.1. bilans_Polska'!E59</f>
        <v>Termin: 29 luty 2012 r.</v>
      </c>
      <c r="D36" s="1806"/>
    </row>
    <row r="37" spans="1:4" ht="18" x14ac:dyDescent="0.25">
      <c r="B37" s="11"/>
    </row>
    <row r="38" spans="1:4" ht="18" x14ac:dyDescent="0.25">
      <c r="B38" s="11" t="s">
        <v>130</v>
      </c>
    </row>
    <row r="39" spans="1:4" ht="15.75" x14ac:dyDescent="0.25">
      <c r="B39" s="1" t="s">
        <v>131</v>
      </c>
    </row>
    <row r="41" spans="1:4" ht="20.25" x14ac:dyDescent="0.3">
      <c r="B41" s="1896" t="s">
        <v>74</v>
      </c>
      <c r="C41" s="1896"/>
      <c r="D41" s="1896"/>
    </row>
    <row r="42" spans="1:4" ht="20.25" x14ac:dyDescent="0.3">
      <c r="B42" s="1896" t="s">
        <v>76</v>
      </c>
      <c r="C42" s="1896"/>
      <c r="D42" s="1896"/>
    </row>
    <row r="43" spans="1:4" ht="20.25" x14ac:dyDescent="0.3">
      <c r="B43" s="1897" t="str">
        <f>$B$11</f>
        <v>NA  PEŁNE  ETATY  WG  DZIAŁÓW  WG  STANU  NA  DZIEŃ  31.XII.2011 r.</v>
      </c>
      <c r="C43" s="1897"/>
      <c r="D43" s="1897"/>
    </row>
    <row r="44" spans="1:4" ht="13.5" thickBot="1" x14ac:dyDescent="0.25">
      <c r="A44" s="16"/>
      <c r="B44" s="16"/>
      <c r="C44" s="16"/>
      <c r="D44" s="16"/>
    </row>
    <row r="45" spans="1:4" ht="17.25" thickTop="1" x14ac:dyDescent="0.25">
      <c r="B45" s="58"/>
      <c r="C45" s="74"/>
      <c r="D45" s="63"/>
    </row>
    <row r="46" spans="1:4" ht="16.5" x14ac:dyDescent="0.25">
      <c r="B46" s="60"/>
      <c r="C46" s="75"/>
      <c r="D46" s="71"/>
    </row>
    <row r="47" spans="1:4" ht="18" x14ac:dyDescent="0.25">
      <c r="B47" s="198" t="s">
        <v>80</v>
      </c>
      <c r="C47" s="82" t="s">
        <v>4</v>
      </c>
      <c r="D47" s="83" t="s">
        <v>81</v>
      </c>
    </row>
    <row r="48" spans="1:4" ht="18" x14ac:dyDescent="0.25">
      <c r="B48" s="198"/>
      <c r="C48" s="82" t="s">
        <v>8</v>
      </c>
      <c r="D48" s="83" t="s">
        <v>16</v>
      </c>
    </row>
    <row r="49" spans="2:4" ht="16.5" x14ac:dyDescent="0.25">
      <c r="B49" s="60"/>
      <c r="C49" s="75"/>
      <c r="D49" s="90"/>
    </row>
    <row r="50" spans="2:4" ht="15.75" thickBot="1" x14ac:dyDescent="0.3">
      <c r="B50" s="91">
        <v>0</v>
      </c>
      <c r="C50" s="95">
        <v>1</v>
      </c>
      <c r="D50" s="68">
        <v>2</v>
      </c>
    </row>
    <row r="51" spans="2:4" ht="24" thickTop="1" x14ac:dyDescent="0.35">
      <c r="B51" s="97" t="s">
        <v>86</v>
      </c>
      <c r="C51" s="360">
        <f>SUM(C53:C57)</f>
        <v>296</v>
      </c>
      <c r="D51" s="361">
        <f>SUM(D53:D57)</f>
        <v>238.07</v>
      </c>
    </row>
    <row r="52" spans="2:4" ht="18.75" thickBot="1" x14ac:dyDescent="0.3">
      <c r="B52" s="99" t="s">
        <v>49</v>
      </c>
      <c r="C52" s="921" t="str">
        <f>IF('Tab.8. l.os.zatr środ_Polska'!C54=C51,"","t8w1k1"&amp;"="&amp;'Tab.8. l.os.zatr środ_Polska'!C54)</f>
        <v/>
      </c>
      <c r="D52" s="179"/>
    </row>
    <row r="53" spans="2:4" ht="19.5" thickTop="1" x14ac:dyDescent="0.3">
      <c r="B53" s="101" t="s">
        <v>87</v>
      </c>
      <c r="C53" s="1345">
        <v>34</v>
      </c>
      <c r="D53" s="1346">
        <v>27.31</v>
      </c>
    </row>
    <row r="54" spans="2:4" ht="18.75" x14ac:dyDescent="0.3">
      <c r="B54" s="103" t="s">
        <v>88</v>
      </c>
      <c r="C54" s="1349">
        <v>183</v>
      </c>
      <c r="D54" s="1350">
        <v>160.35</v>
      </c>
    </row>
    <row r="55" spans="2:4" ht="18.75" x14ac:dyDescent="0.3">
      <c r="B55" s="103" t="s">
        <v>89</v>
      </c>
      <c r="C55" s="1349">
        <v>28</v>
      </c>
      <c r="D55" s="1350">
        <v>20.55</v>
      </c>
    </row>
    <row r="56" spans="2:4" ht="18.75" x14ac:dyDescent="0.3">
      <c r="B56" s="103" t="s">
        <v>90</v>
      </c>
      <c r="C56" s="1349">
        <v>30</v>
      </c>
      <c r="D56" s="1350">
        <v>14.07</v>
      </c>
    </row>
    <row r="57" spans="2:4" ht="19.5" thickBot="1" x14ac:dyDescent="0.35">
      <c r="B57" s="105" t="s">
        <v>91</v>
      </c>
      <c r="C57" s="1353">
        <v>21</v>
      </c>
      <c r="D57" s="1354">
        <v>15.79</v>
      </c>
    </row>
    <row r="58" spans="2:4" ht="13.5" thickTop="1" x14ac:dyDescent="0.2"/>
    <row r="59" spans="2:4" ht="15.75" x14ac:dyDescent="0.25">
      <c r="B59" s="1" t="s">
        <v>92</v>
      </c>
    </row>
    <row r="61" spans="2:4" ht="15.75" x14ac:dyDescent="0.25">
      <c r="B61" s="1" t="s">
        <v>123</v>
      </c>
      <c r="C61" s="12"/>
    </row>
    <row r="62" spans="2:4" ht="18" x14ac:dyDescent="0.25">
      <c r="B62" s="1" t="s">
        <v>132</v>
      </c>
      <c r="C62" s="12"/>
      <c r="D62" s="25"/>
    </row>
    <row r="63" spans="2:4" ht="15.75" x14ac:dyDescent="0.25">
      <c r="B63" s="1"/>
      <c r="D63" s="1" t="s">
        <v>141</v>
      </c>
    </row>
    <row r="64" spans="2:4" ht="15.75" x14ac:dyDescent="0.25">
      <c r="B64" s="1" t="s">
        <v>137</v>
      </c>
      <c r="D64" s="4" t="s">
        <v>140</v>
      </c>
    </row>
    <row r="66" spans="1:4" ht="20.25" x14ac:dyDescent="0.25">
      <c r="A66" s="358" t="s">
        <v>168</v>
      </c>
      <c r="B66" s="11" t="s">
        <v>116</v>
      </c>
      <c r="D66" s="10" t="s">
        <v>71</v>
      </c>
    </row>
    <row r="67" spans="1:4" ht="18" x14ac:dyDescent="0.25">
      <c r="B67" s="14" t="s">
        <v>129</v>
      </c>
    </row>
    <row r="68" spans="1:4" ht="18" x14ac:dyDescent="0.25">
      <c r="B68" s="11" t="s">
        <v>144</v>
      </c>
      <c r="C68" s="1806" t="str">
        <f>$C$36</f>
        <v>Termin: 29 luty 2012 r.</v>
      </c>
      <c r="D68" s="1806"/>
    </row>
    <row r="69" spans="1:4" ht="18" x14ac:dyDescent="0.25">
      <c r="B69" s="11"/>
    </row>
    <row r="70" spans="1:4" ht="18" x14ac:dyDescent="0.25">
      <c r="B70" s="11" t="s">
        <v>130</v>
      </c>
    </row>
    <row r="71" spans="1:4" ht="15.75" x14ac:dyDescent="0.25">
      <c r="B71" s="1" t="s">
        <v>131</v>
      </c>
    </row>
    <row r="73" spans="1:4" ht="20.25" x14ac:dyDescent="0.3">
      <c r="B73" s="1896" t="s">
        <v>74</v>
      </c>
      <c r="C73" s="1896"/>
      <c r="D73" s="1896"/>
    </row>
    <row r="74" spans="1:4" ht="20.25" x14ac:dyDescent="0.3">
      <c r="B74" s="1896" t="s">
        <v>76</v>
      </c>
      <c r="C74" s="1896"/>
      <c r="D74" s="1896"/>
    </row>
    <row r="75" spans="1:4" ht="20.25" x14ac:dyDescent="0.3">
      <c r="B75" s="1897" t="str">
        <f>$B$11</f>
        <v>NA  PEŁNE  ETATY  WG  DZIAŁÓW  WG  STANU  NA  DZIEŃ  31.XII.2011 r.</v>
      </c>
      <c r="C75" s="1897"/>
      <c r="D75" s="1897"/>
    </row>
    <row r="76" spans="1:4" ht="13.5" thickBot="1" x14ac:dyDescent="0.25">
      <c r="A76" s="16"/>
      <c r="B76" s="16"/>
      <c r="C76" s="16"/>
      <c r="D76" s="16"/>
    </row>
    <row r="77" spans="1:4" ht="17.25" thickTop="1" x14ac:dyDescent="0.25">
      <c r="B77" s="58"/>
      <c r="C77" s="74"/>
      <c r="D77" s="63"/>
    </row>
    <row r="78" spans="1:4" ht="16.5" x14ac:dyDescent="0.25">
      <c r="B78" s="60"/>
      <c r="C78" s="75"/>
      <c r="D78" s="71"/>
    </row>
    <row r="79" spans="1:4" ht="18" x14ac:dyDescent="0.25">
      <c r="B79" s="198" t="s">
        <v>80</v>
      </c>
      <c r="C79" s="82" t="s">
        <v>4</v>
      </c>
      <c r="D79" s="83" t="s">
        <v>81</v>
      </c>
    </row>
    <row r="80" spans="1:4" ht="18" x14ac:dyDescent="0.25">
      <c r="B80" s="198"/>
      <c r="C80" s="82" t="s">
        <v>8</v>
      </c>
      <c r="D80" s="83" t="s">
        <v>16</v>
      </c>
    </row>
    <row r="81" spans="2:4" ht="16.5" x14ac:dyDescent="0.25">
      <c r="B81" s="60"/>
      <c r="C81" s="75"/>
      <c r="D81" s="90"/>
    </row>
    <row r="82" spans="2:4" ht="15.75" thickBot="1" x14ac:dyDescent="0.3">
      <c r="B82" s="91">
        <v>0</v>
      </c>
      <c r="C82" s="95">
        <v>1</v>
      </c>
      <c r="D82" s="68">
        <v>2</v>
      </c>
    </row>
    <row r="83" spans="2:4" ht="24" thickTop="1" x14ac:dyDescent="0.35">
      <c r="B83" s="97" t="s">
        <v>86</v>
      </c>
      <c r="C83" s="360">
        <f>SUM(C85:C89)</f>
        <v>341</v>
      </c>
      <c r="D83" s="361">
        <f>SUM(D85:D89)</f>
        <v>302.53000000000003</v>
      </c>
    </row>
    <row r="84" spans="2:4" ht="18.75" thickBot="1" x14ac:dyDescent="0.3">
      <c r="B84" s="99" t="s">
        <v>49</v>
      </c>
      <c r="C84" s="921" t="str">
        <f>IF('Tab.8. l.os.zatr środ_Polska'!C86=C83,"","t8w1k1"&amp;"="&amp;'Tab.8. l.os.zatr środ_Polska'!C86)</f>
        <v/>
      </c>
      <c r="D84" s="179"/>
    </row>
    <row r="85" spans="2:4" ht="19.5" thickTop="1" x14ac:dyDescent="0.3">
      <c r="B85" s="101" t="s">
        <v>87</v>
      </c>
      <c r="C85" s="1345">
        <v>36</v>
      </c>
      <c r="D85" s="1346">
        <v>35</v>
      </c>
    </row>
    <row r="86" spans="2:4" ht="18.75" x14ac:dyDescent="0.3">
      <c r="B86" s="103" t="s">
        <v>88</v>
      </c>
      <c r="C86" s="1349">
        <v>199</v>
      </c>
      <c r="D86" s="1350">
        <v>182.37</v>
      </c>
    </row>
    <row r="87" spans="2:4" ht="18.75" x14ac:dyDescent="0.3">
      <c r="B87" s="103" t="s">
        <v>89</v>
      </c>
      <c r="C87" s="1349">
        <v>28</v>
      </c>
      <c r="D87" s="1350">
        <v>24.12</v>
      </c>
    </row>
    <row r="88" spans="2:4" ht="18.75" x14ac:dyDescent="0.3">
      <c r="B88" s="103" t="s">
        <v>90</v>
      </c>
      <c r="C88" s="1349">
        <v>34</v>
      </c>
      <c r="D88" s="1350">
        <v>25.43</v>
      </c>
    </row>
    <row r="89" spans="2:4" ht="19.5" thickBot="1" x14ac:dyDescent="0.35">
      <c r="B89" s="105" t="s">
        <v>91</v>
      </c>
      <c r="C89" s="1353">
        <v>44</v>
      </c>
      <c r="D89" s="1354">
        <v>35.61</v>
      </c>
    </row>
    <row r="90" spans="2:4" ht="13.5" thickTop="1" x14ac:dyDescent="0.2"/>
    <row r="91" spans="2:4" ht="15.75" x14ac:dyDescent="0.25">
      <c r="B91" s="1" t="s">
        <v>92</v>
      </c>
    </row>
    <row r="93" spans="2:4" ht="15.75" x14ac:dyDescent="0.25">
      <c r="B93" s="1" t="s">
        <v>123</v>
      </c>
      <c r="C93" s="12"/>
    </row>
    <row r="94" spans="2:4" ht="18" x14ac:dyDescent="0.25">
      <c r="B94" s="1" t="s">
        <v>132</v>
      </c>
      <c r="C94" s="12"/>
      <c r="D94" s="25"/>
    </row>
    <row r="95" spans="2:4" ht="15.75" x14ac:dyDescent="0.25">
      <c r="B95" s="1"/>
      <c r="D95" s="1" t="s">
        <v>141</v>
      </c>
    </row>
    <row r="96" spans="2:4" ht="15.75" x14ac:dyDescent="0.25">
      <c r="B96" s="1" t="s">
        <v>137</v>
      </c>
      <c r="D96" s="4" t="s">
        <v>140</v>
      </c>
    </row>
    <row r="98" spans="1:4" ht="20.25" x14ac:dyDescent="0.25">
      <c r="A98" s="358" t="s">
        <v>170</v>
      </c>
      <c r="B98" s="11" t="s">
        <v>116</v>
      </c>
      <c r="D98" s="10" t="s">
        <v>71</v>
      </c>
    </row>
    <row r="99" spans="1:4" ht="18" x14ac:dyDescent="0.25">
      <c r="B99" s="14" t="s">
        <v>129</v>
      </c>
    </row>
    <row r="100" spans="1:4" ht="18" x14ac:dyDescent="0.25">
      <c r="B100" s="11" t="s">
        <v>144</v>
      </c>
      <c r="C100" s="1806" t="str">
        <f>$C$36</f>
        <v>Termin: 29 luty 2012 r.</v>
      </c>
      <c r="D100" s="1806"/>
    </row>
    <row r="101" spans="1:4" ht="18" x14ac:dyDescent="0.25">
      <c r="B101" s="11"/>
    </row>
    <row r="102" spans="1:4" ht="18" x14ac:dyDescent="0.25">
      <c r="B102" s="11" t="s">
        <v>130</v>
      </c>
    </row>
    <row r="103" spans="1:4" ht="15.75" x14ac:dyDescent="0.25">
      <c r="B103" s="1" t="s">
        <v>131</v>
      </c>
    </row>
    <row r="105" spans="1:4" ht="20.25" x14ac:dyDescent="0.3">
      <c r="B105" s="1896" t="s">
        <v>74</v>
      </c>
      <c r="C105" s="1896"/>
      <c r="D105" s="1896"/>
    </row>
    <row r="106" spans="1:4" ht="20.25" x14ac:dyDescent="0.3">
      <c r="B106" s="1896" t="s">
        <v>76</v>
      </c>
      <c r="C106" s="1896"/>
      <c r="D106" s="1896"/>
    </row>
    <row r="107" spans="1:4" ht="20.25" x14ac:dyDescent="0.3">
      <c r="B107" s="1897" t="str">
        <f>$B$11</f>
        <v>NA  PEŁNE  ETATY  WG  DZIAŁÓW  WG  STANU  NA  DZIEŃ  31.XII.2011 r.</v>
      </c>
      <c r="C107" s="1897"/>
      <c r="D107" s="1897"/>
    </row>
    <row r="108" spans="1:4" ht="13.5" thickBot="1" x14ac:dyDescent="0.25">
      <c r="A108" s="16"/>
      <c r="B108" s="16"/>
      <c r="C108" s="16"/>
      <c r="D108" s="16"/>
    </row>
    <row r="109" spans="1:4" ht="17.25" thickTop="1" x14ac:dyDescent="0.25">
      <c r="B109" s="58"/>
      <c r="C109" s="74"/>
      <c r="D109" s="63"/>
    </row>
    <row r="110" spans="1:4" ht="16.5" x14ac:dyDescent="0.25">
      <c r="B110" s="60"/>
      <c r="C110" s="75"/>
      <c r="D110" s="71"/>
    </row>
    <row r="111" spans="1:4" ht="18" x14ac:dyDescent="0.25">
      <c r="B111" s="198" t="s">
        <v>80</v>
      </c>
      <c r="C111" s="82" t="s">
        <v>4</v>
      </c>
      <c r="D111" s="83" t="s">
        <v>81</v>
      </c>
    </row>
    <row r="112" spans="1:4" ht="18" x14ac:dyDescent="0.25">
      <c r="B112" s="198"/>
      <c r="C112" s="82" t="s">
        <v>8</v>
      </c>
      <c r="D112" s="83" t="s">
        <v>16</v>
      </c>
    </row>
    <row r="113" spans="2:4" ht="16.5" x14ac:dyDescent="0.25">
      <c r="B113" s="60"/>
      <c r="C113" s="75"/>
      <c r="D113" s="90"/>
    </row>
    <row r="114" spans="2:4" ht="15.75" thickBot="1" x14ac:dyDescent="0.3">
      <c r="B114" s="91">
        <v>0</v>
      </c>
      <c r="C114" s="95">
        <v>1</v>
      </c>
      <c r="D114" s="68">
        <v>2</v>
      </c>
    </row>
    <row r="115" spans="2:4" ht="24" thickTop="1" x14ac:dyDescent="0.35">
      <c r="B115" s="97" t="s">
        <v>86</v>
      </c>
      <c r="C115" s="360">
        <f>SUM(C117:C121)</f>
        <v>527</v>
      </c>
      <c r="D115" s="709">
        <f>SUM(D117:D121)</f>
        <v>436.52</v>
      </c>
    </row>
    <row r="116" spans="2:4" ht="18.75" thickBot="1" x14ac:dyDescent="0.3">
      <c r="B116" s="99" t="s">
        <v>49</v>
      </c>
      <c r="C116" s="921" t="str">
        <f>IF('Tab.8. l.os.zatr środ_Polska'!C118=C115,"","t8w1k1"&amp;"="&amp;'Tab.8. l.os.zatr środ_Polska'!C118)</f>
        <v/>
      </c>
      <c r="D116" s="179"/>
    </row>
    <row r="117" spans="2:4" ht="19.5" thickTop="1" x14ac:dyDescent="0.3">
      <c r="B117" s="101" t="s">
        <v>87</v>
      </c>
      <c r="C117" s="1345">
        <v>47</v>
      </c>
      <c r="D117" s="1346">
        <v>42.67</v>
      </c>
    </row>
    <row r="118" spans="2:4" ht="18.75" x14ac:dyDescent="0.3">
      <c r="B118" s="103" t="s">
        <v>88</v>
      </c>
      <c r="C118" s="1349">
        <v>304</v>
      </c>
      <c r="D118" s="1350">
        <v>267.57</v>
      </c>
    </row>
    <row r="119" spans="2:4" ht="18.75" x14ac:dyDescent="0.3">
      <c r="B119" s="103" t="s">
        <v>89</v>
      </c>
      <c r="C119" s="1349">
        <v>50</v>
      </c>
      <c r="D119" s="1350">
        <v>35.840000000000003</v>
      </c>
    </row>
    <row r="120" spans="2:4" ht="18.75" x14ac:dyDescent="0.3">
      <c r="B120" s="103" t="s">
        <v>90</v>
      </c>
      <c r="C120" s="1349">
        <v>63</v>
      </c>
      <c r="D120" s="1350">
        <v>41.66</v>
      </c>
    </row>
    <row r="121" spans="2:4" ht="19.5" thickBot="1" x14ac:dyDescent="0.35">
      <c r="B121" s="105" t="s">
        <v>91</v>
      </c>
      <c r="C121" s="1353">
        <v>63</v>
      </c>
      <c r="D121" s="1354">
        <v>48.78</v>
      </c>
    </row>
    <row r="122" spans="2:4" ht="13.5" thickTop="1" x14ac:dyDescent="0.2"/>
    <row r="123" spans="2:4" ht="15.75" x14ac:dyDescent="0.25">
      <c r="B123" s="1" t="s">
        <v>92</v>
      </c>
    </row>
    <row r="125" spans="2:4" ht="15.75" x14ac:dyDescent="0.25">
      <c r="B125" s="1" t="s">
        <v>123</v>
      </c>
      <c r="C125" s="12"/>
    </row>
    <row r="126" spans="2:4" ht="18" x14ac:dyDescent="0.25">
      <c r="B126" s="1" t="s">
        <v>132</v>
      </c>
      <c r="C126" s="12"/>
      <c r="D126" s="25"/>
    </row>
    <row r="127" spans="2:4" ht="15.75" x14ac:dyDescent="0.25">
      <c r="B127" s="1"/>
      <c r="D127" s="1" t="s">
        <v>141</v>
      </c>
    </row>
    <row r="128" spans="2:4" ht="15.75" x14ac:dyDescent="0.25">
      <c r="B128" s="1" t="s">
        <v>137</v>
      </c>
      <c r="D128" s="4" t="s">
        <v>140</v>
      </c>
    </row>
    <row r="130" spans="1:4" ht="20.25" x14ac:dyDescent="0.25">
      <c r="A130" s="358" t="s">
        <v>172</v>
      </c>
      <c r="B130" s="11" t="s">
        <v>116</v>
      </c>
      <c r="D130" s="10" t="s">
        <v>71</v>
      </c>
    </row>
    <row r="131" spans="1:4" ht="18" x14ac:dyDescent="0.25">
      <c r="B131" s="14" t="s">
        <v>129</v>
      </c>
    </row>
    <row r="132" spans="1:4" ht="18" x14ac:dyDescent="0.25">
      <c r="B132" s="11" t="s">
        <v>144</v>
      </c>
      <c r="C132" s="1806" t="str">
        <f>$C$36</f>
        <v>Termin: 29 luty 2012 r.</v>
      </c>
      <c r="D132" s="1806"/>
    </row>
    <row r="133" spans="1:4" ht="18" x14ac:dyDescent="0.25">
      <c r="B133" s="11"/>
    </row>
    <row r="134" spans="1:4" ht="18" x14ac:dyDescent="0.25">
      <c r="B134" s="11" t="s">
        <v>130</v>
      </c>
    </row>
    <row r="135" spans="1:4" ht="15.75" x14ac:dyDescent="0.25">
      <c r="B135" s="1" t="s">
        <v>131</v>
      </c>
    </row>
    <row r="137" spans="1:4" ht="20.25" x14ac:dyDescent="0.3">
      <c r="B137" s="1896" t="s">
        <v>74</v>
      </c>
      <c r="C137" s="1896"/>
      <c r="D137" s="1896"/>
    </row>
    <row r="138" spans="1:4" ht="20.25" x14ac:dyDescent="0.3">
      <c r="B138" s="1896" t="s">
        <v>76</v>
      </c>
      <c r="C138" s="1896"/>
      <c r="D138" s="1896"/>
    </row>
    <row r="139" spans="1:4" ht="20.25" x14ac:dyDescent="0.3">
      <c r="B139" s="1897" t="str">
        <f>$B$11</f>
        <v>NA  PEŁNE  ETATY  WG  DZIAŁÓW  WG  STANU  NA  DZIEŃ  31.XII.2011 r.</v>
      </c>
      <c r="C139" s="1897"/>
      <c r="D139" s="1897"/>
    </row>
    <row r="140" spans="1:4" ht="13.5" thickBot="1" x14ac:dyDescent="0.25">
      <c r="A140" s="16"/>
      <c r="B140" s="16"/>
      <c r="C140" s="16"/>
      <c r="D140" s="16"/>
    </row>
    <row r="141" spans="1:4" ht="17.25" thickTop="1" x14ac:dyDescent="0.25">
      <c r="B141" s="58"/>
      <c r="C141" s="74"/>
      <c r="D141" s="63"/>
    </row>
    <row r="142" spans="1:4" ht="16.5" x14ac:dyDescent="0.25">
      <c r="B142" s="60"/>
      <c r="C142" s="75"/>
      <c r="D142" s="71"/>
    </row>
    <row r="143" spans="1:4" ht="18" x14ac:dyDescent="0.25">
      <c r="B143" s="198" t="s">
        <v>80</v>
      </c>
      <c r="C143" s="82" t="s">
        <v>4</v>
      </c>
      <c r="D143" s="83" t="s">
        <v>81</v>
      </c>
    </row>
    <row r="144" spans="1:4" ht="18" x14ac:dyDescent="0.25">
      <c r="B144" s="198"/>
      <c r="C144" s="82" t="s">
        <v>8</v>
      </c>
      <c r="D144" s="83" t="s">
        <v>16</v>
      </c>
    </row>
    <row r="145" spans="2:4" ht="16.5" x14ac:dyDescent="0.25">
      <c r="B145" s="60"/>
      <c r="C145" s="75"/>
      <c r="D145" s="90"/>
    </row>
    <row r="146" spans="2:4" ht="15.75" thickBot="1" x14ac:dyDescent="0.3">
      <c r="B146" s="91">
        <v>0</v>
      </c>
      <c r="C146" s="95">
        <v>1</v>
      </c>
      <c r="D146" s="68">
        <v>2</v>
      </c>
    </row>
    <row r="147" spans="2:4" ht="24" thickTop="1" x14ac:dyDescent="0.35">
      <c r="B147" s="97" t="s">
        <v>86</v>
      </c>
      <c r="C147" s="360">
        <f>SUM(C149:C153)</f>
        <v>178</v>
      </c>
      <c r="D147" s="361">
        <f>SUM(D149:D153)</f>
        <v>136.30000000000001</v>
      </c>
    </row>
    <row r="148" spans="2:4" ht="18.75" thickBot="1" x14ac:dyDescent="0.3">
      <c r="B148" s="99" t="s">
        <v>49</v>
      </c>
      <c r="C148" s="921" t="str">
        <f>IF('Tab.8. l.os.zatr środ_Polska'!C150=C147,"","t8w1k1"&amp;"="&amp;'Tab.8. l.os.zatr środ_Polska'!C150)</f>
        <v/>
      </c>
      <c r="D148" s="179"/>
    </row>
    <row r="149" spans="2:4" ht="19.5" thickTop="1" x14ac:dyDescent="0.3">
      <c r="B149" s="101" t="s">
        <v>87</v>
      </c>
      <c r="C149" s="1345">
        <v>19</v>
      </c>
      <c r="D149" s="1346">
        <v>16.579999999999998</v>
      </c>
    </row>
    <row r="150" spans="2:4" ht="18.75" x14ac:dyDescent="0.3">
      <c r="B150" s="103" t="s">
        <v>88</v>
      </c>
      <c r="C150" s="1349">
        <v>115</v>
      </c>
      <c r="D150" s="1350">
        <v>98.26</v>
      </c>
    </row>
    <row r="151" spans="2:4" ht="18.75" x14ac:dyDescent="0.3">
      <c r="B151" s="103" t="s">
        <v>89</v>
      </c>
      <c r="C151" s="1349">
        <v>12</v>
      </c>
      <c r="D151" s="1350">
        <v>7.7</v>
      </c>
    </row>
    <row r="152" spans="2:4" ht="18.75" x14ac:dyDescent="0.3">
      <c r="B152" s="103" t="s">
        <v>90</v>
      </c>
      <c r="C152" s="1349">
        <v>15</v>
      </c>
      <c r="D152" s="1350">
        <v>4.1100000000000003</v>
      </c>
    </row>
    <row r="153" spans="2:4" ht="19.5" thickBot="1" x14ac:dyDescent="0.35">
      <c r="B153" s="105" t="s">
        <v>91</v>
      </c>
      <c r="C153" s="1353">
        <v>17</v>
      </c>
      <c r="D153" s="1354">
        <v>9.65</v>
      </c>
    </row>
    <row r="154" spans="2:4" ht="13.5" thickTop="1" x14ac:dyDescent="0.2"/>
    <row r="155" spans="2:4" ht="15.75" x14ac:dyDescent="0.25">
      <c r="B155" s="1" t="s">
        <v>92</v>
      </c>
    </row>
    <row r="157" spans="2:4" ht="15.75" x14ac:dyDescent="0.25">
      <c r="B157" s="1" t="s">
        <v>123</v>
      </c>
      <c r="C157" s="12"/>
    </row>
    <row r="158" spans="2:4" ht="18" x14ac:dyDescent="0.25">
      <c r="B158" s="1" t="s">
        <v>132</v>
      </c>
      <c r="C158" s="12"/>
      <c r="D158" s="25"/>
    </row>
    <row r="159" spans="2:4" ht="15.75" x14ac:dyDescent="0.25">
      <c r="B159" s="1"/>
      <c r="D159" s="1" t="s">
        <v>141</v>
      </c>
    </row>
    <row r="160" spans="2:4" ht="15.75" x14ac:dyDescent="0.25">
      <c r="B160" s="1" t="s">
        <v>137</v>
      </c>
      <c r="D160" s="4" t="s">
        <v>140</v>
      </c>
    </row>
    <row r="162" spans="1:4" ht="20.25" x14ac:dyDescent="0.25">
      <c r="A162" s="358" t="s">
        <v>197</v>
      </c>
      <c r="B162" s="11" t="s">
        <v>116</v>
      </c>
      <c r="D162" s="10" t="s">
        <v>71</v>
      </c>
    </row>
    <row r="163" spans="1:4" ht="18" x14ac:dyDescent="0.25">
      <c r="B163" s="14" t="s">
        <v>129</v>
      </c>
    </row>
    <row r="164" spans="1:4" ht="18" x14ac:dyDescent="0.25">
      <c r="B164" s="11" t="s">
        <v>144</v>
      </c>
      <c r="C164" s="1806" t="str">
        <f>$C$36</f>
        <v>Termin: 29 luty 2012 r.</v>
      </c>
      <c r="D164" s="1806"/>
    </row>
    <row r="165" spans="1:4" ht="18" x14ac:dyDescent="0.25">
      <c r="B165" s="11"/>
    </row>
    <row r="166" spans="1:4" ht="18" x14ac:dyDescent="0.25">
      <c r="B166" s="11" t="s">
        <v>130</v>
      </c>
    </row>
    <row r="167" spans="1:4" ht="15.75" x14ac:dyDescent="0.25">
      <c r="B167" s="1" t="s">
        <v>131</v>
      </c>
    </row>
    <row r="169" spans="1:4" ht="20.25" x14ac:dyDescent="0.3">
      <c r="B169" s="1896" t="s">
        <v>74</v>
      </c>
      <c r="C169" s="1896"/>
      <c r="D169" s="1896"/>
    </row>
    <row r="170" spans="1:4" ht="20.25" x14ac:dyDescent="0.3">
      <c r="B170" s="1896" t="s">
        <v>76</v>
      </c>
      <c r="C170" s="1896"/>
      <c r="D170" s="1896"/>
    </row>
    <row r="171" spans="1:4" ht="20.25" x14ac:dyDescent="0.3">
      <c r="B171" s="1897" t="str">
        <f>$B$11</f>
        <v>NA  PEŁNE  ETATY  WG  DZIAŁÓW  WG  STANU  NA  DZIEŃ  31.XII.2011 r.</v>
      </c>
      <c r="C171" s="1897"/>
      <c r="D171" s="1897"/>
    </row>
    <row r="172" spans="1:4" ht="13.5" thickBot="1" x14ac:dyDescent="0.25">
      <c r="A172" s="16"/>
      <c r="B172" s="16"/>
      <c r="C172" s="16"/>
      <c r="D172" s="16"/>
    </row>
    <row r="173" spans="1:4" ht="17.25" thickTop="1" x14ac:dyDescent="0.25">
      <c r="B173" s="58"/>
      <c r="C173" s="74"/>
      <c r="D173" s="63"/>
    </row>
    <row r="174" spans="1:4" ht="16.5" x14ac:dyDescent="0.25">
      <c r="B174" s="60"/>
      <c r="C174" s="75"/>
      <c r="D174" s="71"/>
    </row>
    <row r="175" spans="1:4" ht="18" x14ac:dyDescent="0.25">
      <c r="B175" s="198" t="s">
        <v>80</v>
      </c>
      <c r="C175" s="82" t="s">
        <v>4</v>
      </c>
      <c r="D175" s="83" t="s">
        <v>81</v>
      </c>
    </row>
    <row r="176" spans="1:4" ht="18" x14ac:dyDescent="0.25">
      <c r="B176" s="198"/>
      <c r="C176" s="82" t="s">
        <v>8</v>
      </c>
      <c r="D176" s="83" t="s">
        <v>16</v>
      </c>
    </row>
    <row r="177" spans="2:4" ht="16.5" x14ac:dyDescent="0.25">
      <c r="B177" s="60"/>
      <c r="C177" s="75"/>
      <c r="D177" s="90"/>
    </row>
    <row r="178" spans="2:4" ht="15.75" thickBot="1" x14ac:dyDescent="0.3">
      <c r="B178" s="91">
        <v>0</v>
      </c>
      <c r="C178" s="95">
        <v>1</v>
      </c>
      <c r="D178" s="68">
        <v>2</v>
      </c>
    </row>
    <row r="179" spans="2:4" ht="24" thickTop="1" x14ac:dyDescent="0.35">
      <c r="B179" s="97" t="s">
        <v>86</v>
      </c>
      <c r="C179" s="930">
        <f>SUM(C181:C185)</f>
        <v>458</v>
      </c>
      <c r="D179" s="361">
        <f>SUM(D181:D185)</f>
        <v>347.95000000000005</v>
      </c>
    </row>
    <row r="180" spans="2:4" ht="18.75" thickBot="1" x14ac:dyDescent="0.3">
      <c r="B180" s="99" t="s">
        <v>49</v>
      </c>
      <c r="C180" s="921" t="str">
        <f>IF('Tab.8. l.os.zatr środ_Polska'!C182=C179,"","t8w1k1"&amp;"="&amp;'Tab.8. l.os.zatr środ_Polska'!C182)</f>
        <v/>
      </c>
      <c r="D180" s="179"/>
    </row>
    <row r="181" spans="2:4" ht="19.5" thickTop="1" x14ac:dyDescent="0.3">
      <c r="B181" s="101" t="s">
        <v>87</v>
      </c>
      <c r="C181" s="1345">
        <v>41</v>
      </c>
      <c r="D181" s="1346">
        <v>37.25</v>
      </c>
    </row>
    <row r="182" spans="2:4" ht="18.75" x14ac:dyDescent="0.3">
      <c r="B182" s="103" t="s">
        <v>88</v>
      </c>
      <c r="C182" s="1349">
        <v>232</v>
      </c>
      <c r="D182" s="1350">
        <v>191.98</v>
      </c>
    </row>
    <row r="183" spans="2:4" ht="18.75" x14ac:dyDescent="0.3">
      <c r="B183" s="103" t="s">
        <v>89</v>
      </c>
      <c r="C183" s="1349">
        <v>52</v>
      </c>
      <c r="D183" s="1350">
        <v>34.75</v>
      </c>
    </row>
    <row r="184" spans="2:4" ht="18.75" x14ac:dyDescent="0.3">
      <c r="B184" s="103" t="s">
        <v>90</v>
      </c>
      <c r="C184" s="1349">
        <v>61</v>
      </c>
      <c r="D184" s="1350">
        <v>33.799999999999997</v>
      </c>
    </row>
    <row r="185" spans="2:4" ht="19.5" thickBot="1" x14ac:dyDescent="0.35">
      <c r="B185" s="105" t="s">
        <v>91</v>
      </c>
      <c r="C185" s="1353">
        <v>72</v>
      </c>
      <c r="D185" s="1354">
        <v>50.17</v>
      </c>
    </row>
    <row r="186" spans="2:4" ht="13.5" thickTop="1" x14ac:dyDescent="0.2"/>
    <row r="187" spans="2:4" ht="15.75" x14ac:dyDescent="0.25">
      <c r="B187" s="1" t="s">
        <v>92</v>
      </c>
    </row>
    <row r="189" spans="2:4" ht="15.75" x14ac:dyDescent="0.25">
      <c r="B189" s="1" t="s">
        <v>123</v>
      </c>
      <c r="C189" s="12"/>
    </row>
    <row r="190" spans="2:4" ht="18" x14ac:dyDescent="0.25">
      <c r="B190" s="1" t="s">
        <v>132</v>
      </c>
      <c r="C190" s="12"/>
      <c r="D190" s="25"/>
    </row>
    <row r="191" spans="2:4" ht="15.75" x14ac:dyDescent="0.25">
      <c r="B191" s="1"/>
      <c r="D191" s="1" t="s">
        <v>141</v>
      </c>
    </row>
    <row r="192" spans="2:4" ht="15.75" x14ac:dyDescent="0.25">
      <c r="B192" s="1" t="s">
        <v>137</v>
      </c>
      <c r="D192" s="4" t="s">
        <v>140</v>
      </c>
    </row>
    <row r="194" spans="1:4" ht="20.25" x14ac:dyDescent="0.25">
      <c r="A194" s="358" t="s">
        <v>198</v>
      </c>
      <c r="B194" s="11" t="s">
        <v>116</v>
      </c>
      <c r="D194" s="10" t="s">
        <v>71</v>
      </c>
    </row>
    <row r="195" spans="1:4" ht="18" x14ac:dyDescent="0.25">
      <c r="B195" s="14" t="s">
        <v>129</v>
      </c>
    </row>
    <row r="196" spans="1:4" ht="18" x14ac:dyDescent="0.25">
      <c r="B196" s="11" t="s">
        <v>144</v>
      </c>
      <c r="C196" s="1806" t="str">
        <f>$C$36</f>
        <v>Termin: 29 luty 2012 r.</v>
      </c>
      <c r="D196" s="1806"/>
    </row>
    <row r="197" spans="1:4" ht="18" x14ac:dyDescent="0.25">
      <c r="B197" s="11"/>
    </row>
    <row r="198" spans="1:4" ht="18" x14ac:dyDescent="0.25">
      <c r="B198" s="11" t="s">
        <v>130</v>
      </c>
    </row>
    <row r="199" spans="1:4" ht="15.75" x14ac:dyDescent="0.25">
      <c r="B199" s="1" t="s">
        <v>131</v>
      </c>
    </row>
    <row r="201" spans="1:4" ht="20.25" x14ac:dyDescent="0.3">
      <c r="B201" s="1896" t="s">
        <v>74</v>
      </c>
      <c r="C201" s="1896"/>
      <c r="D201" s="1896"/>
    </row>
    <row r="202" spans="1:4" ht="20.25" x14ac:dyDescent="0.3">
      <c r="B202" s="1896" t="s">
        <v>76</v>
      </c>
      <c r="C202" s="1896"/>
      <c r="D202" s="1896"/>
    </row>
    <row r="203" spans="1:4" ht="20.25" x14ac:dyDescent="0.3">
      <c r="B203" s="1897" t="str">
        <f>$B$11</f>
        <v>NA  PEŁNE  ETATY  WG  DZIAŁÓW  WG  STANU  NA  DZIEŃ  31.XII.2011 r.</v>
      </c>
      <c r="C203" s="1897"/>
      <c r="D203" s="1897"/>
    </row>
    <row r="204" spans="1:4" ht="13.5" thickBot="1" x14ac:dyDescent="0.25">
      <c r="A204" s="16"/>
      <c r="B204" s="16"/>
      <c r="C204" s="16"/>
      <c r="D204" s="16"/>
    </row>
    <row r="205" spans="1:4" ht="17.25" thickTop="1" x14ac:dyDescent="0.25">
      <c r="B205" s="58"/>
      <c r="C205" s="74"/>
      <c r="D205" s="63"/>
    </row>
    <row r="206" spans="1:4" ht="16.5" x14ac:dyDescent="0.25">
      <c r="B206" s="60"/>
      <c r="C206" s="75"/>
      <c r="D206" s="71"/>
    </row>
    <row r="207" spans="1:4" ht="18" x14ac:dyDescent="0.25">
      <c r="B207" s="198" t="s">
        <v>80</v>
      </c>
      <c r="C207" s="82" t="s">
        <v>4</v>
      </c>
      <c r="D207" s="83" t="s">
        <v>81</v>
      </c>
    </row>
    <row r="208" spans="1:4" ht="18" x14ac:dyDescent="0.25">
      <c r="B208" s="198"/>
      <c r="C208" s="82" t="s">
        <v>8</v>
      </c>
      <c r="D208" s="83" t="s">
        <v>16</v>
      </c>
    </row>
    <row r="209" spans="2:4" ht="16.5" x14ac:dyDescent="0.25">
      <c r="B209" s="60"/>
      <c r="C209" s="75"/>
      <c r="D209" s="90"/>
    </row>
    <row r="210" spans="2:4" ht="15.75" thickBot="1" x14ac:dyDescent="0.3">
      <c r="B210" s="91">
        <v>0</v>
      </c>
      <c r="C210" s="95">
        <v>1</v>
      </c>
      <c r="D210" s="68">
        <v>2</v>
      </c>
    </row>
    <row r="211" spans="2:4" ht="24" thickTop="1" x14ac:dyDescent="0.35">
      <c r="B211" s="97" t="s">
        <v>86</v>
      </c>
      <c r="C211" s="360">
        <f>SUM(C213:C217)</f>
        <v>689</v>
      </c>
      <c r="D211" s="361">
        <f>SUM(D213:D217)</f>
        <v>561.78</v>
      </c>
    </row>
    <row r="212" spans="2:4" ht="18.75" thickBot="1" x14ac:dyDescent="0.3">
      <c r="B212" s="99" t="s">
        <v>49</v>
      </c>
      <c r="C212" s="921" t="str">
        <f>IF('Tab.8. l.os.zatr środ_Polska'!C214=C211,"","t8w1k1"&amp;"="&amp;'Tab.8. l.os.zatr środ_Polska'!C214)</f>
        <v/>
      </c>
      <c r="D212" s="179"/>
    </row>
    <row r="213" spans="2:4" ht="19.5" thickTop="1" x14ac:dyDescent="0.3">
      <c r="B213" s="101" t="s">
        <v>87</v>
      </c>
      <c r="C213" s="1345">
        <v>68</v>
      </c>
      <c r="D213" s="1346">
        <v>59.15</v>
      </c>
    </row>
    <row r="214" spans="2:4" ht="18.75" x14ac:dyDescent="0.3">
      <c r="B214" s="103" t="s">
        <v>88</v>
      </c>
      <c r="C214" s="1349">
        <v>437</v>
      </c>
      <c r="D214" s="1350">
        <v>386.19</v>
      </c>
    </row>
    <row r="215" spans="2:4" ht="18.75" x14ac:dyDescent="0.3">
      <c r="B215" s="103" t="s">
        <v>89</v>
      </c>
      <c r="C215" s="1349">
        <v>60</v>
      </c>
      <c r="D215" s="1350">
        <v>44.33</v>
      </c>
    </row>
    <row r="216" spans="2:4" ht="18.75" x14ac:dyDescent="0.3">
      <c r="B216" s="103" t="s">
        <v>90</v>
      </c>
      <c r="C216" s="1349">
        <v>78</v>
      </c>
      <c r="D216" s="1350">
        <v>42.51</v>
      </c>
    </row>
    <row r="217" spans="2:4" ht="19.5" thickBot="1" x14ac:dyDescent="0.35">
      <c r="B217" s="105" t="s">
        <v>91</v>
      </c>
      <c r="C217" s="1353">
        <v>46</v>
      </c>
      <c r="D217" s="1354">
        <v>29.6</v>
      </c>
    </row>
    <row r="218" spans="2:4" ht="13.5" thickTop="1" x14ac:dyDescent="0.2"/>
    <row r="219" spans="2:4" ht="15.75" x14ac:dyDescent="0.25">
      <c r="B219" s="1" t="s">
        <v>92</v>
      </c>
    </row>
    <row r="221" spans="2:4" ht="15.75" x14ac:dyDescent="0.25">
      <c r="B221" s="1" t="s">
        <v>123</v>
      </c>
      <c r="C221" s="12"/>
    </row>
    <row r="222" spans="2:4" ht="18" x14ac:dyDescent="0.25">
      <c r="B222" s="1" t="s">
        <v>132</v>
      </c>
      <c r="C222" s="12"/>
      <c r="D222" s="25"/>
    </row>
    <row r="223" spans="2:4" ht="15.75" x14ac:dyDescent="0.25">
      <c r="B223" s="1"/>
      <c r="D223" s="1" t="s">
        <v>141</v>
      </c>
    </row>
    <row r="224" spans="2:4" ht="15.75" x14ac:dyDescent="0.25">
      <c r="B224" s="1" t="s">
        <v>137</v>
      </c>
      <c r="D224" s="4" t="s">
        <v>140</v>
      </c>
    </row>
    <row r="226" spans="1:4" ht="20.25" x14ac:dyDescent="0.25">
      <c r="A226" s="358" t="s">
        <v>199</v>
      </c>
      <c r="B226" s="11" t="s">
        <v>116</v>
      </c>
      <c r="D226" s="10" t="s">
        <v>71</v>
      </c>
    </row>
    <row r="227" spans="1:4" ht="18" x14ac:dyDescent="0.25">
      <c r="B227" s="14" t="s">
        <v>129</v>
      </c>
    </row>
    <row r="228" spans="1:4" ht="18" x14ac:dyDescent="0.25">
      <c r="B228" s="11" t="s">
        <v>144</v>
      </c>
      <c r="C228" s="1806" t="str">
        <f>$C$36</f>
        <v>Termin: 29 luty 2012 r.</v>
      </c>
      <c r="D228" s="1806"/>
    </row>
    <row r="229" spans="1:4" ht="18" x14ac:dyDescent="0.25">
      <c r="B229" s="11"/>
    </row>
    <row r="230" spans="1:4" ht="18" x14ac:dyDescent="0.25">
      <c r="B230" s="11" t="s">
        <v>130</v>
      </c>
    </row>
    <row r="231" spans="1:4" ht="15.75" x14ac:dyDescent="0.25">
      <c r="B231" s="1" t="s">
        <v>131</v>
      </c>
    </row>
    <row r="233" spans="1:4" ht="20.25" x14ac:dyDescent="0.3">
      <c r="B233" s="1896" t="s">
        <v>74</v>
      </c>
      <c r="C233" s="1896"/>
      <c r="D233" s="1896"/>
    </row>
    <row r="234" spans="1:4" ht="20.25" x14ac:dyDescent="0.3">
      <c r="B234" s="1896" t="s">
        <v>76</v>
      </c>
      <c r="C234" s="1896"/>
      <c r="D234" s="1896"/>
    </row>
    <row r="235" spans="1:4" ht="20.25" x14ac:dyDescent="0.3">
      <c r="B235" s="1897" t="str">
        <f>$B$11</f>
        <v>NA  PEŁNE  ETATY  WG  DZIAŁÓW  WG  STANU  NA  DZIEŃ  31.XII.2011 r.</v>
      </c>
      <c r="C235" s="1897"/>
      <c r="D235" s="1897"/>
    </row>
    <row r="236" spans="1:4" ht="13.5" thickBot="1" x14ac:dyDescent="0.25">
      <c r="A236" s="16"/>
      <c r="B236" s="16"/>
      <c r="C236" s="16"/>
      <c r="D236" s="16"/>
    </row>
    <row r="237" spans="1:4" ht="17.25" thickTop="1" x14ac:dyDescent="0.25">
      <c r="B237" s="58"/>
      <c r="C237" s="74"/>
      <c r="D237" s="63"/>
    </row>
    <row r="238" spans="1:4" ht="16.5" x14ac:dyDescent="0.25">
      <c r="B238" s="60"/>
      <c r="C238" s="75"/>
      <c r="D238" s="71"/>
    </row>
    <row r="239" spans="1:4" ht="18" x14ac:dyDescent="0.25">
      <c r="B239" s="198" t="s">
        <v>80</v>
      </c>
      <c r="C239" s="82" t="s">
        <v>4</v>
      </c>
      <c r="D239" s="83" t="s">
        <v>81</v>
      </c>
    </row>
    <row r="240" spans="1:4" ht="18" x14ac:dyDescent="0.25">
      <c r="B240" s="198"/>
      <c r="C240" s="82" t="s">
        <v>8</v>
      </c>
      <c r="D240" s="83" t="s">
        <v>16</v>
      </c>
    </row>
    <row r="241" spans="2:4" ht="16.5" x14ac:dyDescent="0.25">
      <c r="B241" s="60"/>
      <c r="C241" s="75"/>
      <c r="D241" s="90"/>
    </row>
    <row r="242" spans="2:4" ht="15.75" thickBot="1" x14ac:dyDescent="0.3">
      <c r="B242" s="91">
        <v>0</v>
      </c>
      <c r="C242" s="95">
        <v>1</v>
      </c>
      <c r="D242" s="68">
        <v>2</v>
      </c>
    </row>
    <row r="243" spans="2:4" ht="24" thickTop="1" x14ac:dyDescent="0.35">
      <c r="B243" s="97" t="s">
        <v>86</v>
      </c>
      <c r="C243" s="360">
        <f>SUM(C245:C249)</f>
        <v>512</v>
      </c>
      <c r="D243" s="361">
        <f>SUM(D245:D249)</f>
        <v>425.77</v>
      </c>
    </row>
    <row r="244" spans="2:4" ht="18.75" thickBot="1" x14ac:dyDescent="0.3">
      <c r="B244" s="99" t="s">
        <v>49</v>
      </c>
      <c r="C244" s="921" t="str">
        <f>IF('Tab.8. l.os.zatr środ_Polska'!C246=C243,"","t8w1k1"&amp;"="&amp;'Tab.8. l.os.zatr środ_Polska'!C246)</f>
        <v/>
      </c>
      <c r="D244" s="179"/>
    </row>
    <row r="245" spans="2:4" ht="19.5" thickTop="1" x14ac:dyDescent="0.3">
      <c r="B245" s="101" t="s">
        <v>87</v>
      </c>
      <c r="C245" s="1345">
        <v>66</v>
      </c>
      <c r="D245" s="1346">
        <v>65.069999999999993</v>
      </c>
    </row>
    <row r="246" spans="2:4" ht="18.75" x14ac:dyDescent="0.3">
      <c r="B246" s="103" t="s">
        <v>88</v>
      </c>
      <c r="C246" s="1349">
        <v>319</v>
      </c>
      <c r="D246" s="1350">
        <v>280.70999999999998</v>
      </c>
    </row>
    <row r="247" spans="2:4" ht="18.75" x14ac:dyDescent="0.3">
      <c r="B247" s="103" t="s">
        <v>89</v>
      </c>
      <c r="C247" s="1349">
        <v>22</v>
      </c>
      <c r="D247" s="1350">
        <v>16.75</v>
      </c>
    </row>
    <row r="248" spans="2:4" ht="18.75" x14ac:dyDescent="0.3">
      <c r="B248" s="103" t="s">
        <v>90</v>
      </c>
      <c r="C248" s="1349">
        <v>55</v>
      </c>
      <c r="D248" s="1350">
        <v>24.92</v>
      </c>
    </row>
    <row r="249" spans="2:4" ht="19.5" thickBot="1" x14ac:dyDescent="0.35">
      <c r="B249" s="105" t="s">
        <v>91</v>
      </c>
      <c r="C249" s="1353">
        <v>50</v>
      </c>
      <c r="D249" s="1354">
        <v>38.32</v>
      </c>
    </row>
    <row r="250" spans="2:4" ht="13.5" thickTop="1" x14ac:dyDescent="0.2"/>
    <row r="251" spans="2:4" ht="15.75" x14ac:dyDescent="0.25">
      <c r="B251" s="1" t="s">
        <v>92</v>
      </c>
    </row>
    <row r="253" spans="2:4" ht="15.75" x14ac:dyDescent="0.25">
      <c r="B253" s="1" t="s">
        <v>123</v>
      </c>
      <c r="C253" s="12"/>
    </row>
    <row r="254" spans="2:4" ht="18" x14ac:dyDescent="0.25">
      <c r="B254" s="1" t="s">
        <v>132</v>
      </c>
      <c r="C254" s="12"/>
      <c r="D254" s="25"/>
    </row>
    <row r="255" spans="2:4" ht="15.75" x14ac:dyDescent="0.25">
      <c r="B255" s="1"/>
      <c r="D255" s="1" t="s">
        <v>141</v>
      </c>
    </row>
    <row r="256" spans="2:4" ht="15.75" x14ac:dyDescent="0.25">
      <c r="B256" s="1" t="s">
        <v>137</v>
      </c>
      <c r="D256" s="4" t="s">
        <v>140</v>
      </c>
    </row>
    <row r="258" spans="1:4" ht="20.25" x14ac:dyDescent="0.25">
      <c r="A258" s="358" t="s">
        <v>200</v>
      </c>
      <c r="B258" s="11" t="s">
        <v>116</v>
      </c>
      <c r="D258" s="10" t="s">
        <v>71</v>
      </c>
    </row>
    <row r="259" spans="1:4" ht="18" x14ac:dyDescent="0.25">
      <c r="B259" s="14" t="s">
        <v>129</v>
      </c>
    </row>
    <row r="260" spans="1:4" ht="18" x14ac:dyDescent="0.25">
      <c r="B260" s="11" t="s">
        <v>144</v>
      </c>
      <c r="C260" s="1806" t="str">
        <f>$C$36</f>
        <v>Termin: 29 luty 2012 r.</v>
      </c>
      <c r="D260" s="1806"/>
    </row>
    <row r="261" spans="1:4" ht="18" x14ac:dyDescent="0.25">
      <c r="B261" s="11"/>
    </row>
    <row r="262" spans="1:4" ht="18" x14ac:dyDescent="0.25">
      <c r="B262" s="11" t="s">
        <v>130</v>
      </c>
    </row>
    <row r="263" spans="1:4" ht="15.75" x14ac:dyDescent="0.25">
      <c r="B263" s="1" t="s">
        <v>131</v>
      </c>
    </row>
    <row r="265" spans="1:4" ht="20.25" x14ac:dyDescent="0.3">
      <c r="B265" s="1896" t="s">
        <v>74</v>
      </c>
      <c r="C265" s="1896"/>
      <c r="D265" s="1896"/>
    </row>
    <row r="266" spans="1:4" ht="20.25" x14ac:dyDescent="0.3">
      <c r="B266" s="1896" t="s">
        <v>76</v>
      </c>
      <c r="C266" s="1896"/>
      <c r="D266" s="1896"/>
    </row>
    <row r="267" spans="1:4" ht="20.25" x14ac:dyDescent="0.3">
      <c r="B267" s="1897" t="str">
        <f>$B$11</f>
        <v>NA  PEŁNE  ETATY  WG  DZIAŁÓW  WG  STANU  NA  DZIEŃ  31.XII.2011 r.</v>
      </c>
      <c r="C267" s="1897"/>
      <c r="D267" s="1897"/>
    </row>
    <row r="268" spans="1:4" ht="13.5" thickBot="1" x14ac:dyDescent="0.25">
      <c r="A268" s="16"/>
      <c r="B268" s="16"/>
      <c r="C268" s="16"/>
      <c r="D268" s="16"/>
    </row>
    <row r="269" spans="1:4" ht="17.25" thickTop="1" x14ac:dyDescent="0.25">
      <c r="B269" s="58"/>
      <c r="C269" s="74"/>
      <c r="D269" s="63"/>
    </row>
    <row r="270" spans="1:4" ht="16.5" x14ac:dyDescent="0.25">
      <c r="B270" s="60"/>
      <c r="C270" s="75"/>
      <c r="D270" s="71"/>
    </row>
    <row r="271" spans="1:4" ht="18" x14ac:dyDescent="0.25">
      <c r="B271" s="198" t="s">
        <v>80</v>
      </c>
      <c r="C271" s="82" t="s">
        <v>4</v>
      </c>
      <c r="D271" s="83" t="s">
        <v>81</v>
      </c>
    </row>
    <row r="272" spans="1:4" ht="18" x14ac:dyDescent="0.25">
      <c r="B272" s="198"/>
      <c r="C272" s="82" t="s">
        <v>8</v>
      </c>
      <c r="D272" s="83" t="s">
        <v>16</v>
      </c>
    </row>
    <row r="273" spans="2:4" ht="16.5" x14ac:dyDescent="0.25">
      <c r="B273" s="60"/>
      <c r="C273" s="75"/>
      <c r="D273" s="90"/>
    </row>
    <row r="274" spans="2:4" ht="15.75" thickBot="1" x14ac:dyDescent="0.3">
      <c r="B274" s="91">
        <v>0</v>
      </c>
      <c r="C274" s="95">
        <v>1</v>
      </c>
      <c r="D274" s="68">
        <v>2</v>
      </c>
    </row>
    <row r="275" spans="2:4" ht="24" thickTop="1" x14ac:dyDescent="0.35">
      <c r="B275" s="97" t="s">
        <v>86</v>
      </c>
      <c r="C275" s="360">
        <f>SUM(C277:C281)</f>
        <v>137</v>
      </c>
      <c r="D275" s="361">
        <f>SUM(D277:D281)</f>
        <v>122.24000000000001</v>
      </c>
    </row>
    <row r="276" spans="2:4" ht="18.75" thickBot="1" x14ac:dyDescent="0.3">
      <c r="B276" s="99" t="s">
        <v>49</v>
      </c>
      <c r="C276" s="921" t="str">
        <f>IF('Tab.8. l.os.zatr środ_Polska'!C278=C275,"","t8w1k1"&amp;"="&amp;'Tab.8. l.os.zatr środ_Polska'!C278)</f>
        <v/>
      </c>
      <c r="D276" s="179"/>
    </row>
    <row r="277" spans="2:4" ht="19.5" thickTop="1" x14ac:dyDescent="0.3">
      <c r="B277" s="101" t="s">
        <v>87</v>
      </c>
      <c r="C277" s="1345">
        <v>11</v>
      </c>
      <c r="D277" s="1346">
        <v>11</v>
      </c>
    </row>
    <row r="278" spans="2:4" ht="18.75" x14ac:dyDescent="0.3">
      <c r="B278" s="103" t="s">
        <v>88</v>
      </c>
      <c r="C278" s="1349">
        <v>67</v>
      </c>
      <c r="D278" s="1350">
        <v>60.59</v>
      </c>
    </row>
    <row r="279" spans="2:4" ht="18.75" x14ac:dyDescent="0.3">
      <c r="B279" s="103" t="s">
        <v>89</v>
      </c>
      <c r="C279" s="1349">
        <v>19</v>
      </c>
      <c r="D279" s="1350">
        <v>17.149999999999999</v>
      </c>
    </row>
    <row r="280" spans="2:4" ht="18.75" x14ac:dyDescent="0.3">
      <c r="B280" s="103" t="s">
        <v>90</v>
      </c>
      <c r="C280" s="1349">
        <v>19</v>
      </c>
      <c r="D280" s="1350">
        <v>15.5</v>
      </c>
    </row>
    <row r="281" spans="2:4" ht="19.5" thickBot="1" x14ac:dyDescent="0.35">
      <c r="B281" s="105" t="s">
        <v>91</v>
      </c>
      <c r="C281" s="1353">
        <v>21</v>
      </c>
      <c r="D281" s="1354">
        <v>18</v>
      </c>
    </row>
    <row r="282" spans="2:4" ht="13.5" thickTop="1" x14ac:dyDescent="0.2"/>
    <row r="283" spans="2:4" ht="15.75" x14ac:dyDescent="0.25">
      <c r="B283" s="1" t="s">
        <v>92</v>
      </c>
    </row>
    <row r="285" spans="2:4" ht="15.75" x14ac:dyDescent="0.25">
      <c r="B285" s="1" t="s">
        <v>123</v>
      </c>
      <c r="C285" s="12"/>
    </row>
    <row r="286" spans="2:4" ht="18" x14ac:dyDescent="0.25">
      <c r="B286" s="1" t="s">
        <v>132</v>
      </c>
      <c r="C286" s="12"/>
      <c r="D286" s="25"/>
    </row>
    <row r="287" spans="2:4" ht="15.75" x14ac:dyDescent="0.25">
      <c r="B287" s="1"/>
      <c r="D287" s="1" t="s">
        <v>141</v>
      </c>
    </row>
    <row r="288" spans="2:4" ht="15.75" x14ac:dyDescent="0.25">
      <c r="B288" s="1" t="s">
        <v>137</v>
      </c>
      <c r="D288" s="4" t="s">
        <v>140</v>
      </c>
    </row>
    <row r="290" spans="1:4" ht="20.25" x14ac:dyDescent="0.25">
      <c r="A290" s="358" t="s">
        <v>201</v>
      </c>
      <c r="B290" s="11" t="s">
        <v>116</v>
      </c>
      <c r="D290" s="10" t="s">
        <v>71</v>
      </c>
    </row>
    <row r="291" spans="1:4" ht="18" x14ac:dyDescent="0.25">
      <c r="B291" s="14" t="s">
        <v>129</v>
      </c>
    </row>
    <row r="292" spans="1:4" ht="18" x14ac:dyDescent="0.25">
      <c r="B292" s="11" t="s">
        <v>144</v>
      </c>
      <c r="C292" s="1806" t="str">
        <f>$C$36</f>
        <v>Termin: 29 luty 2012 r.</v>
      </c>
      <c r="D292" s="1806"/>
    </row>
    <row r="293" spans="1:4" ht="18" x14ac:dyDescent="0.25">
      <c r="B293" s="11"/>
    </row>
    <row r="294" spans="1:4" ht="18" x14ac:dyDescent="0.25">
      <c r="B294" s="11" t="s">
        <v>130</v>
      </c>
    </row>
    <row r="295" spans="1:4" ht="15.75" x14ac:dyDescent="0.25">
      <c r="B295" s="1" t="s">
        <v>131</v>
      </c>
    </row>
    <row r="297" spans="1:4" ht="20.25" x14ac:dyDescent="0.3">
      <c r="B297" s="1896" t="s">
        <v>74</v>
      </c>
      <c r="C297" s="1896"/>
      <c r="D297" s="1896"/>
    </row>
    <row r="298" spans="1:4" ht="20.25" x14ac:dyDescent="0.3">
      <c r="B298" s="1896" t="s">
        <v>76</v>
      </c>
      <c r="C298" s="1896"/>
      <c r="D298" s="1896"/>
    </row>
    <row r="299" spans="1:4" ht="20.25" x14ac:dyDescent="0.3">
      <c r="B299" s="1897" t="str">
        <f>$B$11</f>
        <v>NA  PEŁNE  ETATY  WG  DZIAŁÓW  WG  STANU  NA  DZIEŃ  31.XII.2011 r.</v>
      </c>
      <c r="C299" s="1897"/>
      <c r="D299" s="1897"/>
    </row>
    <row r="300" spans="1:4" ht="13.5" thickBot="1" x14ac:dyDescent="0.25">
      <c r="A300" s="16"/>
      <c r="B300" s="16"/>
      <c r="C300" s="16"/>
      <c r="D300" s="16"/>
    </row>
    <row r="301" spans="1:4" ht="17.25" thickTop="1" x14ac:dyDescent="0.25">
      <c r="B301" s="58"/>
      <c r="C301" s="74"/>
      <c r="D301" s="63"/>
    </row>
    <row r="302" spans="1:4" ht="16.5" x14ac:dyDescent="0.25">
      <c r="B302" s="60"/>
      <c r="C302" s="75"/>
      <c r="D302" s="71"/>
    </row>
    <row r="303" spans="1:4" ht="18" x14ac:dyDescent="0.25">
      <c r="B303" s="198" t="s">
        <v>80</v>
      </c>
      <c r="C303" s="82" t="s">
        <v>4</v>
      </c>
      <c r="D303" s="83" t="s">
        <v>81</v>
      </c>
    </row>
    <row r="304" spans="1:4" ht="18" x14ac:dyDescent="0.25">
      <c r="B304" s="198"/>
      <c r="C304" s="82" t="s">
        <v>8</v>
      </c>
      <c r="D304" s="83" t="s">
        <v>16</v>
      </c>
    </row>
    <row r="305" spans="2:4" ht="16.5" x14ac:dyDescent="0.25">
      <c r="B305" s="60"/>
      <c r="C305" s="75"/>
      <c r="D305" s="90"/>
    </row>
    <row r="306" spans="2:4" ht="15.75" thickBot="1" x14ac:dyDescent="0.3">
      <c r="B306" s="91">
        <v>0</v>
      </c>
      <c r="C306" s="95">
        <v>1</v>
      </c>
      <c r="D306" s="68">
        <v>2</v>
      </c>
    </row>
    <row r="307" spans="2:4" ht="24" thickTop="1" x14ac:dyDescent="0.35">
      <c r="B307" s="97" t="s">
        <v>86</v>
      </c>
      <c r="C307" s="360">
        <f>SUM(C309:C313)</f>
        <v>532</v>
      </c>
      <c r="D307" s="361">
        <f>SUM(D309:D313)</f>
        <v>471.57000000000005</v>
      </c>
    </row>
    <row r="308" spans="2:4" ht="18.75" thickBot="1" x14ac:dyDescent="0.3">
      <c r="B308" s="99" t="s">
        <v>49</v>
      </c>
      <c r="C308" s="921" t="str">
        <f>IF('Tab.8. l.os.zatr środ_Polska'!C310=C307,"","t8w1k1"&amp;"="&amp;'Tab.8. l.os.zatr środ_Polska'!C310)</f>
        <v/>
      </c>
      <c r="D308" s="179"/>
    </row>
    <row r="309" spans="2:4" ht="19.5" thickTop="1" x14ac:dyDescent="0.3">
      <c r="B309" s="101" t="s">
        <v>87</v>
      </c>
      <c r="C309" s="1345">
        <v>59</v>
      </c>
      <c r="D309" s="1346">
        <v>57.5</v>
      </c>
    </row>
    <row r="310" spans="2:4" ht="18.75" x14ac:dyDescent="0.3">
      <c r="B310" s="103" t="s">
        <v>88</v>
      </c>
      <c r="C310" s="1349">
        <v>307</v>
      </c>
      <c r="D310" s="1350">
        <v>291.33999999999997</v>
      </c>
    </row>
    <row r="311" spans="2:4" ht="18.75" x14ac:dyDescent="0.3">
      <c r="B311" s="103" t="s">
        <v>89</v>
      </c>
      <c r="C311" s="1349">
        <v>69</v>
      </c>
      <c r="D311" s="1350">
        <v>54.66</v>
      </c>
    </row>
    <row r="312" spans="2:4" ht="18.75" x14ac:dyDescent="0.3">
      <c r="B312" s="103" t="s">
        <v>90</v>
      </c>
      <c r="C312" s="1349">
        <v>47</v>
      </c>
      <c r="D312" s="1350">
        <v>24.73</v>
      </c>
    </row>
    <row r="313" spans="2:4" ht="19.5" thickBot="1" x14ac:dyDescent="0.35">
      <c r="B313" s="105" t="s">
        <v>91</v>
      </c>
      <c r="C313" s="1353">
        <v>50</v>
      </c>
      <c r="D313" s="1354">
        <v>43.34</v>
      </c>
    </row>
    <row r="314" spans="2:4" ht="13.5" thickTop="1" x14ac:dyDescent="0.2"/>
    <row r="315" spans="2:4" ht="15.75" x14ac:dyDescent="0.25">
      <c r="B315" s="1" t="s">
        <v>92</v>
      </c>
    </row>
    <row r="317" spans="2:4" ht="15.75" x14ac:dyDescent="0.25">
      <c r="B317" s="1" t="s">
        <v>123</v>
      </c>
      <c r="C317" s="12"/>
    </row>
    <row r="318" spans="2:4" ht="18" x14ac:dyDescent="0.25">
      <c r="B318" s="1" t="s">
        <v>132</v>
      </c>
      <c r="C318" s="12"/>
      <c r="D318" s="25"/>
    </row>
    <row r="319" spans="2:4" ht="15.75" x14ac:dyDescent="0.25">
      <c r="B319" s="1"/>
      <c r="D319" s="1" t="s">
        <v>141</v>
      </c>
    </row>
    <row r="320" spans="2:4" ht="15.75" x14ac:dyDescent="0.25">
      <c r="B320" s="1" t="s">
        <v>137</v>
      </c>
      <c r="D320" s="4" t="s">
        <v>140</v>
      </c>
    </row>
    <row r="322" spans="1:4" ht="20.25" x14ac:dyDescent="0.25">
      <c r="A322" s="358" t="s">
        <v>202</v>
      </c>
      <c r="B322" s="11" t="s">
        <v>116</v>
      </c>
      <c r="D322" s="10" t="s">
        <v>71</v>
      </c>
    </row>
    <row r="323" spans="1:4" ht="18" x14ac:dyDescent="0.25">
      <c r="B323" s="14" t="s">
        <v>129</v>
      </c>
    </row>
    <row r="324" spans="1:4" ht="18" x14ac:dyDescent="0.25">
      <c r="B324" s="11" t="s">
        <v>144</v>
      </c>
      <c r="C324" s="1806" t="str">
        <f>$C$36</f>
        <v>Termin: 29 luty 2012 r.</v>
      </c>
      <c r="D324" s="1806"/>
    </row>
    <row r="325" spans="1:4" ht="18" x14ac:dyDescent="0.25">
      <c r="B325" s="11"/>
    </row>
    <row r="326" spans="1:4" ht="18" x14ac:dyDescent="0.25">
      <c r="B326" s="11" t="s">
        <v>130</v>
      </c>
    </row>
    <row r="327" spans="1:4" ht="15.75" x14ac:dyDescent="0.25">
      <c r="B327" s="1" t="s">
        <v>131</v>
      </c>
    </row>
    <row r="329" spans="1:4" ht="20.25" x14ac:dyDescent="0.3">
      <c r="B329" s="1896" t="s">
        <v>74</v>
      </c>
      <c r="C329" s="1896"/>
      <c r="D329" s="1896"/>
    </row>
    <row r="330" spans="1:4" ht="20.25" x14ac:dyDescent="0.3">
      <c r="B330" s="1896" t="s">
        <v>76</v>
      </c>
      <c r="C330" s="1896"/>
      <c r="D330" s="1896"/>
    </row>
    <row r="331" spans="1:4" ht="20.25" x14ac:dyDescent="0.3">
      <c r="B331" s="1897" t="str">
        <f>$B$11</f>
        <v>NA  PEŁNE  ETATY  WG  DZIAŁÓW  WG  STANU  NA  DZIEŃ  31.XII.2011 r.</v>
      </c>
      <c r="C331" s="1897"/>
      <c r="D331" s="1897"/>
    </row>
    <row r="332" spans="1:4" ht="13.5" thickBot="1" x14ac:dyDescent="0.25">
      <c r="A332" s="16"/>
      <c r="B332" s="16"/>
      <c r="C332" s="16"/>
      <c r="D332" s="16"/>
    </row>
    <row r="333" spans="1:4" ht="17.25" thickTop="1" x14ac:dyDescent="0.25">
      <c r="B333" s="58"/>
      <c r="C333" s="74"/>
      <c r="D333" s="63"/>
    </row>
    <row r="334" spans="1:4" ht="16.5" x14ac:dyDescent="0.25">
      <c r="B334" s="60"/>
      <c r="C334" s="75"/>
      <c r="D334" s="71"/>
    </row>
    <row r="335" spans="1:4" ht="18" x14ac:dyDescent="0.25">
      <c r="B335" s="198" t="s">
        <v>80</v>
      </c>
      <c r="C335" s="82" t="s">
        <v>4</v>
      </c>
      <c r="D335" s="83" t="s">
        <v>81</v>
      </c>
    </row>
    <row r="336" spans="1:4" ht="18" x14ac:dyDescent="0.25">
      <c r="B336" s="198"/>
      <c r="C336" s="82" t="s">
        <v>8</v>
      </c>
      <c r="D336" s="83" t="s">
        <v>16</v>
      </c>
    </row>
    <row r="337" spans="2:4" ht="16.5" x14ac:dyDescent="0.25">
      <c r="B337" s="60"/>
      <c r="C337" s="75"/>
      <c r="D337" s="90"/>
    </row>
    <row r="338" spans="2:4" ht="15.75" thickBot="1" x14ac:dyDescent="0.3">
      <c r="B338" s="91">
        <v>0</v>
      </c>
      <c r="C338" s="95">
        <v>1</v>
      </c>
      <c r="D338" s="68">
        <v>2</v>
      </c>
    </row>
    <row r="339" spans="2:4" ht="24" thickTop="1" x14ac:dyDescent="0.35">
      <c r="B339" s="97" t="s">
        <v>86</v>
      </c>
      <c r="C339" s="360">
        <f>SUM(C341:C345)</f>
        <v>95</v>
      </c>
      <c r="D339" s="361">
        <f>SUM(D341:D345)</f>
        <v>76.75</v>
      </c>
    </row>
    <row r="340" spans="2:4" ht="18.75" thickBot="1" x14ac:dyDescent="0.3">
      <c r="B340" s="99" t="s">
        <v>49</v>
      </c>
      <c r="C340" s="921" t="str">
        <f>IF('Tab.8. l.os.zatr środ_Polska'!C342=C339,"","t8w1k1"&amp;"="&amp;'Tab.8. l.os.zatr środ_Polska'!C342)</f>
        <v/>
      </c>
      <c r="D340" s="179"/>
    </row>
    <row r="341" spans="2:4" ht="19.5" thickTop="1" x14ac:dyDescent="0.3">
      <c r="B341" s="101" t="s">
        <v>87</v>
      </c>
      <c r="C341" s="1345">
        <v>7</v>
      </c>
      <c r="D341" s="1346">
        <v>7</v>
      </c>
    </row>
    <row r="342" spans="2:4" ht="18.75" x14ac:dyDescent="0.3">
      <c r="B342" s="103" t="s">
        <v>88</v>
      </c>
      <c r="C342" s="1349">
        <v>51</v>
      </c>
      <c r="D342" s="1350">
        <v>42.75</v>
      </c>
    </row>
    <row r="343" spans="2:4" ht="18.75" x14ac:dyDescent="0.3">
      <c r="B343" s="103" t="s">
        <v>89</v>
      </c>
      <c r="C343" s="1349">
        <v>15</v>
      </c>
      <c r="D343" s="1350">
        <v>10.25</v>
      </c>
    </row>
    <row r="344" spans="2:4" ht="18.75" x14ac:dyDescent="0.3">
      <c r="B344" s="103" t="s">
        <v>90</v>
      </c>
      <c r="C344" s="1349">
        <v>8</v>
      </c>
      <c r="D344" s="1350">
        <v>7</v>
      </c>
    </row>
    <row r="345" spans="2:4" ht="19.5" thickBot="1" x14ac:dyDescent="0.35">
      <c r="B345" s="105" t="s">
        <v>91</v>
      </c>
      <c r="C345" s="1353">
        <v>14</v>
      </c>
      <c r="D345" s="1354">
        <v>9.75</v>
      </c>
    </row>
    <row r="346" spans="2:4" ht="13.5" thickTop="1" x14ac:dyDescent="0.2"/>
    <row r="347" spans="2:4" ht="15.75" x14ac:dyDescent="0.25">
      <c r="B347" s="1" t="s">
        <v>92</v>
      </c>
    </row>
    <row r="349" spans="2:4" ht="15.75" x14ac:dyDescent="0.25">
      <c r="B349" s="1" t="s">
        <v>123</v>
      </c>
      <c r="C349" s="12"/>
    </row>
    <row r="350" spans="2:4" ht="18" x14ac:dyDescent="0.25">
      <c r="B350" s="1" t="s">
        <v>132</v>
      </c>
      <c r="C350" s="12"/>
      <c r="D350" s="25"/>
    </row>
    <row r="351" spans="2:4" ht="15.75" x14ac:dyDescent="0.25">
      <c r="B351" s="1"/>
      <c r="D351" s="1" t="s">
        <v>141</v>
      </c>
    </row>
    <row r="352" spans="2:4" ht="15.75" x14ac:dyDescent="0.25">
      <c r="B352" s="1" t="s">
        <v>137</v>
      </c>
      <c r="D352" s="4" t="s">
        <v>140</v>
      </c>
    </row>
    <row r="354" spans="1:4" ht="20.25" x14ac:dyDescent="0.25">
      <c r="A354" s="358" t="s">
        <v>203</v>
      </c>
      <c r="B354" s="11" t="s">
        <v>116</v>
      </c>
      <c r="D354" s="10" t="s">
        <v>71</v>
      </c>
    </row>
    <row r="355" spans="1:4" ht="18" x14ac:dyDescent="0.25">
      <c r="B355" s="14" t="s">
        <v>129</v>
      </c>
    </row>
    <row r="356" spans="1:4" ht="18" x14ac:dyDescent="0.25">
      <c r="B356" s="11" t="s">
        <v>144</v>
      </c>
      <c r="C356" s="1806" t="str">
        <f>$C$36</f>
        <v>Termin: 29 luty 2012 r.</v>
      </c>
      <c r="D356" s="1806"/>
    </row>
    <row r="357" spans="1:4" ht="18" x14ac:dyDescent="0.25">
      <c r="B357" s="11"/>
    </row>
    <row r="358" spans="1:4" ht="18" x14ac:dyDescent="0.25">
      <c r="B358" s="11" t="s">
        <v>130</v>
      </c>
    </row>
    <row r="359" spans="1:4" ht="15.75" x14ac:dyDescent="0.25">
      <c r="B359" s="1" t="s">
        <v>131</v>
      </c>
    </row>
    <row r="361" spans="1:4" ht="20.25" x14ac:dyDescent="0.3">
      <c r="B361" s="1896" t="s">
        <v>74</v>
      </c>
      <c r="C361" s="1896"/>
      <c r="D361" s="1896"/>
    </row>
    <row r="362" spans="1:4" ht="20.25" x14ac:dyDescent="0.3">
      <c r="B362" s="1896" t="s">
        <v>76</v>
      </c>
      <c r="C362" s="1896"/>
      <c r="D362" s="1896"/>
    </row>
    <row r="363" spans="1:4" ht="20.25" x14ac:dyDescent="0.3">
      <c r="B363" s="1897" t="str">
        <f>$B$11</f>
        <v>NA  PEŁNE  ETATY  WG  DZIAŁÓW  WG  STANU  NA  DZIEŃ  31.XII.2011 r.</v>
      </c>
      <c r="C363" s="1897"/>
      <c r="D363" s="1897"/>
    </row>
    <row r="364" spans="1:4" ht="13.5" thickBot="1" x14ac:dyDescent="0.25">
      <c r="A364" s="16"/>
      <c r="B364" s="16"/>
      <c r="C364" s="16"/>
      <c r="D364" s="16"/>
    </row>
    <row r="365" spans="1:4" ht="17.25" thickTop="1" x14ac:dyDescent="0.25">
      <c r="B365" s="58"/>
      <c r="C365" s="74"/>
      <c r="D365" s="63"/>
    </row>
    <row r="366" spans="1:4" ht="16.5" x14ac:dyDescent="0.25">
      <c r="B366" s="60"/>
      <c r="C366" s="75"/>
      <c r="D366" s="71"/>
    </row>
    <row r="367" spans="1:4" ht="18" x14ac:dyDescent="0.25">
      <c r="B367" s="198" t="s">
        <v>80</v>
      </c>
      <c r="C367" s="82" t="s">
        <v>4</v>
      </c>
      <c r="D367" s="83" t="s">
        <v>81</v>
      </c>
    </row>
    <row r="368" spans="1:4" ht="18" x14ac:dyDescent="0.25">
      <c r="B368" s="198"/>
      <c r="C368" s="82" t="s">
        <v>8</v>
      </c>
      <c r="D368" s="83" t="s">
        <v>16</v>
      </c>
    </row>
    <row r="369" spans="2:4" ht="16.5" x14ac:dyDescent="0.25">
      <c r="B369" s="60"/>
      <c r="C369" s="75"/>
      <c r="D369" s="90"/>
    </row>
    <row r="370" spans="2:4" ht="15.75" thickBot="1" x14ac:dyDescent="0.3">
      <c r="B370" s="91">
        <v>0</v>
      </c>
      <c r="C370" s="95">
        <v>1</v>
      </c>
      <c r="D370" s="68">
        <v>2</v>
      </c>
    </row>
    <row r="371" spans="2:4" ht="24" thickTop="1" x14ac:dyDescent="0.35">
      <c r="B371" s="97" t="s">
        <v>86</v>
      </c>
      <c r="C371" s="360">
        <f>SUM(C373:C377)</f>
        <v>415</v>
      </c>
      <c r="D371" s="709">
        <f>SUM(D373:D377)</f>
        <v>344.63</v>
      </c>
    </row>
    <row r="372" spans="2:4" ht="18.75" thickBot="1" x14ac:dyDescent="0.3">
      <c r="B372" s="99" t="s">
        <v>49</v>
      </c>
      <c r="C372" s="921" t="str">
        <f>IF('Tab.8. l.os.zatr środ_Polska'!C374=C371,"","t8w1k1"&amp;"="&amp;'Tab.8. l.os.zatr środ_Polska'!C374)</f>
        <v/>
      </c>
      <c r="D372" s="179"/>
    </row>
    <row r="373" spans="2:4" ht="19.5" thickTop="1" x14ac:dyDescent="0.3">
      <c r="B373" s="101" t="s">
        <v>87</v>
      </c>
      <c r="C373" s="1345">
        <v>35</v>
      </c>
      <c r="D373" s="1346">
        <v>31</v>
      </c>
    </row>
    <row r="374" spans="2:4" ht="18.75" x14ac:dyDescent="0.3">
      <c r="B374" s="103" t="s">
        <v>88</v>
      </c>
      <c r="C374" s="1349">
        <v>241</v>
      </c>
      <c r="D374" s="1350">
        <v>218.91</v>
      </c>
    </row>
    <row r="375" spans="2:4" ht="18.75" x14ac:dyDescent="0.3">
      <c r="B375" s="103" t="s">
        <v>89</v>
      </c>
      <c r="C375" s="1349">
        <v>41</v>
      </c>
      <c r="D375" s="1350">
        <v>33.549999999999997</v>
      </c>
    </row>
    <row r="376" spans="2:4" ht="18.75" x14ac:dyDescent="0.3">
      <c r="B376" s="103" t="s">
        <v>90</v>
      </c>
      <c r="C376" s="1349">
        <v>34</v>
      </c>
      <c r="D376" s="1350">
        <v>16.41</v>
      </c>
    </row>
    <row r="377" spans="2:4" ht="19.5" thickBot="1" x14ac:dyDescent="0.35">
      <c r="B377" s="105" t="s">
        <v>91</v>
      </c>
      <c r="C377" s="1353">
        <v>64</v>
      </c>
      <c r="D377" s="1354">
        <v>44.76</v>
      </c>
    </row>
    <row r="378" spans="2:4" ht="13.5" thickTop="1" x14ac:dyDescent="0.2"/>
    <row r="379" spans="2:4" ht="15.75" x14ac:dyDescent="0.25">
      <c r="B379" s="1" t="s">
        <v>92</v>
      </c>
    </row>
    <row r="381" spans="2:4" ht="15.75" x14ac:dyDescent="0.25">
      <c r="B381" s="1" t="s">
        <v>123</v>
      </c>
      <c r="C381" s="12"/>
    </row>
    <row r="382" spans="2:4" ht="18" x14ac:dyDescent="0.25">
      <c r="B382" s="1" t="s">
        <v>132</v>
      </c>
      <c r="C382" s="12"/>
      <c r="D382" s="25"/>
    </row>
    <row r="383" spans="2:4" ht="15.75" x14ac:dyDescent="0.25">
      <c r="B383" s="1"/>
      <c r="D383" s="1" t="s">
        <v>141</v>
      </c>
    </row>
    <row r="384" spans="2:4" ht="15.75" x14ac:dyDescent="0.25">
      <c r="B384" s="1" t="s">
        <v>137</v>
      </c>
      <c r="D384" s="4" t="s">
        <v>140</v>
      </c>
    </row>
    <row r="386" spans="1:4" ht="20.25" x14ac:dyDescent="0.25">
      <c r="A386" s="358" t="s">
        <v>204</v>
      </c>
      <c r="B386" s="11" t="s">
        <v>116</v>
      </c>
      <c r="D386" s="10" t="s">
        <v>71</v>
      </c>
    </row>
    <row r="387" spans="1:4" ht="18" x14ac:dyDescent="0.25">
      <c r="B387" s="14" t="s">
        <v>129</v>
      </c>
    </row>
    <row r="388" spans="1:4" ht="18" x14ac:dyDescent="0.25">
      <c r="B388" s="11" t="s">
        <v>144</v>
      </c>
      <c r="C388" s="1806" t="str">
        <f>$C$36</f>
        <v>Termin: 29 luty 2012 r.</v>
      </c>
      <c r="D388" s="1806"/>
    </row>
    <row r="389" spans="1:4" ht="18" x14ac:dyDescent="0.25">
      <c r="B389" s="11"/>
    </row>
    <row r="390" spans="1:4" ht="18" x14ac:dyDescent="0.25">
      <c r="B390" s="11" t="s">
        <v>130</v>
      </c>
    </row>
    <row r="391" spans="1:4" ht="15.75" x14ac:dyDescent="0.25">
      <c r="B391" s="1" t="s">
        <v>131</v>
      </c>
    </row>
    <row r="393" spans="1:4" ht="20.25" x14ac:dyDescent="0.3">
      <c r="B393" s="1896" t="s">
        <v>74</v>
      </c>
      <c r="C393" s="1896"/>
      <c r="D393" s="1896"/>
    </row>
    <row r="394" spans="1:4" ht="20.25" x14ac:dyDescent="0.3">
      <c r="B394" s="1896" t="s">
        <v>76</v>
      </c>
      <c r="C394" s="1896"/>
      <c r="D394" s="1896"/>
    </row>
    <row r="395" spans="1:4" ht="20.25" x14ac:dyDescent="0.3">
      <c r="B395" s="1897" t="str">
        <f>$B$11</f>
        <v>NA  PEŁNE  ETATY  WG  DZIAŁÓW  WG  STANU  NA  DZIEŃ  31.XII.2011 r.</v>
      </c>
      <c r="C395" s="1897"/>
      <c r="D395" s="1897"/>
    </row>
    <row r="396" spans="1:4" ht="13.5" thickBot="1" x14ac:dyDescent="0.25">
      <c r="A396" s="16"/>
      <c r="B396" s="16"/>
      <c r="C396" s="16"/>
      <c r="D396" s="16"/>
    </row>
    <row r="397" spans="1:4" ht="17.25" thickTop="1" x14ac:dyDescent="0.25">
      <c r="B397" s="58"/>
      <c r="C397" s="74"/>
      <c r="D397" s="63"/>
    </row>
    <row r="398" spans="1:4" ht="16.5" x14ac:dyDescent="0.25">
      <c r="B398" s="60"/>
      <c r="C398" s="75"/>
      <c r="D398" s="71"/>
    </row>
    <row r="399" spans="1:4" ht="18" x14ac:dyDescent="0.25">
      <c r="B399" s="198" t="s">
        <v>80</v>
      </c>
      <c r="C399" s="82" t="s">
        <v>4</v>
      </c>
      <c r="D399" s="83" t="s">
        <v>81</v>
      </c>
    </row>
    <row r="400" spans="1:4" ht="18" x14ac:dyDescent="0.25">
      <c r="B400" s="198"/>
      <c r="C400" s="82" t="s">
        <v>8</v>
      </c>
      <c r="D400" s="83" t="s">
        <v>16</v>
      </c>
    </row>
    <row r="401" spans="2:4" ht="16.5" x14ac:dyDescent="0.25">
      <c r="B401" s="60"/>
      <c r="C401" s="75"/>
      <c r="D401" s="90"/>
    </row>
    <row r="402" spans="2:4" ht="15.75" thickBot="1" x14ac:dyDescent="0.3">
      <c r="B402" s="91">
        <v>0</v>
      </c>
      <c r="C402" s="95">
        <v>1</v>
      </c>
      <c r="D402" s="68">
        <v>2</v>
      </c>
    </row>
    <row r="403" spans="2:4" ht="24" thickTop="1" x14ac:dyDescent="0.35">
      <c r="B403" s="97" t="s">
        <v>86</v>
      </c>
      <c r="C403" s="360">
        <f>SUM(C405:C409)</f>
        <v>460</v>
      </c>
      <c r="D403" s="709">
        <f>SUM(D405:D409)</f>
        <v>393.43</v>
      </c>
    </row>
    <row r="404" spans="2:4" ht="18.75" thickBot="1" x14ac:dyDescent="0.3">
      <c r="B404" s="99" t="s">
        <v>49</v>
      </c>
      <c r="C404" s="921" t="str">
        <f>IF('Tab.8. l.os.zatr środ_Polska'!C406=C403,"","t8w1k1"&amp;"="&amp;'Tab.8. l.os.zatr środ_Polska'!C406)</f>
        <v/>
      </c>
      <c r="D404" s="179"/>
    </row>
    <row r="405" spans="2:4" ht="19.5" thickTop="1" x14ac:dyDescent="0.3">
      <c r="B405" s="101" t="s">
        <v>87</v>
      </c>
      <c r="C405" s="1345">
        <v>39</v>
      </c>
      <c r="D405" s="1346">
        <v>38.25</v>
      </c>
    </row>
    <row r="406" spans="2:4" ht="18.75" x14ac:dyDescent="0.3">
      <c r="B406" s="103" t="s">
        <v>88</v>
      </c>
      <c r="C406" s="1349">
        <v>253</v>
      </c>
      <c r="D406" s="1350">
        <v>226.69</v>
      </c>
    </row>
    <row r="407" spans="2:4" ht="18.75" x14ac:dyDescent="0.3">
      <c r="B407" s="103" t="s">
        <v>89</v>
      </c>
      <c r="C407" s="1349">
        <v>35</v>
      </c>
      <c r="D407" s="1350">
        <v>27.25</v>
      </c>
    </row>
    <row r="408" spans="2:4" ht="18.75" x14ac:dyDescent="0.3">
      <c r="B408" s="103" t="s">
        <v>90</v>
      </c>
      <c r="C408" s="1349">
        <v>55</v>
      </c>
      <c r="D408" s="1350">
        <v>38.74</v>
      </c>
    </row>
    <row r="409" spans="2:4" ht="19.5" thickBot="1" x14ac:dyDescent="0.35">
      <c r="B409" s="105" t="s">
        <v>91</v>
      </c>
      <c r="C409" s="1353">
        <v>78</v>
      </c>
      <c r="D409" s="1354">
        <v>62.5</v>
      </c>
    </row>
    <row r="410" spans="2:4" ht="13.5" thickTop="1" x14ac:dyDescent="0.2"/>
    <row r="411" spans="2:4" ht="15.75" x14ac:dyDescent="0.25">
      <c r="B411" s="1" t="s">
        <v>92</v>
      </c>
    </row>
    <row r="413" spans="2:4" ht="15.75" x14ac:dyDescent="0.25">
      <c r="B413" s="1" t="s">
        <v>123</v>
      </c>
      <c r="C413" s="12"/>
    </row>
    <row r="414" spans="2:4" ht="18" x14ac:dyDescent="0.25">
      <c r="B414" s="1" t="s">
        <v>132</v>
      </c>
      <c r="C414" s="12"/>
      <c r="D414" s="25"/>
    </row>
    <row r="415" spans="2:4" ht="15.75" x14ac:dyDescent="0.25">
      <c r="B415" s="1"/>
      <c r="D415" s="1" t="s">
        <v>141</v>
      </c>
    </row>
    <row r="416" spans="2:4" ht="15.75" x14ac:dyDescent="0.25">
      <c r="B416" s="1" t="s">
        <v>137</v>
      </c>
      <c r="D416" s="4" t="s">
        <v>140</v>
      </c>
    </row>
    <row r="418" spans="1:4" ht="20.25" x14ac:dyDescent="0.25">
      <c r="A418" s="358" t="s">
        <v>205</v>
      </c>
      <c r="B418" s="11" t="s">
        <v>116</v>
      </c>
      <c r="D418" s="10" t="s">
        <v>71</v>
      </c>
    </row>
    <row r="419" spans="1:4" ht="18" x14ac:dyDescent="0.25">
      <c r="B419" s="14" t="s">
        <v>129</v>
      </c>
    </row>
    <row r="420" spans="1:4" ht="18" x14ac:dyDescent="0.25">
      <c r="B420" s="11" t="s">
        <v>144</v>
      </c>
      <c r="C420" s="1806" t="str">
        <f>$C$36</f>
        <v>Termin: 29 luty 2012 r.</v>
      </c>
      <c r="D420" s="1806"/>
    </row>
    <row r="421" spans="1:4" ht="18" x14ac:dyDescent="0.25">
      <c r="B421" s="11"/>
    </row>
    <row r="422" spans="1:4" ht="18" x14ac:dyDescent="0.25">
      <c r="B422" s="11" t="s">
        <v>130</v>
      </c>
    </row>
    <row r="423" spans="1:4" ht="15.75" x14ac:dyDescent="0.25">
      <c r="B423" s="1" t="s">
        <v>131</v>
      </c>
    </row>
    <row r="425" spans="1:4" ht="20.25" x14ac:dyDescent="0.3">
      <c r="B425" s="1896" t="s">
        <v>74</v>
      </c>
      <c r="C425" s="1896"/>
      <c r="D425" s="1896"/>
    </row>
    <row r="426" spans="1:4" ht="20.25" x14ac:dyDescent="0.3">
      <c r="B426" s="1896" t="s">
        <v>76</v>
      </c>
      <c r="C426" s="1896"/>
      <c r="D426" s="1896"/>
    </row>
    <row r="427" spans="1:4" ht="20.25" x14ac:dyDescent="0.3">
      <c r="B427" s="1897" t="str">
        <f>$B$11</f>
        <v>NA  PEŁNE  ETATY  WG  DZIAŁÓW  WG  STANU  NA  DZIEŃ  31.XII.2011 r.</v>
      </c>
      <c r="C427" s="1897"/>
      <c r="D427" s="1897"/>
    </row>
    <row r="428" spans="1:4" ht="13.5" thickBot="1" x14ac:dyDescent="0.25">
      <c r="A428" s="16"/>
      <c r="B428" s="16"/>
      <c r="C428" s="16"/>
      <c r="D428" s="16"/>
    </row>
    <row r="429" spans="1:4" ht="17.25" thickTop="1" x14ac:dyDescent="0.25">
      <c r="B429" s="58"/>
      <c r="C429" s="74"/>
      <c r="D429" s="63"/>
    </row>
    <row r="430" spans="1:4" ht="16.5" x14ac:dyDescent="0.25">
      <c r="B430" s="60"/>
      <c r="C430" s="75"/>
      <c r="D430" s="71"/>
    </row>
    <row r="431" spans="1:4" ht="18" x14ac:dyDescent="0.25">
      <c r="B431" s="198" t="s">
        <v>80</v>
      </c>
      <c r="C431" s="82" t="s">
        <v>4</v>
      </c>
      <c r="D431" s="83" t="s">
        <v>81</v>
      </c>
    </row>
    <row r="432" spans="1:4" ht="18" x14ac:dyDescent="0.25">
      <c r="B432" s="198"/>
      <c r="C432" s="82" t="s">
        <v>8</v>
      </c>
      <c r="D432" s="83" t="s">
        <v>16</v>
      </c>
    </row>
    <row r="433" spans="2:4" ht="16.5" x14ac:dyDescent="0.25">
      <c r="B433" s="60"/>
      <c r="C433" s="75"/>
      <c r="D433" s="90"/>
    </row>
    <row r="434" spans="2:4" ht="15.75" thickBot="1" x14ac:dyDescent="0.3">
      <c r="B434" s="91">
        <v>0</v>
      </c>
      <c r="C434" s="95">
        <v>1</v>
      </c>
      <c r="D434" s="68">
        <v>2</v>
      </c>
    </row>
    <row r="435" spans="2:4" ht="24" thickTop="1" x14ac:dyDescent="0.35">
      <c r="B435" s="97" t="s">
        <v>86</v>
      </c>
      <c r="C435" s="360">
        <f>SUM(C437:C441)</f>
        <v>275</v>
      </c>
      <c r="D435" s="361">
        <f>SUM(D437:D441)</f>
        <v>241.43</v>
      </c>
    </row>
    <row r="436" spans="2:4" ht="18.75" thickBot="1" x14ac:dyDescent="0.3">
      <c r="B436" s="99" t="s">
        <v>49</v>
      </c>
      <c r="C436" s="921" t="str">
        <f>IF('Tab.8. l.os.zatr środ_Polska'!C438=C435,"","t8w1k1"&amp;"="&amp;'Tab.8. l.os.zatr środ_Polska'!C438)</f>
        <v/>
      </c>
      <c r="D436" s="179"/>
    </row>
    <row r="437" spans="2:4" ht="19.5" thickTop="1" x14ac:dyDescent="0.3">
      <c r="B437" s="101" t="s">
        <v>87</v>
      </c>
      <c r="C437" s="1345">
        <v>30</v>
      </c>
      <c r="D437" s="1346">
        <v>28.75</v>
      </c>
    </row>
    <row r="438" spans="2:4" ht="18.75" x14ac:dyDescent="0.3">
      <c r="B438" s="103" t="s">
        <v>88</v>
      </c>
      <c r="C438" s="1349">
        <v>162</v>
      </c>
      <c r="D438" s="1350">
        <v>149.30000000000001</v>
      </c>
    </row>
    <row r="439" spans="2:4" ht="18.75" x14ac:dyDescent="0.3">
      <c r="B439" s="103" t="s">
        <v>89</v>
      </c>
      <c r="C439" s="1349">
        <v>33</v>
      </c>
      <c r="D439" s="1350">
        <v>25.5</v>
      </c>
    </row>
    <row r="440" spans="2:4" ht="18.75" x14ac:dyDescent="0.3">
      <c r="B440" s="103" t="s">
        <v>90</v>
      </c>
      <c r="C440" s="1349">
        <v>20</v>
      </c>
      <c r="D440" s="1350">
        <v>13.63</v>
      </c>
    </row>
    <row r="441" spans="2:4" ht="19.5" thickBot="1" x14ac:dyDescent="0.35">
      <c r="B441" s="105" t="s">
        <v>91</v>
      </c>
      <c r="C441" s="1353">
        <v>30</v>
      </c>
      <c r="D441" s="1354">
        <v>24.25</v>
      </c>
    </row>
    <row r="442" spans="2:4" ht="13.5" thickTop="1" x14ac:dyDescent="0.2"/>
    <row r="443" spans="2:4" ht="15.75" x14ac:dyDescent="0.25">
      <c r="B443" s="1" t="s">
        <v>92</v>
      </c>
    </row>
    <row r="445" spans="2:4" ht="15.75" x14ac:dyDescent="0.25">
      <c r="B445" s="1" t="s">
        <v>123</v>
      </c>
      <c r="C445" s="12"/>
    </row>
    <row r="446" spans="2:4" ht="18" x14ac:dyDescent="0.25">
      <c r="B446" s="1" t="s">
        <v>132</v>
      </c>
      <c r="C446" s="12"/>
      <c r="D446" s="25"/>
    </row>
    <row r="447" spans="2:4" ht="15.75" x14ac:dyDescent="0.25">
      <c r="B447" s="1"/>
      <c r="D447" s="1" t="s">
        <v>141</v>
      </c>
    </row>
    <row r="448" spans="2:4" ht="15.75" x14ac:dyDescent="0.25">
      <c r="B448" s="1" t="s">
        <v>137</v>
      </c>
      <c r="D448" s="4" t="s">
        <v>140</v>
      </c>
    </row>
    <row r="449" spans="1:4" ht="20.25" x14ac:dyDescent="0.2">
      <c r="A449" s="358" t="s">
        <v>206</v>
      </c>
    </row>
    <row r="450" spans="1:4" ht="18" x14ac:dyDescent="0.25">
      <c r="B450" s="11" t="s">
        <v>116</v>
      </c>
      <c r="D450" s="10" t="s">
        <v>71</v>
      </c>
    </row>
    <row r="451" spans="1:4" ht="18" x14ac:dyDescent="0.25">
      <c r="B451" s="14" t="s">
        <v>129</v>
      </c>
    </row>
    <row r="452" spans="1:4" ht="18" x14ac:dyDescent="0.25">
      <c r="B452" s="11" t="s">
        <v>144</v>
      </c>
      <c r="C452" s="1806" t="str">
        <f>$C$36</f>
        <v>Termin: 29 luty 2012 r.</v>
      </c>
      <c r="D452" s="1806"/>
    </row>
    <row r="453" spans="1:4" ht="18" x14ac:dyDescent="0.25">
      <c r="B453" s="11"/>
    </row>
    <row r="454" spans="1:4" ht="18" x14ac:dyDescent="0.25">
      <c r="B454" s="11" t="s">
        <v>130</v>
      </c>
    </row>
    <row r="455" spans="1:4" ht="15.75" x14ac:dyDescent="0.25">
      <c r="B455" s="1" t="s">
        <v>131</v>
      </c>
    </row>
    <row r="457" spans="1:4" ht="20.25" x14ac:dyDescent="0.3">
      <c r="B457" s="1896" t="s">
        <v>74</v>
      </c>
      <c r="C457" s="1896"/>
      <c r="D457" s="1896"/>
    </row>
    <row r="458" spans="1:4" ht="20.25" x14ac:dyDescent="0.3">
      <c r="B458" s="1896" t="s">
        <v>76</v>
      </c>
      <c r="C458" s="1896"/>
      <c r="D458" s="1896"/>
    </row>
    <row r="459" spans="1:4" ht="20.25" x14ac:dyDescent="0.3">
      <c r="B459" s="1897" t="str">
        <f>$B$11</f>
        <v>NA  PEŁNE  ETATY  WG  DZIAŁÓW  WG  STANU  NA  DZIEŃ  31.XII.2011 r.</v>
      </c>
      <c r="C459" s="1897"/>
      <c r="D459" s="1897"/>
    </row>
    <row r="460" spans="1:4" ht="13.5" thickBot="1" x14ac:dyDescent="0.25">
      <c r="A460" s="16"/>
      <c r="B460" s="16"/>
      <c r="C460" s="16"/>
      <c r="D460" s="16"/>
    </row>
    <row r="461" spans="1:4" ht="17.25" thickTop="1" x14ac:dyDescent="0.25">
      <c r="B461" s="58"/>
      <c r="C461" s="74"/>
      <c r="D461" s="63"/>
    </row>
    <row r="462" spans="1:4" ht="16.5" x14ac:dyDescent="0.25">
      <c r="B462" s="60"/>
      <c r="C462" s="75"/>
      <c r="D462" s="71"/>
    </row>
    <row r="463" spans="1:4" ht="18" x14ac:dyDescent="0.25">
      <c r="B463" s="198" t="s">
        <v>80</v>
      </c>
      <c r="C463" s="82" t="s">
        <v>4</v>
      </c>
      <c r="D463" s="83" t="s">
        <v>81</v>
      </c>
    </row>
    <row r="464" spans="1:4" ht="18" x14ac:dyDescent="0.25">
      <c r="B464" s="198"/>
      <c r="C464" s="82" t="s">
        <v>8</v>
      </c>
      <c r="D464" s="83" t="s">
        <v>16</v>
      </c>
    </row>
    <row r="465" spans="2:12" ht="16.5" x14ac:dyDescent="0.25">
      <c r="B465" s="60"/>
      <c r="C465" s="75"/>
      <c r="D465" s="90"/>
    </row>
    <row r="466" spans="2:12" ht="15.75" thickBot="1" x14ac:dyDescent="0.3">
      <c r="B466" s="91">
        <v>0</v>
      </c>
      <c r="C466" s="95">
        <v>1</v>
      </c>
      <c r="D466" s="68">
        <v>2</v>
      </c>
    </row>
    <row r="467" spans="2:12" ht="24" thickTop="1" x14ac:dyDescent="0.35">
      <c r="B467" s="97" t="s">
        <v>86</v>
      </c>
      <c r="C467" s="360">
        <f>SUM(C469:C473)</f>
        <v>681</v>
      </c>
      <c r="D467" s="361">
        <f>SUM(D469:D473)</f>
        <v>557.31000000000006</v>
      </c>
      <c r="K467" s="799"/>
      <c r="L467" s="148"/>
    </row>
    <row r="468" spans="2:12" ht="18.75" thickBot="1" x14ac:dyDescent="0.3">
      <c r="B468" s="99" t="s">
        <v>49</v>
      </c>
      <c r="C468" s="921" t="str">
        <f>IF('Tab.8. l.os.zatr środ_Polska'!C470=C467,"","t8w1k1"&amp;"="&amp;'Tab.8. l.os.zatr środ_Polska'!C470)</f>
        <v/>
      </c>
      <c r="D468" s="179"/>
    </row>
    <row r="469" spans="2:12" ht="19.5" thickTop="1" x14ac:dyDescent="0.3">
      <c r="B469" s="101" t="s">
        <v>87</v>
      </c>
      <c r="C469" s="1345">
        <v>55</v>
      </c>
      <c r="D469" s="1346">
        <v>45.1</v>
      </c>
    </row>
    <row r="470" spans="2:12" ht="18.75" x14ac:dyDescent="0.3">
      <c r="B470" s="103" t="s">
        <v>88</v>
      </c>
      <c r="C470" s="1349">
        <v>421</v>
      </c>
      <c r="D470" s="1350">
        <v>374.66</v>
      </c>
    </row>
    <row r="471" spans="2:12" ht="18.75" x14ac:dyDescent="0.3">
      <c r="B471" s="103" t="s">
        <v>89</v>
      </c>
      <c r="C471" s="1349">
        <v>55</v>
      </c>
      <c r="D471" s="1350">
        <v>42.63</v>
      </c>
    </row>
    <row r="472" spans="2:12" ht="18.75" x14ac:dyDescent="0.3">
      <c r="B472" s="103" t="s">
        <v>90</v>
      </c>
      <c r="C472" s="1349">
        <v>79</v>
      </c>
      <c r="D472" s="1350">
        <v>37.619999999999997</v>
      </c>
    </row>
    <row r="473" spans="2:12" ht="19.5" thickBot="1" x14ac:dyDescent="0.35">
      <c r="B473" s="105" t="s">
        <v>91</v>
      </c>
      <c r="C473" s="1353">
        <v>71</v>
      </c>
      <c r="D473" s="1354">
        <v>57.3</v>
      </c>
    </row>
    <row r="474" spans="2:12" ht="13.5" thickTop="1" x14ac:dyDescent="0.2"/>
    <row r="475" spans="2:12" ht="15.75" x14ac:dyDescent="0.25">
      <c r="B475" s="1" t="s">
        <v>92</v>
      </c>
    </row>
    <row r="477" spans="2:12" ht="15.75" x14ac:dyDescent="0.25">
      <c r="B477" s="1" t="s">
        <v>123</v>
      </c>
      <c r="C477" s="12"/>
    </row>
    <row r="478" spans="2:12" ht="18" x14ac:dyDescent="0.25">
      <c r="B478" s="1" t="s">
        <v>132</v>
      </c>
      <c r="C478" s="12"/>
      <c r="D478" s="25"/>
    </row>
    <row r="479" spans="2:12" ht="15.75" x14ac:dyDescent="0.25">
      <c r="B479" s="1"/>
      <c r="D479" s="1" t="s">
        <v>141</v>
      </c>
    </row>
    <row r="480" spans="2:12" ht="15.75" x14ac:dyDescent="0.25">
      <c r="B480" s="1" t="s">
        <v>137</v>
      </c>
      <c r="D480" s="4" t="s">
        <v>140</v>
      </c>
    </row>
    <row r="482" spans="1:4" ht="20.25" x14ac:dyDescent="0.25">
      <c r="A482" s="358" t="s">
        <v>207</v>
      </c>
      <c r="B482" s="11" t="s">
        <v>116</v>
      </c>
      <c r="D482" s="10" t="s">
        <v>71</v>
      </c>
    </row>
    <row r="483" spans="1:4" ht="18" x14ac:dyDescent="0.25">
      <c r="B483" s="14" t="s">
        <v>129</v>
      </c>
    </row>
    <row r="484" spans="1:4" ht="18" x14ac:dyDescent="0.25">
      <c r="B484" s="11" t="s">
        <v>144</v>
      </c>
      <c r="C484" s="1806" t="str">
        <f>$C$36</f>
        <v>Termin: 29 luty 2012 r.</v>
      </c>
      <c r="D484" s="1806"/>
    </row>
    <row r="485" spans="1:4" ht="18" x14ac:dyDescent="0.25">
      <c r="B485" s="11"/>
    </row>
    <row r="486" spans="1:4" ht="18" x14ac:dyDescent="0.25">
      <c r="B486" s="11" t="s">
        <v>130</v>
      </c>
    </row>
    <row r="487" spans="1:4" ht="15.75" x14ac:dyDescent="0.25">
      <c r="B487" s="1" t="s">
        <v>131</v>
      </c>
    </row>
    <row r="489" spans="1:4" ht="20.25" x14ac:dyDescent="0.3">
      <c r="B489" s="1896" t="s">
        <v>74</v>
      </c>
      <c r="C489" s="1896"/>
      <c r="D489" s="1896"/>
    </row>
    <row r="490" spans="1:4" ht="20.25" x14ac:dyDescent="0.3">
      <c r="B490" s="1896" t="s">
        <v>76</v>
      </c>
      <c r="C490" s="1896"/>
      <c r="D490" s="1896"/>
    </row>
    <row r="491" spans="1:4" ht="20.25" x14ac:dyDescent="0.3">
      <c r="B491" s="1897" t="str">
        <f>$B$11</f>
        <v>NA  PEŁNE  ETATY  WG  DZIAŁÓW  WG  STANU  NA  DZIEŃ  31.XII.2011 r.</v>
      </c>
      <c r="C491" s="1897"/>
      <c r="D491" s="1897"/>
    </row>
    <row r="492" spans="1:4" ht="13.5" thickBot="1" x14ac:dyDescent="0.25">
      <c r="A492" s="16"/>
      <c r="B492" s="16"/>
      <c r="C492" s="16"/>
      <c r="D492" s="16"/>
    </row>
    <row r="493" spans="1:4" ht="17.25" thickTop="1" x14ac:dyDescent="0.25">
      <c r="B493" s="58"/>
      <c r="C493" s="74"/>
      <c r="D493" s="63"/>
    </row>
    <row r="494" spans="1:4" ht="16.5" x14ac:dyDescent="0.25">
      <c r="B494" s="60"/>
      <c r="C494" s="75"/>
      <c r="D494" s="71"/>
    </row>
    <row r="495" spans="1:4" ht="18" x14ac:dyDescent="0.25">
      <c r="B495" s="198" t="s">
        <v>80</v>
      </c>
      <c r="C495" s="82" t="s">
        <v>4</v>
      </c>
      <c r="D495" s="83" t="s">
        <v>81</v>
      </c>
    </row>
    <row r="496" spans="1:4" ht="18" x14ac:dyDescent="0.25">
      <c r="B496" s="198"/>
      <c r="C496" s="82" t="s">
        <v>8</v>
      </c>
      <c r="D496" s="83" t="s">
        <v>16</v>
      </c>
    </row>
    <row r="497" spans="2:4" ht="16.5" x14ac:dyDescent="0.25">
      <c r="B497" s="60"/>
      <c r="C497" s="75"/>
      <c r="D497" s="90"/>
    </row>
    <row r="498" spans="2:4" ht="15.75" thickBot="1" x14ac:dyDescent="0.3">
      <c r="B498" s="91">
        <v>0</v>
      </c>
      <c r="C498" s="95">
        <v>1</v>
      </c>
      <c r="D498" s="68">
        <v>2</v>
      </c>
    </row>
    <row r="499" spans="2:4" ht="24" thickTop="1" x14ac:dyDescent="0.35">
      <c r="B499" s="97" t="s">
        <v>86</v>
      </c>
      <c r="C499" s="930">
        <f>SUM(C501:C505)</f>
        <v>699</v>
      </c>
      <c r="D499" s="709">
        <f>SUM(D501:D505)</f>
        <v>603.18000000000006</v>
      </c>
    </row>
    <row r="500" spans="2:4" ht="18.75" thickBot="1" x14ac:dyDescent="0.3">
      <c r="B500" s="99" t="s">
        <v>49</v>
      </c>
      <c r="C500" s="921" t="str">
        <f>IF('Tab.8. l.os.zatr środ_Polska'!C502=C499,"","t8w1k1"&amp;"="&amp;'Tab.8. l.os.zatr środ_Polska'!C502)</f>
        <v/>
      </c>
      <c r="D500" s="179"/>
    </row>
    <row r="501" spans="2:4" ht="19.5" thickTop="1" x14ac:dyDescent="0.3">
      <c r="B501" s="101" t="s">
        <v>87</v>
      </c>
      <c r="C501" s="1345">
        <v>66</v>
      </c>
      <c r="D501" s="1346">
        <v>60.83</v>
      </c>
    </row>
    <row r="502" spans="2:4" ht="18.75" x14ac:dyDescent="0.3">
      <c r="B502" s="103" t="s">
        <v>88</v>
      </c>
      <c r="C502" s="1349">
        <v>386</v>
      </c>
      <c r="D502" s="1387">
        <v>349.91</v>
      </c>
    </row>
    <row r="503" spans="2:4" ht="18.75" x14ac:dyDescent="0.3">
      <c r="B503" s="103" t="s">
        <v>89</v>
      </c>
      <c r="C503" s="1349">
        <v>88</v>
      </c>
      <c r="D503" s="1350">
        <v>76.64</v>
      </c>
    </row>
    <row r="504" spans="2:4" ht="18.75" x14ac:dyDescent="0.3">
      <c r="B504" s="103" t="s">
        <v>90</v>
      </c>
      <c r="C504" s="1349">
        <v>68</v>
      </c>
      <c r="D504" s="1350">
        <v>44.2</v>
      </c>
    </row>
    <row r="505" spans="2:4" ht="19.5" thickBot="1" x14ac:dyDescent="0.35">
      <c r="B505" s="105" t="s">
        <v>91</v>
      </c>
      <c r="C505" s="1353">
        <v>91</v>
      </c>
      <c r="D505" s="1388">
        <v>71.599999999999994</v>
      </c>
    </row>
    <row r="506" spans="2:4" ht="13.5" thickTop="1" x14ac:dyDescent="0.2"/>
    <row r="507" spans="2:4" ht="15.75" x14ac:dyDescent="0.25">
      <c r="B507" s="1" t="s">
        <v>92</v>
      </c>
    </row>
    <row r="509" spans="2:4" ht="15.75" x14ac:dyDescent="0.25">
      <c r="B509" s="1" t="s">
        <v>123</v>
      </c>
      <c r="C509" s="12"/>
    </row>
    <row r="510" spans="2:4" ht="18" x14ac:dyDescent="0.25">
      <c r="B510" s="1" t="s">
        <v>132</v>
      </c>
      <c r="C510" s="12"/>
      <c r="D510" s="25"/>
    </row>
    <row r="511" spans="2:4" ht="15.75" x14ac:dyDescent="0.25">
      <c r="B511" s="1"/>
      <c r="D511" s="1" t="s">
        <v>141</v>
      </c>
    </row>
    <row r="512" spans="2:4" ht="15.75" x14ac:dyDescent="0.25">
      <c r="B512" s="1" t="s">
        <v>137</v>
      </c>
      <c r="D512" s="4" t="s">
        <v>140</v>
      </c>
    </row>
    <row r="514" spans="1:4" ht="20.25" x14ac:dyDescent="0.25">
      <c r="A514" s="358" t="s">
        <v>208</v>
      </c>
      <c r="B514" s="11" t="s">
        <v>116</v>
      </c>
      <c r="D514" s="10" t="s">
        <v>71</v>
      </c>
    </row>
    <row r="515" spans="1:4" ht="18" x14ac:dyDescent="0.25">
      <c r="B515" s="14" t="s">
        <v>129</v>
      </c>
    </row>
    <row r="516" spans="1:4" ht="18" x14ac:dyDescent="0.25">
      <c r="B516" s="11" t="s">
        <v>144</v>
      </c>
      <c r="C516" s="1806" t="str">
        <f>$C$36</f>
        <v>Termin: 29 luty 2012 r.</v>
      </c>
      <c r="D516" s="1806"/>
    </row>
    <row r="517" spans="1:4" ht="18" x14ac:dyDescent="0.25">
      <c r="B517" s="11"/>
    </row>
    <row r="518" spans="1:4" ht="18" x14ac:dyDescent="0.25">
      <c r="B518" s="11" t="s">
        <v>130</v>
      </c>
    </row>
    <row r="519" spans="1:4" ht="15.75" x14ac:dyDescent="0.25">
      <c r="B519" s="1" t="s">
        <v>131</v>
      </c>
    </row>
    <row r="521" spans="1:4" ht="20.25" x14ac:dyDescent="0.3">
      <c r="B521" s="1896" t="s">
        <v>74</v>
      </c>
      <c r="C521" s="1896"/>
      <c r="D521" s="1896"/>
    </row>
    <row r="522" spans="1:4" ht="20.25" x14ac:dyDescent="0.3">
      <c r="B522" s="1896" t="s">
        <v>76</v>
      </c>
      <c r="C522" s="1896"/>
      <c r="D522" s="1896"/>
    </row>
    <row r="523" spans="1:4" ht="20.25" x14ac:dyDescent="0.3">
      <c r="B523" s="1897" t="str">
        <f>$B$11</f>
        <v>NA  PEŁNE  ETATY  WG  DZIAŁÓW  WG  STANU  NA  DZIEŃ  31.XII.2011 r.</v>
      </c>
      <c r="C523" s="1897"/>
      <c r="D523" s="1897"/>
    </row>
    <row r="524" spans="1:4" ht="13.5" thickBot="1" x14ac:dyDescent="0.25">
      <c r="A524" s="16"/>
      <c r="B524" s="16"/>
      <c r="C524" s="16"/>
      <c r="D524" s="16"/>
    </row>
    <row r="525" spans="1:4" ht="17.25" thickTop="1" x14ac:dyDescent="0.25">
      <c r="B525" s="58"/>
      <c r="C525" s="74"/>
      <c r="D525" s="63"/>
    </row>
    <row r="526" spans="1:4" ht="16.5" x14ac:dyDescent="0.25">
      <c r="B526" s="60"/>
      <c r="C526" s="75"/>
      <c r="D526" s="71"/>
    </row>
    <row r="527" spans="1:4" ht="18" x14ac:dyDescent="0.25">
      <c r="B527" s="198" t="s">
        <v>80</v>
      </c>
      <c r="C527" s="82" t="s">
        <v>4</v>
      </c>
      <c r="D527" s="83" t="s">
        <v>81</v>
      </c>
    </row>
    <row r="528" spans="1:4" ht="18" x14ac:dyDescent="0.25">
      <c r="B528" s="198"/>
      <c r="C528" s="82" t="s">
        <v>8</v>
      </c>
      <c r="D528" s="83" t="s">
        <v>16</v>
      </c>
    </row>
    <row r="529" spans="2:4" ht="16.5" x14ac:dyDescent="0.25">
      <c r="B529" s="60"/>
      <c r="C529" s="75"/>
      <c r="D529" s="90"/>
    </row>
    <row r="530" spans="2:4" ht="15.75" thickBot="1" x14ac:dyDescent="0.3">
      <c r="B530" s="91">
        <v>0</v>
      </c>
      <c r="C530" s="95">
        <v>1</v>
      </c>
      <c r="D530" s="68">
        <v>2</v>
      </c>
    </row>
    <row r="531" spans="2:4" ht="24" thickTop="1" x14ac:dyDescent="0.35">
      <c r="B531" s="97" t="s">
        <v>86</v>
      </c>
      <c r="C531" s="930">
        <f>SUM(C533:C537)</f>
        <v>248</v>
      </c>
      <c r="D531" s="361">
        <f>SUM(D533:D537)</f>
        <v>224.85</v>
      </c>
    </row>
    <row r="532" spans="2:4" ht="18.75" thickBot="1" x14ac:dyDescent="0.3">
      <c r="B532" s="99" t="s">
        <v>49</v>
      </c>
      <c r="C532" s="921" t="str">
        <f>IF('Tab.8. l.os.zatr środ_Polska'!C534=C531,"","t8w1k1"&amp;"="&amp;'Tab.8. l.os.zatr środ_Polska'!C534)</f>
        <v/>
      </c>
      <c r="D532" s="179"/>
    </row>
    <row r="533" spans="2:4" ht="19.5" thickTop="1" x14ac:dyDescent="0.3">
      <c r="B533" s="101" t="s">
        <v>87</v>
      </c>
      <c r="C533" s="1345">
        <v>28</v>
      </c>
      <c r="D533" s="1346">
        <v>26.25</v>
      </c>
    </row>
    <row r="534" spans="2:4" ht="18.75" x14ac:dyDescent="0.3">
      <c r="B534" s="103" t="s">
        <v>88</v>
      </c>
      <c r="C534" s="1349">
        <v>150</v>
      </c>
      <c r="D534" s="1350">
        <v>146.5</v>
      </c>
    </row>
    <row r="535" spans="2:4" ht="18.75" x14ac:dyDescent="0.3">
      <c r="B535" s="103" t="s">
        <v>89</v>
      </c>
      <c r="C535" s="1349">
        <v>17</v>
      </c>
      <c r="D535" s="1350">
        <v>14.06</v>
      </c>
    </row>
    <row r="536" spans="2:4" ht="18.75" x14ac:dyDescent="0.3">
      <c r="B536" s="103" t="s">
        <v>90</v>
      </c>
      <c r="C536" s="1355">
        <v>22</v>
      </c>
      <c r="D536" s="1350">
        <v>12.29</v>
      </c>
    </row>
    <row r="537" spans="2:4" ht="19.5" thickBot="1" x14ac:dyDescent="0.35">
      <c r="B537" s="105" t="s">
        <v>91</v>
      </c>
      <c r="C537" s="1389">
        <v>31</v>
      </c>
      <c r="D537" s="1354">
        <v>25.75</v>
      </c>
    </row>
    <row r="538" spans="2:4" ht="13.5" thickTop="1" x14ac:dyDescent="0.2"/>
    <row r="539" spans="2:4" ht="15.75" x14ac:dyDescent="0.25">
      <c r="B539" s="1" t="s">
        <v>92</v>
      </c>
    </row>
    <row r="541" spans="2:4" ht="15.75" x14ac:dyDescent="0.25">
      <c r="B541" s="1" t="s">
        <v>123</v>
      </c>
      <c r="C541" s="12"/>
    </row>
    <row r="542" spans="2:4" ht="18" x14ac:dyDescent="0.25">
      <c r="B542" s="1" t="s">
        <v>132</v>
      </c>
      <c r="C542" s="12"/>
      <c r="D542" s="25"/>
    </row>
    <row r="543" spans="2:4" ht="15.75" x14ac:dyDescent="0.25">
      <c r="B543" s="1"/>
      <c r="D543" s="1" t="s">
        <v>141</v>
      </c>
    </row>
    <row r="544" spans="2:4" ht="15.75" x14ac:dyDescent="0.25">
      <c r="B544" s="1" t="s">
        <v>137</v>
      </c>
      <c r="D544" s="4" t="s">
        <v>140</v>
      </c>
    </row>
  </sheetData>
  <mergeCells count="67">
    <mergeCell ref="B522:D522"/>
    <mergeCell ref="B523:D523"/>
    <mergeCell ref="B459:D459"/>
    <mergeCell ref="B489:D489"/>
    <mergeCell ref="B490:D490"/>
    <mergeCell ref="B491:D491"/>
    <mergeCell ref="C516:D516"/>
    <mergeCell ref="B521:D521"/>
    <mergeCell ref="C452:D452"/>
    <mergeCell ref="C484:D484"/>
    <mergeCell ref="B395:D395"/>
    <mergeCell ref="B425:D425"/>
    <mergeCell ref="B426:D426"/>
    <mergeCell ref="B427:D427"/>
    <mergeCell ref="B457:D457"/>
    <mergeCell ref="B458:D458"/>
    <mergeCell ref="C420:D420"/>
    <mergeCell ref="C292:D292"/>
    <mergeCell ref="C324:D324"/>
    <mergeCell ref="B265:D265"/>
    <mergeCell ref="B266:D266"/>
    <mergeCell ref="B267:D267"/>
    <mergeCell ref="B393:D393"/>
    <mergeCell ref="C388:D388"/>
    <mergeCell ref="B297:D297"/>
    <mergeCell ref="B298:D298"/>
    <mergeCell ref="B299:D299"/>
    <mergeCell ref="B107:D107"/>
    <mergeCell ref="B137:D137"/>
    <mergeCell ref="B138:D138"/>
    <mergeCell ref="C132:D132"/>
    <mergeCell ref="B74:D74"/>
    <mergeCell ref="B75:D75"/>
    <mergeCell ref="B105:D105"/>
    <mergeCell ref="B106:D106"/>
    <mergeCell ref="C36:D36"/>
    <mergeCell ref="C68:D68"/>
    <mergeCell ref="C100:D100"/>
    <mergeCell ref="B9:D9"/>
    <mergeCell ref="B11:D11"/>
    <mergeCell ref="B10:D10"/>
    <mergeCell ref="B41:D41"/>
    <mergeCell ref="B42:D42"/>
    <mergeCell ref="B43:D43"/>
    <mergeCell ref="B73:D73"/>
    <mergeCell ref="B139:D139"/>
    <mergeCell ref="B169:D169"/>
    <mergeCell ref="B170:D170"/>
    <mergeCell ref="B171:D171"/>
    <mergeCell ref="C356:D356"/>
    <mergeCell ref="B363:D363"/>
    <mergeCell ref="C164:D164"/>
    <mergeCell ref="C196:D196"/>
    <mergeCell ref="C228:D228"/>
    <mergeCell ref="B201:D201"/>
    <mergeCell ref="B329:D329"/>
    <mergeCell ref="B394:D394"/>
    <mergeCell ref="B330:D330"/>
    <mergeCell ref="B331:D331"/>
    <mergeCell ref="B361:D361"/>
    <mergeCell ref="B362:D362"/>
    <mergeCell ref="B202:D202"/>
    <mergeCell ref="B203:D203"/>
    <mergeCell ref="B233:D233"/>
    <mergeCell ref="B234:D234"/>
    <mergeCell ref="B235:D235"/>
    <mergeCell ref="C260:D260"/>
  </mergeCells>
  <phoneticPr fontId="82" type="noConversion"/>
  <printOptions horizontalCentered="1"/>
  <pageMargins left="1.1023622047244095" right="0.98425196850393704" top="2.0078740157480315" bottom="0.39370078740157483" header="0.23622047244094491" footer="0.15748031496062992"/>
  <pageSetup paperSize="9" scale="75" orientation="portrait" r:id="rId1"/>
  <headerFooter alignWithMargins="0"/>
  <ignoredErrors>
    <ignoredError sqref="A290 A449 A386 A322 A1 A482 A34 A66 A514 A418 A354 A258 A226 A194 A130 A98 A162"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heetViews>
  <sheetFormatPr defaultRowHeight="12.75" x14ac:dyDescent="0.2"/>
  <cols>
    <col min="1" max="1" width="3.7109375" customWidth="1"/>
    <col min="2" max="2" width="24.5703125" bestFit="1" customWidth="1"/>
    <col min="4" max="13" width="10.7109375" customWidth="1"/>
  </cols>
  <sheetData>
    <row r="1" spans="1:13" ht="15.75" x14ac:dyDescent="0.25">
      <c r="A1" s="1" t="s">
        <v>195</v>
      </c>
      <c r="B1" s="3"/>
      <c r="C1" s="4"/>
      <c r="D1" s="3"/>
      <c r="E1" s="3"/>
      <c r="F1" s="3"/>
      <c r="G1" s="413"/>
      <c r="H1" s="413"/>
      <c r="L1" s="1603" t="s">
        <v>380</v>
      </c>
      <c r="M1" s="1603"/>
    </row>
    <row r="2" spans="1:13" x14ac:dyDescent="0.2">
      <c r="A2" s="3" t="s">
        <v>214</v>
      </c>
      <c r="B2" s="3"/>
    </row>
    <row r="3" spans="1:13" x14ac:dyDescent="0.2">
      <c r="A3" s="3" t="s">
        <v>216</v>
      </c>
      <c r="B3" s="3"/>
      <c r="C3" s="3"/>
      <c r="D3" s="3"/>
      <c r="E3" s="3"/>
      <c r="F3" s="3"/>
      <c r="G3" s="3"/>
      <c r="H3" s="3"/>
      <c r="I3" s="3"/>
    </row>
    <row r="4" spans="1:13" x14ac:dyDescent="0.2">
      <c r="A4" s="3" t="s">
        <v>128</v>
      </c>
      <c r="B4" s="3"/>
      <c r="C4" s="3"/>
      <c r="D4" s="3"/>
      <c r="E4" s="3"/>
      <c r="F4" s="3"/>
      <c r="G4" s="3"/>
      <c r="H4" s="3"/>
      <c r="I4" s="3"/>
    </row>
    <row r="5" spans="1:13" x14ac:dyDescent="0.2">
      <c r="A5" s="3"/>
      <c r="B5" s="3"/>
      <c r="C5" s="3"/>
      <c r="D5" s="3"/>
      <c r="E5" s="3"/>
      <c r="F5" s="3"/>
      <c r="G5" s="3"/>
      <c r="H5" s="3"/>
      <c r="I5" s="3"/>
    </row>
    <row r="6" spans="1:13" ht="15.75" x14ac:dyDescent="0.25">
      <c r="A6" s="1604" t="s">
        <v>378</v>
      </c>
      <c r="B6" s="1604"/>
      <c r="C6" s="1604"/>
      <c r="D6" s="1604"/>
      <c r="E6" s="1604"/>
      <c r="F6" s="1604"/>
      <c r="G6" s="1604"/>
      <c r="H6" s="1604"/>
      <c r="I6" s="1604"/>
      <c r="J6" s="1604"/>
      <c r="K6" s="1604"/>
      <c r="L6" s="1604"/>
      <c r="M6" s="1604"/>
    </row>
    <row r="7" spans="1:13" ht="15.75" x14ac:dyDescent="0.25">
      <c r="A7" s="1604" t="s">
        <v>381</v>
      </c>
      <c r="B7" s="1604"/>
      <c r="C7" s="1604"/>
      <c r="D7" s="1604"/>
      <c r="E7" s="1604"/>
      <c r="F7" s="1604"/>
      <c r="G7" s="1604"/>
      <c r="H7" s="1604"/>
      <c r="I7" s="1604"/>
      <c r="J7" s="1604"/>
      <c r="K7" s="1604"/>
      <c r="L7" s="1604"/>
      <c r="M7" s="1604"/>
    </row>
    <row r="8" spans="1:13" ht="15.75" x14ac:dyDescent="0.25">
      <c r="A8" s="1691" t="str">
        <f>"WG STANU NA DZIEŃ 31.XII."&amp;'Tab.1. bilans_Polska'!A2&amp;" r."</f>
        <v>WG STANU NA DZIEŃ 31.XII.2011 r.</v>
      </c>
      <c r="B8" s="1690"/>
      <c r="C8" s="1690"/>
      <c r="D8" s="1690"/>
      <c r="E8" s="1690"/>
      <c r="F8" s="1690"/>
      <c r="G8" s="1690"/>
      <c r="H8" s="1690"/>
      <c r="I8" s="1690"/>
      <c r="J8" s="1690"/>
      <c r="K8" s="1690"/>
      <c r="L8" s="1690"/>
      <c r="M8" s="1690"/>
    </row>
    <row r="9" spans="1:13" ht="13.5" thickBot="1" x14ac:dyDescent="0.25">
      <c r="A9" s="3"/>
      <c r="B9" s="3"/>
      <c r="C9" s="3"/>
      <c r="D9" s="3"/>
      <c r="E9" s="3"/>
      <c r="F9" s="3"/>
      <c r="G9" s="3"/>
      <c r="H9" s="3"/>
      <c r="I9" s="3"/>
    </row>
    <row r="10" spans="1:13" ht="12.75" customHeight="1" thickTop="1" x14ac:dyDescent="0.2">
      <c r="A10" s="1692" t="s">
        <v>226</v>
      </c>
      <c r="B10" s="1695" t="s">
        <v>256</v>
      </c>
      <c r="C10" s="1889" t="s">
        <v>382</v>
      </c>
      <c r="D10" s="1905" t="s">
        <v>49</v>
      </c>
      <c r="E10" s="1906"/>
      <c r="F10" s="1906"/>
      <c r="G10" s="1906"/>
      <c r="H10" s="1906"/>
      <c r="I10" s="1906"/>
      <c r="J10" s="1906"/>
      <c r="K10" s="1906"/>
      <c r="L10" s="1906"/>
      <c r="M10" s="1857"/>
    </row>
    <row r="11" spans="1:13" ht="12.75" customHeight="1" x14ac:dyDescent="0.2">
      <c r="A11" s="1693"/>
      <c r="B11" s="1696"/>
      <c r="C11" s="1890"/>
      <c r="D11" s="1899" t="s">
        <v>383</v>
      </c>
      <c r="E11" s="1900"/>
      <c r="F11" s="1899" t="s">
        <v>384</v>
      </c>
      <c r="G11" s="1900"/>
      <c r="H11" s="1899" t="s">
        <v>385</v>
      </c>
      <c r="I11" s="1900"/>
      <c r="J11" s="1899" t="s">
        <v>348</v>
      </c>
      <c r="K11" s="1900"/>
      <c r="L11" s="1899" t="s">
        <v>349</v>
      </c>
      <c r="M11" s="1903"/>
    </row>
    <row r="12" spans="1:13" ht="12.75" customHeight="1" x14ac:dyDescent="0.2">
      <c r="A12" s="1693"/>
      <c r="B12" s="1696"/>
      <c r="C12" s="1890"/>
      <c r="D12" s="1901"/>
      <c r="E12" s="1902"/>
      <c r="F12" s="1901"/>
      <c r="G12" s="1902"/>
      <c r="H12" s="1901"/>
      <c r="I12" s="1902"/>
      <c r="J12" s="1901"/>
      <c r="K12" s="1902"/>
      <c r="L12" s="1901"/>
      <c r="M12" s="1904"/>
    </row>
    <row r="13" spans="1:13" ht="12.75" customHeight="1" x14ac:dyDescent="0.2">
      <c r="A13" s="1694"/>
      <c r="B13" s="1697"/>
      <c r="C13" s="1701"/>
      <c r="D13" s="625" t="s">
        <v>0</v>
      </c>
      <c r="E13" s="626" t="s">
        <v>377</v>
      </c>
      <c r="F13" s="625" t="s">
        <v>0</v>
      </c>
      <c r="G13" s="626" t="s">
        <v>337</v>
      </c>
      <c r="H13" s="625" t="s">
        <v>0</v>
      </c>
      <c r="I13" s="626" t="s">
        <v>337</v>
      </c>
      <c r="J13" s="626" t="s">
        <v>0</v>
      </c>
      <c r="K13" s="626" t="s">
        <v>377</v>
      </c>
      <c r="L13" s="627" t="s">
        <v>0</v>
      </c>
      <c r="M13" s="628" t="s">
        <v>377</v>
      </c>
    </row>
    <row r="14" spans="1:13" ht="13.5" thickBot="1" x14ac:dyDescent="0.25">
      <c r="A14" s="425"/>
      <c r="B14" s="429">
        <v>0</v>
      </c>
      <c r="C14" s="464">
        <v>1</v>
      </c>
      <c r="D14" s="496">
        <v>2</v>
      </c>
      <c r="E14" s="466">
        <v>3</v>
      </c>
      <c r="F14" s="466">
        <v>4</v>
      </c>
      <c r="G14" s="466">
        <v>5</v>
      </c>
      <c r="H14" s="467">
        <v>6</v>
      </c>
      <c r="I14" s="428">
        <v>7</v>
      </c>
      <c r="J14" s="428">
        <v>8</v>
      </c>
      <c r="K14" s="428">
        <v>9</v>
      </c>
      <c r="L14" s="430">
        <v>10</v>
      </c>
      <c r="M14" s="431">
        <v>11</v>
      </c>
    </row>
    <row r="15" spans="1:13" ht="13.5" thickTop="1" x14ac:dyDescent="0.2">
      <c r="A15" s="461">
        <v>1</v>
      </c>
      <c r="B15" s="508" t="s">
        <v>236</v>
      </c>
      <c r="C15" s="488">
        <f>D15+F15+H15+J15+L15</f>
        <v>296</v>
      </c>
      <c r="D15" s="629">
        <f>'Tab.9. zatr.umową,etaty środow'!C53</f>
        <v>34</v>
      </c>
      <c r="E15" s="611">
        <f>IF(C15=0,0,ROUND(D15*100/$C15, 1))</f>
        <v>11.5</v>
      </c>
      <c r="F15" s="598">
        <f>'Tab.9. zatr.umową,etaty środow'!C54</f>
        <v>183</v>
      </c>
      <c r="G15" s="611">
        <f>IF(C15=0,0,ROUND(F15*100/$C15, 1))</f>
        <v>61.8</v>
      </c>
      <c r="H15" s="599">
        <f>'Tab.9. zatr.umową,etaty środow'!C55</f>
        <v>28</v>
      </c>
      <c r="I15" s="615">
        <f>IF(C15=0,0,ROUND(H15*100/$C15, 1))</f>
        <v>9.5</v>
      </c>
      <c r="J15" s="600">
        <f>'Tab.9. zatr.umową,etaty środow'!C56</f>
        <v>30</v>
      </c>
      <c r="K15" s="615">
        <f>IF(C15=0,0,ROUND(J15*100/$C15, 1))</f>
        <v>10.1</v>
      </c>
      <c r="L15" s="621">
        <f>'Tab.9. zatr.umową,etaty środow'!C57</f>
        <v>21</v>
      </c>
      <c r="M15" s="617">
        <f>IF(C15=0,0,ROUND(L15*100/$C15, 1))</f>
        <v>7.1</v>
      </c>
    </row>
    <row r="16" spans="1:13" x14ac:dyDescent="0.2">
      <c r="A16" s="462">
        <v>2</v>
      </c>
      <c r="B16" s="509" t="s">
        <v>237</v>
      </c>
      <c r="C16" s="489">
        <f t="shared" ref="C16:C30" si="0">D16+F16+H16+J16+L16</f>
        <v>341</v>
      </c>
      <c r="D16" s="630">
        <f>'Tab.9. zatr.umową,etaty środow'!C85</f>
        <v>36</v>
      </c>
      <c r="E16" s="612">
        <f>IF(C16=0,0,ROUND(D16*100/$C16, 1))</f>
        <v>10.6</v>
      </c>
      <c r="F16" s="602">
        <f>'Tab.9. zatr.umową,etaty środow'!C86</f>
        <v>199</v>
      </c>
      <c r="G16" s="612">
        <f>IF(C16=0,0,ROUND(F16*100/$C16, 1))</f>
        <v>58.4</v>
      </c>
      <c r="H16" s="603">
        <f>'Tab.9. zatr.umową,etaty środow'!C87</f>
        <v>28</v>
      </c>
      <c r="I16" s="612">
        <f>IF(C16=0,0,ROUND(H16*100/$C16, 1))</f>
        <v>8.1999999999999993</v>
      </c>
      <c r="J16" s="602">
        <f>'Tab.9. zatr.umową,etaty środow'!C88</f>
        <v>34</v>
      </c>
      <c r="K16" s="612">
        <f>IF(C16=0,0,ROUND(J16*100/$C16, 1))</f>
        <v>10</v>
      </c>
      <c r="L16" s="622">
        <f>'Tab.9. zatr.umową,etaty środow'!C89</f>
        <v>44</v>
      </c>
      <c r="M16" s="618">
        <f>IF(C16=0,0,ROUND(L16*100/$C16, 1))</f>
        <v>12.9</v>
      </c>
    </row>
    <row r="17" spans="1:13" x14ac:dyDescent="0.2">
      <c r="A17" s="462">
        <v>3</v>
      </c>
      <c r="B17" s="509" t="s">
        <v>238</v>
      </c>
      <c r="C17" s="489">
        <f t="shared" si="0"/>
        <v>527</v>
      </c>
      <c r="D17" s="630">
        <f>'Tab.9. zatr.umową,etaty środow'!C117</f>
        <v>47</v>
      </c>
      <c r="E17" s="612">
        <f t="shared" ref="E17:E30" si="1">IF(C17=0,0,ROUND(D17*100/$C17, 1))</f>
        <v>8.9</v>
      </c>
      <c r="F17" s="602">
        <f>'Tab.9. zatr.umową,etaty środow'!C118</f>
        <v>304</v>
      </c>
      <c r="G17" s="612">
        <f t="shared" ref="G17:G30" si="2">IF(C17=0,0,ROUND(F17*100/$C17, 1))</f>
        <v>57.7</v>
      </c>
      <c r="H17" s="603">
        <f>'Tab.9. zatr.umową,etaty środow'!C119</f>
        <v>50</v>
      </c>
      <c r="I17" s="612">
        <f t="shared" ref="I17:I30" si="3">IF(C17=0,0,ROUND(H17*100/$C17, 1))</f>
        <v>9.5</v>
      </c>
      <c r="J17" s="602">
        <f>'Tab.9. zatr.umową,etaty środow'!C120</f>
        <v>63</v>
      </c>
      <c r="K17" s="612">
        <f t="shared" ref="K17:K30" si="4">IF(C17=0,0,ROUND(J17*100/$C17, 1))</f>
        <v>12</v>
      </c>
      <c r="L17" s="622">
        <f>'Tab.9. zatr.umową,etaty środow'!C121</f>
        <v>63</v>
      </c>
      <c r="M17" s="618">
        <f t="shared" ref="M17:M30" si="5">IF(C17=0,0,ROUND(L17*100/$C17, 1))</f>
        <v>12</v>
      </c>
    </row>
    <row r="18" spans="1:13" x14ac:dyDescent="0.2">
      <c r="A18" s="462">
        <v>4</v>
      </c>
      <c r="B18" s="509" t="s">
        <v>239</v>
      </c>
      <c r="C18" s="489">
        <f t="shared" si="0"/>
        <v>178</v>
      </c>
      <c r="D18" s="630">
        <f>'Tab.9. zatr.umową,etaty środow'!C149</f>
        <v>19</v>
      </c>
      <c r="E18" s="612">
        <f t="shared" si="1"/>
        <v>10.7</v>
      </c>
      <c r="F18" s="602">
        <f>'Tab.9. zatr.umową,etaty środow'!C150</f>
        <v>115</v>
      </c>
      <c r="G18" s="612">
        <f t="shared" si="2"/>
        <v>64.599999999999994</v>
      </c>
      <c r="H18" s="603">
        <f>'Tab.9. zatr.umową,etaty środow'!C151</f>
        <v>12</v>
      </c>
      <c r="I18" s="612">
        <f t="shared" si="3"/>
        <v>6.7</v>
      </c>
      <c r="J18" s="602">
        <f>'Tab.9. zatr.umową,etaty środow'!C152</f>
        <v>15</v>
      </c>
      <c r="K18" s="612">
        <f t="shared" si="4"/>
        <v>8.4</v>
      </c>
      <c r="L18" s="622">
        <f>'Tab.9. zatr.umową,etaty środow'!C153</f>
        <v>17</v>
      </c>
      <c r="M18" s="618">
        <f t="shared" si="5"/>
        <v>9.6</v>
      </c>
    </row>
    <row r="19" spans="1:13" x14ac:dyDescent="0.2">
      <c r="A19" s="462">
        <v>5</v>
      </c>
      <c r="B19" s="509" t="s">
        <v>240</v>
      </c>
      <c r="C19" s="489">
        <f t="shared" si="0"/>
        <v>458</v>
      </c>
      <c r="D19" s="630">
        <f>'Tab.9. zatr.umową,etaty środow'!C181</f>
        <v>41</v>
      </c>
      <c r="E19" s="612">
        <f t="shared" si="1"/>
        <v>9</v>
      </c>
      <c r="F19" s="602">
        <f>'Tab.9. zatr.umową,etaty środow'!C182</f>
        <v>232</v>
      </c>
      <c r="G19" s="612">
        <f t="shared" si="2"/>
        <v>50.7</v>
      </c>
      <c r="H19" s="603">
        <f>'Tab.9. zatr.umową,etaty środow'!C183</f>
        <v>52</v>
      </c>
      <c r="I19" s="612">
        <f t="shared" si="3"/>
        <v>11.4</v>
      </c>
      <c r="J19" s="602">
        <f>'Tab.9. zatr.umową,etaty środow'!C184</f>
        <v>61</v>
      </c>
      <c r="K19" s="612">
        <f t="shared" si="4"/>
        <v>13.3</v>
      </c>
      <c r="L19" s="622">
        <f>'Tab.9. zatr.umową,etaty środow'!C185</f>
        <v>72</v>
      </c>
      <c r="M19" s="618">
        <f t="shared" si="5"/>
        <v>15.7</v>
      </c>
    </row>
    <row r="20" spans="1:13" x14ac:dyDescent="0.2">
      <c r="A20" s="462">
        <v>6</v>
      </c>
      <c r="B20" s="509" t="s">
        <v>241</v>
      </c>
      <c r="C20" s="489">
        <f t="shared" si="0"/>
        <v>689</v>
      </c>
      <c r="D20" s="630">
        <f>'Tab.9. zatr.umową,etaty środow'!C213</f>
        <v>68</v>
      </c>
      <c r="E20" s="612">
        <f t="shared" si="1"/>
        <v>9.9</v>
      </c>
      <c r="F20" s="602">
        <f>'Tab.9. zatr.umową,etaty środow'!C214</f>
        <v>437</v>
      </c>
      <c r="G20" s="612">
        <f t="shared" si="2"/>
        <v>63.4</v>
      </c>
      <c r="H20" s="603">
        <f>'Tab.9. zatr.umową,etaty środow'!C215</f>
        <v>60</v>
      </c>
      <c r="I20" s="612">
        <f t="shared" si="3"/>
        <v>8.6999999999999993</v>
      </c>
      <c r="J20" s="602">
        <f>'Tab.9. zatr.umową,etaty środow'!C216</f>
        <v>78</v>
      </c>
      <c r="K20" s="612">
        <f t="shared" si="4"/>
        <v>11.3</v>
      </c>
      <c r="L20" s="622">
        <f>'Tab.9. zatr.umową,etaty środow'!C217</f>
        <v>46</v>
      </c>
      <c r="M20" s="618">
        <f t="shared" si="5"/>
        <v>6.7</v>
      </c>
    </row>
    <row r="21" spans="1:13" x14ac:dyDescent="0.2">
      <c r="A21" s="462">
        <v>7</v>
      </c>
      <c r="B21" s="509" t="s">
        <v>242</v>
      </c>
      <c r="C21" s="489">
        <f t="shared" si="0"/>
        <v>512</v>
      </c>
      <c r="D21" s="630">
        <f>'Tab.9. zatr.umową,etaty środow'!C245</f>
        <v>66</v>
      </c>
      <c r="E21" s="612">
        <f t="shared" si="1"/>
        <v>12.9</v>
      </c>
      <c r="F21" s="602">
        <f>'Tab.9. zatr.umową,etaty środow'!C246</f>
        <v>319</v>
      </c>
      <c r="G21" s="612">
        <f t="shared" si="2"/>
        <v>62.3</v>
      </c>
      <c r="H21" s="603">
        <f>'Tab.9. zatr.umową,etaty środow'!C247</f>
        <v>22</v>
      </c>
      <c r="I21" s="612">
        <f t="shared" si="3"/>
        <v>4.3</v>
      </c>
      <c r="J21" s="602">
        <f>'Tab.9. zatr.umową,etaty środow'!C248</f>
        <v>55</v>
      </c>
      <c r="K21" s="612">
        <f t="shared" si="4"/>
        <v>10.7</v>
      </c>
      <c r="L21" s="622">
        <f>'Tab.9. zatr.umową,etaty środow'!C249</f>
        <v>50</v>
      </c>
      <c r="M21" s="618">
        <f t="shared" si="5"/>
        <v>9.8000000000000007</v>
      </c>
    </row>
    <row r="22" spans="1:13" x14ac:dyDescent="0.2">
      <c r="A22" s="462">
        <v>8</v>
      </c>
      <c r="B22" s="509" t="s">
        <v>243</v>
      </c>
      <c r="C22" s="489">
        <f t="shared" si="0"/>
        <v>137</v>
      </c>
      <c r="D22" s="630">
        <f>'Tab.9. zatr.umową,etaty środow'!C277</f>
        <v>11</v>
      </c>
      <c r="E22" s="612">
        <f t="shared" si="1"/>
        <v>8</v>
      </c>
      <c r="F22" s="602">
        <f>'Tab.9. zatr.umową,etaty środow'!C278</f>
        <v>67</v>
      </c>
      <c r="G22" s="612">
        <f t="shared" si="2"/>
        <v>48.9</v>
      </c>
      <c r="H22" s="603">
        <f>'Tab.9. zatr.umową,etaty środow'!C279</f>
        <v>19</v>
      </c>
      <c r="I22" s="612">
        <f t="shared" si="3"/>
        <v>13.9</v>
      </c>
      <c r="J22" s="602">
        <f>'Tab.9. zatr.umową,etaty środow'!C280</f>
        <v>19</v>
      </c>
      <c r="K22" s="612">
        <f t="shared" si="4"/>
        <v>13.9</v>
      </c>
      <c r="L22" s="622">
        <f>'Tab.9. zatr.umową,etaty środow'!C281</f>
        <v>21</v>
      </c>
      <c r="M22" s="618">
        <f t="shared" si="5"/>
        <v>15.3</v>
      </c>
    </row>
    <row r="23" spans="1:13" x14ac:dyDescent="0.2">
      <c r="A23" s="462">
        <v>9</v>
      </c>
      <c r="B23" s="509" t="s">
        <v>244</v>
      </c>
      <c r="C23" s="489">
        <f t="shared" si="0"/>
        <v>532</v>
      </c>
      <c r="D23" s="630">
        <f>'Tab.9. zatr.umową,etaty środow'!C309</f>
        <v>59</v>
      </c>
      <c r="E23" s="612">
        <f t="shared" si="1"/>
        <v>11.1</v>
      </c>
      <c r="F23" s="602">
        <f>'Tab.9. zatr.umową,etaty środow'!C310</f>
        <v>307</v>
      </c>
      <c r="G23" s="612">
        <f t="shared" si="2"/>
        <v>57.7</v>
      </c>
      <c r="H23" s="603">
        <f>'Tab.9. zatr.umową,etaty środow'!C311</f>
        <v>69</v>
      </c>
      <c r="I23" s="612">
        <f t="shared" si="3"/>
        <v>13</v>
      </c>
      <c r="J23" s="602">
        <f>'Tab.9. zatr.umową,etaty środow'!C312</f>
        <v>47</v>
      </c>
      <c r="K23" s="612">
        <f t="shared" si="4"/>
        <v>8.8000000000000007</v>
      </c>
      <c r="L23" s="622">
        <f>'Tab.9. zatr.umową,etaty środow'!C313</f>
        <v>50</v>
      </c>
      <c r="M23" s="618">
        <f t="shared" si="5"/>
        <v>9.4</v>
      </c>
    </row>
    <row r="24" spans="1:13" x14ac:dyDescent="0.2">
      <c r="A24" s="463">
        <v>10</v>
      </c>
      <c r="B24" s="509" t="s">
        <v>245</v>
      </c>
      <c r="C24" s="489">
        <f t="shared" si="0"/>
        <v>95</v>
      </c>
      <c r="D24" s="630">
        <f>'Tab.9. zatr.umową,etaty środow'!C341</f>
        <v>7</v>
      </c>
      <c r="E24" s="612">
        <f t="shared" si="1"/>
        <v>7.4</v>
      </c>
      <c r="F24" s="602">
        <f>'Tab.9. zatr.umową,etaty środow'!C342</f>
        <v>51</v>
      </c>
      <c r="G24" s="612">
        <f t="shared" si="2"/>
        <v>53.7</v>
      </c>
      <c r="H24" s="603">
        <f>'Tab.9. zatr.umową,etaty środow'!C343</f>
        <v>15</v>
      </c>
      <c r="I24" s="612">
        <f t="shared" si="3"/>
        <v>15.8</v>
      </c>
      <c r="J24" s="602">
        <f>'Tab.9. zatr.umową,etaty środow'!C344</f>
        <v>8</v>
      </c>
      <c r="K24" s="612">
        <f t="shared" si="4"/>
        <v>8.4</v>
      </c>
      <c r="L24" s="622">
        <f>'Tab.9. zatr.umową,etaty środow'!C345</f>
        <v>14</v>
      </c>
      <c r="M24" s="618">
        <f t="shared" si="5"/>
        <v>14.7</v>
      </c>
    </row>
    <row r="25" spans="1:13" x14ac:dyDescent="0.2">
      <c r="A25" s="463">
        <v>11</v>
      </c>
      <c r="B25" s="509" t="s">
        <v>246</v>
      </c>
      <c r="C25" s="489">
        <f t="shared" si="0"/>
        <v>415</v>
      </c>
      <c r="D25" s="630">
        <f>'Tab.9. zatr.umową,etaty środow'!C373</f>
        <v>35</v>
      </c>
      <c r="E25" s="612">
        <f t="shared" si="1"/>
        <v>8.4</v>
      </c>
      <c r="F25" s="602">
        <f>'Tab.9. zatr.umową,etaty środow'!C374</f>
        <v>241</v>
      </c>
      <c r="G25" s="612">
        <f t="shared" si="2"/>
        <v>58.1</v>
      </c>
      <c r="H25" s="603">
        <f>'Tab.9. zatr.umową,etaty środow'!C375</f>
        <v>41</v>
      </c>
      <c r="I25" s="612">
        <f t="shared" si="3"/>
        <v>9.9</v>
      </c>
      <c r="J25" s="602">
        <f>'Tab.9. zatr.umową,etaty środow'!C376</f>
        <v>34</v>
      </c>
      <c r="K25" s="612">
        <f t="shared" si="4"/>
        <v>8.1999999999999993</v>
      </c>
      <c r="L25" s="622">
        <f>'Tab.9. zatr.umową,etaty środow'!C377</f>
        <v>64</v>
      </c>
      <c r="M25" s="618">
        <f t="shared" si="5"/>
        <v>15.4</v>
      </c>
    </row>
    <row r="26" spans="1:13" x14ac:dyDescent="0.2">
      <c r="A26" s="463">
        <v>12</v>
      </c>
      <c r="B26" s="509" t="s">
        <v>247</v>
      </c>
      <c r="C26" s="489">
        <f t="shared" si="0"/>
        <v>460</v>
      </c>
      <c r="D26" s="630">
        <f>'Tab.9. zatr.umową,etaty środow'!C405</f>
        <v>39</v>
      </c>
      <c r="E26" s="612">
        <f t="shared" si="1"/>
        <v>8.5</v>
      </c>
      <c r="F26" s="602">
        <f>'Tab.9. zatr.umową,etaty środow'!C406</f>
        <v>253</v>
      </c>
      <c r="G26" s="612">
        <f t="shared" si="2"/>
        <v>55</v>
      </c>
      <c r="H26" s="603">
        <f>'Tab.9. zatr.umową,etaty środow'!C407</f>
        <v>35</v>
      </c>
      <c r="I26" s="612">
        <f t="shared" si="3"/>
        <v>7.6</v>
      </c>
      <c r="J26" s="602">
        <f>'Tab.9. zatr.umową,etaty środow'!C408</f>
        <v>55</v>
      </c>
      <c r="K26" s="612">
        <f t="shared" si="4"/>
        <v>12</v>
      </c>
      <c r="L26" s="622">
        <f>'Tab.9. zatr.umową,etaty środow'!C409</f>
        <v>78</v>
      </c>
      <c r="M26" s="618">
        <f t="shared" si="5"/>
        <v>17</v>
      </c>
    </row>
    <row r="27" spans="1:13" x14ac:dyDescent="0.2">
      <c r="A27" s="463">
        <v>13</v>
      </c>
      <c r="B27" s="509" t="s">
        <v>248</v>
      </c>
      <c r="C27" s="489">
        <f t="shared" si="0"/>
        <v>275</v>
      </c>
      <c r="D27" s="630">
        <f>'Tab.9. zatr.umową,etaty środow'!C437</f>
        <v>30</v>
      </c>
      <c r="E27" s="612">
        <f t="shared" si="1"/>
        <v>10.9</v>
      </c>
      <c r="F27" s="602">
        <f>'Tab.9. zatr.umową,etaty środow'!C438</f>
        <v>162</v>
      </c>
      <c r="G27" s="612">
        <f t="shared" si="2"/>
        <v>58.9</v>
      </c>
      <c r="H27" s="603">
        <f>'Tab.9. zatr.umową,etaty środow'!C439</f>
        <v>33</v>
      </c>
      <c r="I27" s="612">
        <f t="shared" si="3"/>
        <v>12</v>
      </c>
      <c r="J27" s="602">
        <f>'Tab.9. zatr.umową,etaty środow'!C440</f>
        <v>20</v>
      </c>
      <c r="K27" s="612">
        <f t="shared" si="4"/>
        <v>7.3</v>
      </c>
      <c r="L27" s="622">
        <f>'Tab.9. zatr.umową,etaty środow'!C441</f>
        <v>30</v>
      </c>
      <c r="M27" s="618">
        <f t="shared" si="5"/>
        <v>10.9</v>
      </c>
    </row>
    <row r="28" spans="1:13" x14ac:dyDescent="0.2">
      <c r="A28" s="463">
        <v>14</v>
      </c>
      <c r="B28" s="509" t="s">
        <v>249</v>
      </c>
      <c r="C28" s="489">
        <f t="shared" si="0"/>
        <v>681</v>
      </c>
      <c r="D28" s="630">
        <f>'Tab.9. zatr.umową,etaty środow'!C469</f>
        <v>55</v>
      </c>
      <c r="E28" s="612">
        <f t="shared" si="1"/>
        <v>8.1</v>
      </c>
      <c r="F28" s="602">
        <f>'Tab.9. zatr.umową,etaty środow'!C470</f>
        <v>421</v>
      </c>
      <c r="G28" s="612">
        <f t="shared" si="2"/>
        <v>61.8</v>
      </c>
      <c r="H28" s="603">
        <f>'Tab.9. zatr.umową,etaty środow'!C471</f>
        <v>55</v>
      </c>
      <c r="I28" s="612">
        <f t="shared" si="3"/>
        <v>8.1</v>
      </c>
      <c r="J28" s="602">
        <f>'Tab.9. zatr.umową,etaty środow'!C472</f>
        <v>79</v>
      </c>
      <c r="K28" s="612">
        <f t="shared" si="4"/>
        <v>11.6</v>
      </c>
      <c r="L28" s="622">
        <f>'Tab.9. zatr.umową,etaty środow'!C473</f>
        <v>71</v>
      </c>
      <c r="M28" s="618">
        <f t="shared" si="5"/>
        <v>10.4</v>
      </c>
    </row>
    <row r="29" spans="1:13" x14ac:dyDescent="0.2">
      <c r="A29" s="463">
        <v>15</v>
      </c>
      <c r="B29" s="509" t="s">
        <v>250</v>
      </c>
      <c r="C29" s="489">
        <f t="shared" si="0"/>
        <v>699</v>
      </c>
      <c r="D29" s="630">
        <f>'Tab.9. zatr.umową,etaty środow'!C501</f>
        <v>66</v>
      </c>
      <c r="E29" s="612">
        <f t="shared" si="1"/>
        <v>9.4</v>
      </c>
      <c r="F29" s="602">
        <f>'Tab.9. zatr.umową,etaty środow'!C502</f>
        <v>386</v>
      </c>
      <c r="G29" s="612">
        <f t="shared" si="2"/>
        <v>55.2</v>
      </c>
      <c r="H29" s="603">
        <f>'Tab.9. zatr.umową,etaty środow'!C503</f>
        <v>88</v>
      </c>
      <c r="I29" s="612">
        <f t="shared" si="3"/>
        <v>12.6</v>
      </c>
      <c r="J29" s="602">
        <f>'Tab.9. zatr.umową,etaty środow'!C504</f>
        <v>68</v>
      </c>
      <c r="K29" s="612">
        <f t="shared" si="4"/>
        <v>9.6999999999999993</v>
      </c>
      <c r="L29" s="622">
        <f>'Tab.9. zatr.umową,etaty środow'!C505</f>
        <v>91</v>
      </c>
      <c r="M29" s="618">
        <f t="shared" si="5"/>
        <v>13</v>
      </c>
    </row>
    <row r="30" spans="1:13" ht="13.5" thickBot="1" x14ac:dyDescent="0.25">
      <c r="A30" s="463">
        <v>16</v>
      </c>
      <c r="B30" s="510" t="s">
        <v>251</v>
      </c>
      <c r="C30" s="489">
        <f t="shared" si="0"/>
        <v>248</v>
      </c>
      <c r="D30" s="631">
        <f>'Tab.9. zatr.umową,etaty środow'!C533</f>
        <v>28</v>
      </c>
      <c r="E30" s="613">
        <f t="shared" si="1"/>
        <v>11.3</v>
      </c>
      <c r="F30" s="604">
        <f>'Tab.9. zatr.umową,etaty środow'!C534</f>
        <v>150</v>
      </c>
      <c r="G30" s="613">
        <f t="shared" si="2"/>
        <v>60.5</v>
      </c>
      <c r="H30" s="605">
        <f>'Tab.9. zatr.umową,etaty środow'!C535</f>
        <v>17</v>
      </c>
      <c r="I30" s="613">
        <f t="shared" si="3"/>
        <v>6.9</v>
      </c>
      <c r="J30" s="604">
        <f>'Tab.9. zatr.umową,etaty środow'!C536</f>
        <v>22</v>
      </c>
      <c r="K30" s="613">
        <f t="shared" si="4"/>
        <v>8.9</v>
      </c>
      <c r="L30" s="623">
        <f>'Tab.9. zatr.umową,etaty środow'!C537</f>
        <v>31</v>
      </c>
      <c r="M30" s="619">
        <f t="shared" si="5"/>
        <v>12.5</v>
      </c>
    </row>
    <row r="31" spans="1:13" ht="16.5" thickBot="1" x14ac:dyDescent="0.3">
      <c r="A31" s="445" t="s">
        <v>252</v>
      </c>
      <c r="B31" s="446"/>
      <c r="C31" s="544">
        <f>SUM(C15:C30)</f>
        <v>6543</v>
      </c>
      <c r="D31" s="545">
        <f>SUM(D15:D30)</f>
        <v>641</v>
      </c>
      <c r="E31" s="614">
        <f>AVERAGE(E15:E30)</f>
        <v>9.7875000000000014</v>
      </c>
      <c r="F31" s="546">
        <f>SUM(F15:F30)</f>
        <v>3827</v>
      </c>
      <c r="G31" s="614">
        <f>AVERAGE(G15:G30)</f>
        <v>58.043750000000003</v>
      </c>
      <c r="H31" s="594">
        <f>SUM(H15:H30)</f>
        <v>624</v>
      </c>
      <c r="I31" s="616">
        <f>AVERAGE(I15:I30)</f>
        <v>9.8812499999999996</v>
      </c>
      <c r="J31" s="595">
        <f>SUM(J15:J30)</f>
        <v>688</v>
      </c>
      <c r="K31" s="616">
        <f>AVERAGE(K15:K30)</f>
        <v>10.2875</v>
      </c>
      <c r="L31" s="624">
        <f>SUM(L15:L30)</f>
        <v>763</v>
      </c>
      <c r="M31" s="620">
        <f>AVERAGE(M15:M30)</f>
        <v>12.025</v>
      </c>
    </row>
    <row r="32" spans="1:13" ht="13.5" thickTop="1" x14ac:dyDescent="0.2"/>
  </sheetData>
  <mergeCells count="13">
    <mergeCell ref="F11:G12"/>
    <mergeCell ref="H11:I12"/>
    <mergeCell ref="D10:M10"/>
    <mergeCell ref="J11:K12"/>
    <mergeCell ref="L11:M12"/>
    <mergeCell ref="A10:A13"/>
    <mergeCell ref="L1:M1"/>
    <mergeCell ref="C10:C13"/>
    <mergeCell ref="B10:B13"/>
    <mergeCell ref="A6:M6"/>
    <mergeCell ref="A7:M7"/>
    <mergeCell ref="A8:M8"/>
    <mergeCell ref="D11:E12"/>
  </mergeCells>
  <phoneticPr fontId="82" type="noConversion"/>
  <printOptions horizontalCentered="1" verticalCentered="1"/>
  <pageMargins left="0.19685039370078741" right="0.49" top="0.98425196850393704" bottom="0.98425196850393704" header="0.51181102362204722" footer="0.51181102362204722"/>
  <pageSetup paperSize="9" scale="99" orientation="landscape" r:id="rId1"/>
  <headerFooter alignWithMargins="0"/>
  <ignoredErrors>
    <ignoredError sqref="F31:L31 E31 L15:L30 J15:J30 F15:F30 H15: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187"/>
  <sheetViews>
    <sheetView zoomScale="90" workbookViewId="0">
      <selection activeCell="D14" sqref="D14"/>
    </sheetView>
  </sheetViews>
  <sheetFormatPr defaultRowHeight="12.75" x14ac:dyDescent="0.2"/>
  <cols>
    <col min="1" max="1" width="3.7109375" customWidth="1"/>
    <col min="2" max="2" width="25.7109375" customWidth="1"/>
    <col min="3" max="14" width="13.7109375" customWidth="1"/>
    <col min="15" max="15" width="3.140625" customWidth="1"/>
    <col min="16" max="16" width="25.7109375" customWidth="1"/>
    <col min="17" max="28" width="13.7109375" customWidth="1"/>
    <col min="29" max="29" width="3.7109375" customWidth="1"/>
    <col min="30" max="30" width="25.140625" customWidth="1"/>
    <col min="31" max="42" width="13.7109375" customWidth="1"/>
    <col min="43" max="43" width="3.7109375" customWidth="1"/>
    <col min="44" max="44" width="25.28515625" customWidth="1"/>
    <col min="45" max="56" width="13.7109375" customWidth="1"/>
    <col min="57" max="57" width="3.7109375" customWidth="1"/>
    <col min="58" max="58" width="25.28515625" customWidth="1"/>
    <col min="59" max="70" width="13.7109375" customWidth="1"/>
    <col min="71" max="71" width="3.7109375" customWidth="1"/>
    <col min="72" max="72" width="25.28515625" customWidth="1"/>
    <col min="73" max="84" width="13.7109375" customWidth="1"/>
    <col min="85" max="85" width="3.7109375" customWidth="1"/>
    <col min="86" max="86" width="25.28515625" customWidth="1"/>
    <col min="87" max="98" width="13.7109375" customWidth="1"/>
    <col min="99" max="99" width="3.7109375" customWidth="1"/>
    <col min="100" max="100" width="25.7109375" customWidth="1"/>
    <col min="101" max="112" width="13.7109375" customWidth="1"/>
    <col min="113" max="113" width="3.7109375" customWidth="1"/>
    <col min="114" max="114" width="25.7109375" customWidth="1"/>
    <col min="115" max="126" width="13.7109375" customWidth="1"/>
    <col min="127" max="127" width="3.7109375" customWidth="1"/>
    <col min="128" max="128" width="25.7109375" customWidth="1"/>
    <col min="129" max="140" width="13.7109375" customWidth="1"/>
    <col min="141" max="141" width="3.7109375" customWidth="1"/>
    <col min="142" max="142" width="25.7109375" customWidth="1"/>
    <col min="143" max="154" width="13.7109375" customWidth="1"/>
  </cols>
  <sheetData>
    <row r="1" spans="1:154" ht="15.75" x14ac:dyDescent="0.25">
      <c r="A1" s="1" t="s">
        <v>195</v>
      </c>
      <c r="B1" s="862"/>
      <c r="C1" s="863"/>
      <c r="D1" s="863"/>
      <c r="E1" s="862"/>
      <c r="F1" s="862"/>
      <c r="G1" s="864"/>
      <c r="H1" s="864"/>
      <c r="I1" s="864"/>
      <c r="J1" s="864"/>
      <c r="K1" s="864"/>
      <c r="L1" s="864"/>
      <c r="M1" s="1689" t="s">
        <v>253</v>
      </c>
      <c r="N1" s="1603"/>
      <c r="O1" s="1" t="s">
        <v>195</v>
      </c>
      <c r="P1" s="3"/>
      <c r="Q1" s="4"/>
      <c r="R1" s="4"/>
      <c r="S1" s="3"/>
      <c r="T1" s="3"/>
      <c r="U1" s="413"/>
      <c r="V1" s="413"/>
      <c r="W1" s="413"/>
      <c r="X1" s="413"/>
      <c r="Y1" s="413"/>
      <c r="Z1" s="413"/>
      <c r="AA1" s="1689" t="s">
        <v>414</v>
      </c>
      <c r="AB1" s="1603"/>
      <c r="AC1" s="1" t="s">
        <v>195</v>
      </c>
      <c r="AD1" s="3"/>
      <c r="AE1" s="4"/>
      <c r="AF1" s="4"/>
      <c r="AG1" s="3"/>
      <c r="AH1" s="3"/>
      <c r="AI1" s="413"/>
      <c r="AJ1" s="413"/>
      <c r="AK1" s="413"/>
      <c r="AL1" s="413"/>
      <c r="AM1" s="413"/>
      <c r="AN1" s="413"/>
      <c r="AO1" s="1689" t="s">
        <v>415</v>
      </c>
      <c r="AP1" s="1603"/>
      <c r="AQ1" s="1" t="s">
        <v>195</v>
      </c>
      <c r="AR1" s="3"/>
      <c r="AS1" s="4"/>
      <c r="AT1" s="4"/>
      <c r="AU1" s="3"/>
      <c r="AV1" s="3"/>
      <c r="AW1" s="413"/>
      <c r="AX1" s="413"/>
      <c r="AY1" s="413"/>
      <c r="AZ1" s="413"/>
      <c r="BA1" s="413"/>
      <c r="BB1" s="413"/>
      <c r="BC1" s="1689" t="s">
        <v>416</v>
      </c>
      <c r="BD1" s="1603"/>
      <c r="BE1" s="1" t="s">
        <v>195</v>
      </c>
      <c r="BF1" s="3"/>
      <c r="BG1" s="4"/>
      <c r="BH1" s="4"/>
      <c r="BI1" s="3"/>
      <c r="BJ1" s="3"/>
      <c r="BK1" s="413"/>
      <c r="BL1" s="413"/>
      <c r="BM1" s="413"/>
      <c r="BN1" s="413"/>
      <c r="BO1" s="413"/>
      <c r="BP1" s="413"/>
      <c r="BQ1" s="1689" t="s">
        <v>417</v>
      </c>
      <c r="BR1" s="1603"/>
      <c r="BS1" s="1" t="s">
        <v>195</v>
      </c>
      <c r="BT1" s="3"/>
      <c r="BU1" s="4"/>
      <c r="BV1" s="4"/>
      <c r="BW1" s="3"/>
      <c r="BX1" s="3"/>
      <c r="BY1" s="413"/>
      <c r="BZ1" s="413"/>
      <c r="CA1" s="413"/>
      <c r="CB1" s="413"/>
      <c r="CC1" s="413"/>
      <c r="CD1" s="413"/>
      <c r="CE1" s="1689" t="s">
        <v>418</v>
      </c>
      <c r="CF1" s="1603"/>
      <c r="CG1" s="1" t="s">
        <v>195</v>
      </c>
      <c r="CH1" s="3"/>
      <c r="CI1" s="4"/>
      <c r="CJ1" s="4"/>
      <c r="CK1" s="3"/>
      <c r="CL1" s="3"/>
      <c r="CM1" s="413"/>
      <c r="CN1" s="413"/>
      <c r="CO1" s="413"/>
      <c r="CP1" s="413"/>
      <c r="CQ1" s="413"/>
      <c r="CR1" s="413"/>
      <c r="CS1" s="1689" t="s">
        <v>419</v>
      </c>
      <c r="CT1" s="1603"/>
      <c r="CU1" s="1" t="s">
        <v>195</v>
      </c>
      <c r="CV1" s="3"/>
      <c r="CW1" s="4"/>
      <c r="CX1" s="4"/>
      <c r="CY1" s="3"/>
      <c r="CZ1" s="3"/>
      <c r="DA1" s="413"/>
      <c r="DB1" s="413"/>
      <c r="DC1" s="413"/>
      <c r="DD1" s="413"/>
      <c r="DE1" s="413"/>
      <c r="DF1" s="413"/>
      <c r="DG1" s="1689" t="s">
        <v>443</v>
      </c>
      <c r="DH1" s="1603"/>
      <c r="DI1" s="1" t="s">
        <v>195</v>
      </c>
      <c r="DJ1" s="3"/>
      <c r="DK1" s="4"/>
      <c r="DL1" s="4"/>
      <c r="DM1" s="3"/>
      <c r="DN1" s="3"/>
      <c r="DO1" s="413"/>
      <c r="DP1" s="413"/>
      <c r="DQ1" s="413"/>
      <c r="DR1" s="413"/>
      <c r="DS1" s="413"/>
      <c r="DT1" s="413"/>
      <c r="DU1" s="1689" t="s">
        <v>444</v>
      </c>
      <c r="DV1" s="1603"/>
      <c r="DW1" s="1" t="s">
        <v>195</v>
      </c>
      <c r="DX1" s="3"/>
      <c r="DY1" s="4"/>
      <c r="DZ1" s="4"/>
      <c r="EA1" s="3"/>
      <c r="EB1" s="3"/>
      <c r="EC1" s="413"/>
      <c r="ED1" s="413"/>
      <c r="EE1" s="413"/>
      <c r="EF1" s="413"/>
      <c r="EG1" s="413"/>
      <c r="EH1" s="413"/>
      <c r="EI1" s="1689" t="s">
        <v>445</v>
      </c>
      <c r="EJ1" s="1603"/>
      <c r="EK1" s="1" t="s">
        <v>195</v>
      </c>
      <c r="EL1" s="3"/>
      <c r="EM1" s="4"/>
      <c r="EN1" s="4"/>
      <c r="EO1" s="3"/>
      <c r="EP1" s="3"/>
      <c r="EQ1" s="413"/>
      <c r="ER1" s="413"/>
      <c r="ES1" s="413"/>
      <c r="ET1" s="413"/>
      <c r="EU1" s="413"/>
      <c r="EV1" s="413"/>
      <c r="EW1" s="1689" t="s">
        <v>446</v>
      </c>
      <c r="EX1" s="1603"/>
    </row>
    <row r="2" spans="1:154" x14ac:dyDescent="0.2">
      <c r="A2" s="3" t="s">
        <v>214</v>
      </c>
      <c r="B2" s="862"/>
      <c r="C2" s="862"/>
      <c r="D2" s="862"/>
      <c r="E2" s="865"/>
      <c r="F2" s="865"/>
      <c r="G2" s="865"/>
      <c r="H2" s="865"/>
      <c r="I2" s="865"/>
      <c r="J2" s="865"/>
      <c r="K2" s="865"/>
      <c r="L2" s="865"/>
      <c r="M2" s="865"/>
      <c r="N2" s="865"/>
      <c r="O2" s="3" t="s">
        <v>214</v>
      </c>
      <c r="P2" s="3"/>
      <c r="Q2" s="3"/>
      <c r="R2" s="3"/>
      <c r="S2" s="3"/>
      <c r="AC2" s="3" t="s">
        <v>214</v>
      </c>
      <c r="AD2" s="3"/>
      <c r="AE2" s="3"/>
      <c r="AF2" s="3"/>
      <c r="AQ2" s="3" t="s">
        <v>214</v>
      </c>
      <c r="AR2" s="3"/>
      <c r="AS2" s="3"/>
      <c r="AT2" s="3"/>
      <c r="BE2" s="3" t="s">
        <v>214</v>
      </c>
      <c r="BF2" s="3"/>
      <c r="BG2" s="3"/>
      <c r="BH2" s="3"/>
      <c r="BS2" s="3" t="s">
        <v>214</v>
      </c>
      <c r="BT2" s="3"/>
      <c r="BU2" s="3"/>
      <c r="BV2" s="3"/>
      <c r="CG2" s="3" t="s">
        <v>214</v>
      </c>
      <c r="CH2" s="3"/>
      <c r="CI2" s="3"/>
      <c r="CJ2" s="3"/>
      <c r="CU2" s="3" t="s">
        <v>214</v>
      </c>
      <c r="CV2" s="3"/>
      <c r="CW2" s="3"/>
      <c r="CX2" s="3"/>
      <c r="CY2" s="9"/>
      <c r="CZ2" s="9"/>
      <c r="DA2" s="9"/>
      <c r="DB2" s="9"/>
      <c r="DC2" s="9"/>
      <c r="DD2" s="9"/>
      <c r="DE2" s="9"/>
      <c r="DF2" s="9"/>
      <c r="DG2" s="9"/>
      <c r="DH2" s="9"/>
      <c r="DI2" s="3" t="s">
        <v>214</v>
      </c>
      <c r="DJ2" s="3"/>
      <c r="DK2" s="3"/>
      <c r="DL2" s="3"/>
      <c r="DM2" s="9"/>
      <c r="DN2" s="9"/>
      <c r="DO2" s="9"/>
      <c r="DP2" s="9"/>
      <c r="DQ2" s="9"/>
      <c r="DR2" s="9"/>
      <c r="DS2" s="9"/>
      <c r="DT2" s="9"/>
      <c r="DU2" s="9"/>
      <c r="DV2" s="9"/>
      <c r="DW2" s="3" t="s">
        <v>214</v>
      </c>
      <c r="DX2" s="3"/>
      <c r="DY2" s="3"/>
      <c r="DZ2" s="3"/>
      <c r="EA2" s="9"/>
      <c r="EB2" s="9"/>
      <c r="EC2" s="9"/>
      <c r="ED2" s="9"/>
      <c r="EE2" s="9"/>
      <c r="EF2" s="9"/>
      <c r="EG2" s="9"/>
      <c r="EH2" s="9"/>
      <c r="EI2" s="9"/>
      <c r="EJ2" s="9"/>
      <c r="EK2" s="3" t="s">
        <v>214</v>
      </c>
      <c r="EL2" s="3"/>
      <c r="EM2" s="3"/>
      <c r="EN2" s="3"/>
      <c r="EO2" s="9"/>
      <c r="EP2" s="9"/>
      <c r="EQ2" s="9"/>
      <c r="ER2" s="9"/>
      <c r="ES2" s="9"/>
      <c r="ET2" s="9"/>
      <c r="EU2" s="9"/>
      <c r="EV2" s="9"/>
      <c r="EW2" s="9"/>
      <c r="EX2" s="9"/>
    </row>
    <row r="3" spans="1:154" x14ac:dyDescent="0.2">
      <c r="A3" s="3" t="s">
        <v>216</v>
      </c>
      <c r="B3" s="862"/>
      <c r="C3" s="862"/>
      <c r="D3" s="862"/>
      <c r="E3" s="862"/>
      <c r="F3" s="862"/>
      <c r="G3" s="862"/>
      <c r="H3" s="862"/>
      <c r="I3" s="862"/>
      <c r="J3" s="862"/>
      <c r="K3" s="862"/>
      <c r="L3" s="862"/>
      <c r="M3" s="862"/>
      <c r="N3" s="862"/>
      <c r="O3" s="3" t="s">
        <v>216</v>
      </c>
      <c r="P3" s="3"/>
      <c r="Q3" s="3"/>
      <c r="R3" s="3"/>
      <c r="S3" s="3"/>
      <c r="T3" s="3"/>
      <c r="U3" s="3"/>
      <c r="V3" s="3"/>
      <c r="W3" s="3"/>
      <c r="X3" s="3"/>
      <c r="Y3" s="3"/>
      <c r="Z3" s="3"/>
      <c r="AA3" s="3"/>
      <c r="AB3" s="3"/>
      <c r="AC3" s="3" t="s">
        <v>216</v>
      </c>
      <c r="AD3" s="3"/>
      <c r="AE3" s="3"/>
      <c r="AF3" s="3"/>
      <c r="AG3" s="3"/>
      <c r="AH3" s="3"/>
      <c r="AI3" s="3"/>
      <c r="AJ3" s="3"/>
      <c r="AK3" s="3"/>
      <c r="AL3" s="3"/>
      <c r="AM3" s="3"/>
      <c r="AN3" s="3"/>
      <c r="AO3" s="3"/>
      <c r="AP3" s="3"/>
      <c r="AQ3" s="3" t="s">
        <v>216</v>
      </c>
      <c r="AR3" s="3"/>
      <c r="AS3" s="3"/>
      <c r="AT3" s="3"/>
      <c r="AU3" s="3"/>
      <c r="AV3" s="3"/>
      <c r="AW3" s="3"/>
      <c r="AX3" s="3"/>
      <c r="AY3" s="3"/>
      <c r="AZ3" s="3"/>
      <c r="BA3" s="3"/>
      <c r="BB3" s="3"/>
      <c r="BC3" s="3"/>
      <c r="BD3" s="3"/>
      <c r="BE3" s="3" t="s">
        <v>216</v>
      </c>
      <c r="BF3" s="3"/>
      <c r="BG3" s="3"/>
      <c r="BH3" s="3"/>
      <c r="BI3" s="3"/>
      <c r="BJ3" s="3"/>
      <c r="BK3" s="3"/>
      <c r="BL3" s="3"/>
      <c r="BM3" s="3"/>
      <c r="BN3" s="3"/>
      <c r="BO3" s="3"/>
      <c r="BP3" s="3"/>
      <c r="BQ3" s="3"/>
      <c r="BR3" s="3"/>
      <c r="BS3" s="3" t="s">
        <v>216</v>
      </c>
      <c r="BT3" s="3"/>
      <c r="BU3" s="3"/>
      <c r="BV3" s="3"/>
      <c r="BW3" s="3"/>
      <c r="BX3" s="3"/>
      <c r="BY3" s="3"/>
      <c r="BZ3" s="3"/>
      <c r="CA3" s="3"/>
      <c r="CB3" s="3"/>
      <c r="CC3" s="3"/>
      <c r="CD3" s="3"/>
      <c r="CE3" s="3"/>
      <c r="CF3" s="3"/>
      <c r="CG3" s="3" t="s">
        <v>216</v>
      </c>
      <c r="CH3" s="3"/>
      <c r="CI3" s="3"/>
      <c r="CJ3" s="3"/>
      <c r="CK3" s="3"/>
      <c r="CL3" s="3"/>
      <c r="CM3" s="3"/>
      <c r="CN3" s="3"/>
      <c r="CO3" s="3"/>
      <c r="CP3" s="3"/>
      <c r="CQ3" s="3"/>
      <c r="CR3" s="3"/>
      <c r="CS3" s="3"/>
      <c r="CT3" s="3"/>
      <c r="CU3" s="3" t="s">
        <v>216</v>
      </c>
      <c r="CV3" s="3"/>
      <c r="CW3" s="3"/>
      <c r="CX3" s="3"/>
      <c r="CY3" s="3"/>
      <c r="CZ3" s="3"/>
      <c r="DA3" s="3"/>
      <c r="DB3" s="3"/>
      <c r="DC3" s="3"/>
      <c r="DD3" s="3"/>
      <c r="DE3" s="3"/>
      <c r="DF3" s="3"/>
      <c r="DG3" s="3"/>
      <c r="DH3" s="3"/>
      <c r="DI3" s="3" t="s">
        <v>216</v>
      </c>
      <c r="DJ3" s="3"/>
      <c r="DK3" s="3"/>
      <c r="DL3" s="3"/>
      <c r="DM3" s="3"/>
      <c r="DN3" s="3"/>
      <c r="DO3" s="3"/>
      <c r="DP3" s="3"/>
      <c r="DQ3" s="3"/>
      <c r="DR3" s="3"/>
      <c r="DS3" s="3"/>
      <c r="DT3" s="3"/>
      <c r="DU3" s="3"/>
      <c r="DV3" s="3"/>
      <c r="DW3" s="3" t="s">
        <v>216</v>
      </c>
      <c r="DX3" s="3"/>
      <c r="DY3" s="3"/>
      <c r="DZ3" s="3"/>
      <c r="EA3" s="3"/>
      <c r="EB3" s="3"/>
      <c r="EC3" s="3"/>
      <c r="ED3" s="3"/>
      <c r="EE3" s="3"/>
      <c r="EF3" s="3"/>
      <c r="EG3" s="3"/>
      <c r="EH3" s="3"/>
      <c r="EI3" s="3"/>
      <c r="EJ3" s="3"/>
      <c r="EK3" s="3" t="s">
        <v>216</v>
      </c>
      <c r="EL3" s="3"/>
      <c r="EM3" s="3"/>
      <c r="EN3" s="3"/>
      <c r="EO3" s="3"/>
      <c r="EP3" s="3"/>
      <c r="EQ3" s="3"/>
      <c r="ER3" s="3"/>
      <c r="ES3" s="3"/>
      <c r="ET3" s="3"/>
      <c r="EU3" s="3"/>
      <c r="EV3" s="3"/>
      <c r="EW3" s="3"/>
      <c r="EX3" s="3"/>
    </row>
    <row r="4" spans="1:154" x14ac:dyDescent="0.2">
      <c r="A4" s="3" t="s">
        <v>128</v>
      </c>
      <c r="B4" s="862"/>
      <c r="C4" s="862"/>
      <c r="D4" s="862"/>
      <c r="E4" s="862"/>
      <c r="F4" s="862"/>
      <c r="G4" s="862"/>
      <c r="H4" s="862"/>
      <c r="I4" s="862"/>
      <c r="J4" s="862"/>
      <c r="K4" s="862"/>
      <c r="L4" s="862"/>
      <c r="M4" s="862"/>
      <c r="N4" s="862"/>
      <c r="O4" s="3" t="s">
        <v>128</v>
      </c>
      <c r="P4" s="3"/>
      <c r="Q4" s="3"/>
      <c r="R4" s="3"/>
      <c r="S4" s="3"/>
      <c r="T4" s="3"/>
      <c r="U4" s="3"/>
      <c r="V4" s="3"/>
      <c r="W4" s="3"/>
      <c r="X4" s="3"/>
      <c r="Y4" s="3"/>
      <c r="Z4" s="3"/>
      <c r="AA4" s="3"/>
      <c r="AB4" s="3"/>
      <c r="AC4" s="3" t="s">
        <v>128</v>
      </c>
      <c r="AD4" s="3"/>
      <c r="AE4" s="3"/>
      <c r="AF4" s="3"/>
      <c r="AG4" s="3"/>
      <c r="AH4" s="3"/>
      <c r="AI4" s="3"/>
      <c r="AJ4" s="3"/>
      <c r="AK4" s="3"/>
      <c r="AL4" s="3"/>
      <c r="AM4" s="3"/>
      <c r="AN4" s="3"/>
      <c r="AO4" s="3"/>
      <c r="AP4" s="3"/>
      <c r="AQ4" s="3" t="s">
        <v>128</v>
      </c>
      <c r="AR4" s="3"/>
      <c r="AS4" s="3"/>
      <c r="AT4" s="3"/>
      <c r="AU4" s="3"/>
      <c r="AV4" s="3"/>
      <c r="AW4" s="3"/>
      <c r="AX4" s="3"/>
      <c r="AY4" s="3"/>
      <c r="AZ4" s="3"/>
      <c r="BA4" s="3"/>
      <c r="BB4" s="3"/>
      <c r="BC4" s="3"/>
      <c r="BD4" s="3"/>
      <c r="BE4" s="3" t="s">
        <v>128</v>
      </c>
      <c r="BF4" s="3"/>
      <c r="BG4" s="3"/>
      <c r="BH4" s="3"/>
      <c r="BI4" s="3"/>
      <c r="BJ4" s="3"/>
      <c r="BK4" s="3"/>
      <c r="BL4" s="3"/>
      <c r="BM4" s="3"/>
      <c r="BN4" s="3"/>
      <c r="BO4" s="3"/>
      <c r="BP4" s="3"/>
      <c r="BQ4" s="3"/>
      <c r="BR4" s="3"/>
      <c r="BS4" s="3" t="s">
        <v>128</v>
      </c>
      <c r="BT4" s="3"/>
      <c r="BU4" s="3"/>
      <c r="BV4" s="3"/>
      <c r="BW4" s="3"/>
      <c r="BX4" s="3"/>
      <c r="BY4" s="3"/>
      <c r="BZ4" s="3"/>
      <c r="CA4" s="3"/>
      <c r="CB4" s="3"/>
      <c r="CC4" s="3"/>
      <c r="CD4" s="3"/>
      <c r="CE4" s="3"/>
      <c r="CF4" s="3"/>
      <c r="CG4" s="3" t="s">
        <v>128</v>
      </c>
      <c r="CH4" s="3"/>
      <c r="CI4" s="3"/>
      <c r="CJ4" s="3"/>
      <c r="CK4" s="3"/>
      <c r="CL4" s="3"/>
      <c r="CM4" s="3"/>
      <c r="CN4" s="3"/>
      <c r="CO4" s="3"/>
      <c r="CP4" s="3"/>
      <c r="CQ4" s="3"/>
      <c r="CR4" s="3"/>
      <c r="CS4" s="3"/>
      <c r="CT4" s="3"/>
      <c r="CU4" s="3" t="s">
        <v>128</v>
      </c>
      <c r="CV4" s="3"/>
      <c r="CW4" s="3"/>
      <c r="CX4" s="3"/>
      <c r="CY4" s="3"/>
      <c r="CZ4" s="3"/>
      <c r="DA4" s="3"/>
      <c r="DB4" s="3"/>
      <c r="DC4" s="3"/>
      <c r="DD4" s="3"/>
      <c r="DE4" s="3"/>
      <c r="DF4" s="3"/>
      <c r="DG4" s="3"/>
      <c r="DH4" s="3"/>
      <c r="DI4" s="3" t="s">
        <v>128</v>
      </c>
      <c r="DJ4" s="3"/>
      <c r="DK4" s="3"/>
      <c r="DL4" s="3"/>
      <c r="DM4" s="3"/>
      <c r="DN4" s="3"/>
      <c r="DO4" s="3"/>
      <c r="DP4" s="3"/>
      <c r="DQ4" s="3"/>
      <c r="DR4" s="3"/>
      <c r="DS4" s="3"/>
      <c r="DT4" s="3"/>
      <c r="DU4" s="3"/>
      <c r="DV4" s="3"/>
      <c r="DW4" s="3" t="s">
        <v>128</v>
      </c>
      <c r="DX4" s="3"/>
      <c r="DY4" s="3"/>
      <c r="DZ4" s="3"/>
      <c r="EA4" s="3"/>
      <c r="EB4" s="3"/>
      <c r="EC4" s="3"/>
      <c r="ED4" s="3"/>
      <c r="EE4" s="3"/>
      <c r="EF4" s="3"/>
      <c r="EG4" s="3"/>
      <c r="EH4" s="3"/>
      <c r="EI4" s="3"/>
      <c r="EJ4" s="3"/>
      <c r="EK4" s="3" t="s">
        <v>128</v>
      </c>
      <c r="EL4" s="3"/>
      <c r="EM4" s="3"/>
      <c r="EN4" s="3"/>
      <c r="EO4" s="3"/>
      <c r="EP4" s="3"/>
      <c r="EQ4" s="3"/>
      <c r="ER4" s="3"/>
      <c r="ES4" s="3"/>
      <c r="ET4" s="3"/>
      <c r="EU4" s="3"/>
      <c r="EV4" s="3"/>
      <c r="EW4" s="3"/>
      <c r="EX4" s="3"/>
    </row>
    <row r="5" spans="1:154" ht="15.75" x14ac:dyDescent="0.2">
      <c r="A5" s="862"/>
      <c r="B5" s="862"/>
      <c r="C5" s="862"/>
      <c r="D5" s="862"/>
      <c r="E5" s="862"/>
      <c r="F5" s="862"/>
      <c r="G5" s="862"/>
      <c r="H5" s="862"/>
      <c r="I5" s="862"/>
      <c r="J5" s="862"/>
      <c r="K5" s="862"/>
      <c r="L5" s="862"/>
      <c r="M5" s="862"/>
      <c r="N5" s="862"/>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1718" t="s">
        <v>448</v>
      </c>
      <c r="CV5" s="1718"/>
      <c r="CW5" s="1718"/>
      <c r="CX5" s="1718"/>
      <c r="CY5" s="1718"/>
      <c r="CZ5" s="1718"/>
      <c r="DA5" s="1718"/>
      <c r="DB5" s="1718"/>
      <c r="DC5" s="1718"/>
      <c r="DD5" s="1718"/>
      <c r="DE5" s="1718"/>
      <c r="DF5" s="1718"/>
      <c r="DG5" s="1718"/>
      <c r="DH5" s="1718"/>
      <c r="DI5" s="1718" t="s">
        <v>448</v>
      </c>
      <c r="DJ5" s="1718"/>
      <c r="DK5" s="1718"/>
      <c r="DL5" s="1718"/>
      <c r="DM5" s="1718"/>
      <c r="DN5" s="1718"/>
      <c r="DO5" s="1718"/>
      <c r="DP5" s="1718"/>
      <c r="DQ5" s="1718"/>
      <c r="DR5" s="1718"/>
      <c r="DS5" s="1718"/>
      <c r="DT5" s="1718"/>
      <c r="DU5" s="1718"/>
      <c r="DV5" s="1718"/>
      <c r="DW5" s="1718" t="s">
        <v>448</v>
      </c>
      <c r="DX5" s="1718"/>
      <c r="DY5" s="1718"/>
      <c r="DZ5" s="1718"/>
      <c r="EA5" s="1718"/>
      <c r="EB5" s="1718"/>
      <c r="EC5" s="1718"/>
      <c r="ED5" s="1718"/>
      <c r="EE5" s="1718"/>
      <c r="EF5" s="1718"/>
      <c r="EG5" s="1718"/>
      <c r="EH5" s="1718"/>
      <c r="EI5" s="1718"/>
      <c r="EJ5" s="1718"/>
      <c r="EK5" s="1718" t="s">
        <v>448</v>
      </c>
      <c r="EL5" s="1718"/>
      <c r="EM5" s="1718"/>
      <c r="EN5" s="1718"/>
      <c r="EO5" s="1718"/>
      <c r="EP5" s="1718"/>
      <c r="EQ5" s="1718"/>
      <c r="ER5" s="1718"/>
      <c r="ES5" s="1718"/>
      <c r="ET5" s="1718"/>
      <c r="EU5" s="1718"/>
      <c r="EV5" s="1718"/>
      <c r="EW5" s="1718"/>
      <c r="EX5" s="1718"/>
    </row>
    <row r="6" spans="1:154" ht="15.75" x14ac:dyDescent="0.25">
      <c r="A6" s="1604" t="s">
        <v>223</v>
      </c>
      <c r="B6" s="1604"/>
      <c r="C6" s="1604"/>
      <c r="D6" s="1604"/>
      <c r="E6" s="1604"/>
      <c r="F6" s="1604"/>
      <c r="G6" s="1604"/>
      <c r="H6" s="1604"/>
      <c r="I6" s="1604"/>
      <c r="J6" s="1604"/>
      <c r="K6" s="1604"/>
      <c r="L6" s="1604"/>
      <c r="M6" s="1604"/>
      <c r="N6" s="1604"/>
      <c r="O6" s="1604" t="s">
        <v>217</v>
      </c>
      <c r="P6" s="1604"/>
      <c r="Q6" s="1604"/>
      <c r="R6" s="1604"/>
      <c r="S6" s="1604"/>
      <c r="T6" s="1604"/>
      <c r="U6" s="1604"/>
      <c r="V6" s="1604"/>
      <c r="W6" s="1604"/>
      <c r="X6" s="1604"/>
      <c r="Y6" s="1604"/>
      <c r="Z6" s="1604"/>
      <c r="AA6" s="1604"/>
      <c r="AB6" s="1604"/>
      <c r="AC6" s="1604" t="s">
        <v>218</v>
      </c>
      <c r="AD6" s="1604"/>
      <c r="AE6" s="1604"/>
      <c r="AF6" s="1604"/>
      <c r="AG6" s="1604"/>
      <c r="AH6" s="1604"/>
      <c r="AI6" s="1604"/>
      <c r="AJ6" s="1604"/>
      <c r="AK6" s="1604"/>
      <c r="AL6" s="1604"/>
      <c r="AM6" s="1604"/>
      <c r="AN6" s="1604"/>
      <c r="AO6" s="1604"/>
      <c r="AP6" s="1604"/>
      <c r="AQ6" s="1604" t="s">
        <v>219</v>
      </c>
      <c r="AR6" s="1604"/>
      <c r="AS6" s="1604"/>
      <c r="AT6" s="1604"/>
      <c r="AU6" s="1604"/>
      <c r="AV6" s="1604"/>
      <c r="AW6" s="1604"/>
      <c r="AX6" s="1604"/>
      <c r="AY6" s="1604"/>
      <c r="AZ6" s="1604"/>
      <c r="BA6" s="1604"/>
      <c r="BB6" s="1604"/>
      <c r="BC6" s="1604"/>
      <c r="BD6" s="1604"/>
      <c r="BE6" s="1604" t="s">
        <v>220</v>
      </c>
      <c r="BF6" s="1604"/>
      <c r="BG6" s="1604"/>
      <c r="BH6" s="1604"/>
      <c r="BI6" s="1604"/>
      <c r="BJ6" s="1604"/>
      <c r="BK6" s="1604"/>
      <c r="BL6" s="1604"/>
      <c r="BM6" s="1604"/>
      <c r="BN6" s="1604"/>
      <c r="BO6" s="1604"/>
      <c r="BP6" s="1604"/>
      <c r="BQ6" s="1604"/>
      <c r="BR6" s="1604"/>
      <c r="BS6" s="1604" t="s">
        <v>221</v>
      </c>
      <c r="BT6" s="1604"/>
      <c r="BU6" s="1604"/>
      <c r="BV6" s="1604"/>
      <c r="BW6" s="1604"/>
      <c r="BX6" s="1604"/>
      <c r="BY6" s="1604"/>
      <c r="BZ6" s="1604"/>
      <c r="CA6" s="1604"/>
      <c r="CB6" s="1604"/>
      <c r="CC6" s="1604"/>
      <c r="CD6" s="1604"/>
      <c r="CE6" s="1604"/>
      <c r="CF6" s="1604"/>
      <c r="CG6" s="1604" t="s">
        <v>222</v>
      </c>
      <c r="CH6" s="1604"/>
      <c r="CI6" s="1604"/>
      <c r="CJ6" s="1604"/>
      <c r="CK6" s="1604"/>
      <c r="CL6" s="1604"/>
      <c r="CM6" s="1604"/>
      <c r="CN6" s="1604"/>
      <c r="CO6" s="1604"/>
      <c r="CP6" s="1604"/>
      <c r="CQ6" s="1604"/>
      <c r="CR6" s="1604"/>
      <c r="CS6" s="1604"/>
      <c r="CT6" s="1604"/>
      <c r="CU6" s="1719" t="s">
        <v>449</v>
      </c>
      <c r="CV6" s="1719"/>
      <c r="CW6" s="1719"/>
      <c r="CX6" s="1719"/>
      <c r="CY6" s="1719"/>
      <c r="CZ6" s="1719"/>
      <c r="DA6" s="1719"/>
      <c r="DB6" s="1719"/>
      <c r="DC6" s="1719"/>
      <c r="DD6" s="1719"/>
      <c r="DE6" s="1719"/>
      <c r="DF6" s="1719"/>
      <c r="DG6" s="1719"/>
      <c r="DH6" s="1719"/>
      <c r="DI6" s="1719" t="s">
        <v>450</v>
      </c>
      <c r="DJ6" s="1719"/>
      <c r="DK6" s="1719"/>
      <c r="DL6" s="1719"/>
      <c r="DM6" s="1719"/>
      <c r="DN6" s="1719"/>
      <c r="DO6" s="1719"/>
      <c r="DP6" s="1719"/>
      <c r="DQ6" s="1719"/>
      <c r="DR6" s="1719"/>
      <c r="DS6" s="1719"/>
      <c r="DT6" s="1719"/>
      <c r="DU6" s="1719"/>
      <c r="DV6" s="1719"/>
      <c r="DW6" s="1719" t="s">
        <v>451</v>
      </c>
      <c r="DX6" s="1719"/>
      <c r="DY6" s="1719"/>
      <c r="DZ6" s="1719"/>
      <c r="EA6" s="1719"/>
      <c r="EB6" s="1719"/>
      <c r="EC6" s="1719"/>
      <c r="ED6" s="1719"/>
      <c r="EE6" s="1719"/>
      <c r="EF6" s="1719"/>
      <c r="EG6" s="1719"/>
      <c r="EH6" s="1719"/>
      <c r="EI6" s="1719"/>
      <c r="EJ6" s="1719"/>
      <c r="EK6" s="1719" t="s">
        <v>452</v>
      </c>
      <c r="EL6" s="1719"/>
      <c r="EM6" s="1719"/>
      <c r="EN6" s="1719"/>
      <c r="EO6" s="1719"/>
      <c r="EP6" s="1719"/>
      <c r="EQ6" s="1719"/>
      <c r="ER6" s="1719"/>
      <c r="ES6" s="1719"/>
      <c r="ET6" s="1719"/>
      <c r="EU6" s="1719"/>
      <c r="EV6" s="1719"/>
      <c r="EW6" s="1719"/>
      <c r="EX6" s="1719"/>
    </row>
    <row r="7" spans="1:154" ht="15.75" x14ac:dyDescent="0.25">
      <c r="A7" s="1604" t="s">
        <v>224</v>
      </c>
      <c r="B7" s="1604"/>
      <c r="C7" s="1604"/>
      <c r="D7" s="1604"/>
      <c r="E7" s="1604"/>
      <c r="F7" s="1604"/>
      <c r="G7" s="1604"/>
      <c r="H7" s="1604"/>
      <c r="I7" s="1604"/>
      <c r="J7" s="1604"/>
      <c r="K7" s="1604"/>
      <c r="L7" s="1604"/>
      <c r="M7" s="1604"/>
      <c r="N7" s="1604"/>
      <c r="O7" s="1604" t="s">
        <v>224</v>
      </c>
      <c r="P7" s="1604"/>
      <c r="Q7" s="1604"/>
      <c r="R7" s="1604"/>
      <c r="S7" s="1604"/>
      <c r="T7" s="1604"/>
      <c r="U7" s="1604"/>
      <c r="V7" s="1604"/>
      <c r="W7" s="1604"/>
      <c r="X7" s="1604"/>
      <c r="Y7" s="1604"/>
      <c r="Z7" s="1604"/>
      <c r="AA7" s="1604"/>
      <c r="AB7" s="1604"/>
      <c r="AC7" s="1604" t="s">
        <v>224</v>
      </c>
      <c r="AD7" s="1604"/>
      <c r="AE7" s="1604"/>
      <c r="AF7" s="1604"/>
      <c r="AG7" s="1604"/>
      <c r="AH7" s="1604"/>
      <c r="AI7" s="1604"/>
      <c r="AJ7" s="1604"/>
      <c r="AK7" s="1604"/>
      <c r="AL7" s="1604"/>
      <c r="AM7" s="1604"/>
      <c r="AN7" s="1604"/>
      <c r="AO7" s="1604"/>
      <c r="AP7" s="1604"/>
      <c r="AQ7" s="1604" t="s">
        <v>224</v>
      </c>
      <c r="AR7" s="1604"/>
      <c r="AS7" s="1604"/>
      <c r="AT7" s="1604"/>
      <c r="AU7" s="1604"/>
      <c r="AV7" s="1604"/>
      <c r="AW7" s="1604"/>
      <c r="AX7" s="1604"/>
      <c r="AY7" s="1604"/>
      <c r="AZ7" s="1604"/>
      <c r="BA7" s="1604"/>
      <c r="BB7" s="1604"/>
      <c r="BC7" s="1604"/>
      <c r="BD7" s="1604"/>
      <c r="BE7" s="1604" t="s">
        <v>224</v>
      </c>
      <c r="BF7" s="1604"/>
      <c r="BG7" s="1604"/>
      <c r="BH7" s="1604"/>
      <c r="BI7" s="1604"/>
      <c r="BJ7" s="1604"/>
      <c r="BK7" s="1604"/>
      <c r="BL7" s="1604"/>
      <c r="BM7" s="1604"/>
      <c r="BN7" s="1604"/>
      <c r="BO7" s="1604"/>
      <c r="BP7" s="1604"/>
      <c r="BQ7" s="1604"/>
      <c r="BR7" s="1604"/>
      <c r="BS7" s="1604" t="s">
        <v>224</v>
      </c>
      <c r="BT7" s="1604"/>
      <c r="BU7" s="1604"/>
      <c r="BV7" s="1604"/>
      <c r="BW7" s="1604"/>
      <c r="BX7" s="1604"/>
      <c r="BY7" s="1604"/>
      <c r="BZ7" s="1604"/>
      <c r="CA7" s="1604"/>
      <c r="CB7" s="1604"/>
      <c r="CC7" s="1604"/>
      <c r="CD7" s="1604"/>
      <c r="CE7" s="1604"/>
      <c r="CF7" s="1604"/>
      <c r="CG7" s="1604" t="s">
        <v>224</v>
      </c>
      <c r="CH7" s="1604"/>
      <c r="CI7" s="1604"/>
      <c r="CJ7" s="1604"/>
      <c r="CK7" s="1604"/>
      <c r="CL7" s="1604"/>
      <c r="CM7" s="1604"/>
      <c r="CN7" s="1604"/>
      <c r="CO7" s="1604"/>
      <c r="CP7" s="1604"/>
      <c r="CQ7" s="1604"/>
      <c r="CR7" s="1604"/>
      <c r="CS7" s="1604"/>
      <c r="CT7" s="1604"/>
      <c r="CU7" s="1604" t="s">
        <v>224</v>
      </c>
      <c r="CV7" s="1604"/>
      <c r="CW7" s="1604"/>
      <c r="CX7" s="1604"/>
      <c r="CY7" s="1604"/>
      <c r="CZ7" s="1604"/>
      <c r="DA7" s="1604"/>
      <c r="DB7" s="1604"/>
      <c r="DC7" s="1604"/>
      <c r="DD7" s="1604"/>
      <c r="DE7" s="1604"/>
      <c r="DF7" s="1604"/>
      <c r="DG7" s="1604"/>
      <c r="DH7" s="1604"/>
      <c r="DI7" s="1604" t="s">
        <v>224</v>
      </c>
      <c r="DJ7" s="1604"/>
      <c r="DK7" s="1604"/>
      <c r="DL7" s="1604"/>
      <c r="DM7" s="1604"/>
      <c r="DN7" s="1604"/>
      <c r="DO7" s="1604"/>
      <c r="DP7" s="1604"/>
      <c r="DQ7" s="1604"/>
      <c r="DR7" s="1604"/>
      <c r="DS7" s="1604"/>
      <c r="DT7" s="1604"/>
      <c r="DU7" s="1604"/>
      <c r="DV7" s="1604"/>
      <c r="DW7" s="1604" t="s">
        <v>224</v>
      </c>
      <c r="DX7" s="1604"/>
      <c r="DY7" s="1604"/>
      <c r="DZ7" s="1604"/>
      <c r="EA7" s="1604"/>
      <c r="EB7" s="1604"/>
      <c r="EC7" s="1604"/>
      <c r="ED7" s="1604"/>
      <c r="EE7" s="1604"/>
      <c r="EF7" s="1604"/>
      <c r="EG7" s="1604"/>
      <c r="EH7" s="1604"/>
      <c r="EI7" s="1604"/>
      <c r="EJ7" s="1604"/>
      <c r="EK7" s="1604" t="s">
        <v>224</v>
      </c>
      <c r="EL7" s="1604"/>
      <c r="EM7" s="1604"/>
      <c r="EN7" s="1604"/>
      <c r="EO7" s="1604"/>
      <c r="EP7" s="1604"/>
      <c r="EQ7" s="1604"/>
      <c r="ER7" s="1604"/>
      <c r="ES7" s="1604"/>
      <c r="ET7" s="1604"/>
      <c r="EU7" s="1604"/>
      <c r="EV7" s="1604"/>
      <c r="EW7" s="1604"/>
      <c r="EX7" s="1604"/>
    </row>
    <row r="8" spans="1:154" ht="15.75" x14ac:dyDescent="0.25">
      <c r="A8" s="1690" t="str">
        <f>"wg stanu na dzień 31. XII. "&amp;'Tab.1. bilans_Polska'!A2&amp;" r."</f>
        <v>wg stanu na dzień 31. XII. 2011 r.</v>
      </c>
      <c r="B8" s="1690"/>
      <c r="C8" s="1690"/>
      <c r="D8" s="1690"/>
      <c r="E8" s="1690"/>
      <c r="F8" s="1690"/>
      <c r="G8" s="1690"/>
      <c r="H8" s="1690"/>
      <c r="I8" s="1690"/>
      <c r="J8" s="1690"/>
      <c r="K8" s="1690"/>
      <c r="L8" s="1690"/>
      <c r="M8" s="1690"/>
      <c r="N8" s="1690"/>
      <c r="O8" s="1691" t="str">
        <f>$A$8</f>
        <v>wg stanu na dzień 31. XII. 2011 r.</v>
      </c>
      <c r="P8" s="1690"/>
      <c r="Q8" s="1690"/>
      <c r="R8" s="1690"/>
      <c r="S8" s="1690"/>
      <c r="T8" s="1690"/>
      <c r="U8" s="1690"/>
      <c r="V8" s="1690"/>
      <c r="W8" s="1690"/>
      <c r="X8" s="1690"/>
      <c r="Y8" s="1690"/>
      <c r="Z8" s="1690"/>
      <c r="AA8" s="1690"/>
      <c r="AB8" s="1690"/>
      <c r="AC8" s="1691" t="str">
        <f>$A$8</f>
        <v>wg stanu na dzień 31. XII. 2011 r.</v>
      </c>
      <c r="AD8" s="1690"/>
      <c r="AE8" s="1690"/>
      <c r="AF8" s="1690"/>
      <c r="AG8" s="1690"/>
      <c r="AH8" s="1690"/>
      <c r="AI8" s="1690"/>
      <c r="AJ8" s="1690"/>
      <c r="AK8" s="1690"/>
      <c r="AL8" s="1690"/>
      <c r="AM8" s="1690"/>
      <c r="AN8" s="1690"/>
      <c r="AO8" s="1690"/>
      <c r="AP8" s="1690"/>
      <c r="AQ8" s="1691" t="str">
        <f>$A$8</f>
        <v>wg stanu na dzień 31. XII. 2011 r.</v>
      </c>
      <c r="AR8" s="1690"/>
      <c r="AS8" s="1690"/>
      <c r="AT8" s="1690"/>
      <c r="AU8" s="1690"/>
      <c r="AV8" s="1690"/>
      <c r="AW8" s="1690"/>
      <c r="AX8" s="1690"/>
      <c r="AY8" s="1690"/>
      <c r="AZ8" s="1690"/>
      <c r="BA8" s="1690"/>
      <c r="BB8" s="1690"/>
      <c r="BC8" s="1690"/>
      <c r="BD8" s="1690"/>
      <c r="BE8" s="1691" t="str">
        <f>$A$8</f>
        <v>wg stanu na dzień 31. XII. 2011 r.</v>
      </c>
      <c r="BF8" s="1690"/>
      <c r="BG8" s="1690"/>
      <c r="BH8" s="1690"/>
      <c r="BI8" s="1690"/>
      <c r="BJ8" s="1690"/>
      <c r="BK8" s="1690"/>
      <c r="BL8" s="1690"/>
      <c r="BM8" s="1690"/>
      <c r="BN8" s="1690"/>
      <c r="BO8" s="1690"/>
      <c r="BP8" s="1690"/>
      <c r="BQ8" s="1690"/>
      <c r="BR8" s="1690"/>
      <c r="BS8" s="1691" t="str">
        <f>$A$8</f>
        <v>wg stanu na dzień 31. XII. 2011 r.</v>
      </c>
      <c r="BT8" s="1690"/>
      <c r="BU8" s="1690"/>
      <c r="BV8" s="1690"/>
      <c r="BW8" s="1690"/>
      <c r="BX8" s="1690"/>
      <c r="BY8" s="1690"/>
      <c r="BZ8" s="1690"/>
      <c r="CA8" s="1690"/>
      <c r="CB8" s="1690"/>
      <c r="CC8" s="1690"/>
      <c r="CD8" s="1690"/>
      <c r="CE8" s="1690"/>
      <c r="CF8" s="1690"/>
      <c r="CG8" s="1691" t="str">
        <f>$A$8</f>
        <v>wg stanu na dzień 31. XII. 2011 r.</v>
      </c>
      <c r="CH8" s="1690"/>
      <c r="CI8" s="1690"/>
      <c r="CJ8" s="1690"/>
      <c r="CK8" s="1690"/>
      <c r="CL8" s="1690"/>
      <c r="CM8" s="1690"/>
      <c r="CN8" s="1690"/>
      <c r="CO8" s="1690"/>
      <c r="CP8" s="1690"/>
      <c r="CQ8" s="1690"/>
      <c r="CR8" s="1690"/>
      <c r="CS8" s="1690"/>
      <c r="CT8" s="1690"/>
      <c r="CU8" s="1691" t="str">
        <f>$A$8</f>
        <v>wg stanu na dzień 31. XII. 2011 r.</v>
      </c>
      <c r="CV8" s="1690"/>
      <c r="CW8" s="1690"/>
      <c r="CX8" s="1690"/>
      <c r="CY8" s="1690"/>
      <c r="CZ8" s="1690"/>
      <c r="DA8" s="1690"/>
      <c r="DB8" s="1690"/>
      <c r="DC8" s="1690"/>
      <c r="DD8" s="1690"/>
      <c r="DE8" s="1690"/>
      <c r="DF8" s="1690"/>
      <c r="DG8" s="1690"/>
      <c r="DH8" s="1690"/>
      <c r="DI8" s="1691" t="str">
        <f>$A$8</f>
        <v>wg stanu na dzień 31. XII. 2011 r.</v>
      </c>
      <c r="DJ8" s="1690"/>
      <c r="DK8" s="1690"/>
      <c r="DL8" s="1690"/>
      <c r="DM8" s="1690"/>
      <c r="DN8" s="1690"/>
      <c r="DO8" s="1690"/>
      <c r="DP8" s="1690"/>
      <c r="DQ8" s="1690"/>
      <c r="DR8" s="1690"/>
      <c r="DS8" s="1690"/>
      <c r="DT8" s="1690"/>
      <c r="DU8" s="1690"/>
      <c r="DV8" s="1690"/>
      <c r="DW8" s="1691" t="str">
        <f>$A$8</f>
        <v>wg stanu na dzień 31. XII. 2011 r.</v>
      </c>
      <c r="DX8" s="1690"/>
      <c r="DY8" s="1690"/>
      <c r="DZ8" s="1690"/>
      <c r="EA8" s="1690"/>
      <c r="EB8" s="1690"/>
      <c r="EC8" s="1690"/>
      <c r="ED8" s="1690"/>
      <c r="EE8" s="1690"/>
      <c r="EF8" s="1690"/>
      <c r="EG8" s="1690"/>
      <c r="EH8" s="1690"/>
      <c r="EI8" s="1690"/>
      <c r="EJ8" s="1690"/>
      <c r="EK8" s="1691" t="str">
        <f>$A$8</f>
        <v>wg stanu na dzień 31. XII. 2011 r.</v>
      </c>
      <c r="EL8" s="1690"/>
      <c r="EM8" s="1690"/>
      <c r="EN8" s="1690"/>
      <c r="EO8" s="1690"/>
      <c r="EP8" s="1690"/>
      <c r="EQ8" s="1690"/>
      <c r="ER8" s="1690"/>
      <c r="ES8" s="1690"/>
      <c r="ET8" s="1690"/>
      <c r="EU8" s="1690"/>
      <c r="EV8" s="1690"/>
      <c r="EW8" s="1690"/>
      <c r="EX8" s="1690"/>
    </row>
    <row r="9" spans="1:154" ht="13.5" thickBot="1" x14ac:dyDescent="0.25">
      <c r="A9" s="862"/>
      <c r="B9" s="862"/>
      <c r="C9" s="862"/>
      <c r="D9" s="862"/>
      <c r="E9" s="862"/>
      <c r="F9" s="862"/>
      <c r="G9" s="862"/>
      <c r="H9" s="862"/>
      <c r="I9" s="862"/>
      <c r="J9" s="862"/>
      <c r="K9" s="862"/>
      <c r="L9" s="862"/>
      <c r="M9" s="862"/>
      <c r="N9" s="862"/>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row>
    <row r="10" spans="1:154" ht="14.25" thickTop="1" thickBot="1" x14ac:dyDescent="0.25">
      <c r="A10" s="1692" t="s">
        <v>226</v>
      </c>
      <c r="B10" s="1695" t="s">
        <v>228</v>
      </c>
      <c r="C10" s="1698" t="s">
        <v>3</v>
      </c>
      <c r="D10" s="1699"/>
      <c r="E10" s="1699"/>
      <c r="F10" s="1700"/>
      <c r="G10" s="1641" t="s">
        <v>225</v>
      </c>
      <c r="H10" s="1642"/>
      <c r="I10" s="1642"/>
      <c r="J10" s="1642"/>
      <c r="K10" s="1642"/>
      <c r="L10" s="1642"/>
      <c r="M10" s="1642"/>
      <c r="N10" s="1643"/>
      <c r="O10" s="1692" t="s">
        <v>226</v>
      </c>
      <c r="P10" s="1695" t="s">
        <v>228</v>
      </c>
      <c r="Q10" s="1698" t="s">
        <v>3</v>
      </c>
      <c r="R10" s="1699"/>
      <c r="S10" s="1699"/>
      <c r="T10" s="1700"/>
      <c r="U10" s="1711" t="s">
        <v>225</v>
      </c>
      <c r="V10" s="1712"/>
      <c r="W10" s="1712"/>
      <c r="X10" s="1712"/>
      <c r="Y10" s="1712"/>
      <c r="Z10" s="1712"/>
      <c r="AA10" s="1712"/>
      <c r="AB10" s="1713"/>
      <c r="AC10" s="1692" t="s">
        <v>226</v>
      </c>
      <c r="AD10" s="1695" t="s">
        <v>228</v>
      </c>
      <c r="AE10" s="1698" t="s">
        <v>3</v>
      </c>
      <c r="AF10" s="1699"/>
      <c r="AG10" s="1699"/>
      <c r="AH10" s="1700"/>
      <c r="AI10" s="1711" t="s">
        <v>225</v>
      </c>
      <c r="AJ10" s="1712"/>
      <c r="AK10" s="1712"/>
      <c r="AL10" s="1712"/>
      <c r="AM10" s="1712"/>
      <c r="AN10" s="1712"/>
      <c r="AO10" s="1712"/>
      <c r="AP10" s="1713"/>
      <c r="AQ10" s="1692" t="s">
        <v>226</v>
      </c>
      <c r="AR10" s="1695" t="s">
        <v>228</v>
      </c>
      <c r="AS10" s="1698" t="s">
        <v>3</v>
      </c>
      <c r="AT10" s="1699"/>
      <c r="AU10" s="1699"/>
      <c r="AV10" s="1700"/>
      <c r="AW10" s="1711" t="s">
        <v>225</v>
      </c>
      <c r="AX10" s="1712"/>
      <c r="AY10" s="1712"/>
      <c r="AZ10" s="1712"/>
      <c r="BA10" s="1712"/>
      <c r="BB10" s="1712"/>
      <c r="BC10" s="1712"/>
      <c r="BD10" s="1713"/>
      <c r="BE10" s="1692" t="s">
        <v>226</v>
      </c>
      <c r="BF10" s="1695" t="s">
        <v>228</v>
      </c>
      <c r="BG10" s="1698" t="s">
        <v>3</v>
      </c>
      <c r="BH10" s="1699"/>
      <c r="BI10" s="1699"/>
      <c r="BJ10" s="1700"/>
      <c r="BK10" s="1711" t="s">
        <v>225</v>
      </c>
      <c r="BL10" s="1712"/>
      <c r="BM10" s="1712"/>
      <c r="BN10" s="1712"/>
      <c r="BO10" s="1712"/>
      <c r="BP10" s="1712"/>
      <c r="BQ10" s="1712"/>
      <c r="BR10" s="1713"/>
      <c r="BS10" s="1692" t="s">
        <v>226</v>
      </c>
      <c r="BT10" s="1695" t="s">
        <v>228</v>
      </c>
      <c r="BU10" s="1698" t="s">
        <v>3</v>
      </c>
      <c r="BV10" s="1699"/>
      <c r="BW10" s="1699"/>
      <c r="BX10" s="1700"/>
      <c r="BY10" s="1711" t="s">
        <v>225</v>
      </c>
      <c r="BZ10" s="1712"/>
      <c r="CA10" s="1712"/>
      <c r="CB10" s="1712"/>
      <c r="CC10" s="1712"/>
      <c r="CD10" s="1712"/>
      <c r="CE10" s="1712"/>
      <c r="CF10" s="1713"/>
      <c r="CG10" s="1692" t="s">
        <v>226</v>
      </c>
      <c r="CH10" s="1695" t="s">
        <v>228</v>
      </c>
      <c r="CI10" s="1698" t="s">
        <v>3</v>
      </c>
      <c r="CJ10" s="1699"/>
      <c r="CK10" s="1699"/>
      <c r="CL10" s="1700"/>
      <c r="CM10" s="1711" t="s">
        <v>225</v>
      </c>
      <c r="CN10" s="1712"/>
      <c r="CO10" s="1712"/>
      <c r="CP10" s="1712"/>
      <c r="CQ10" s="1712"/>
      <c r="CR10" s="1712"/>
      <c r="CS10" s="1712"/>
      <c r="CT10" s="1713"/>
      <c r="CU10" s="1692" t="s">
        <v>226</v>
      </c>
      <c r="CV10" s="1695" t="s">
        <v>228</v>
      </c>
      <c r="CW10" s="1698" t="s">
        <v>3</v>
      </c>
      <c r="CX10" s="1699"/>
      <c r="CY10" s="1699"/>
      <c r="CZ10" s="1700"/>
      <c r="DA10" s="1711" t="s">
        <v>225</v>
      </c>
      <c r="DB10" s="1712"/>
      <c r="DC10" s="1712"/>
      <c r="DD10" s="1712"/>
      <c r="DE10" s="1712"/>
      <c r="DF10" s="1712"/>
      <c r="DG10" s="1712"/>
      <c r="DH10" s="1713"/>
      <c r="DI10" s="1692" t="s">
        <v>226</v>
      </c>
      <c r="DJ10" s="1695" t="s">
        <v>228</v>
      </c>
      <c r="DK10" s="1698" t="s">
        <v>3</v>
      </c>
      <c r="DL10" s="1699"/>
      <c r="DM10" s="1699"/>
      <c r="DN10" s="1700"/>
      <c r="DO10" s="1711" t="s">
        <v>225</v>
      </c>
      <c r="DP10" s="1712"/>
      <c r="DQ10" s="1712"/>
      <c r="DR10" s="1712"/>
      <c r="DS10" s="1712"/>
      <c r="DT10" s="1712"/>
      <c r="DU10" s="1712"/>
      <c r="DV10" s="1713"/>
      <c r="DW10" s="1692" t="s">
        <v>226</v>
      </c>
      <c r="DX10" s="1695" t="s">
        <v>228</v>
      </c>
      <c r="DY10" s="1698" t="s">
        <v>3</v>
      </c>
      <c r="DZ10" s="1699"/>
      <c r="EA10" s="1699"/>
      <c r="EB10" s="1700"/>
      <c r="EC10" s="1711" t="s">
        <v>225</v>
      </c>
      <c r="ED10" s="1712"/>
      <c r="EE10" s="1712"/>
      <c r="EF10" s="1712"/>
      <c r="EG10" s="1712"/>
      <c r="EH10" s="1712"/>
      <c r="EI10" s="1712"/>
      <c r="EJ10" s="1713"/>
      <c r="EK10" s="1692" t="s">
        <v>226</v>
      </c>
      <c r="EL10" s="1695" t="s">
        <v>228</v>
      </c>
      <c r="EM10" s="1698" t="s">
        <v>3</v>
      </c>
      <c r="EN10" s="1699"/>
      <c r="EO10" s="1699"/>
      <c r="EP10" s="1700"/>
      <c r="EQ10" s="1711" t="s">
        <v>225</v>
      </c>
      <c r="ER10" s="1712"/>
      <c r="ES10" s="1712"/>
      <c r="ET10" s="1712"/>
      <c r="EU10" s="1712"/>
      <c r="EV10" s="1712"/>
      <c r="EW10" s="1712"/>
      <c r="EX10" s="1713"/>
    </row>
    <row r="11" spans="1:154" x14ac:dyDescent="0.2">
      <c r="A11" s="1693"/>
      <c r="B11" s="1696"/>
      <c r="C11" s="1701"/>
      <c r="D11" s="1702"/>
      <c r="E11" s="1702"/>
      <c r="F11" s="1703"/>
      <c r="G11" s="1714" t="s">
        <v>17</v>
      </c>
      <c r="H11" s="1715"/>
      <c r="I11" s="1715"/>
      <c r="J11" s="1717"/>
      <c r="K11" s="1714" t="s">
        <v>18</v>
      </c>
      <c r="L11" s="1715"/>
      <c r="M11" s="1715"/>
      <c r="N11" s="1716"/>
      <c r="O11" s="1693" t="s">
        <v>226</v>
      </c>
      <c r="P11" s="1696" t="s">
        <v>227</v>
      </c>
      <c r="Q11" s="1701"/>
      <c r="R11" s="1702"/>
      <c r="S11" s="1702"/>
      <c r="T11" s="1703"/>
      <c r="U11" s="1707" t="s">
        <v>17</v>
      </c>
      <c r="V11" s="1708"/>
      <c r="W11" s="1708"/>
      <c r="X11" s="1709"/>
      <c r="Y11" s="1454" t="s">
        <v>18</v>
      </c>
      <c r="Z11" s="1454"/>
      <c r="AA11" s="1454"/>
      <c r="AB11" s="1455"/>
      <c r="AC11" s="1693" t="s">
        <v>226</v>
      </c>
      <c r="AD11" s="1696" t="s">
        <v>227</v>
      </c>
      <c r="AE11" s="1701"/>
      <c r="AF11" s="1702"/>
      <c r="AG11" s="1702"/>
      <c r="AH11" s="1703"/>
      <c r="AI11" s="1707" t="s">
        <v>17</v>
      </c>
      <c r="AJ11" s="1708"/>
      <c r="AK11" s="1708"/>
      <c r="AL11" s="1709"/>
      <c r="AM11" s="1708" t="s">
        <v>18</v>
      </c>
      <c r="AN11" s="1708"/>
      <c r="AO11" s="1708"/>
      <c r="AP11" s="1710"/>
      <c r="AQ11" s="1693" t="s">
        <v>226</v>
      </c>
      <c r="AR11" s="1696" t="s">
        <v>227</v>
      </c>
      <c r="AS11" s="1701"/>
      <c r="AT11" s="1702"/>
      <c r="AU11" s="1702"/>
      <c r="AV11" s="1703"/>
      <c r="AW11" s="1707" t="s">
        <v>17</v>
      </c>
      <c r="AX11" s="1708"/>
      <c r="AY11" s="1708"/>
      <c r="AZ11" s="1709"/>
      <c r="BA11" s="1708" t="s">
        <v>18</v>
      </c>
      <c r="BB11" s="1708"/>
      <c r="BC11" s="1708"/>
      <c r="BD11" s="1710"/>
      <c r="BE11" s="1693" t="s">
        <v>226</v>
      </c>
      <c r="BF11" s="1696" t="s">
        <v>227</v>
      </c>
      <c r="BG11" s="1701"/>
      <c r="BH11" s="1702"/>
      <c r="BI11" s="1702"/>
      <c r="BJ11" s="1703"/>
      <c r="BK11" s="1707" t="s">
        <v>17</v>
      </c>
      <c r="BL11" s="1708"/>
      <c r="BM11" s="1708"/>
      <c r="BN11" s="1709"/>
      <c r="BO11" s="1708" t="s">
        <v>18</v>
      </c>
      <c r="BP11" s="1708"/>
      <c r="BQ11" s="1708"/>
      <c r="BR11" s="1710"/>
      <c r="BS11" s="1693" t="s">
        <v>226</v>
      </c>
      <c r="BT11" s="1696" t="s">
        <v>227</v>
      </c>
      <c r="BU11" s="1701"/>
      <c r="BV11" s="1702"/>
      <c r="BW11" s="1702"/>
      <c r="BX11" s="1703"/>
      <c r="BY11" s="1707" t="s">
        <v>17</v>
      </c>
      <c r="BZ11" s="1708"/>
      <c r="CA11" s="1708"/>
      <c r="CB11" s="1709"/>
      <c r="CC11" s="1708" t="s">
        <v>18</v>
      </c>
      <c r="CD11" s="1708"/>
      <c r="CE11" s="1708"/>
      <c r="CF11" s="1710"/>
      <c r="CG11" s="1693" t="s">
        <v>226</v>
      </c>
      <c r="CH11" s="1696" t="s">
        <v>227</v>
      </c>
      <c r="CI11" s="1701"/>
      <c r="CJ11" s="1702"/>
      <c r="CK11" s="1702"/>
      <c r="CL11" s="1703"/>
      <c r="CM11" s="1707" t="s">
        <v>17</v>
      </c>
      <c r="CN11" s="1708"/>
      <c r="CO11" s="1708"/>
      <c r="CP11" s="1709"/>
      <c r="CQ11" s="1704" t="s">
        <v>18</v>
      </c>
      <c r="CR11" s="1705"/>
      <c r="CS11" s="1705"/>
      <c r="CT11" s="1706"/>
      <c r="CU11" s="1693" t="s">
        <v>226</v>
      </c>
      <c r="CV11" s="1696" t="s">
        <v>227</v>
      </c>
      <c r="CW11" s="1701"/>
      <c r="CX11" s="1702"/>
      <c r="CY11" s="1702"/>
      <c r="CZ11" s="1703"/>
      <c r="DA11" s="1707" t="s">
        <v>17</v>
      </c>
      <c r="DB11" s="1708"/>
      <c r="DC11" s="1708"/>
      <c r="DD11" s="1709"/>
      <c r="DE11" s="1704" t="s">
        <v>18</v>
      </c>
      <c r="DF11" s="1705"/>
      <c r="DG11" s="1705"/>
      <c r="DH11" s="1706"/>
      <c r="DI11" s="1693" t="s">
        <v>226</v>
      </c>
      <c r="DJ11" s="1696" t="s">
        <v>227</v>
      </c>
      <c r="DK11" s="1701"/>
      <c r="DL11" s="1702"/>
      <c r="DM11" s="1702"/>
      <c r="DN11" s="1703"/>
      <c r="DO11" s="1704" t="s">
        <v>17</v>
      </c>
      <c r="DP11" s="1705"/>
      <c r="DQ11" s="1705"/>
      <c r="DR11" s="1720"/>
      <c r="DS11" s="1704" t="s">
        <v>18</v>
      </c>
      <c r="DT11" s="1705"/>
      <c r="DU11" s="1705"/>
      <c r="DV11" s="1706"/>
      <c r="DW11" s="1693" t="s">
        <v>226</v>
      </c>
      <c r="DX11" s="1696" t="s">
        <v>227</v>
      </c>
      <c r="DY11" s="1701"/>
      <c r="DZ11" s="1702"/>
      <c r="EA11" s="1702"/>
      <c r="EB11" s="1703"/>
      <c r="EC11" s="1704" t="s">
        <v>17</v>
      </c>
      <c r="ED11" s="1705"/>
      <c r="EE11" s="1705"/>
      <c r="EF11" s="1720"/>
      <c r="EG11" s="1704" t="s">
        <v>18</v>
      </c>
      <c r="EH11" s="1705"/>
      <c r="EI11" s="1705"/>
      <c r="EJ11" s="1706"/>
      <c r="EK11" s="1693" t="s">
        <v>226</v>
      </c>
      <c r="EL11" s="1696" t="s">
        <v>227</v>
      </c>
      <c r="EM11" s="1701"/>
      <c r="EN11" s="1702"/>
      <c r="EO11" s="1702"/>
      <c r="EP11" s="1703"/>
      <c r="EQ11" s="1704" t="s">
        <v>17</v>
      </c>
      <c r="ER11" s="1705"/>
      <c r="ES11" s="1705"/>
      <c r="ET11" s="1720"/>
      <c r="EU11" s="1704" t="s">
        <v>18</v>
      </c>
      <c r="EV11" s="1705"/>
      <c r="EW11" s="1705"/>
      <c r="EX11" s="1706"/>
    </row>
    <row r="12" spans="1:154" ht="36" x14ac:dyDescent="0.2">
      <c r="A12" s="1694"/>
      <c r="B12" s="1697"/>
      <c r="C12" s="419" t="str">
        <f>UPPER("domy zarejestro-
wane ")</f>
        <v xml:space="preserve">DOMY ZAREJESTRO-
WANE </v>
      </c>
      <c r="D12" s="422" t="s">
        <v>454</v>
      </c>
      <c r="E12" s="420" t="s">
        <v>229</v>
      </c>
      <c r="F12" s="421" t="s">
        <v>230</v>
      </c>
      <c r="G12" s="422" t="s">
        <v>464</v>
      </c>
      <c r="H12" s="1327" t="str">
        <f>LOWER("RZECZYWISTA 
LICZBA DOMÓW")</f>
        <v>rzeczywista 
liczba domów</v>
      </c>
      <c r="I12" s="420" t="s">
        <v>232</v>
      </c>
      <c r="J12" s="421" t="s">
        <v>233</v>
      </c>
      <c r="K12" s="422" t="s">
        <v>464</v>
      </c>
      <c r="L12" s="422" t="str">
        <f>LOWER("RZECZYWISTA 
LICZBA DOMÓW")</f>
        <v>rzeczywista 
liczba domów</v>
      </c>
      <c r="M12" s="420" t="s">
        <v>234</v>
      </c>
      <c r="N12" s="424" t="s">
        <v>233</v>
      </c>
      <c r="O12" s="1694"/>
      <c r="P12" s="1697"/>
      <c r="Q12" s="419" t="str">
        <f>UPPER("domy zarejestro-
wane ")</f>
        <v xml:space="preserve">DOMY ZAREJESTRO-
WANE </v>
      </c>
      <c r="R12" s="1089" t="str">
        <f>$D$12</f>
        <v>RZECZYWISTA 
LICZBA 
DOMÓW</v>
      </c>
      <c r="S12" s="420" t="s">
        <v>229</v>
      </c>
      <c r="T12" s="421" t="s">
        <v>230</v>
      </c>
      <c r="U12" s="419" t="s">
        <v>464</v>
      </c>
      <c r="V12" s="1089" t="str">
        <f>$H$12</f>
        <v>rzeczywista 
liczba domów</v>
      </c>
      <c r="W12" s="420" t="s">
        <v>232</v>
      </c>
      <c r="X12" s="421" t="s">
        <v>233</v>
      </c>
      <c r="Y12" s="422" t="s">
        <v>464</v>
      </c>
      <c r="Z12" s="1089" t="str">
        <f>$H$12</f>
        <v>rzeczywista 
liczba domów</v>
      </c>
      <c r="AA12" s="420" t="s">
        <v>234</v>
      </c>
      <c r="AB12" s="424" t="s">
        <v>233</v>
      </c>
      <c r="AC12" s="1694"/>
      <c r="AD12" s="1697"/>
      <c r="AE12" s="419" t="str">
        <f>UPPER("domy zarejestro-
wane ")</f>
        <v xml:space="preserve">DOMY ZAREJESTRO-
WANE </v>
      </c>
      <c r="AF12" s="1089" t="str">
        <f>$D$12</f>
        <v>RZECZYWISTA 
LICZBA 
DOMÓW</v>
      </c>
      <c r="AG12" s="420" t="s">
        <v>229</v>
      </c>
      <c r="AH12" s="421" t="s">
        <v>230</v>
      </c>
      <c r="AI12" s="419" t="s">
        <v>464</v>
      </c>
      <c r="AJ12" s="1089" t="str">
        <f>$H$12</f>
        <v>rzeczywista 
liczba domów</v>
      </c>
      <c r="AK12" s="420" t="s">
        <v>232</v>
      </c>
      <c r="AL12" s="421" t="s">
        <v>233</v>
      </c>
      <c r="AM12" s="422" t="s">
        <v>464</v>
      </c>
      <c r="AN12" s="1089" t="str">
        <f>$H$12</f>
        <v>rzeczywista 
liczba domów</v>
      </c>
      <c r="AO12" s="420" t="s">
        <v>234</v>
      </c>
      <c r="AP12" s="424" t="s">
        <v>233</v>
      </c>
      <c r="AQ12" s="1694"/>
      <c r="AR12" s="1697"/>
      <c r="AS12" s="419" t="str">
        <f>UPPER("domy zarejestro-
wane ")</f>
        <v xml:space="preserve">DOMY ZAREJESTRO-
WANE </v>
      </c>
      <c r="AT12" s="1089" t="str">
        <f>$D$12</f>
        <v>RZECZYWISTA 
LICZBA 
DOMÓW</v>
      </c>
      <c r="AU12" s="420" t="s">
        <v>229</v>
      </c>
      <c r="AV12" s="421" t="s">
        <v>235</v>
      </c>
      <c r="AW12" s="419" t="s">
        <v>464</v>
      </c>
      <c r="AX12" s="1089" t="str">
        <f>$H$12</f>
        <v>rzeczywista 
liczba domów</v>
      </c>
      <c r="AY12" s="420" t="s">
        <v>232</v>
      </c>
      <c r="AZ12" s="421" t="s">
        <v>233</v>
      </c>
      <c r="BA12" s="422" t="s">
        <v>464</v>
      </c>
      <c r="BB12" s="1089" t="str">
        <f>$H$12</f>
        <v>rzeczywista 
liczba domów</v>
      </c>
      <c r="BC12" s="420" t="s">
        <v>234</v>
      </c>
      <c r="BD12" s="424" t="s">
        <v>233</v>
      </c>
      <c r="BE12" s="1694"/>
      <c r="BF12" s="1697"/>
      <c r="BG12" s="419" t="str">
        <f>UPPER("domy zarejestro-
wane ")</f>
        <v xml:space="preserve">DOMY ZAREJESTRO-
WANE </v>
      </c>
      <c r="BH12" s="1089" t="str">
        <f>$D$12</f>
        <v>RZECZYWISTA 
LICZBA 
DOMÓW</v>
      </c>
      <c r="BI12" s="420" t="s">
        <v>229</v>
      </c>
      <c r="BJ12" s="421" t="s">
        <v>230</v>
      </c>
      <c r="BK12" s="419" t="s">
        <v>464</v>
      </c>
      <c r="BL12" s="1089" t="str">
        <f>$H$12</f>
        <v>rzeczywista 
liczba domów</v>
      </c>
      <c r="BM12" s="420" t="s">
        <v>232</v>
      </c>
      <c r="BN12" s="421" t="s">
        <v>233</v>
      </c>
      <c r="BO12" s="422" t="s">
        <v>464</v>
      </c>
      <c r="BP12" s="1089" t="str">
        <f>$H$12</f>
        <v>rzeczywista 
liczba domów</v>
      </c>
      <c r="BQ12" s="420" t="s">
        <v>234</v>
      </c>
      <c r="BR12" s="424" t="s">
        <v>233</v>
      </c>
      <c r="BS12" s="1694"/>
      <c r="BT12" s="1697"/>
      <c r="BU12" s="419" t="str">
        <f>UPPER("domy zarejestro-
wane ")</f>
        <v xml:space="preserve">DOMY ZAREJESTRO-
WANE </v>
      </c>
      <c r="BV12" s="1089" t="str">
        <f>$D$12</f>
        <v>RZECZYWISTA 
LICZBA 
DOMÓW</v>
      </c>
      <c r="BW12" s="420" t="s">
        <v>229</v>
      </c>
      <c r="BX12" s="421" t="s">
        <v>235</v>
      </c>
      <c r="BY12" s="419" t="s">
        <v>464</v>
      </c>
      <c r="BZ12" s="1089" t="str">
        <f>$H$12</f>
        <v>rzeczywista 
liczba domów</v>
      </c>
      <c r="CA12" s="420" t="s">
        <v>232</v>
      </c>
      <c r="CB12" s="421" t="s">
        <v>233</v>
      </c>
      <c r="CC12" s="422" t="s">
        <v>464</v>
      </c>
      <c r="CD12" s="1089" t="str">
        <f>$H$12</f>
        <v>rzeczywista 
liczba domów</v>
      </c>
      <c r="CE12" s="420" t="s">
        <v>234</v>
      </c>
      <c r="CF12" s="424" t="s">
        <v>233</v>
      </c>
      <c r="CG12" s="1694"/>
      <c r="CH12" s="1697"/>
      <c r="CI12" s="419" t="str">
        <f>UPPER("domy zarejestro-
wane ")</f>
        <v xml:space="preserve">DOMY ZAREJESTRO-
WANE </v>
      </c>
      <c r="CJ12" s="1089" t="str">
        <f>$D$12</f>
        <v>RZECZYWISTA 
LICZBA 
DOMÓW</v>
      </c>
      <c r="CK12" s="420" t="s">
        <v>229</v>
      </c>
      <c r="CL12" s="421" t="s">
        <v>230</v>
      </c>
      <c r="CM12" s="419" t="s">
        <v>464</v>
      </c>
      <c r="CN12" s="1089" t="str">
        <f>$H$12</f>
        <v>rzeczywista 
liczba domów</v>
      </c>
      <c r="CO12" s="420" t="s">
        <v>232</v>
      </c>
      <c r="CP12" s="421" t="s">
        <v>233</v>
      </c>
      <c r="CQ12" s="422" t="s">
        <v>464</v>
      </c>
      <c r="CR12" s="1089" t="str">
        <f>$H$12</f>
        <v>rzeczywista 
liczba domów</v>
      </c>
      <c r="CS12" s="420" t="s">
        <v>234</v>
      </c>
      <c r="CT12" s="424" t="s">
        <v>233</v>
      </c>
      <c r="CU12" s="1694"/>
      <c r="CV12" s="1697"/>
      <c r="CW12" s="419" t="str">
        <f>UPPER("domy zarejestro-
wane ")</f>
        <v xml:space="preserve">DOMY ZAREJESTRO-
WANE </v>
      </c>
      <c r="CX12" s="1089" t="str">
        <f>$D$12</f>
        <v>RZECZYWISTA 
LICZBA 
DOMÓW</v>
      </c>
      <c r="CY12" s="420" t="s">
        <v>229</v>
      </c>
      <c r="CZ12" s="421" t="s">
        <v>230</v>
      </c>
      <c r="DA12" s="419" t="s">
        <v>464</v>
      </c>
      <c r="DB12" s="1089" t="str">
        <f>$H$12</f>
        <v>rzeczywista 
liczba domów</v>
      </c>
      <c r="DC12" s="420" t="s">
        <v>232</v>
      </c>
      <c r="DD12" s="421" t="s">
        <v>233</v>
      </c>
      <c r="DE12" s="422" t="s">
        <v>464</v>
      </c>
      <c r="DF12" s="1089" t="str">
        <f>$H$12</f>
        <v>rzeczywista 
liczba domów</v>
      </c>
      <c r="DG12" s="420" t="s">
        <v>234</v>
      </c>
      <c r="DH12" s="424" t="s">
        <v>233</v>
      </c>
      <c r="DI12" s="1694"/>
      <c r="DJ12" s="1697"/>
      <c r="DK12" s="419" t="str">
        <f>UPPER("domy zarejestro-
wane ")</f>
        <v xml:space="preserve">DOMY ZAREJESTRO-
WANE </v>
      </c>
      <c r="DL12" s="1089" t="str">
        <f>$D$12</f>
        <v>RZECZYWISTA 
LICZBA 
DOMÓW</v>
      </c>
      <c r="DM12" s="420" t="s">
        <v>229</v>
      </c>
      <c r="DN12" s="421" t="s">
        <v>230</v>
      </c>
      <c r="DO12" s="419" t="s">
        <v>464</v>
      </c>
      <c r="DP12" s="1089" t="str">
        <f>$H$12</f>
        <v>rzeczywista 
liczba domów</v>
      </c>
      <c r="DQ12" s="420" t="s">
        <v>232</v>
      </c>
      <c r="DR12" s="421" t="s">
        <v>233</v>
      </c>
      <c r="DS12" s="422" t="s">
        <v>464</v>
      </c>
      <c r="DT12" s="1089" t="str">
        <f>$H$12</f>
        <v>rzeczywista 
liczba domów</v>
      </c>
      <c r="DU12" s="420" t="s">
        <v>234</v>
      </c>
      <c r="DV12" s="424" t="s">
        <v>233</v>
      </c>
      <c r="DW12" s="1694"/>
      <c r="DX12" s="1697"/>
      <c r="DY12" s="419" t="str">
        <f>UPPER("domy zarejestro-
wane ")</f>
        <v xml:space="preserve">DOMY ZAREJESTRO-
WANE </v>
      </c>
      <c r="DZ12" s="1089" t="str">
        <f>$D$12</f>
        <v>RZECZYWISTA 
LICZBA 
DOMÓW</v>
      </c>
      <c r="EA12" s="420" t="s">
        <v>229</v>
      </c>
      <c r="EB12" s="421" t="s">
        <v>230</v>
      </c>
      <c r="EC12" s="419" t="s">
        <v>464</v>
      </c>
      <c r="ED12" s="1089" t="str">
        <f>$H$12</f>
        <v>rzeczywista 
liczba domów</v>
      </c>
      <c r="EE12" s="420" t="s">
        <v>232</v>
      </c>
      <c r="EF12" s="421" t="s">
        <v>233</v>
      </c>
      <c r="EG12" s="422" t="s">
        <v>464</v>
      </c>
      <c r="EH12" s="1089" t="str">
        <f>$H$12</f>
        <v>rzeczywista 
liczba domów</v>
      </c>
      <c r="EI12" s="420" t="s">
        <v>234</v>
      </c>
      <c r="EJ12" s="424" t="s">
        <v>233</v>
      </c>
      <c r="EK12" s="1694"/>
      <c r="EL12" s="1697"/>
      <c r="EM12" s="419" t="str">
        <f>UPPER("domy zarejestro-
wane ")</f>
        <v xml:space="preserve">DOMY ZAREJESTRO-
WANE </v>
      </c>
      <c r="EN12" s="1089" t="str">
        <f>$D$12</f>
        <v>RZECZYWISTA 
LICZBA 
DOMÓW</v>
      </c>
      <c r="EO12" s="420" t="s">
        <v>229</v>
      </c>
      <c r="EP12" s="421" t="s">
        <v>230</v>
      </c>
      <c r="EQ12" s="419" t="s">
        <v>464</v>
      </c>
      <c r="ER12" s="1089" t="str">
        <f>$H$12</f>
        <v>rzeczywista 
liczba domów</v>
      </c>
      <c r="ES12" s="420" t="s">
        <v>232</v>
      </c>
      <c r="ET12" s="421" t="s">
        <v>233</v>
      </c>
      <c r="EU12" s="422" t="s">
        <v>464</v>
      </c>
      <c r="EV12" s="1089" t="str">
        <f>$H$12</f>
        <v>rzeczywista 
liczba domów</v>
      </c>
      <c r="EW12" s="420" t="s">
        <v>234</v>
      </c>
      <c r="EX12" s="424" t="s">
        <v>233</v>
      </c>
    </row>
    <row r="13" spans="1:154" ht="13.5" thickBot="1" x14ac:dyDescent="0.25">
      <c r="A13" s="841"/>
      <c r="B13" s="426">
        <v>0</v>
      </c>
      <c r="C13" s="427">
        <v>1</v>
      </c>
      <c r="D13" s="430">
        <v>2</v>
      </c>
      <c r="E13" s="428">
        <v>3</v>
      </c>
      <c r="F13" s="429">
        <v>4</v>
      </c>
      <c r="G13" s="430">
        <v>5</v>
      </c>
      <c r="H13" s="426">
        <v>6</v>
      </c>
      <c r="I13" s="428">
        <v>7</v>
      </c>
      <c r="J13" s="426">
        <v>8</v>
      </c>
      <c r="K13" s="427">
        <v>9</v>
      </c>
      <c r="L13" s="1191">
        <v>10</v>
      </c>
      <c r="M13" s="428">
        <v>11</v>
      </c>
      <c r="N13" s="432">
        <v>12</v>
      </c>
      <c r="O13" s="841"/>
      <c r="P13" s="426">
        <v>0</v>
      </c>
      <c r="Q13" s="427">
        <v>1</v>
      </c>
      <c r="R13" s="430">
        <v>2</v>
      </c>
      <c r="S13" s="428">
        <v>3</v>
      </c>
      <c r="T13" s="429">
        <v>4</v>
      </c>
      <c r="U13" s="427">
        <v>5</v>
      </c>
      <c r="V13" s="1078">
        <v>6</v>
      </c>
      <c r="W13" s="428">
        <v>7</v>
      </c>
      <c r="X13" s="429">
        <v>8</v>
      </c>
      <c r="Y13" s="430">
        <v>9</v>
      </c>
      <c r="Z13" s="430">
        <v>10</v>
      </c>
      <c r="AA13" s="428">
        <v>11</v>
      </c>
      <c r="AB13" s="431">
        <v>12</v>
      </c>
      <c r="AC13" s="841"/>
      <c r="AD13" s="426">
        <v>0</v>
      </c>
      <c r="AE13" s="427">
        <v>1</v>
      </c>
      <c r="AF13" s="430">
        <v>2</v>
      </c>
      <c r="AG13" s="428">
        <v>3</v>
      </c>
      <c r="AH13" s="429">
        <v>4</v>
      </c>
      <c r="AI13" s="427">
        <v>5</v>
      </c>
      <c r="AJ13" s="430">
        <v>6</v>
      </c>
      <c r="AK13" s="428">
        <v>7</v>
      </c>
      <c r="AL13" s="429">
        <v>8</v>
      </c>
      <c r="AM13" s="430">
        <v>9</v>
      </c>
      <c r="AN13" s="430">
        <v>10</v>
      </c>
      <c r="AO13" s="428">
        <v>11</v>
      </c>
      <c r="AP13" s="431">
        <v>12</v>
      </c>
      <c r="AQ13" s="841"/>
      <c r="AR13" s="426">
        <v>0</v>
      </c>
      <c r="AS13" s="427">
        <v>1</v>
      </c>
      <c r="AT13" s="430">
        <v>2</v>
      </c>
      <c r="AU13" s="428">
        <v>3</v>
      </c>
      <c r="AV13" s="429">
        <v>4</v>
      </c>
      <c r="AW13" s="427">
        <v>5</v>
      </c>
      <c r="AX13" s="430">
        <v>6</v>
      </c>
      <c r="AY13" s="428">
        <v>7</v>
      </c>
      <c r="AZ13" s="429">
        <v>8</v>
      </c>
      <c r="BA13" s="430">
        <v>9</v>
      </c>
      <c r="BB13" s="430">
        <v>10</v>
      </c>
      <c r="BC13" s="428">
        <v>11</v>
      </c>
      <c r="BD13" s="431">
        <v>12</v>
      </c>
      <c r="BE13" s="841"/>
      <c r="BF13" s="426">
        <v>0</v>
      </c>
      <c r="BG13" s="427">
        <v>1</v>
      </c>
      <c r="BH13" s="430">
        <v>2</v>
      </c>
      <c r="BI13" s="428">
        <v>3</v>
      </c>
      <c r="BJ13" s="429">
        <v>4</v>
      </c>
      <c r="BK13" s="427">
        <v>5</v>
      </c>
      <c r="BL13" s="430">
        <v>6</v>
      </c>
      <c r="BM13" s="428">
        <v>7</v>
      </c>
      <c r="BN13" s="429">
        <v>8</v>
      </c>
      <c r="BO13" s="430">
        <v>9</v>
      </c>
      <c r="BP13" s="430">
        <v>10</v>
      </c>
      <c r="BQ13" s="428">
        <v>11</v>
      </c>
      <c r="BR13" s="431">
        <v>12</v>
      </c>
      <c r="BS13" s="841"/>
      <c r="BT13" s="426">
        <v>0</v>
      </c>
      <c r="BU13" s="427">
        <v>1</v>
      </c>
      <c r="BV13" s="430">
        <v>2</v>
      </c>
      <c r="BW13" s="428">
        <v>3</v>
      </c>
      <c r="BX13" s="429">
        <v>4</v>
      </c>
      <c r="BY13" s="427">
        <v>5</v>
      </c>
      <c r="BZ13" s="430">
        <v>6</v>
      </c>
      <c r="CA13" s="428">
        <v>7</v>
      </c>
      <c r="CB13" s="429">
        <v>8</v>
      </c>
      <c r="CC13" s="430">
        <v>9</v>
      </c>
      <c r="CD13" s="430">
        <v>10</v>
      </c>
      <c r="CE13" s="428">
        <v>11</v>
      </c>
      <c r="CF13" s="431">
        <v>12</v>
      </c>
      <c r="CG13" s="841"/>
      <c r="CH13" s="426">
        <v>0</v>
      </c>
      <c r="CI13" s="427">
        <v>1</v>
      </c>
      <c r="CJ13" s="430">
        <v>2</v>
      </c>
      <c r="CK13" s="428">
        <v>3</v>
      </c>
      <c r="CL13" s="429">
        <v>4</v>
      </c>
      <c r="CM13" s="427">
        <v>5</v>
      </c>
      <c r="CN13" s="430">
        <v>6</v>
      </c>
      <c r="CO13" s="428">
        <v>7</v>
      </c>
      <c r="CP13" s="429">
        <v>8</v>
      </c>
      <c r="CQ13" s="430">
        <v>9</v>
      </c>
      <c r="CR13" s="430">
        <v>10</v>
      </c>
      <c r="CS13" s="428">
        <v>11</v>
      </c>
      <c r="CT13" s="431">
        <v>12</v>
      </c>
      <c r="CU13" s="841"/>
      <c r="CV13" s="426">
        <v>0</v>
      </c>
      <c r="CW13" s="427">
        <v>1</v>
      </c>
      <c r="CX13" s="430">
        <v>2</v>
      </c>
      <c r="CY13" s="428">
        <v>3</v>
      </c>
      <c r="CZ13" s="429">
        <v>4</v>
      </c>
      <c r="DA13" s="427">
        <v>5</v>
      </c>
      <c r="DB13" s="430">
        <v>6</v>
      </c>
      <c r="DC13" s="428">
        <v>7</v>
      </c>
      <c r="DD13" s="429">
        <v>8</v>
      </c>
      <c r="DE13" s="430">
        <v>9</v>
      </c>
      <c r="DF13" s="430">
        <v>10</v>
      </c>
      <c r="DG13" s="428">
        <v>11</v>
      </c>
      <c r="DH13" s="431">
        <v>12</v>
      </c>
      <c r="DI13" s="841"/>
      <c r="DJ13" s="426">
        <v>0</v>
      </c>
      <c r="DK13" s="427">
        <v>1</v>
      </c>
      <c r="DL13" s="430">
        <v>2</v>
      </c>
      <c r="DM13" s="428">
        <v>3</v>
      </c>
      <c r="DN13" s="429">
        <v>4</v>
      </c>
      <c r="DO13" s="427">
        <v>5</v>
      </c>
      <c r="DP13" s="430">
        <v>6</v>
      </c>
      <c r="DQ13" s="428">
        <v>7</v>
      </c>
      <c r="DR13" s="429">
        <v>8</v>
      </c>
      <c r="DS13" s="430">
        <v>9</v>
      </c>
      <c r="DT13" s="430">
        <v>10</v>
      </c>
      <c r="DU13" s="428">
        <v>11</v>
      </c>
      <c r="DV13" s="431">
        <v>12</v>
      </c>
      <c r="DW13" s="841"/>
      <c r="DX13" s="426">
        <v>0</v>
      </c>
      <c r="DY13" s="427">
        <v>1</v>
      </c>
      <c r="DZ13" s="430">
        <v>2</v>
      </c>
      <c r="EA13" s="428">
        <v>3</v>
      </c>
      <c r="EB13" s="429">
        <v>4</v>
      </c>
      <c r="EC13" s="427">
        <v>5</v>
      </c>
      <c r="ED13" s="430">
        <v>6</v>
      </c>
      <c r="EE13" s="428">
        <v>7</v>
      </c>
      <c r="EF13" s="429">
        <v>8</v>
      </c>
      <c r="EG13" s="430">
        <v>9</v>
      </c>
      <c r="EH13" s="430">
        <v>10</v>
      </c>
      <c r="EI13" s="428">
        <v>11</v>
      </c>
      <c r="EJ13" s="431">
        <v>12</v>
      </c>
      <c r="EK13" s="841"/>
      <c r="EL13" s="426">
        <v>0</v>
      </c>
      <c r="EM13" s="427">
        <v>1</v>
      </c>
      <c r="EN13" s="430">
        <v>2</v>
      </c>
      <c r="EO13" s="428">
        <v>3</v>
      </c>
      <c r="EP13" s="429">
        <v>4</v>
      </c>
      <c r="EQ13" s="427">
        <v>5</v>
      </c>
      <c r="ER13" s="430">
        <v>6</v>
      </c>
      <c r="ES13" s="428">
        <v>7</v>
      </c>
      <c r="ET13" s="429">
        <v>8</v>
      </c>
      <c r="EU13" s="430">
        <v>9</v>
      </c>
      <c r="EV13" s="430">
        <v>10</v>
      </c>
      <c r="EW13" s="428">
        <v>11</v>
      </c>
      <c r="EX13" s="431">
        <v>12</v>
      </c>
    </row>
    <row r="14" spans="1:154" ht="15" customHeight="1" thickTop="1" x14ac:dyDescent="0.2">
      <c r="A14" s="842">
        <v>1</v>
      </c>
      <c r="B14" s="843" t="s">
        <v>236</v>
      </c>
      <c r="C14" s="1303">
        <f>Q14+AE14+AS14+BG14+BU14+CI14+CW14+DK14+DY14+EM14</f>
        <v>54</v>
      </c>
      <c r="D14" s="1304" t="str">
        <f>'Tab.2. l.d.m.m._Polska'!E57&amp;" ("&amp;R14+AF14+AT14+BH14+BV14+CJ14+CX14+DL14+DZ14+EN14&amp;")"</f>
        <v>54 (54)</v>
      </c>
      <c r="E14" s="1305">
        <f t="shared" ref="E14:E29" si="0">S14+AG14+AU14+BI14+BW14+CK14+CY14+DM14+EA14+EO14</f>
        <v>5491</v>
      </c>
      <c r="F14" s="1306">
        <f t="shared" ref="F14:F29" si="1">T14+AH14+AV14+BJ14+BX14+CL14+CZ14+DN14+EB14+EP14</f>
        <v>5474</v>
      </c>
      <c r="G14" s="1303">
        <f>U14+AI14+AW14+BK14+BY14+CM14+DA14+DO14+EC14+EQ14</f>
        <v>39</v>
      </c>
      <c r="H14" s="1323">
        <f>V14+AJ14+AX14+BL14+BZ14+CN14+DB14+DP14+ED14+ER14</f>
        <v>39</v>
      </c>
      <c r="I14" s="1305">
        <f t="shared" ref="I14:I29" si="2">W14+AK14+AY14+BM14+CA14+CO14+DC14+DQ14+EE14+ES14</f>
        <v>4668</v>
      </c>
      <c r="J14" s="1306">
        <f t="shared" ref="J14:J29" si="3">X14+AL14+AZ14+BN14+CB14+CP14+DD14+DR14+EF14+ET14</f>
        <v>4650</v>
      </c>
      <c r="K14" s="1303">
        <f t="shared" ref="K14:L29" si="4">Y14+AM14+BA14+BO14+CC14+CQ14+DE14+DS14+EG14+EU14</f>
        <v>15</v>
      </c>
      <c r="L14" s="1090">
        <f t="shared" si="4"/>
        <v>15</v>
      </c>
      <c r="M14" s="1305">
        <f t="shared" ref="M14:M29" si="5">AA14+AO14+BC14+BQ14+CE14+CS14+DG14+DU14+EI14+EW14</f>
        <v>823</v>
      </c>
      <c r="N14" s="1319">
        <f t="shared" ref="N14:N29" si="6">AB14+AP14+BD14+BR14+CF14+CT14+DH14+DV14+EJ14+EX14</f>
        <v>824</v>
      </c>
      <c r="O14" s="842">
        <v>1</v>
      </c>
      <c r="P14" s="843" t="s">
        <v>236</v>
      </c>
      <c r="Q14" s="447">
        <f t="shared" ref="Q14:R30" si="7">U14+Y14</f>
        <v>6</v>
      </c>
      <c r="R14" s="1079">
        <f t="shared" si="7"/>
        <v>6</v>
      </c>
      <c r="S14" s="448">
        <f t="shared" ref="S14:S30" si="8">W14+AA14</f>
        <v>520</v>
      </c>
      <c r="T14" s="449">
        <f t="shared" ref="T14:T30" si="9">X14+AB14</f>
        <v>518</v>
      </c>
      <c r="U14" s="434">
        <f>'Tab.2. l.d.m.m._Polska'!H59</f>
        <v>4</v>
      </c>
      <c r="V14" s="1093">
        <f>'Tab.2. l.d.m.m._Polska'!I59</f>
        <v>4</v>
      </c>
      <c r="W14" s="435">
        <f>'Tab.2. l.d.m.m._Polska'!J59</f>
        <v>380</v>
      </c>
      <c r="X14" s="436">
        <f>'Tab.2. l.d.m.m._Polska'!K59</f>
        <v>379</v>
      </c>
      <c r="Y14" s="434">
        <f>'Tab.2. l.d.m.m._Polska'!L59</f>
        <v>2</v>
      </c>
      <c r="Z14" s="1093">
        <f>'Tab.2. l.d.m.m._Polska'!M59</f>
        <v>2</v>
      </c>
      <c r="AA14" s="437">
        <f>'Tab.2. l.d.m.m._Polska'!N59</f>
        <v>140</v>
      </c>
      <c r="AB14" s="438">
        <f>'Tab.2. l.d.m.m._Polska'!O59</f>
        <v>139</v>
      </c>
      <c r="AC14" s="842">
        <v>1</v>
      </c>
      <c r="AD14" s="843" t="s">
        <v>236</v>
      </c>
      <c r="AE14" s="447">
        <f t="shared" ref="AE14:AF30" si="10">AI14+AM14</f>
        <v>19</v>
      </c>
      <c r="AF14" s="1079">
        <f t="shared" si="10"/>
        <v>19</v>
      </c>
      <c r="AG14" s="448">
        <f t="shared" ref="AG14:AG30" si="11">AK14+AO14</f>
        <v>1982</v>
      </c>
      <c r="AH14" s="449">
        <f t="shared" ref="AH14:AH30" si="12">AL14+AP14</f>
        <v>1970</v>
      </c>
      <c r="AI14" s="434">
        <f>'Tab.2. l.d.m.m._Polska'!H60</f>
        <v>15</v>
      </c>
      <c r="AJ14" s="1090">
        <f>'Tab.2. l.d.m.m._Polska'!I60</f>
        <v>15</v>
      </c>
      <c r="AK14" s="435">
        <f>'Tab.2. l.d.m.m._Polska'!J60</f>
        <v>1770</v>
      </c>
      <c r="AL14" s="436">
        <f>'Tab.2. l.d.m.m._Polska'!K60</f>
        <v>1759</v>
      </c>
      <c r="AM14" s="491">
        <f>'Tab.2. l.d.m.m._Polska'!L60</f>
        <v>4</v>
      </c>
      <c r="AN14" s="1090">
        <f>'Tab.2. l.d.m.m._Polska'!M60</f>
        <v>4</v>
      </c>
      <c r="AO14" s="435">
        <f>'Tab.2. l.d.m.m._Polska'!N60</f>
        <v>212</v>
      </c>
      <c r="AP14" s="438">
        <f>'Tab.2. l.d.m.m._Polska'!O60</f>
        <v>211</v>
      </c>
      <c r="AQ14" s="842">
        <v>1</v>
      </c>
      <c r="AR14" s="843" t="s">
        <v>236</v>
      </c>
      <c r="AS14" s="447">
        <f t="shared" ref="AS14:AT30" si="13">AW14+BA14</f>
        <v>6</v>
      </c>
      <c r="AT14" s="1079">
        <f t="shared" si="13"/>
        <v>6</v>
      </c>
      <c r="AU14" s="448">
        <f t="shared" ref="AU14:AU30" si="14">AY14+BC14</f>
        <v>675</v>
      </c>
      <c r="AV14" s="449">
        <f t="shared" ref="AV14:AV30" si="15">AZ14+BD14</f>
        <v>675</v>
      </c>
      <c r="AW14" s="434">
        <f>'Tab.2. l.d.m.m._Polska'!H61</f>
        <v>5</v>
      </c>
      <c r="AX14" s="1090">
        <f>'Tab.2. l.d.m.m._Polska'!I61</f>
        <v>5</v>
      </c>
      <c r="AY14" s="435">
        <f>'Tab.2. l.d.m.m._Polska'!J61</f>
        <v>574</v>
      </c>
      <c r="AZ14" s="436">
        <f>'Tab.2. l.d.m.m._Polska'!K61</f>
        <v>574</v>
      </c>
      <c r="BA14" s="491">
        <f>'Tab.2. l.d.m.m._Polska'!L61</f>
        <v>1</v>
      </c>
      <c r="BB14" s="1090">
        <f>'Tab.2. l.d.m.m._Polska'!M61</f>
        <v>1</v>
      </c>
      <c r="BC14" s="435">
        <f>'Tab.2. l.d.m.m._Polska'!N61</f>
        <v>101</v>
      </c>
      <c r="BD14" s="438">
        <f>'Tab.2. l.d.m.m._Polska'!O61</f>
        <v>101</v>
      </c>
      <c r="BE14" s="842">
        <v>1</v>
      </c>
      <c r="BF14" s="843" t="s">
        <v>236</v>
      </c>
      <c r="BG14" s="447">
        <f t="shared" ref="BG14:BH30" si="16">BK14+BO14</f>
        <v>13</v>
      </c>
      <c r="BH14" s="1079">
        <f t="shared" si="16"/>
        <v>13</v>
      </c>
      <c r="BI14" s="448">
        <f t="shared" ref="BI14:BI30" si="17">BM14+BQ14</f>
        <v>1518</v>
      </c>
      <c r="BJ14" s="449">
        <f t="shared" ref="BJ14:BJ30" si="18">BN14+BR14</f>
        <v>1510</v>
      </c>
      <c r="BK14" s="847">
        <f>'Tab.2. l.d.m.m._Polska'!H62</f>
        <v>9</v>
      </c>
      <c r="BL14" s="1090">
        <f>'Tab.2. l.d.m.m._Polska'!I62</f>
        <v>9</v>
      </c>
      <c r="BM14" s="848">
        <f>'Tab.2. l.d.m.m._Polska'!J62</f>
        <v>1418</v>
      </c>
      <c r="BN14" s="849">
        <f>'Tab.2. l.d.m.m._Polska'!K62</f>
        <v>1410</v>
      </c>
      <c r="BO14" s="1081">
        <f>'Tab.2. l.d.m.m._Polska'!L62</f>
        <v>4</v>
      </c>
      <c r="BP14" s="1090">
        <f>'Tab.2. l.d.m.m._Polska'!M62</f>
        <v>4</v>
      </c>
      <c r="BQ14" s="848">
        <f>'Tab.2. l.d.m.m._Polska'!N62</f>
        <v>100</v>
      </c>
      <c r="BR14" s="850">
        <f>'Tab.2. l.d.m.m._Polska'!O62</f>
        <v>100</v>
      </c>
      <c r="BS14" s="842">
        <v>1</v>
      </c>
      <c r="BT14" s="843" t="s">
        <v>236</v>
      </c>
      <c r="BU14" s="447">
        <f t="shared" ref="BU14:BV30" si="19">BY14+CC14</f>
        <v>7</v>
      </c>
      <c r="BV14" s="1079">
        <f t="shared" si="19"/>
        <v>7</v>
      </c>
      <c r="BW14" s="448">
        <f t="shared" ref="BW14:BW30" si="20">CA14+CE14</f>
        <v>495</v>
      </c>
      <c r="BX14" s="449">
        <f t="shared" ref="BX14:BX30" si="21">CB14+CF14</f>
        <v>500</v>
      </c>
      <c r="BY14" s="847">
        <f>'Tab.2. l.d.m.m._Polska'!H63</f>
        <v>3</v>
      </c>
      <c r="BZ14" s="1090">
        <f>'Tab.2. l.d.m.m._Polska'!I63</f>
        <v>3</v>
      </c>
      <c r="CA14" s="848">
        <f>'Tab.2. l.d.m.m._Polska'!J63</f>
        <v>225</v>
      </c>
      <c r="CB14" s="849">
        <f>'Tab.2. l.d.m.m._Polska'!K63</f>
        <v>227</v>
      </c>
      <c r="CC14" s="1081">
        <f>'Tab.2. l.d.m.m._Polska'!L63</f>
        <v>4</v>
      </c>
      <c r="CD14" s="1090">
        <f>'Tab.2. l.d.m.m._Polska'!M63</f>
        <v>4</v>
      </c>
      <c r="CE14" s="848">
        <f>'Tab.2. l.d.m.m._Polska'!N63</f>
        <v>270</v>
      </c>
      <c r="CF14" s="850">
        <f>'Tab.2. l.d.m.m._Polska'!O63</f>
        <v>273</v>
      </c>
      <c r="CG14" s="842">
        <v>1</v>
      </c>
      <c r="CH14" s="843" t="s">
        <v>236</v>
      </c>
      <c r="CI14" s="447">
        <f t="shared" ref="CI14:CJ30" si="22">CM14+CQ14</f>
        <v>0</v>
      </c>
      <c r="CJ14" s="1079">
        <f t="shared" si="22"/>
        <v>0</v>
      </c>
      <c r="CK14" s="448">
        <f t="shared" ref="CK14:CK30" si="23">CO14+CS14</f>
        <v>0</v>
      </c>
      <c r="CL14" s="449">
        <f t="shared" ref="CL14:CL30" si="24">CP14+CT14</f>
        <v>0</v>
      </c>
      <c r="CM14" s="847">
        <f>'Tab.2. l.d.m.m._Polska'!H64</f>
        <v>0</v>
      </c>
      <c r="CN14" s="1090">
        <f>'Tab.2. l.d.m.m._Polska'!I64</f>
        <v>0</v>
      </c>
      <c r="CO14" s="848">
        <f>'Tab.2. l.d.m.m._Polska'!J64</f>
        <v>0</v>
      </c>
      <c r="CP14" s="849">
        <f>'Tab.2. l.d.m.m._Polska'!K64</f>
        <v>0</v>
      </c>
      <c r="CQ14" s="1081">
        <f>'Tab.2. l.d.m.m._Polska'!L64</f>
        <v>0</v>
      </c>
      <c r="CR14" s="1090">
        <f>'Tab.2. l.d.m.m._Polska'!M64</f>
        <v>0</v>
      </c>
      <c r="CS14" s="848">
        <f>'Tab.2. l.d.m.m._Polska'!N64</f>
        <v>0</v>
      </c>
      <c r="CT14" s="850">
        <f>'Tab.2. l.d.m.m._Polska'!O64</f>
        <v>0</v>
      </c>
      <c r="CU14" s="842">
        <v>1</v>
      </c>
      <c r="CV14" s="843" t="s">
        <v>236</v>
      </c>
      <c r="CW14" s="447">
        <f t="shared" ref="CW14:CX30" si="25">DA14+DE14</f>
        <v>2</v>
      </c>
      <c r="CX14" s="1079">
        <f t="shared" si="25"/>
        <v>2</v>
      </c>
      <c r="CY14" s="448">
        <f t="shared" ref="CX14:CY30" si="26">DC14+DG14</f>
        <v>199</v>
      </c>
      <c r="CZ14" s="449">
        <f t="shared" ref="CZ14:CZ30" si="27">DD14+DH14</f>
        <v>199</v>
      </c>
      <c r="DA14" s="847">
        <f>'Tab.2. l.d.m.m._Polska'!H65</f>
        <v>2</v>
      </c>
      <c r="DB14" s="1090">
        <f>'Tab.2. l.d.m.m._Polska'!I65</f>
        <v>2</v>
      </c>
      <c r="DC14" s="848">
        <f>'Tab.2. l.d.m.m._Polska'!J65</f>
        <v>199</v>
      </c>
      <c r="DD14" s="849">
        <f>'Tab.2. l.d.m.m._Polska'!K65</f>
        <v>199</v>
      </c>
      <c r="DE14" s="1081">
        <f>'Tab.2. l.d.m.m._Polska'!L65</f>
        <v>0</v>
      </c>
      <c r="DF14" s="1081">
        <f>'Tab.2. l.d.m.m._Polska'!M65</f>
        <v>0</v>
      </c>
      <c r="DG14" s="848">
        <f>'Tab.2. l.d.m.m._Polska'!N65</f>
        <v>0</v>
      </c>
      <c r="DH14" s="850">
        <f>'Tab.2. l.d.m.m._Polska'!O65</f>
        <v>0</v>
      </c>
      <c r="DI14" s="842">
        <v>1</v>
      </c>
      <c r="DJ14" s="843" t="s">
        <v>236</v>
      </c>
      <c r="DK14" s="447">
        <f t="shared" ref="DK14:DL30" si="28">DO14+DS14</f>
        <v>0</v>
      </c>
      <c r="DL14" s="1079">
        <f t="shared" si="28"/>
        <v>0</v>
      </c>
      <c r="DM14" s="448">
        <f t="shared" ref="DM14:DM30" si="29">DQ14+DU14</f>
        <v>0</v>
      </c>
      <c r="DN14" s="449">
        <f t="shared" ref="DN14:DN30" si="30">DR14+DV14</f>
        <v>0</v>
      </c>
      <c r="DO14" s="847">
        <f>'Tab.2. l.d.m.m._Polska'!H66</f>
        <v>0</v>
      </c>
      <c r="DP14" s="1090">
        <f>'Tab.2. l.d.m.m._Polska'!I66</f>
        <v>0</v>
      </c>
      <c r="DQ14" s="848">
        <f>'Tab.2. l.d.m.m._Polska'!J66</f>
        <v>0</v>
      </c>
      <c r="DR14" s="849">
        <f>'Tab.2. l.d.m.m._Polska'!K66</f>
        <v>0</v>
      </c>
      <c r="DS14" s="1081">
        <f>'Tab.2. l.d.m.m._Polska'!L66</f>
        <v>0</v>
      </c>
      <c r="DT14" s="1090">
        <f>'Tab.2. l.d.m.m._Polska'!M66</f>
        <v>0</v>
      </c>
      <c r="DU14" s="848">
        <f>'Tab.2. l.d.m.m._Polska'!N66</f>
        <v>0</v>
      </c>
      <c r="DV14" s="850">
        <f>'Tab.2. l.d.m.m._Polska'!O66</f>
        <v>0</v>
      </c>
      <c r="DW14" s="842">
        <v>1</v>
      </c>
      <c r="DX14" s="843" t="s">
        <v>236</v>
      </c>
      <c r="DY14" s="447">
        <f t="shared" ref="DY14:DZ30" si="31">EC14+EG14</f>
        <v>0</v>
      </c>
      <c r="DZ14" s="1079">
        <f t="shared" si="31"/>
        <v>0</v>
      </c>
      <c r="EA14" s="448">
        <f t="shared" ref="EA14:EA30" si="32">EE14+EI14</f>
        <v>0</v>
      </c>
      <c r="EB14" s="449">
        <f t="shared" ref="EB14:EB30" si="33">EF14+EJ14</f>
        <v>0</v>
      </c>
      <c r="EC14" s="847">
        <f>'Tab.2. l.d.m.m._Polska'!H67</f>
        <v>0</v>
      </c>
      <c r="ED14" s="1090">
        <f>'Tab.2. l.d.m.m._Polska'!I67</f>
        <v>0</v>
      </c>
      <c r="EE14" s="848">
        <f>'Tab.2. l.d.m.m._Polska'!J67</f>
        <v>0</v>
      </c>
      <c r="EF14" s="849">
        <f>'Tab.2. l.d.m.m._Polska'!K67</f>
        <v>0</v>
      </c>
      <c r="EG14" s="1081">
        <f>'Tab.2. l.d.m.m._Polska'!L67</f>
        <v>0</v>
      </c>
      <c r="EH14" s="1090">
        <f>'Tab.2. l.d.m.m._Polska'!M67</f>
        <v>0</v>
      </c>
      <c r="EI14" s="848">
        <f>'Tab.2. l.d.m.m._Polska'!N67</f>
        <v>0</v>
      </c>
      <c r="EJ14" s="850">
        <f>'Tab.2. l.d.m.m._Polska'!O67</f>
        <v>0</v>
      </c>
      <c r="EK14" s="842">
        <v>1</v>
      </c>
      <c r="EL14" s="843" t="s">
        <v>236</v>
      </c>
      <c r="EM14" s="447">
        <f t="shared" ref="EM14:EN30" si="34">EQ14+EU14</f>
        <v>1</v>
      </c>
      <c r="EN14" s="1079">
        <f t="shared" si="34"/>
        <v>1</v>
      </c>
      <c r="EO14" s="448">
        <f t="shared" ref="EO14:EO30" si="35">ES14+EW14</f>
        <v>102</v>
      </c>
      <c r="EP14" s="449">
        <f t="shared" ref="EP14:EP30" si="36">ET14+EX14</f>
        <v>102</v>
      </c>
      <c r="EQ14" s="847">
        <f>'Tab.2. l.d.m.m._Polska'!H68</f>
        <v>1</v>
      </c>
      <c r="ER14" s="1090">
        <f>'Tab.2. l.d.m.m._Polska'!I68</f>
        <v>1</v>
      </c>
      <c r="ES14" s="848">
        <f>'Tab.2. l.d.m.m._Polska'!J68</f>
        <v>102</v>
      </c>
      <c r="ET14" s="849">
        <f>'Tab.2. l.d.m.m._Polska'!K68</f>
        <v>102</v>
      </c>
      <c r="EU14" s="1081">
        <f>'Tab.2. l.d.m.m._Polska'!L68</f>
        <v>0</v>
      </c>
      <c r="EV14" s="1090">
        <f>'Tab.2. l.d.m.m._Polska'!M68</f>
        <v>0</v>
      </c>
      <c r="EW14" s="848">
        <f>'Tab.2. l.d.m.m._Polska'!N68</f>
        <v>0</v>
      </c>
      <c r="EX14" s="850">
        <f>'Tab.2. l.d.m.m._Polska'!O68</f>
        <v>0</v>
      </c>
    </row>
    <row r="15" spans="1:154" ht="15" customHeight="1" x14ac:dyDescent="0.2">
      <c r="A15" s="844">
        <v>2</v>
      </c>
      <c r="B15" s="845" t="s">
        <v>237</v>
      </c>
      <c r="C15" s="1307">
        <f t="shared" ref="C15:C29" si="37">Q15+AE15+AS15+BG15+BU15+CI15+CW15+DK15+DY15+EM15</f>
        <v>48</v>
      </c>
      <c r="D15" s="1308" t="str">
        <f>'Tab.2. l.d.m.m._Polska'!E93&amp;" ("&amp;R15+AF15+AT15+BH15+BV15+CJ15+CX15+DL15+DZ15+EN15&amp;")"</f>
        <v>48 (48)</v>
      </c>
      <c r="E15" s="1309">
        <f t="shared" si="0"/>
        <v>3987</v>
      </c>
      <c r="F15" s="1310">
        <f t="shared" si="1"/>
        <v>3883</v>
      </c>
      <c r="G15" s="1307">
        <f t="shared" ref="G15:G29" si="38">U15+AI15+AW15+BK15+BY15+CM15+DA15+DO15+EC15+EQ15</f>
        <v>41</v>
      </c>
      <c r="H15" s="1324">
        <f>V15+AJ15+AX15+BL15+BZ15+CN15+DB15+DP15+ED15+ER15</f>
        <v>41</v>
      </c>
      <c r="I15" s="1309">
        <f t="shared" si="2"/>
        <v>3540</v>
      </c>
      <c r="J15" s="1310">
        <f t="shared" si="3"/>
        <v>3445</v>
      </c>
      <c r="K15" s="1307">
        <f t="shared" si="4"/>
        <v>7</v>
      </c>
      <c r="L15" s="1091">
        <f t="shared" si="4"/>
        <v>7</v>
      </c>
      <c r="M15" s="1309">
        <f t="shared" si="5"/>
        <v>447</v>
      </c>
      <c r="N15" s="1320">
        <f t="shared" si="6"/>
        <v>438</v>
      </c>
      <c r="O15" s="844">
        <v>2</v>
      </c>
      <c r="P15" s="845" t="s">
        <v>237</v>
      </c>
      <c r="Q15" s="450">
        <f t="shared" si="7"/>
        <v>9</v>
      </c>
      <c r="R15" s="484">
        <f t="shared" si="7"/>
        <v>9</v>
      </c>
      <c r="S15" s="451">
        <f t="shared" si="8"/>
        <v>598</v>
      </c>
      <c r="T15" s="452">
        <f t="shared" si="9"/>
        <v>589</v>
      </c>
      <c r="U15" s="440">
        <f>'Tab.2. l.d.m.m._Polska'!H95</f>
        <v>8</v>
      </c>
      <c r="V15" s="1094">
        <f>'Tab.2. l.d.m.m._Polska'!I95</f>
        <v>8</v>
      </c>
      <c r="W15" s="471">
        <f>'Tab.2. l.d.m.m._Polska'!J95</f>
        <v>549</v>
      </c>
      <c r="X15" s="442">
        <f>'Tab.2. l.d.m.m._Polska'!K95</f>
        <v>544</v>
      </c>
      <c r="Y15" s="472">
        <f>'Tab.2. l.d.m.m._Polska'!L95</f>
        <v>1</v>
      </c>
      <c r="Z15" s="1094">
        <f>'Tab.2. l.d.m.m._Polska'!M95</f>
        <v>1</v>
      </c>
      <c r="AA15" s="441">
        <f>'Tab.2. l.d.m.m._Polska'!N95</f>
        <v>49</v>
      </c>
      <c r="AB15" s="444">
        <f>'Tab.2. l.d.m.m._Polska'!O95</f>
        <v>45</v>
      </c>
      <c r="AC15" s="844">
        <v>2</v>
      </c>
      <c r="AD15" s="845" t="s">
        <v>237</v>
      </c>
      <c r="AE15" s="450">
        <f t="shared" si="10"/>
        <v>11</v>
      </c>
      <c r="AF15" s="484">
        <f t="shared" si="10"/>
        <v>11</v>
      </c>
      <c r="AG15" s="451">
        <f t="shared" si="11"/>
        <v>937</v>
      </c>
      <c r="AH15" s="452">
        <f t="shared" si="12"/>
        <v>917</v>
      </c>
      <c r="AI15" s="440">
        <f>'Tab.2. l.d.m.m._Polska'!H96</f>
        <v>10</v>
      </c>
      <c r="AJ15" s="1091">
        <f>'Tab.2. l.d.m.m._Polska'!I96</f>
        <v>10</v>
      </c>
      <c r="AK15" s="441">
        <f>'Tab.2. l.d.m.m._Polska'!J96</f>
        <v>864</v>
      </c>
      <c r="AL15" s="442">
        <f>'Tab.2. l.d.m.m._Polska'!K96</f>
        <v>848</v>
      </c>
      <c r="AM15" s="472">
        <f>'Tab.2. l.d.m.m._Polska'!L96</f>
        <v>1</v>
      </c>
      <c r="AN15" s="1091">
        <f>'Tab.2. l.d.m.m._Polska'!M96</f>
        <v>1</v>
      </c>
      <c r="AO15" s="441">
        <f>'Tab.2. l.d.m.m._Polska'!N96</f>
        <v>73</v>
      </c>
      <c r="AP15" s="444">
        <f>'Tab.2. l.d.m.m._Polska'!O96</f>
        <v>69</v>
      </c>
      <c r="AQ15" s="844">
        <v>2</v>
      </c>
      <c r="AR15" s="845" t="s">
        <v>237</v>
      </c>
      <c r="AS15" s="450">
        <f t="shared" si="13"/>
        <v>11</v>
      </c>
      <c r="AT15" s="484">
        <f t="shared" si="13"/>
        <v>11</v>
      </c>
      <c r="AU15" s="451">
        <f t="shared" si="14"/>
        <v>1118</v>
      </c>
      <c r="AV15" s="452">
        <f t="shared" si="15"/>
        <v>1098</v>
      </c>
      <c r="AW15" s="440">
        <f>'Tab.2. l.d.m.m._Polska'!H97</f>
        <v>11</v>
      </c>
      <c r="AX15" s="1091">
        <f>'Tab.2. l.d.m.m._Polska'!I97</f>
        <v>11</v>
      </c>
      <c r="AY15" s="441">
        <f>'Tab.2. l.d.m.m._Polska'!J97</f>
        <v>1118</v>
      </c>
      <c r="AZ15" s="442">
        <f>'Tab.2. l.d.m.m._Polska'!K97</f>
        <v>1098</v>
      </c>
      <c r="BA15" s="472">
        <f>'Tab.2. l.d.m.m._Polska'!L97</f>
        <v>0</v>
      </c>
      <c r="BB15" s="1091">
        <f>'Tab.2. l.d.m.m._Polska'!M97</f>
        <v>0</v>
      </c>
      <c r="BC15" s="441">
        <f>'Tab.2. l.d.m.m._Polska'!N97</f>
        <v>0</v>
      </c>
      <c r="BD15" s="444">
        <f>'Tab.2. l.d.m.m._Polska'!O97</f>
        <v>0</v>
      </c>
      <c r="BE15" s="844">
        <v>2</v>
      </c>
      <c r="BF15" s="845" t="s">
        <v>237</v>
      </c>
      <c r="BG15" s="450">
        <f t="shared" si="16"/>
        <v>11</v>
      </c>
      <c r="BH15" s="484">
        <f t="shared" si="16"/>
        <v>11</v>
      </c>
      <c r="BI15" s="451">
        <f t="shared" si="17"/>
        <v>848</v>
      </c>
      <c r="BJ15" s="452">
        <f t="shared" si="18"/>
        <v>794</v>
      </c>
      <c r="BK15" s="851">
        <f>'Tab.2. l.d.m.m._Polska'!H98</f>
        <v>9</v>
      </c>
      <c r="BL15" s="1091">
        <f>'Tab.2. l.d.m.m._Polska'!I98</f>
        <v>9</v>
      </c>
      <c r="BM15" s="852">
        <f>'Tab.2. l.d.m.m._Polska'!J98</f>
        <v>753</v>
      </c>
      <c r="BN15" s="853">
        <f>'Tab.2. l.d.m.m._Polska'!K98</f>
        <v>699</v>
      </c>
      <c r="BO15" s="878">
        <f>'Tab.2. l.d.m.m._Polska'!L98</f>
        <v>2</v>
      </c>
      <c r="BP15" s="1091">
        <f>'Tab.2. l.d.m.m._Polska'!M98</f>
        <v>2</v>
      </c>
      <c r="BQ15" s="852">
        <f>'Tab.2. l.d.m.m._Polska'!N98</f>
        <v>95</v>
      </c>
      <c r="BR15" s="854">
        <f>'Tab.2. l.d.m.m._Polska'!O98</f>
        <v>95</v>
      </c>
      <c r="BS15" s="844">
        <v>2</v>
      </c>
      <c r="BT15" s="845" t="s">
        <v>237</v>
      </c>
      <c r="BU15" s="450">
        <f t="shared" si="19"/>
        <v>3</v>
      </c>
      <c r="BV15" s="484">
        <f t="shared" si="19"/>
        <v>3</v>
      </c>
      <c r="BW15" s="451">
        <f t="shared" si="20"/>
        <v>176</v>
      </c>
      <c r="BX15" s="452">
        <f t="shared" si="21"/>
        <v>177</v>
      </c>
      <c r="BY15" s="851">
        <f>'Tab.2. l.d.m.m._Polska'!H99</f>
        <v>1</v>
      </c>
      <c r="BZ15" s="1091">
        <f>'Tab.2. l.d.m.m._Polska'!I99</f>
        <v>1</v>
      </c>
      <c r="CA15" s="852">
        <f>'Tab.2. l.d.m.m._Polska'!J99</f>
        <v>56</v>
      </c>
      <c r="CB15" s="853">
        <f>'Tab.2. l.d.m.m._Polska'!K99</f>
        <v>56</v>
      </c>
      <c r="CC15" s="878">
        <f>'Tab.2. l.d.m.m._Polska'!L99</f>
        <v>2</v>
      </c>
      <c r="CD15" s="1091">
        <f>'Tab.2. l.d.m.m._Polska'!M99</f>
        <v>2</v>
      </c>
      <c r="CE15" s="852">
        <f>'Tab.2. l.d.m.m._Polska'!N99</f>
        <v>120</v>
      </c>
      <c r="CF15" s="854">
        <f>'Tab.2. l.d.m.m._Polska'!O99</f>
        <v>121</v>
      </c>
      <c r="CG15" s="844">
        <v>2</v>
      </c>
      <c r="CH15" s="845" t="s">
        <v>237</v>
      </c>
      <c r="CI15" s="450">
        <f t="shared" si="22"/>
        <v>1</v>
      </c>
      <c r="CJ15" s="484">
        <f t="shared" si="22"/>
        <v>1</v>
      </c>
      <c r="CK15" s="451">
        <f t="shared" si="23"/>
        <v>80</v>
      </c>
      <c r="CL15" s="452">
        <f t="shared" si="24"/>
        <v>80</v>
      </c>
      <c r="CM15" s="851">
        <f>'Tab.2. l.d.m.m._Polska'!H100</f>
        <v>1</v>
      </c>
      <c r="CN15" s="1091">
        <f>'Tab.2. l.d.m.m._Polska'!I100</f>
        <v>1</v>
      </c>
      <c r="CO15" s="852">
        <f>'Tab.2. l.d.m.m._Polska'!J100</f>
        <v>80</v>
      </c>
      <c r="CP15" s="853">
        <f>'Tab.2. l.d.m.m._Polska'!K100</f>
        <v>80</v>
      </c>
      <c r="CQ15" s="878">
        <f>'Tab.2. l.d.m.m._Polska'!L100</f>
        <v>0</v>
      </c>
      <c r="CR15" s="1091">
        <f>'Tab.2. l.d.m.m._Polska'!M100</f>
        <v>0</v>
      </c>
      <c r="CS15" s="852">
        <f>'Tab.2. l.d.m.m._Polska'!N100</f>
        <v>0</v>
      </c>
      <c r="CT15" s="854">
        <f>'Tab.2. l.d.m.m._Polska'!O100</f>
        <v>0</v>
      </c>
      <c r="CU15" s="844">
        <v>2</v>
      </c>
      <c r="CV15" s="845" t="s">
        <v>237</v>
      </c>
      <c r="CW15" s="450">
        <f t="shared" si="25"/>
        <v>1</v>
      </c>
      <c r="CX15" s="484">
        <f t="shared" si="25"/>
        <v>1</v>
      </c>
      <c r="CY15" s="451">
        <f t="shared" si="26"/>
        <v>120</v>
      </c>
      <c r="CZ15" s="452">
        <f t="shared" si="27"/>
        <v>120</v>
      </c>
      <c r="DA15" s="851">
        <f>'Tab.2. l.d.m.m._Polska'!H101</f>
        <v>1</v>
      </c>
      <c r="DB15" s="1091">
        <f>'Tab.2. l.d.m.m._Polska'!I101</f>
        <v>1</v>
      </c>
      <c r="DC15" s="852">
        <f>'Tab.2. l.d.m.m._Polska'!J101</f>
        <v>120</v>
      </c>
      <c r="DD15" s="853">
        <f>'Tab.2. l.d.m.m._Polska'!K101</f>
        <v>120</v>
      </c>
      <c r="DE15" s="878">
        <f>'Tab.2. l.d.m.m._Polska'!L101</f>
        <v>0</v>
      </c>
      <c r="DF15" s="878">
        <f>'Tab.2. l.d.m.m._Polska'!M101</f>
        <v>0</v>
      </c>
      <c r="DG15" s="852">
        <f>'Tab.2. l.d.m.m._Polska'!N101</f>
        <v>0</v>
      </c>
      <c r="DH15" s="854">
        <f>'Tab.2. l.d.m.m._Polska'!O101</f>
        <v>0</v>
      </c>
      <c r="DI15" s="844">
        <v>2</v>
      </c>
      <c r="DJ15" s="845" t="s">
        <v>237</v>
      </c>
      <c r="DK15" s="450">
        <f t="shared" si="28"/>
        <v>0</v>
      </c>
      <c r="DL15" s="484">
        <f t="shared" si="28"/>
        <v>0</v>
      </c>
      <c r="DM15" s="451">
        <f t="shared" si="29"/>
        <v>0</v>
      </c>
      <c r="DN15" s="452">
        <f t="shared" si="30"/>
        <v>0</v>
      </c>
      <c r="DO15" s="851">
        <f>'Tab.2. l.d.m.m._Polska'!H102</f>
        <v>0</v>
      </c>
      <c r="DP15" s="1091">
        <f>'Tab.2. l.d.m.m._Polska'!I102</f>
        <v>0</v>
      </c>
      <c r="DQ15" s="852">
        <f>'Tab.2. l.d.m.m._Polska'!J102</f>
        <v>0</v>
      </c>
      <c r="DR15" s="853">
        <f>'Tab.2. l.d.m.m._Polska'!K102</f>
        <v>0</v>
      </c>
      <c r="DS15" s="878">
        <f>'Tab.2. l.d.m.m._Polska'!L102</f>
        <v>0</v>
      </c>
      <c r="DT15" s="1091">
        <f>'Tab.2. l.d.m.m._Polska'!M102</f>
        <v>0</v>
      </c>
      <c r="DU15" s="852">
        <f>'Tab.2. l.d.m.m._Polska'!N102</f>
        <v>0</v>
      </c>
      <c r="DV15" s="854">
        <f>'Tab.2. l.d.m.m._Polska'!O102</f>
        <v>0</v>
      </c>
      <c r="DW15" s="844">
        <v>2</v>
      </c>
      <c r="DX15" s="845" t="s">
        <v>237</v>
      </c>
      <c r="DY15" s="450">
        <f t="shared" si="31"/>
        <v>0</v>
      </c>
      <c r="DZ15" s="484">
        <f t="shared" si="31"/>
        <v>0</v>
      </c>
      <c r="EA15" s="451">
        <f t="shared" si="32"/>
        <v>0</v>
      </c>
      <c r="EB15" s="452">
        <f t="shared" si="33"/>
        <v>0</v>
      </c>
      <c r="EC15" s="851">
        <f>'Tab.2. l.d.m.m._Polska'!H103</f>
        <v>0</v>
      </c>
      <c r="ED15" s="1091">
        <f>'Tab.2. l.d.m.m._Polska'!I103</f>
        <v>0</v>
      </c>
      <c r="EE15" s="852">
        <f>'Tab.2. l.d.m.m._Polska'!J103</f>
        <v>0</v>
      </c>
      <c r="EF15" s="853">
        <f>'Tab.2. l.d.m.m._Polska'!K103</f>
        <v>0</v>
      </c>
      <c r="EG15" s="878">
        <f>'Tab.2. l.d.m.m._Polska'!L103</f>
        <v>0</v>
      </c>
      <c r="EH15" s="1091">
        <f>'Tab.2. l.d.m.m._Polska'!M103</f>
        <v>0</v>
      </c>
      <c r="EI15" s="852">
        <f>'Tab.2. l.d.m.m._Polska'!N103</f>
        <v>0</v>
      </c>
      <c r="EJ15" s="854">
        <f>'Tab.2. l.d.m.m._Polska'!O103</f>
        <v>0</v>
      </c>
      <c r="EK15" s="844">
        <v>2</v>
      </c>
      <c r="EL15" s="845" t="s">
        <v>237</v>
      </c>
      <c r="EM15" s="450">
        <f t="shared" si="34"/>
        <v>1</v>
      </c>
      <c r="EN15" s="484">
        <f t="shared" si="34"/>
        <v>1</v>
      </c>
      <c r="EO15" s="451">
        <f t="shared" si="35"/>
        <v>110</v>
      </c>
      <c r="EP15" s="452">
        <f t="shared" si="36"/>
        <v>108</v>
      </c>
      <c r="EQ15" s="851">
        <f>'Tab.2. l.d.m.m._Polska'!H104</f>
        <v>0</v>
      </c>
      <c r="ER15" s="1091">
        <f>'Tab.2. l.d.m.m._Polska'!I104</f>
        <v>0</v>
      </c>
      <c r="ES15" s="852">
        <f>'Tab.2. l.d.m.m._Polska'!J104</f>
        <v>0</v>
      </c>
      <c r="ET15" s="853">
        <f>'Tab.2. l.d.m.m._Polska'!K104</f>
        <v>0</v>
      </c>
      <c r="EU15" s="878">
        <f>'Tab.2. l.d.m.m._Polska'!L104</f>
        <v>1</v>
      </c>
      <c r="EV15" s="1091">
        <f>'Tab.2. l.d.m.m._Polska'!M104</f>
        <v>1</v>
      </c>
      <c r="EW15" s="852">
        <f>'Tab.2. l.d.m.m._Polska'!N104</f>
        <v>110</v>
      </c>
      <c r="EX15" s="854">
        <f>'Tab.2. l.d.m.m._Polska'!O104</f>
        <v>108</v>
      </c>
    </row>
    <row r="16" spans="1:154" ht="15" customHeight="1" x14ac:dyDescent="0.2">
      <c r="A16" s="844">
        <v>3</v>
      </c>
      <c r="B16" s="845" t="s">
        <v>238</v>
      </c>
      <c r="C16" s="1307">
        <f t="shared" si="37"/>
        <v>44</v>
      </c>
      <c r="D16" s="1308" t="str">
        <f>'Tab.2. l.d.m.m._Polska'!E129&amp;" ("&amp;R16+AF16+AT16+BH16+BV16+CJ16+CX16+DL16+DZ16+EN16&amp;")"</f>
        <v>44 (56)</v>
      </c>
      <c r="E16" s="1309">
        <f t="shared" si="0"/>
        <v>4437</v>
      </c>
      <c r="F16" s="1310">
        <f t="shared" si="1"/>
        <v>4322</v>
      </c>
      <c r="G16" s="1307">
        <f t="shared" si="38"/>
        <v>37</v>
      </c>
      <c r="H16" s="1324">
        <f t="shared" ref="H16:H29" si="39">V16+AJ16+AX16+BL16+BZ16+CN16+DB16+DP16+ED16+ER16</f>
        <v>49</v>
      </c>
      <c r="I16" s="1309">
        <f t="shared" si="2"/>
        <v>4073</v>
      </c>
      <c r="J16" s="1310">
        <f t="shared" si="3"/>
        <v>3969</v>
      </c>
      <c r="K16" s="1307">
        <f t="shared" si="4"/>
        <v>7</v>
      </c>
      <c r="L16" s="1091">
        <f t="shared" si="4"/>
        <v>7</v>
      </c>
      <c r="M16" s="1309">
        <f t="shared" si="5"/>
        <v>364</v>
      </c>
      <c r="N16" s="1320">
        <f t="shared" si="6"/>
        <v>353</v>
      </c>
      <c r="O16" s="844">
        <v>3</v>
      </c>
      <c r="P16" s="845" t="s">
        <v>238</v>
      </c>
      <c r="Q16" s="450">
        <f t="shared" si="7"/>
        <v>5</v>
      </c>
      <c r="R16" s="484">
        <f t="shared" si="7"/>
        <v>6</v>
      </c>
      <c r="S16" s="451">
        <f t="shared" si="8"/>
        <v>378</v>
      </c>
      <c r="T16" s="452">
        <f t="shared" si="9"/>
        <v>344</v>
      </c>
      <c r="U16" s="440">
        <f>'Tab.2. l.d.m.m._Polska'!H131</f>
        <v>3</v>
      </c>
      <c r="V16" s="1091">
        <f>'Tab.2. l.d.m.m._Polska'!I131</f>
        <v>4</v>
      </c>
      <c r="W16" s="441">
        <f>'Tab.2. l.d.m.m._Polska'!J131</f>
        <v>317</v>
      </c>
      <c r="X16" s="442">
        <f>'Tab.2. l.d.m.m._Polska'!K131</f>
        <v>290</v>
      </c>
      <c r="Y16" s="472">
        <f>'Tab.2. l.d.m.m._Polska'!L131</f>
        <v>2</v>
      </c>
      <c r="Z16" s="1094">
        <f>'Tab.2. l.d.m.m._Polska'!M131</f>
        <v>2</v>
      </c>
      <c r="AA16" s="441">
        <f>'Tab.2. l.d.m.m._Polska'!N131</f>
        <v>61</v>
      </c>
      <c r="AB16" s="444">
        <f>'Tab.2. l.d.m.m._Polska'!O131</f>
        <v>54</v>
      </c>
      <c r="AC16" s="844">
        <v>3</v>
      </c>
      <c r="AD16" s="845" t="s">
        <v>238</v>
      </c>
      <c r="AE16" s="450">
        <f t="shared" si="10"/>
        <v>2</v>
      </c>
      <c r="AF16" s="484">
        <f t="shared" si="10"/>
        <v>4</v>
      </c>
      <c r="AG16" s="451">
        <f t="shared" si="11"/>
        <v>242</v>
      </c>
      <c r="AH16" s="452">
        <f t="shared" si="12"/>
        <v>257</v>
      </c>
      <c r="AI16" s="440">
        <f>'Tab.2. l.d.m.m._Polska'!H132</f>
        <v>2</v>
      </c>
      <c r="AJ16" s="1091">
        <f>'Tab.2. l.d.m.m._Polska'!I132</f>
        <v>4</v>
      </c>
      <c r="AK16" s="441">
        <f>'Tab.2. l.d.m.m._Polska'!J132</f>
        <v>242</v>
      </c>
      <c r="AL16" s="442">
        <f>'Tab.2. l.d.m.m._Polska'!K132</f>
        <v>257</v>
      </c>
      <c r="AM16" s="472">
        <f>'Tab.2. l.d.m.m._Polska'!L132</f>
        <v>0</v>
      </c>
      <c r="AN16" s="1091">
        <f>'Tab.2. l.d.m.m._Polska'!M132</f>
        <v>0</v>
      </c>
      <c r="AO16" s="441">
        <f>'Tab.2. l.d.m.m._Polska'!N132</f>
        <v>0</v>
      </c>
      <c r="AP16" s="444">
        <f>'Tab.2. l.d.m.m._Polska'!O132</f>
        <v>0</v>
      </c>
      <c r="AQ16" s="844">
        <v>3</v>
      </c>
      <c r="AR16" s="845" t="s">
        <v>238</v>
      </c>
      <c r="AS16" s="450">
        <f t="shared" si="13"/>
        <v>8</v>
      </c>
      <c r="AT16" s="484">
        <f t="shared" si="13"/>
        <v>12</v>
      </c>
      <c r="AU16" s="451">
        <f t="shared" si="14"/>
        <v>726</v>
      </c>
      <c r="AV16" s="452">
        <f t="shared" si="15"/>
        <v>745</v>
      </c>
      <c r="AW16" s="440">
        <f>'Tab.2. l.d.m.m._Polska'!H133</f>
        <v>8</v>
      </c>
      <c r="AX16" s="1091">
        <f>'Tab.2. l.d.m.m._Polska'!I133</f>
        <v>12</v>
      </c>
      <c r="AY16" s="441">
        <f>'Tab.2. l.d.m.m._Polska'!J133</f>
        <v>726</v>
      </c>
      <c r="AZ16" s="442">
        <f>'Tab.2. l.d.m.m._Polska'!K133</f>
        <v>745</v>
      </c>
      <c r="BA16" s="472">
        <f>'Tab.2. l.d.m.m._Polska'!L133</f>
        <v>0</v>
      </c>
      <c r="BB16" s="1091">
        <f>'Tab.2. l.d.m.m._Polska'!M133</f>
        <v>0</v>
      </c>
      <c r="BC16" s="441">
        <f>'Tab.2. l.d.m.m._Polska'!N133</f>
        <v>0</v>
      </c>
      <c r="BD16" s="444">
        <f>'Tab.2. l.d.m.m._Polska'!O133</f>
        <v>0</v>
      </c>
      <c r="BE16" s="844">
        <v>3</v>
      </c>
      <c r="BF16" s="845" t="s">
        <v>238</v>
      </c>
      <c r="BG16" s="450">
        <f t="shared" si="16"/>
        <v>8</v>
      </c>
      <c r="BH16" s="484">
        <f t="shared" si="16"/>
        <v>11</v>
      </c>
      <c r="BI16" s="451">
        <f t="shared" si="17"/>
        <v>899</v>
      </c>
      <c r="BJ16" s="452">
        <f t="shared" si="18"/>
        <v>876</v>
      </c>
      <c r="BK16" s="851">
        <f>'Tab.2. l.d.m.m._Polska'!H134</f>
        <v>8</v>
      </c>
      <c r="BL16" s="1091">
        <f>'Tab.2. l.d.m.m._Polska'!I134</f>
        <v>11</v>
      </c>
      <c r="BM16" s="852">
        <f>'Tab.2. l.d.m.m._Polska'!J134</f>
        <v>899</v>
      </c>
      <c r="BN16" s="853">
        <f>'Tab.2. l.d.m.m._Polska'!K134</f>
        <v>876</v>
      </c>
      <c r="BO16" s="878">
        <f>'Tab.2. l.d.m.m._Polska'!L134</f>
        <v>0</v>
      </c>
      <c r="BP16" s="1091">
        <f>'Tab.2. l.d.m.m._Polska'!M134</f>
        <v>0</v>
      </c>
      <c r="BQ16" s="852">
        <f>'Tab.2. l.d.m.m._Polska'!N134</f>
        <v>0</v>
      </c>
      <c r="BR16" s="854">
        <f>'Tab.2. l.d.m.m._Polska'!O134</f>
        <v>0</v>
      </c>
      <c r="BS16" s="844">
        <v>3</v>
      </c>
      <c r="BT16" s="845" t="s">
        <v>238</v>
      </c>
      <c r="BU16" s="450">
        <f t="shared" si="19"/>
        <v>4</v>
      </c>
      <c r="BV16" s="484">
        <f t="shared" si="19"/>
        <v>6</v>
      </c>
      <c r="BW16" s="451">
        <f t="shared" si="20"/>
        <v>333</v>
      </c>
      <c r="BX16" s="452">
        <f t="shared" si="21"/>
        <v>324</v>
      </c>
      <c r="BY16" s="851">
        <f>'Tab.2. l.d.m.m._Polska'!H135</f>
        <v>3</v>
      </c>
      <c r="BZ16" s="1091">
        <f>'Tab.2. l.d.m.m._Polska'!I135</f>
        <v>5</v>
      </c>
      <c r="CA16" s="852">
        <f>'Tab.2. l.d.m.m._Polska'!J135</f>
        <v>273</v>
      </c>
      <c r="CB16" s="853">
        <f>'Tab.2. l.d.m.m._Polska'!K135</f>
        <v>261</v>
      </c>
      <c r="CC16" s="878">
        <f>'Tab.2. l.d.m.m._Polska'!L135</f>
        <v>1</v>
      </c>
      <c r="CD16" s="1091">
        <f>'Tab.2. l.d.m.m._Polska'!M135</f>
        <v>1</v>
      </c>
      <c r="CE16" s="852">
        <f>'Tab.2. l.d.m.m._Polska'!N135</f>
        <v>60</v>
      </c>
      <c r="CF16" s="854">
        <f>'Tab.2. l.d.m.m._Polska'!O135</f>
        <v>63</v>
      </c>
      <c r="CG16" s="844">
        <v>3</v>
      </c>
      <c r="CH16" s="845" t="s">
        <v>238</v>
      </c>
      <c r="CI16" s="450">
        <f t="shared" si="22"/>
        <v>2</v>
      </c>
      <c r="CJ16" s="484">
        <f t="shared" si="22"/>
        <v>2</v>
      </c>
      <c r="CK16" s="451">
        <f t="shared" si="23"/>
        <v>168</v>
      </c>
      <c r="CL16" s="452">
        <f t="shared" si="24"/>
        <v>166</v>
      </c>
      <c r="CM16" s="851">
        <f>'Tab.2. l.d.m.m._Polska'!H136</f>
        <v>1</v>
      </c>
      <c r="CN16" s="1091">
        <f>'Tab.2. l.d.m.m._Polska'!I136</f>
        <v>1</v>
      </c>
      <c r="CO16" s="852">
        <f>'Tab.2. l.d.m.m._Polska'!J136</f>
        <v>98</v>
      </c>
      <c r="CP16" s="853">
        <f>'Tab.2. l.d.m.m._Polska'!K136</f>
        <v>97</v>
      </c>
      <c r="CQ16" s="878">
        <f>'Tab.2. l.d.m.m._Polska'!L136</f>
        <v>1</v>
      </c>
      <c r="CR16" s="1091">
        <f>'Tab.2. l.d.m.m._Polska'!M136</f>
        <v>1</v>
      </c>
      <c r="CS16" s="852">
        <f>'Tab.2. l.d.m.m._Polska'!N136</f>
        <v>70</v>
      </c>
      <c r="CT16" s="854">
        <f>'Tab.2. l.d.m.m._Polska'!O136</f>
        <v>69</v>
      </c>
      <c r="CU16" s="844">
        <v>3</v>
      </c>
      <c r="CV16" s="845" t="s">
        <v>238</v>
      </c>
      <c r="CW16" s="450">
        <f t="shared" si="25"/>
        <v>11</v>
      </c>
      <c r="CX16" s="484">
        <f t="shared" si="25"/>
        <v>11</v>
      </c>
      <c r="CY16" s="451">
        <f t="shared" si="26"/>
        <v>1166</v>
      </c>
      <c r="CZ16" s="452">
        <f t="shared" si="27"/>
        <v>1144</v>
      </c>
      <c r="DA16" s="851">
        <f>'Tab.2. l.d.m.m._Polska'!H137</f>
        <v>9</v>
      </c>
      <c r="DB16" s="1091">
        <f>'Tab.2. l.d.m.m._Polska'!I137</f>
        <v>9</v>
      </c>
      <c r="DC16" s="852">
        <f>'Tab.2. l.d.m.m._Polska'!J137</f>
        <v>1045</v>
      </c>
      <c r="DD16" s="853">
        <f>'Tab.2. l.d.m.m._Polska'!K137</f>
        <v>1029</v>
      </c>
      <c r="DE16" s="878">
        <f>'Tab.2. l.d.m.m._Polska'!L137</f>
        <v>2</v>
      </c>
      <c r="DF16" s="878">
        <f>'Tab.2. l.d.m.m._Polska'!M137</f>
        <v>2</v>
      </c>
      <c r="DG16" s="852">
        <f>'Tab.2. l.d.m.m._Polska'!N137</f>
        <v>121</v>
      </c>
      <c r="DH16" s="854">
        <f>'Tab.2. l.d.m.m._Polska'!O137</f>
        <v>115</v>
      </c>
      <c r="DI16" s="844">
        <v>3</v>
      </c>
      <c r="DJ16" s="845" t="s">
        <v>238</v>
      </c>
      <c r="DK16" s="450">
        <f t="shared" si="28"/>
        <v>0</v>
      </c>
      <c r="DL16" s="484">
        <f t="shared" si="28"/>
        <v>0</v>
      </c>
      <c r="DM16" s="451">
        <f t="shared" si="29"/>
        <v>0</v>
      </c>
      <c r="DN16" s="452">
        <f t="shared" si="30"/>
        <v>0</v>
      </c>
      <c r="DO16" s="851">
        <f>'Tab.2. l.d.m.m._Polska'!H138</f>
        <v>0</v>
      </c>
      <c r="DP16" s="1091">
        <f>'Tab.2. l.d.m.m._Polska'!I138</f>
        <v>0</v>
      </c>
      <c r="DQ16" s="852">
        <f>'Tab.2. l.d.m.m._Polska'!J138</f>
        <v>0</v>
      </c>
      <c r="DR16" s="853">
        <f>'Tab.2. l.d.m.m._Polska'!K138</f>
        <v>0</v>
      </c>
      <c r="DS16" s="878">
        <f>'Tab.2. l.d.m.m._Polska'!L138</f>
        <v>0</v>
      </c>
      <c r="DT16" s="1091">
        <f>'Tab.2. l.d.m.m._Polska'!M138</f>
        <v>0</v>
      </c>
      <c r="DU16" s="852">
        <f>'Tab.2. l.d.m.m._Polska'!N138</f>
        <v>0</v>
      </c>
      <c r="DV16" s="854">
        <f>'Tab.2. l.d.m.m._Polska'!O138</f>
        <v>0</v>
      </c>
      <c r="DW16" s="844">
        <v>3</v>
      </c>
      <c r="DX16" s="845" t="s">
        <v>238</v>
      </c>
      <c r="DY16" s="450">
        <f t="shared" si="31"/>
        <v>2</v>
      </c>
      <c r="DZ16" s="484">
        <f t="shared" si="31"/>
        <v>2</v>
      </c>
      <c r="EA16" s="451">
        <f t="shared" si="32"/>
        <v>308</v>
      </c>
      <c r="EB16" s="452">
        <f t="shared" si="33"/>
        <v>257</v>
      </c>
      <c r="EC16" s="851">
        <f>'Tab.2. l.d.m.m._Polska'!H139</f>
        <v>2</v>
      </c>
      <c r="ED16" s="1091">
        <f>'Tab.2. l.d.m.m._Polska'!I139</f>
        <v>2</v>
      </c>
      <c r="EE16" s="852">
        <f>'Tab.2. l.d.m.m._Polska'!J139</f>
        <v>308</v>
      </c>
      <c r="EF16" s="853">
        <f>'Tab.2. l.d.m.m._Polska'!K139</f>
        <v>257</v>
      </c>
      <c r="EG16" s="878">
        <f>'Tab.2. l.d.m.m._Polska'!L139</f>
        <v>0</v>
      </c>
      <c r="EH16" s="1091">
        <f>'Tab.2. l.d.m.m._Polska'!M139</f>
        <v>0</v>
      </c>
      <c r="EI16" s="852">
        <f>'Tab.2. l.d.m.m._Polska'!N139</f>
        <v>0</v>
      </c>
      <c r="EJ16" s="854">
        <f>'Tab.2. l.d.m.m._Polska'!O139</f>
        <v>0</v>
      </c>
      <c r="EK16" s="844">
        <v>3</v>
      </c>
      <c r="EL16" s="845" t="s">
        <v>238</v>
      </c>
      <c r="EM16" s="450">
        <f t="shared" si="34"/>
        <v>2</v>
      </c>
      <c r="EN16" s="484">
        <f t="shared" si="34"/>
        <v>2</v>
      </c>
      <c r="EO16" s="451">
        <f t="shared" si="35"/>
        <v>217</v>
      </c>
      <c r="EP16" s="452">
        <f t="shared" si="36"/>
        <v>209</v>
      </c>
      <c r="EQ16" s="851">
        <f>'Tab.2. l.d.m.m._Polska'!H140</f>
        <v>1</v>
      </c>
      <c r="ER16" s="1091">
        <f>'Tab.2. l.d.m.m._Polska'!I140</f>
        <v>1</v>
      </c>
      <c r="ES16" s="852">
        <f>'Tab.2. l.d.m.m._Polska'!J140</f>
        <v>165</v>
      </c>
      <c r="ET16" s="853">
        <f>'Tab.2. l.d.m.m._Polska'!K140</f>
        <v>157</v>
      </c>
      <c r="EU16" s="878">
        <f>'Tab.2. l.d.m.m._Polska'!L140</f>
        <v>1</v>
      </c>
      <c r="EV16" s="1091">
        <f>'Tab.2. l.d.m.m._Polska'!M140</f>
        <v>1</v>
      </c>
      <c r="EW16" s="852">
        <f>'Tab.2. l.d.m.m._Polska'!N140</f>
        <v>52</v>
      </c>
      <c r="EX16" s="854">
        <f>'Tab.2. l.d.m.m._Polska'!O140</f>
        <v>52</v>
      </c>
    </row>
    <row r="17" spans="1:154" ht="15" customHeight="1" x14ac:dyDescent="0.2">
      <c r="A17" s="844">
        <v>4</v>
      </c>
      <c r="B17" s="845" t="s">
        <v>239</v>
      </c>
      <c r="C17" s="1307">
        <f t="shared" si="37"/>
        <v>24</v>
      </c>
      <c r="D17" s="1308" t="str">
        <f>'Tab.2. l.d.m.m._Polska'!E165&amp;" ("&amp;R17+AF17+AT17+BH17+BV17+CJ17+CX17+DL17+DZ17+EN17&amp;")"</f>
        <v>24 (24)</v>
      </c>
      <c r="E17" s="1309">
        <f t="shared" si="0"/>
        <v>2344</v>
      </c>
      <c r="F17" s="1310">
        <f t="shared" si="1"/>
        <v>2333</v>
      </c>
      <c r="G17" s="1307">
        <f t="shared" si="38"/>
        <v>22</v>
      </c>
      <c r="H17" s="1324">
        <f t="shared" si="39"/>
        <v>22</v>
      </c>
      <c r="I17" s="1309">
        <f t="shared" si="2"/>
        <v>2232</v>
      </c>
      <c r="J17" s="1310">
        <f t="shared" si="3"/>
        <v>2220</v>
      </c>
      <c r="K17" s="1307">
        <f t="shared" si="4"/>
        <v>2</v>
      </c>
      <c r="L17" s="1091">
        <f t="shared" si="4"/>
        <v>2</v>
      </c>
      <c r="M17" s="1309">
        <f t="shared" si="5"/>
        <v>112</v>
      </c>
      <c r="N17" s="1320">
        <f t="shared" si="6"/>
        <v>113</v>
      </c>
      <c r="O17" s="844">
        <v>4</v>
      </c>
      <c r="P17" s="845" t="s">
        <v>239</v>
      </c>
      <c r="Q17" s="450">
        <f t="shared" si="7"/>
        <v>2</v>
      </c>
      <c r="R17" s="484">
        <f t="shared" si="7"/>
        <v>2</v>
      </c>
      <c r="S17" s="451">
        <f t="shared" si="8"/>
        <v>140</v>
      </c>
      <c r="T17" s="452">
        <f t="shared" si="9"/>
        <v>126</v>
      </c>
      <c r="U17" s="440">
        <f>'Tab.2. l.d.m.m._Polska'!H167</f>
        <v>2</v>
      </c>
      <c r="V17" s="1091">
        <f>'Tab.2. l.d.m.m._Polska'!I167</f>
        <v>2</v>
      </c>
      <c r="W17" s="441">
        <f>'Tab.2. l.d.m.m._Polska'!J167</f>
        <v>140</v>
      </c>
      <c r="X17" s="442">
        <f>'Tab.2. l.d.m.m._Polska'!K167</f>
        <v>126</v>
      </c>
      <c r="Y17" s="472">
        <f>'Tab.2. l.d.m.m._Polska'!L167</f>
        <v>0</v>
      </c>
      <c r="Z17" s="1091">
        <f>'Tab.2. l.d.m.m._Polska'!M167</f>
        <v>0</v>
      </c>
      <c r="AA17" s="441">
        <f>'Tab.2. l.d.m.m._Polska'!N167</f>
        <v>0</v>
      </c>
      <c r="AB17" s="444">
        <f>'Tab.2. l.d.m.m._Polska'!O167</f>
        <v>0</v>
      </c>
      <c r="AC17" s="844">
        <v>4</v>
      </c>
      <c r="AD17" s="845" t="s">
        <v>239</v>
      </c>
      <c r="AE17" s="450">
        <f t="shared" si="10"/>
        <v>0</v>
      </c>
      <c r="AF17" s="484">
        <f t="shared" si="10"/>
        <v>0</v>
      </c>
      <c r="AG17" s="451">
        <f t="shared" si="11"/>
        <v>0</v>
      </c>
      <c r="AH17" s="452">
        <f t="shared" si="12"/>
        <v>0</v>
      </c>
      <c r="AI17" s="440">
        <f>'Tab.2. l.d.m.m._Polska'!H168</f>
        <v>0</v>
      </c>
      <c r="AJ17" s="1091">
        <f>'Tab.2. l.d.m.m._Polska'!I168</f>
        <v>0</v>
      </c>
      <c r="AK17" s="441">
        <f>'Tab.2. l.d.m.m._Polska'!J168</f>
        <v>0</v>
      </c>
      <c r="AL17" s="442">
        <f>'Tab.2. l.d.m.m._Polska'!K168</f>
        <v>0</v>
      </c>
      <c r="AM17" s="472">
        <f>'Tab.2. l.d.m.m._Polska'!L168</f>
        <v>0</v>
      </c>
      <c r="AN17" s="1091">
        <f>'Tab.2. l.d.m.m._Polska'!M168</f>
        <v>0</v>
      </c>
      <c r="AO17" s="441">
        <f>'Tab.2. l.d.m.m._Polska'!N168</f>
        <v>0</v>
      </c>
      <c r="AP17" s="444">
        <f>'Tab.2. l.d.m.m._Polska'!O168</f>
        <v>0</v>
      </c>
      <c r="AQ17" s="844">
        <v>4</v>
      </c>
      <c r="AR17" s="845" t="s">
        <v>239</v>
      </c>
      <c r="AS17" s="450">
        <f t="shared" si="13"/>
        <v>5</v>
      </c>
      <c r="AT17" s="484">
        <f t="shared" si="13"/>
        <v>5</v>
      </c>
      <c r="AU17" s="451">
        <f t="shared" si="14"/>
        <v>462</v>
      </c>
      <c r="AV17" s="452">
        <f t="shared" si="15"/>
        <v>462</v>
      </c>
      <c r="AW17" s="440">
        <f>'Tab.2. l.d.m.m._Polska'!H169</f>
        <v>5</v>
      </c>
      <c r="AX17" s="1091">
        <f>'Tab.2. l.d.m.m._Polska'!I169</f>
        <v>5</v>
      </c>
      <c r="AY17" s="441">
        <f>'Tab.2. l.d.m.m._Polska'!J169</f>
        <v>462</v>
      </c>
      <c r="AZ17" s="442">
        <f>'Tab.2. l.d.m.m._Polska'!K169</f>
        <v>462</v>
      </c>
      <c r="BA17" s="472">
        <f>'Tab.2. l.d.m.m._Polska'!L169</f>
        <v>0</v>
      </c>
      <c r="BB17" s="1091">
        <f>'Tab.2. l.d.m.m._Polska'!M169</f>
        <v>0</v>
      </c>
      <c r="BC17" s="441">
        <f>'Tab.2. l.d.m.m._Polska'!N169</f>
        <v>0</v>
      </c>
      <c r="BD17" s="444">
        <f>'Tab.2. l.d.m.m._Polska'!O169</f>
        <v>0</v>
      </c>
      <c r="BE17" s="844">
        <v>4</v>
      </c>
      <c r="BF17" s="845" t="s">
        <v>239</v>
      </c>
      <c r="BG17" s="450">
        <f t="shared" si="16"/>
        <v>3</v>
      </c>
      <c r="BH17" s="484">
        <f t="shared" si="16"/>
        <v>3</v>
      </c>
      <c r="BI17" s="451">
        <f t="shared" si="17"/>
        <v>184</v>
      </c>
      <c r="BJ17" s="452">
        <f t="shared" si="18"/>
        <v>185</v>
      </c>
      <c r="BK17" s="851">
        <f>'Tab.2. l.d.m.m._Polska'!H170</f>
        <v>3</v>
      </c>
      <c r="BL17" s="1091">
        <f>'Tab.2. l.d.m.m._Polska'!I170</f>
        <v>3</v>
      </c>
      <c r="BM17" s="852">
        <f>'Tab.2. l.d.m.m._Polska'!J170</f>
        <v>184</v>
      </c>
      <c r="BN17" s="853">
        <f>'Tab.2. l.d.m.m._Polska'!K170</f>
        <v>185</v>
      </c>
      <c r="BO17" s="878">
        <f>'Tab.2. l.d.m.m._Polska'!L170</f>
        <v>0</v>
      </c>
      <c r="BP17" s="1091">
        <f>'Tab.2. l.d.m.m._Polska'!M170</f>
        <v>0</v>
      </c>
      <c r="BQ17" s="852">
        <f>'Tab.2. l.d.m.m._Polska'!N170</f>
        <v>0</v>
      </c>
      <c r="BR17" s="854">
        <f>'Tab.2. l.d.m.m._Polska'!O170</f>
        <v>0</v>
      </c>
      <c r="BS17" s="844">
        <v>4</v>
      </c>
      <c r="BT17" s="845" t="s">
        <v>239</v>
      </c>
      <c r="BU17" s="450">
        <f t="shared" si="19"/>
        <v>3</v>
      </c>
      <c r="BV17" s="484">
        <f t="shared" si="19"/>
        <v>3</v>
      </c>
      <c r="BW17" s="451">
        <f t="shared" si="20"/>
        <v>211</v>
      </c>
      <c r="BX17" s="452">
        <f t="shared" si="21"/>
        <v>215</v>
      </c>
      <c r="BY17" s="851">
        <f>'Tab.2. l.d.m.m._Polska'!H171</f>
        <v>1</v>
      </c>
      <c r="BZ17" s="1091">
        <f>'Tab.2. l.d.m.m._Polska'!I171</f>
        <v>1</v>
      </c>
      <c r="CA17" s="852">
        <f>'Tab.2. l.d.m.m._Polska'!J171</f>
        <v>99</v>
      </c>
      <c r="CB17" s="853">
        <f>'Tab.2. l.d.m.m._Polska'!K171</f>
        <v>102</v>
      </c>
      <c r="CC17" s="878">
        <f>'Tab.2. l.d.m.m._Polska'!L171</f>
        <v>2</v>
      </c>
      <c r="CD17" s="1091">
        <f>'Tab.2. l.d.m.m._Polska'!M171</f>
        <v>2</v>
      </c>
      <c r="CE17" s="852">
        <f>'Tab.2. l.d.m.m._Polska'!N171</f>
        <v>112</v>
      </c>
      <c r="CF17" s="854">
        <f>'Tab.2. l.d.m.m._Polska'!O171</f>
        <v>113</v>
      </c>
      <c r="CG17" s="844">
        <v>4</v>
      </c>
      <c r="CH17" s="845" t="s">
        <v>239</v>
      </c>
      <c r="CI17" s="450">
        <f t="shared" si="22"/>
        <v>0</v>
      </c>
      <c r="CJ17" s="484">
        <f t="shared" si="22"/>
        <v>0</v>
      </c>
      <c r="CK17" s="451">
        <f t="shared" si="23"/>
        <v>0</v>
      </c>
      <c r="CL17" s="452">
        <f t="shared" si="24"/>
        <v>0</v>
      </c>
      <c r="CM17" s="851">
        <f>'Tab.2. l.d.m.m._Polska'!H172</f>
        <v>0</v>
      </c>
      <c r="CN17" s="1091">
        <f>'Tab.2. l.d.m.m._Polska'!I172</f>
        <v>0</v>
      </c>
      <c r="CO17" s="852">
        <f>'Tab.2. l.d.m.m._Polska'!J172</f>
        <v>0</v>
      </c>
      <c r="CP17" s="853">
        <f>'Tab.2. l.d.m.m._Polska'!K172</f>
        <v>0</v>
      </c>
      <c r="CQ17" s="878">
        <f>'Tab.2. l.d.m.m._Polska'!L172</f>
        <v>0</v>
      </c>
      <c r="CR17" s="1091">
        <f>'Tab.2. l.d.m.m._Polska'!M172</f>
        <v>0</v>
      </c>
      <c r="CS17" s="852">
        <f>'Tab.2. l.d.m.m._Polska'!N172</f>
        <v>0</v>
      </c>
      <c r="CT17" s="854">
        <f>'Tab.2. l.d.m.m._Polska'!O172</f>
        <v>0</v>
      </c>
      <c r="CU17" s="844">
        <v>4</v>
      </c>
      <c r="CV17" s="845" t="s">
        <v>239</v>
      </c>
      <c r="CW17" s="450">
        <f t="shared" si="25"/>
        <v>3</v>
      </c>
      <c r="CX17" s="484">
        <f t="shared" si="25"/>
        <v>3</v>
      </c>
      <c r="CY17" s="451">
        <f t="shared" si="26"/>
        <v>395</v>
      </c>
      <c r="CZ17" s="452">
        <f t="shared" si="27"/>
        <v>393</v>
      </c>
      <c r="DA17" s="851">
        <f>'Tab.2. l.d.m.m._Polska'!H173</f>
        <v>3</v>
      </c>
      <c r="DB17" s="1091">
        <f>'Tab.2. l.d.m.m._Polska'!I173</f>
        <v>3</v>
      </c>
      <c r="DC17" s="852">
        <f>'Tab.2. l.d.m.m._Polska'!J173</f>
        <v>395</v>
      </c>
      <c r="DD17" s="853">
        <f>'Tab.2. l.d.m.m._Polska'!K173</f>
        <v>393</v>
      </c>
      <c r="DE17" s="878">
        <f>'Tab.2. l.d.m.m._Polska'!L173</f>
        <v>0</v>
      </c>
      <c r="DF17" s="878">
        <f>'Tab.2. l.d.m.m._Polska'!M173</f>
        <v>0</v>
      </c>
      <c r="DG17" s="852">
        <f>'Tab.2. l.d.m.m._Polska'!N173</f>
        <v>0</v>
      </c>
      <c r="DH17" s="854">
        <f>'Tab.2. l.d.m.m._Polska'!O173</f>
        <v>0</v>
      </c>
      <c r="DI17" s="844">
        <v>4</v>
      </c>
      <c r="DJ17" s="845" t="s">
        <v>239</v>
      </c>
      <c r="DK17" s="450">
        <f t="shared" si="28"/>
        <v>5</v>
      </c>
      <c r="DL17" s="484">
        <f t="shared" si="28"/>
        <v>5</v>
      </c>
      <c r="DM17" s="451">
        <f t="shared" si="29"/>
        <v>745</v>
      </c>
      <c r="DN17" s="452">
        <f t="shared" si="30"/>
        <v>739</v>
      </c>
      <c r="DO17" s="851">
        <f>'Tab.2. l.d.m.m._Polska'!H174</f>
        <v>5</v>
      </c>
      <c r="DP17" s="1091">
        <f>'Tab.2. l.d.m.m._Polska'!I174</f>
        <v>5</v>
      </c>
      <c r="DQ17" s="852">
        <f>'Tab.2. l.d.m.m._Polska'!J174</f>
        <v>745</v>
      </c>
      <c r="DR17" s="853">
        <f>'Tab.2. l.d.m.m._Polska'!K174</f>
        <v>739</v>
      </c>
      <c r="DS17" s="878">
        <f>'Tab.2. l.d.m.m._Polska'!L174</f>
        <v>0</v>
      </c>
      <c r="DT17" s="1091">
        <f>'Tab.2. l.d.m.m._Polska'!M174</f>
        <v>0</v>
      </c>
      <c r="DU17" s="852">
        <f>'Tab.2. l.d.m.m._Polska'!N174</f>
        <v>0</v>
      </c>
      <c r="DV17" s="854">
        <f>'Tab.2. l.d.m.m._Polska'!O174</f>
        <v>0</v>
      </c>
      <c r="DW17" s="844">
        <v>4</v>
      </c>
      <c r="DX17" s="845" t="s">
        <v>239</v>
      </c>
      <c r="DY17" s="450">
        <f t="shared" si="31"/>
        <v>1</v>
      </c>
      <c r="DZ17" s="484">
        <f t="shared" si="31"/>
        <v>1</v>
      </c>
      <c r="EA17" s="451">
        <f t="shared" si="32"/>
        <v>51</v>
      </c>
      <c r="EB17" s="452">
        <f t="shared" si="33"/>
        <v>54</v>
      </c>
      <c r="EC17" s="851">
        <f>'Tab.2. l.d.m.m._Polska'!H175</f>
        <v>1</v>
      </c>
      <c r="ED17" s="1091">
        <f>'Tab.2. l.d.m.m._Polska'!I175</f>
        <v>1</v>
      </c>
      <c r="EE17" s="852">
        <f>'Tab.2. l.d.m.m._Polska'!J175</f>
        <v>51</v>
      </c>
      <c r="EF17" s="853">
        <f>'Tab.2. l.d.m.m._Polska'!K175</f>
        <v>54</v>
      </c>
      <c r="EG17" s="878">
        <f>'Tab.2. l.d.m.m._Polska'!L175</f>
        <v>0</v>
      </c>
      <c r="EH17" s="1091">
        <f>'Tab.2. l.d.m.m._Polska'!M175</f>
        <v>0</v>
      </c>
      <c r="EI17" s="852">
        <f>'Tab.2. l.d.m.m._Polska'!N175</f>
        <v>0</v>
      </c>
      <c r="EJ17" s="854">
        <f>'Tab.2. l.d.m.m._Polska'!O175</f>
        <v>0</v>
      </c>
      <c r="EK17" s="844">
        <v>4</v>
      </c>
      <c r="EL17" s="845" t="s">
        <v>239</v>
      </c>
      <c r="EM17" s="450">
        <f t="shared" si="34"/>
        <v>2</v>
      </c>
      <c r="EN17" s="484">
        <f t="shared" si="34"/>
        <v>2</v>
      </c>
      <c r="EO17" s="451">
        <f t="shared" si="35"/>
        <v>156</v>
      </c>
      <c r="EP17" s="452">
        <f t="shared" si="36"/>
        <v>159</v>
      </c>
      <c r="EQ17" s="851">
        <f>'Tab.2. l.d.m.m._Polska'!H176</f>
        <v>2</v>
      </c>
      <c r="ER17" s="1091">
        <f>'Tab.2. l.d.m.m._Polska'!I176</f>
        <v>2</v>
      </c>
      <c r="ES17" s="852">
        <f>'Tab.2. l.d.m.m._Polska'!J176</f>
        <v>156</v>
      </c>
      <c r="ET17" s="853">
        <f>'Tab.2. l.d.m.m._Polska'!K176</f>
        <v>159</v>
      </c>
      <c r="EU17" s="878">
        <f>'Tab.2. l.d.m.m._Polska'!L176</f>
        <v>0</v>
      </c>
      <c r="EV17" s="1091">
        <f>'Tab.2. l.d.m.m._Polska'!M176</f>
        <v>0</v>
      </c>
      <c r="EW17" s="852">
        <f>'Tab.2. l.d.m.m._Polska'!N176</f>
        <v>0</v>
      </c>
      <c r="EX17" s="854">
        <f>'Tab.2. l.d.m.m._Polska'!O176</f>
        <v>0</v>
      </c>
    </row>
    <row r="18" spans="1:154" ht="15" customHeight="1" x14ac:dyDescent="0.2">
      <c r="A18" s="844">
        <v>5</v>
      </c>
      <c r="B18" s="845" t="s">
        <v>240</v>
      </c>
      <c r="C18" s="1307">
        <f t="shared" si="37"/>
        <v>56</v>
      </c>
      <c r="D18" s="1308" t="str">
        <f>'Tab.2. l.d.m.m._Polska'!E201&amp;" ("&amp;R18+AF18+AT18+BH18+BV18+CJ18+CX18+DL18+DZ18+EN18&amp;")"</f>
        <v>56 (56)</v>
      </c>
      <c r="E18" s="1309">
        <f t="shared" si="0"/>
        <v>6200</v>
      </c>
      <c r="F18" s="1310">
        <f t="shared" si="1"/>
        <v>6110</v>
      </c>
      <c r="G18" s="1307">
        <f t="shared" si="38"/>
        <v>50</v>
      </c>
      <c r="H18" s="1324">
        <f t="shared" si="39"/>
        <v>50</v>
      </c>
      <c r="I18" s="1309">
        <f t="shared" si="2"/>
        <v>5928</v>
      </c>
      <c r="J18" s="1310">
        <f t="shared" si="3"/>
        <v>5837</v>
      </c>
      <c r="K18" s="1307">
        <f t="shared" si="4"/>
        <v>6</v>
      </c>
      <c r="L18" s="1091">
        <f t="shared" si="4"/>
        <v>6</v>
      </c>
      <c r="M18" s="1309">
        <f t="shared" si="5"/>
        <v>272</v>
      </c>
      <c r="N18" s="1320">
        <f t="shared" si="6"/>
        <v>273</v>
      </c>
      <c r="O18" s="844">
        <v>5</v>
      </c>
      <c r="P18" s="845" t="s">
        <v>240</v>
      </c>
      <c r="Q18" s="450">
        <f t="shared" si="7"/>
        <v>9</v>
      </c>
      <c r="R18" s="484">
        <f t="shared" si="7"/>
        <v>9</v>
      </c>
      <c r="S18" s="451">
        <f t="shared" si="8"/>
        <v>956</v>
      </c>
      <c r="T18" s="452">
        <f t="shared" si="9"/>
        <v>931</v>
      </c>
      <c r="U18" s="440">
        <f>'Tab.2. l.d.m.m._Polska'!H203</f>
        <v>9</v>
      </c>
      <c r="V18" s="1091">
        <f>'Tab.2. l.d.m.m._Polska'!I203</f>
        <v>9</v>
      </c>
      <c r="W18" s="441">
        <f>'Tab.2. l.d.m.m._Polska'!J203</f>
        <v>956</v>
      </c>
      <c r="X18" s="442">
        <f>'Tab.2. l.d.m.m._Polska'!K203</f>
        <v>931</v>
      </c>
      <c r="Y18" s="472">
        <f>'Tab.2. l.d.m.m._Polska'!L203</f>
        <v>0</v>
      </c>
      <c r="Z18" s="1091">
        <f>'Tab.2. l.d.m.m._Polska'!M203</f>
        <v>0</v>
      </c>
      <c r="AA18" s="441">
        <f>'Tab.2. l.d.m.m._Polska'!N203</f>
        <v>0</v>
      </c>
      <c r="AB18" s="444">
        <f>'Tab.2. l.d.m.m._Polska'!O203</f>
        <v>0</v>
      </c>
      <c r="AC18" s="844">
        <v>5</v>
      </c>
      <c r="AD18" s="845" t="s">
        <v>240</v>
      </c>
      <c r="AE18" s="450">
        <f t="shared" si="10"/>
        <v>12</v>
      </c>
      <c r="AF18" s="484">
        <f t="shared" si="10"/>
        <v>12</v>
      </c>
      <c r="AG18" s="451">
        <f t="shared" si="11"/>
        <v>1651</v>
      </c>
      <c r="AH18" s="452">
        <f t="shared" si="12"/>
        <v>1644</v>
      </c>
      <c r="AI18" s="440">
        <f>'Tab.2. l.d.m.m._Polska'!H204</f>
        <v>11</v>
      </c>
      <c r="AJ18" s="1091">
        <f>'Tab.2. l.d.m.m._Polska'!I204</f>
        <v>11</v>
      </c>
      <c r="AK18" s="441">
        <f>'Tab.2. l.d.m.m._Polska'!J204</f>
        <v>1591</v>
      </c>
      <c r="AL18" s="442">
        <f>'Tab.2. l.d.m.m._Polska'!K204</f>
        <v>1588</v>
      </c>
      <c r="AM18" s="472">
        <f>'Tab.2. l.d.m.m._Polska'!L204</f>
        <v>1</v>
      </c>
      <c r="AN18" s="1091">
        <f>'Tab.2. l.d.m.m._Polska'!M204</f>
        <v>1</v>
      </c>
      <c r="AO18" s="441">
        <f>'Tab.2. l.d.m.m._Polska'!N204</f>
        <v>60</v>
      </c>
      <c r="AP18" s="444">
        <f>'Tab.2. l.d.m.m._Polska'!O204</f>
        <v>56</v>
      </c>
      <c r="AQ18" s="844">
        <v>5</v>
      </c>
      <c r="AR18" s="845" t="s">
        <v>240</v>
      </c>
      <c r="AS18" s="450">
        <f t="shared" si="13"/>
        <v>17</v>
      </c>
      <c r="AT18" s="484">
        <f t="shared" si="13"/>
        <v>17</v>
      </c>
      <c r="AU18" s="451">
        <f t="shared" si="14"/>
        <v>2042</v>
      </c>
      <c r="AV18" s="452">
        <f t="shared" si="15"/>
        <v>1998</v>
      </c>
      <c r="AW18" s="440">
        <f>'Tab.2. l.d.m.m._Polska'!H205</f>
        <v>16</v>
      </c>
      <c r="AX18" s="1091">
        <f>'Tab.2. l.d.m.m._Polska'!I205</f>
        <v>16</v>
      </c>
      <c r="AY18" s="441">
        <f>'Tab.2. l.d.m.m._Polska'!J205</f>
        <v>1935</v>
      </c>
      <c r="AZ18" s="442">
        <f>'Tab.2. l.d.m.m._Polska'!K205</f>
        <v>1882</v>
      </c>
      <c r="BA18" s="472">
        <f>'Tab.2. l.d.m.m._Polska'!L205</f>
        <v>1</v>
      </c>
      <c r="BB18" s="1091">
        <f>'Tab.2. l.d.m.m._Polska'!M205</f>
        <v>1</v>
      </c>
      <c r="BC18" s="441">
        <f>'Tab.2. l.d.m.m._Polska'!N205</f>
        <v>107</v>
      </c>
      <c r="BD18" s="444">
        <f>'Tab.2. l.d.m.m._Polska'!O205</f>
        <v>116</v>
      </c>
      <c r="BE18" s="844">
        <v>5</v>
      </c>
      <c r="BF18" s="845" t="s">
        <v>240</v>
      </c>
      <c r="BG18" s="450">
        <f t="shared" si="16"/>
        <v>7</v>
      </c>
      <c r="BH18" s="484">
        <f t="shared" si="16"/>
        <v>7</v>
      </c>
      <c r="BI18" s="451">
        <f t="shared" si="17"/>
        <v>548</v>
      </c>
      <c r="BJ18" s="452">
        <f t="shared" si="18"/>
        <v>544</v>
      </c>
      <c r="BK18" s="851">
        <f>'Tab.2. l.d.m.m._Polska'!H206</f>
        <v>5</v>
      </c>
      <c r="BL18" s="1091">
        <f>'Tab.2. l.d.m.m._Polska'!I206</f>
        <v>5</v>
      </c>
      <c r="BM18" s="852">
        <f>'Tab.2. l.d.m.m._Polska'!J206</f>
        <v>524</v>
      </c>
      <c r="BN18" s="853">
        <f>'Tab.2. l.d.m.m._Polska'!K206</f>
        <v>520</v>
      </c>
      <c r="BO18" s="878">
        <f>'Tab.2. l.d.m.m._Polska'!L206</f>
        <v>2</v>
      </c>
      <c r="BP18" s="1091">
        <f>'Tab.2. l.d.m.m._Polska'!M206</f>
        <v>2</v>
      </c>
      <c r="BQ18" s="852">
        <f>'Tab.2. l.d.m.m._Polska'!N206</f>
        <v>24</v>
      </c>
      <c r="BR18" s="854">
        <f>'Tab.2. l.d.m.m._Polska'!O206</f>
        <v>24</v>
      </c>
      <c r="BS18" s="844">
        <v>5</v>
      </c>
      <c r="BT18" s="845" t="s">
        <v>240</v>
      </c>
      <c r="BU18" s="450">
        <f t="shared" si="19"/>
        <v>3</v>
      </c>
      <c r="BV18" s="484">
        <f t="shared" si="19"/>
        <v>3</v>
      </c>
      <c r="BW18" s="451">
        <f t="shared" si="20"/>
        <v>262</v>
      </c>
      <c r="BX18" s="452">
        <f t="shared" si="21"/>
        <v>262</v>
      </c>
      <c r="BY18" s="851">
        <f>'Tab.2. l.d.m.m._Polska'!H207</f>
        <v>2</v>
      </c>
      <c r="BZ18" s="1091">
        <f>'Tab.2. l.d.m.m._Polska'!I207</f>
        <v>2</v>
      </c>
      <c r="CA18" s="852">
        <f>'Tab.2. l.d.m.m._Polska'!J207</f>
        <v>227</v>
      </c>
      <c r="CB18" s="853">
        <f>'Tab.2. l.d.m.m._Polska'!K207</f>
        <v>227</v>
      </c>
      <c r="CC18" s="878">
        <f>'Tab.2. l.d.m.m._Polska'!L207</f>
        <v>1</v>
      </c>
      <c r="CD18" s="1091">
        <f>'Tab.2. l.d.m.m._Polska'!M207</f>
        <v>1</v>
      </c>
      <c r="CE18" s="852">
        <f>'Tab.2. l.d.m.m._Polska'!N207</f>
        <v>35</v>
      </c>
      <c r="CF18" s="854">
        <f>'Tab.2. l.d.m.m._Polska'!O207</f>
        <v>35</v>
      </c>
      <c r="CG18" s="844">
        <v>5</v>
      </c>
      <c r="CH18" s="845" t="s">
        <v>240</v>
      </c>
      <c r="CI18" s="450">
        <f t="shared" si="22"/>
        <v>0</v>
      </c>
      <c r="CJ18" s="484">
        <f t="shared" si="22"/>
        <v>0</v>
      </c>
      <c r="CK18" s="451">
        <f t="shared" si="23"/>
        <v>0</v>
      </c>
      <c r="CL18" s="452">
        <f t="shared" si="24"/>
        <v>0</v>
      </c>
      <c r="CM18" s="851">
        <f>'Tab.2. l.d.m.m._Polska'!H208</f>
        <v>0</v>
      </c>
      <c r="CN18" s="1091">
        <f>'Tab.2. l.d.m.m._Polska'!I208</f>
        <v>0</v>
      </c>
      <c r="CO18" s="852">
        <f>'Tab.2. l.d.m.m._Polska'!J208</f>
        <v>0</v>
      </c>
      <c r="CP18" s="853">
        <f>'Tab.2. l.d.m.m._Polska'!K208</f>
        <v>0</v>
      </c>
      <c r="CQ18" s="878">
        <f>'Tab.2. l.d.m.m._Polska'!L208</f>
        <v>0</v>
      </c>
      <c r="CR18" s="1091">
        <f>'Tab.2. l.d.m.m._Polska'!M208</f>
        <v>0</v>
      </c>
      <c r="CS18" s="852">
        <f>'Tab.2. l.d.m.m._Polska'!N208</f>
        <v>0</v>
      </c>
      <c r="CT18" s="854">
        <f>'Tab.2. l.d.m.m._Polska'!O208</f>
        <v>0</v>
      </c>
      <c r="CU18" s="844">
        <v>5</v>
      </c>
      <c r="CV18" s="845" t="s">
        <v>240</v>
      </c>
      <c r="CW18" s="450">
        <f t="shared" si="25"/>
        <v>7</v>
      </c>
      <c r="CX18" s="484">
        <f t="shared" si="25"/>
        <v>7</v>
      </c>
      <c r="CY18" s="451">
        <f t="shared" si="26"/>
        <v>634</v>
      </c>
      <c r="CZ18" s="452">
        <f t="shared" si="27"/>
        <v>624</v>
      </c>
      <c r="DA18" s="851">
        <f>'Tab.2. l.d.m.m._Polska'!H209</f>
        <v>6</v>
      </c>
      <c r="DB18" s="1091">
        <f>'Tab.2. l.d.m.m._Polska'!I209</f>
        <v>6</v>
      </c>
      <c r="DC18" s="852">
        <f>'Tab.2. l.d.m.m._Polska'!J209</f>
        <v>588</v>
      </c>
      <c r="DD18" s="853">
        <f>'Tab.2. l.d.m.m._Polska'!K209</f>
        <v>582</v>
      </c>
      <c r="DE18" s="878">
        <f>'Tab.2. l.d.m.m._Polska'!L209</f>
        <v>1</v>
      </c>
      <c r="DF18" s="878">
        <f>'Tab.2. l.d.m.m._Polska'!M209</f>
        <v>1</v>
      </c>
      <c r="DG18" s="852">
        <f>'Tab.2. l.d.m.m._Polska'!N209</f>
        <v>46</v>
      </c>
      <c r="DH18" s="854">
        <f>'Tab.2. l.d.m.m._Polska'!O209</f>
        <v>42</v>
      </c>
      <c r="DI18" s="844">
        <v>5</v>
      </c>
      <c r="DJ18" s="845" t="s">
        <v>240</v>
      </c>
      <c r="DK18" s="450">
        <f t="shared" si="28"/>
        <v>0</v>
      </c>
      <c r="DL18" s="484">
        <f t="shared" si="28"/>
        <v>0</v>
      </c>
      <c r="DM18" s="451">
        <f t="shared" si="29"/>
        <v>0</v>
      </c>
      <c r="DN18" s="452">
        <f t="shared" si="30"/>
        <v>0</v>
      </c>
      <c r="DO18" s="851">
        <f>'Tab.2. l.d.m.m._Polska'!H210</f>
        <v>0</v>
      </c>
      <c r="DP18" s="1091">
        <f>'Tab.2. l.d.m.m._Polska'!I210</f>
        <v>0</v>
      </c>
      <c r="DQ18" s="852">
        <f>'Tab.2. l.d.m.m._Polska'!J210</f>
        <v>0</v>
      </c>
      <c r="DR18" s="853">
        <f>'Tab.2. l.d.m.m._Polska'!K210</f>
        <v>0</v>
      </c>
      <c r="DS18" s="878">
        <f>'Tab.2. l.d.m.m._Polska'!L210</f>
        <v>0</v>
      </c>
      <c r="DT18" s="1091">
        <f>'Tab.2. l.d.m.m._Polska'!M210</f>
        <v>0</v>
      </c>
      <c r="DU18" s="852">
        <f>'Tab.2. l.d.m.m._Polska'!N210</f>
        <v>0</v>
      </c>
      <c r="DV18" s="854">
        <f>'Tab.2. l.d.m.m._Polska'!O210</f>
        <v>0</v>
      </c>
      <c r="DW18" s="844">
        <v>5</v>
      </c>
      <c r="DX18" s="845" t="s">
        <v>240</v>
      </c>
      <c r="DY18" s="450">
        <f t="shared" si="31"/>
        <v>0</v>
      </c>
      <c r="DZ18" s="484">
        <f t="shared" si="31"/>
        <v>0</v>
      </c>
      <c r="EA18" s="451">
        <f t="shared" si="32"/>
        <v>0</v>
      </c>
      <c r="EB18" s="452">
        <f t="shared" si="33"/>
        <v>0</v>
      </c>
      <c r="EC18" s="851">
        <f>'Tab.2. l.d.m.m._Polska'!H211</f>
        <v>0</v>
      </c>
      <c r="ED18" s="1091">
        <f>'Tab.2. l.d.m.m._Polska'!I211</f>
        <v>0</v>
      </c>
      <c r="EE18" s="852">
        <f>'Tab.2. l.d.m.m._Polska'!J211</f>
        <v>0</v>
      </c>
      <c r="EF18" s="853">
        <f>'Tab.2. l.d.m.m._Polska'!K211</f>
        <v>0</v>
      </c>
      <c r="EG18" s="878">
        <f>'Tab.2. l.d.m.m._Polska'!L211</f>
        <v>0</v>
      </c>
      <c r="EH18" s="1091">
        <f>'Tab.2. l.d.m.m._Polska'!M211</f>
        <v>0</v>
      </c>
      <c r="EI18" s="852">
        <f>'Tab.2. l.d.m.m._Polska'!N211</f>
        <v>0</v>
      </c>
      <c r="EJ18" s="854">
        <f>'Tab.2. l.d.m.m._Polska'!O211</f>
        <v>0</v>
      </c>
      <c r="EK18" s="844">
        <v>5</v>
      </c>
      <c r="EL18" s="845" t="s">
        <v>240</v>
      </c>
      <c r="EM18" s="450">
        <f t="shared" si="34"/>
        <v>1</v>
      </c>
      <c r="EN18" s="484">
        <f t="shared" si="34"/>
        <v>1</v>
      </c>
      <c r="EO18" s="451">
        <f t="shared" si="35"/>
        <v>107</v>
      </c>
      <c r="EP18" s="452">
        <f t="shared" si="36"/>
        <v>107</v>
      </c>
      <c r="EQ18" s="851">
        <f>'Tab.2. l.d.m.m._Polska'!H212</f>
        <v>1</v>
      </c>
      <c r="ER18" s="1091">
        <f>'Tab.2. l.d.m.m._Polska'!I212</f>
        <v>1</v>
      </c>
      <c r="ES18" s="852">
        <f>'Tab.2. l.d.m.m._Polska'!J212</f>
        <v>107</v>
      </c>
      <c r="ET18" s="853">
        <f>'Tab.2. l.d.m.m._Polska'!K212</f>
        <v>107</v>
      </c>
      <c r="EU18" s="878">
        <f>'Tab.2. l.d.m.m._Polska'!L212</f>
        <v>0</v>
      </c>
      <c r="EV18" s="1091">
        <f>'Tab.2. l.d.m.m._Polska'!M212</f>
        <v>0</v>
      </c>
      <c r="EW18" s="852">
        <f>'Tab.2. l.d.m.m._Polska'!N212</f>
        <v>0</v>
      </c>
      <c r="EX18" s="854">
        <f>'Tab.2. l.d.m.m._Polska'!O212</f>
        <v>0</v>
      </c>
    </row>
    <row r="19" spans="1:154" ht="15" customHeight="1" x14ac:dyDescent="0.2">
      <c r="A19" s="844">
        <v>6</v>
      </c>
      <c r="B19" s="845" t="s">
        <v>241</v>
      </c>
      <c r="C19" s="1307">
        <f t="shared" si="37"/>
        <v>85</v>
      </c>
      <c r="D19" s="1308" t="str">
        <f>'Tab.2. l.d.m.m._Polska'!E237&amp;" ("&amp;R19+AF19+AT19+BH19+BV19+CJ19+CX19+DL19+DZ19+EN19&amp;")"</f>
        <v>85 (86)</v>
      </c>
      <c r="E19" s="1309">
        <f t="shared" si="0"/>
        <v>7412</v>
      </c>
      <c r="F19" s="1310">
        <f t="shared" si="1"/>
        <v>7313</v>
      </c>
      <c r="G19" s="1307">
        <f t="shared" si="38"/>
        <v>54</v>
      </c>
      <c r="H19" s="1324">
        <f t="shared" si="39"/>
        <v>55</v>
      </c>
      <c r="I19" s="1309">
        <f t="shared" si="2"/>
        <v>5793</v>
      </c>
      <c r="J19" s="1310">
        <f t="shared" si="3"/>
        <v>5763</v>
      </c>
      <c r="K19" s="1307">
        <f t="shared" si="4"/>
        <v>31</v>
      </c>
      <c r="L19" s="1091">
        <f t="shared" si="4"/>
        <v>31</v>
      </c>
      <c r="M19" s="1309">
        <f t="shared" si="5"/>
        <v>1619</v>
      </c>
      <c r="N19" s="1320">
        <f t="shared" si="6"/>
        <v>1550</v>
      </c>
      <c r="O19" s="844">
        <v>6</v>
      </c>
      <c r="P19" s="845" t="s">
        <v>241</v>
      </c>
      <c r="Q19" s="450">
        <f t="shared" si="7"/>
        <v>15</v>
      </c>
      <c r="R19" s="484">
        <f t="shared" si="7"/>
        <v>15</v>
      </c>
      <c r="S19" s="451">
        <f t="shared" si="8"/>
        <v>1051</v>
      </c>
      <c r="T19" s="452">
        <f t="shared" si="9"/>
        <v>1038</v>
      </c>
      <c r="U19" s="440">
        <f>'Tab.2. l.d.m.m._Polska'!H239</f>
        <v>9</v>
      </c>
      <c r="V19" s="1091">
        <f>'Tab.2. l.d.m.m._Polska'!I239</f>
        <v>9</v>
      </c>
      <c r="W19" s="441">
        <f>'Tab.2. l.d.m.m._Polska'!J239</f>
        <v>741</v>
      </c>
      <c r="X19" s="442">
        <f>'Tab.2. l.d.m.m._Polska'!K239</f>
        <v>736</v>
      </c>
      <c r="Y19" s="472">
        <f>'Tab.2. l.d.m.m._Polska'!L239</f>
        <v>6</v>
      </c>
      <c r="Z19" s="1091">
        <f>'Tab.2. l.d.m.m._Polska'!M239</f>
        <v>6</v>
      </c>
      <c r="AA19" s="441">
        <f>'Tab.2. l.d.m.m._Polska'!N239</f>
        <v>310</v>
      </c>
      <c r="AB19" s="444">
        <f>'Tab.2. l.d.m.m._Polska'!O239</f>
        <v>302</v>
      </c>
      <c r="AC19" s="844">
        <v>6</v>
      </c>
      <c r="AD19" s="845" t="s">
        <v>241</v>
      </c>
      <c r="AE19" s="450">
        <f t="shared" si="10"/>
        <v>17</v>
      </c>
      <c r="AF19" s="484">
        <f t="shared" si="10"/>
        <v>17</v>
      </c>
      <c r="AG19" s="451">
        <f t="shared" si="11"/>
        <v>1576</v>
      </c>
      <c r="AH19" s="452">
        <f t="shared" si="12"/>
        <v>1555</v>
      </c>
      <c r="AI19" s="440">
        <f>'Tab.2. l.d.m.m._Polska'!H240</f>
        <v>12</v>
      </c>
      <c r="AJ19" s="1091">
        <f>'Tab.2. l.d.m.m._Polska'!I240</f>
        <v>12</v>
      </c>
      <c r="AK19" s="441">
        <f>'Tab.2. l.d.m.m._Polska'!J240</f>
        <v>1390</v>
      </c>
      <c r="AL19" s="442">
        <f>'Tab.2. l.d.m.m._Polska'!K240</f>
        <v>1373</v>
      </c>
      <c r="AM19" s="472">
        <f>'Tab.2. l.d.m.m._Polska'!L240</f>
        <v>5</v>
      </c>
      <c r="AN19" s="1091">
        <f>'Tab.2. l.d.m.m._Polska'!M240</f>
        <v>5</v>
      </c>
      <c r="AO19" s="441">
        <f>'Tab.2. l.d.m.m._Polska'!N240</f>
        <v>186</v>
      </c>
      <c r="AP19" s="444">
        <f>'Tab.2. l.d.m.m._Polska'!O240</f>
        <v>182</v>
      </c>
      <c r="AQ19" s="844">
        <v>6</v>
      </c>
      <c r="AR19" s="845" t="s">
        <v>241</v>
      </c>
      <c r="AS19" s="450">
        <f t="shared" si="13"/>
        <v>24</v>
      </c>
      <c r="AT19" s="484">
        <f t="shared" si="13"/>
        <v>25</v>
      </c>
      <c r="AU19" s="451">
        <f t="shared" si="14"/>
        <v>2680</v>
      </c>
      <c r="AV19" s="452">
        <f t="shared" si="15"/>
        <v>2600</v>
      </c>
      <c r="AW19" s="440">
        <f>'Tab.2. l.d.m.m._Polska'!H241</f>
        <v>19</v>
      </c>
      <c r="AX19" s="1091">
        <f>'Tab.2. l.d.m.m._Polska'!I241</f>
        <v>20</v>
      </c>
      <c r="AY19" s="441">
        <f>'Tab.2. l.d.m.m._Polska'!J241</f>
        <v>2319</v>
      </c>
      <c r="AZ19" s="442">
        <f>'Tab.2. l.d.m.m._Polska'!K241</f>
        <v>2263</v>
      </c>
      <c r="BA19" s="472">
        <f>'Tab.2. l.d.m.m._Polska'!L241</f>
        <v>5</v>
      </c>
      <c r="BB19" s="1091">
        <f>'Tab.2. l.d.m.m._Polska'!M241</f>
        <v>5</v>
      </c>
      <c r="BC19" s="441">
        <f>'Tab.2. l.d.m.m._Polska'!N241</f>
        <v>361</v>
      </c>
      <c r="BD19" s="444">
        <f>'Tab.2. l.d.m.m._Polska'!O241</f>
        <v>337</v>
      </c>
      <c r="BE19" s="844">
        <v>6</v>
      </c>
      <c r="BF19" s="845" t="s">
        <v>241</v>
      </c>
      <c r="BG19" s="450">
        <f t="shared" si="16"/>
        <v>13</v>
      </c>
      <c r="BH19" s="484">
        <f t="shared" si="16"/>
        <v>13</v>
      </c>
      <c r="BI19" s="451">
        <f t="shared" si="17"/>
        <v>732</v>
      </c>
      <c r="BJ19" s="452">
        <f t="shared" si="18"/>
        <v>785</v>
      </c>
      <c r="BK19" s="851">
        <f>'Tab.2. l.d.m.m._Polska'!H242</f>
        <v>8</v>
      </c>
      <c r="BL19" s="1091">
        <f>'Tab.2. l.d.m.m._Polska'!I242</f>
        <v>8</v>
      </c>
      <c r="BM19" s="852">
        <f>'Tab.2. l.d.m.m._Polska'!J242</f>
        <v>545</v>
      </c>
      <c r="BN19" s="853">
        <f>'Tab.2. l.d.m.m._Polska'!K242</f>
        <v>600</v>
      </c>
      <c r="BO19" s="878">
        <f>'Tab.2. l.d.m.m._Polska'!L242</f>
        <v>5</v>
      </c>
      <c r="BP19" s="1091">
        <f>'Tab.2. l.d.m.m._Polska'!M242</f>
        <v>5</v>
      </c>
      <c r="BQ19" s="852">
        <f>'Tab.2. l.d.m.m._Polska'!N242</f>
        <v>187</v>
      </c>
      <c r="BR19" s="854">
        <f>'Tab.2. l.d.m.m._Polska'!O242</f>
        <v>185</v>
      </c>
      <c r="BS19" s="844">
        <v>6</v>
      </c>
      <c r="BT19" s="845" t="s">
        <v>241</v>
      </c>
      <c r="BU19" s="450">
        <f t="shared" si="19"/>
        <v>7</v>
      </c>
      <c r="BV19" s="484">
        <f t="shared" si="19"/>
        <v>7</v>
      </c>
      <c r="BW19" s="451">
        <f t="shared" si="20"/>
        <v>616</v>
      </c>
      <c r="BX19" s="452">
        <f t="shared" si="21"/>
        <v>589</v>
      </c>
      <c r="BY19" s="851">
        <f>'Tab.2. l.d.m.m._Polska'!H243</f>
        <v>0</v>
      </c>
      <c r="BZ19" s="1091">
        <f>'Tab.2. l.d.m.m._Polska'!I243</f>
        <v>0</v>
      </c>
      <c r="CA19" s="852">
        <f>'Tab.2. l.d.m.m._Polska'!J243</f>
        <v>200</v>
      </c>
      <c r="CB19" s="853">
        <f>'Tab.2. l.d.m.m._Polska'!K243</f>
        <v>200</v>
      </c>
      <c r="CC19" s="878">
        <f>'Tab.2. l.d.m.m._Polska'!L243</f>
        <v>7</v>
      </c>
      <c r="CD19" s="1091">
        <f>'Tab.2. l.d.m.m._Polska'!M243</f>
        <v>7</v>
      </c>
      <c r="CE19" s="852">
        <f>'Tab.2. l.d.m.m._Polska'!N243</f>
        <v>416</v>
      </c>
      <c r="CF19" s="854">
        <f>'Tab.2. l.d.m.m._Polska'!O243</f>
        <v>389</v>
      </c>
      <c r="CG19" s="844">
        <v>6</v>
      </c>
      <c r="CH19" s="845" t="s">
        <v>241</v>
      </c>
      <c r="CI19" s="450">
        <f t="shared" si="22"/>
        <v>0</v>
      </c>
      <c r="CJ19" s="484">
        <f t="shared" si="22"/>
        <v>0</v>
      </c>
      <c r="CK19" s="451">
        <f t="shared" si="23"/>
        <v>0</v>
      </c>
      <c r="CL19" s="452">
        <f t="shared" si="24"/>
        <v>0</v>
      </c>
      <c r="CM19" s="851">
        <f>'Tab.2. l.d.m.m._Polska'!H244</f>
        <v>0</v>
      </c>
      <c r="CN19" s="1091">
        <f>'Tab.2. l.d.m.m._Polska'!I244</f>
        <v>0</v>
      </c>
      <c r="CO19" s="852">
        <f>'Tab.2. l.d.m.m._Polska'!J244</f>
        <v>0</v>
      </c>
      <c r="CP19" s="853">
        <f>'Tab.2. l.d.m.m._Polska'!K244</f>
        <v>0</v>
      </c>
      <c r="CQ19" s="878">
        <f>'Tab.2. l.d.m.m._Polska'!L244</f>
        <v>0</v>
      </c>
      <c r="CR19" s="1091">
        <f>'Tab.2. l.d.m.m._Polska'!M244</f>
        <v>0</v>
      </c>
      <c r="CS19" s="852">
        <f>'Tab.2. l.d.m.m._Polska'!N244</f>
        <v>0</v>
      </c>
      <c r="CT19" s="854">
        <f>'Tab.2. l.d.m.m._Polska'!O244</f>
        <v>0</v>
      </c>
      <c r="CU19" s="844">
        <v>6</v>
      </c>
      <c r="CV19" s="845" t="s">
        <v>241</v>
      </c>
      <c r="CW19" s="450">
        <f t="shared" si="25"/>
        <v>6</v>
      </c>
      <c r="CX19" s="484">
        <f t="shared" si="25"/>
        <v>6</v>
      </c>
      <c r="CY19" s="451">
        <f t="shared" si="26"/>
        <v>488</v>
      </c>
      <c r="CZ19" s="452">
        <f t="shared" si="27"/>
        <v>485</v>
      </c>
      <c r="DA19" s="851">
        <f>'Tab.2. l.d.m.m._Polska'!H245</f>
        <v>4</v>
      </c>
      <c r="DB19" s="1091">
        <f>'Tab.2. l.d.m.m._Polska'!I245</f>
        <v>4</v>
      </c>
      <c r="DC19" s="852">
        <f>'Tab.2. l.d.m.m._Polska'!J245</f>
        <v>382</v>
      </c>
      <c r="DD19" s="853">
        <f>'Tab.2. l.d.m.m._Polska'!K245</f>
        <v>382</v>
      </c>
      <c r="DE19" s="878">
        <f>'Tab.2. l.d.m.m._Polska'!L245</f>
        <v>2</v>
      </c>
      <c r="DF19" s="878">
        <f>'Tab.2. l.d.m.m._Polska'!M245</f>
        <v>2</v>
      </c>
      <c r="DG19" s="852">
        <f>'Tab.2. l.d.m.m._Polska'!N245</f>
        <v>106</v>
      </c>
      <c r="DH19" s="854">
        <f>'Tab.2. l.d.m.m._Polska'!O245</f>
        <v>103</v>
      </c>
      <c r="DI19" s="844">
        <v>6</v>
      </c>
      <c r="DJ19" s="845" t="s">
        <v>241</v>
      </c>
      <c r="DK19" s="450">
        <f t="shared" si="28"/>
        <v>1</v>
      </c>
      <c r="DL19" s="484">
        <f t="shared" si="28"/>
        <v>1</v>
      </c>
      <c r="DM19" s="451">
        <f t="shared" si="29"/>
        <v>47</v>
      </c>
      <c r="DN19" s="452">
        <f t="shared" si="30"/>
        <v>48</v>
      </c>
      <c r="DO19" s="851">
        <f>'Tab.2. l.d.m.m._Polska'!H246</f>
        <v>1</v>
      </c>
      <c r="DP19" s="1091">
        <f>'Tab.2. l.d.m.m._Polska'!I246</f>
        <v>1</v>
      </c>
      <c r="DQ19" s="852">
        <f>'Tab.2. l.d.m.m._Polska'!J246</f>
        <v>47</v>
      </c>
      <c r="DR19" s="853">
        <f>'Tab.2. l.d.m.m._Polska'!K246</f>
        <v>48</v>
      </c>
      <c r="DS19" s="878">
        <f>'Tab.2. l.d.m.m._Polska'!L246</f>
        <v>0</v>
      </c>
      <c r="DT19" s="1091">
        <f>'Tab.2. l.d.m.m._Polska'!M246</f>
        <v>0</v>
      </c>
      <c r="DU19" s="852">
        <f>'Tab.2. l.d.m.m._Polska'!N246</f>
        <v>0</v>
      </c>
      <c r="DV19" s="854">
        <f>'Tab.2. l.d.m.m._Polska'!O246</f>
        <v>0</v>
      </c>
      <c r="DW19" s="844">
        <v>6</v>
      </c>
      <c r="DX19" s="845" t="s">
        <v>241</v>
      </c>
      <c r="DY19" s="450">
        <f t="shared" si="31"/>
        <v>0</v>
      </c>
      <c r="DZ19" s="484">
        <f t="shared" si="31"/>
        <v>0</v>
      </c>
      <c r="EA19" s="451">
        <f t="shared" si="32"/>
        <v>0</v>
      </c>
      <c r="EB19" s="452">
        <f t="shared" si="33"/>
        <v>0</v>
      </c>
      <c r="EC19" s="851">
        <f>'Tab.2. l.d.m.m._Polska'!H247</f>
        <v>0</v>
      </c>
      <c r="ED19" s="1091">
        <f>'Tab.2. l.d.m.m._Polska'!I247</f>
        <v>0</v>
      </c>
      <c r="EE19" s="852">
        <f>'Tab.2. l.d.m.m._Polska'!J247</f>
        <v>0</v>
      </c>
      <c r="EF19" s="853">
        <f>'Tab.2. l.d.m.m._Polska'!K247</f>
        <v>0</v>
      </c>
      <c r="EG19" s="878">
        <f>'Tab.2. l.d.m.m._Polska'!L247</f>
        <v>0</v>
      </c>
      <c r="EH19" s="1091">
        <f>'Tab.2. l.d.m.m._Polska'!M247</f>
        <v>0</v>
      </c>
      <c r="EI19" s="852">
        <f>'Tab.2. l.d.m.m._Polska'!N247</f>
        <v>0</v>
      </c>
      <c r="EJ19" s="854">
        <f>'Tab.2. l.d.m.m._Polska'!O247</f>
        <v>0</v>
      </c>
      <c r="EK19" s="844">
        <v>6</v>
      </c>
      <c r="EL19" s="845" t="s">
        <v>241</v>
      </c>
      <c r="EM19" s="450">
        <f t="shared" si="34"/>
        <v>2</v>
      </c>
      <c r="EN19" s="484">
        <f t="shared" si="34"/>
        <v>2</v>
      </c>
      <c r="EO19" s="451">
        <f t="shared" si="35"/>
        <v>222</v>
      </c>
      <c r="EP19" s="452">
        <f t="shared" si="36"/>
        <v>213</v>
      </c>
      <c r="EQ19" s="851">
        <f>'Tab.2. l.d.m.m._Polska'!H248</f>
        <v>1</v>
      </c>
      <c r="ER19" s="1091">
        <f>'Tab.2. l.d.m.m._Polska'!I248</f>
        <v>1</v>
      </c>
      <c r="ES19" s="852">
        <f>'Tab.2. l.d.m.m._Polska'!J248</f>
        <v>169</v>
      </c>
      <c r="ET19" s="853">
        <f>'Tab.2. l.d.m.m._Polska'!K248</f>
        <v>161</v>
      </c>
      <c r="EU19" s="878">
        <f>'Tab.2. l.d.m.m._Polska'!L248</f>
        <v>1</v>
      </c>
      <c r="EV19" s="1091">
        <f>'Tab.2. l.d.m.m._Polska'!M248</f>
        <v>1</v>
      </c>
      <c r="EW19" s="852">
        <f>'Tab.2. l.d.m.m._Polska'!N248</f>
        <v>53</v>
      </c>
      <c r="EX19" s="854">
        <f>'Tab.2. l.d.m.m._Polska'!O248</f>
        <v>52</v>
      </c>
    </row>
    <row r="20" spans="1:154" ht="15" customHeight="1" x14ac:dyDescent="0.2">
      <c r="A20" s="844">
        <v>7</v>
      </c>
      <c r="B20" s="845" t="s">
        <v>242</v>
      </c>
      <c r="C20" s="1307">
        <f t="shared" si="37"/>
        <v>87</v>
      </c>
      <c r="D20" s="1308" t="str">
        <f>'Tab.2. l.d.m.m._Polska'!E273&amp;" ("&amp;R20+AF20+AT20+BH20+BV20+CJ20+CX20+DL20+DZ20+EN20&amp;")"</f>
        <v>87 (93)</v>
      </c>
      <c r="E20" s="1309">
        <f t="shared" si="0"/>
        <v>9198</v>
      </c>
      <c r="F20" s="1310">
        <f t="shared" si="1"/>
        <v>9020</v>
      </c>
      <c r="G20" s="1307">
        <f t="shared" si="38"/>
        <v>69</v>
      </c>
      <c r="H20" s="1324">
        <f t="shared" si="39"/>
        <v>75</v>
      </c>
      <c r="I20" s="1309">
        <f t="shared" si="2"/>
        <v>8016</v>
      </c>
      <c r="J20" s="1310">
        <f t="shared" si="3"/>
        <v>7882</v>
      </c>
      <c r="K20" s="1307">
        <f t="shared" si="4"/>
        <v>18</v>
      </c>
      <c r="L20" s="1091">
        <f t="shared" si="4"/>
        <v>18</v>
      </c>
      <c r="M20" s="1309">
        <f t="shared" si="5"/>
        <v>1182</v>
      </c>
      <c r="N20" s="1320">
        <f t="shared" si="6"/>
        <v>1138</v>
      </c>
      <c r="O20" s="844">
        <v>7</v>
      </c>
      <c r="P20" s="845" t="s">
        <v>242</v>
      </c>
      <c r="Q20" s="450">
        <f t="shared" si="7"/>
        <v>15</v>
      </c>
      <c r="R20" s="484">
        <f t="shared" si="7"/>
        <v>15</v>
      </c>
      <c r="S20" s="451">
        <f t="shared" si="8"/>
        <v>1156</v>
      </c>
      <c r="T20" s="452">
        <f t="shared" si="9"/>
        <v>1107</v>
      </c>
      <c r="U20" s="440">
        <f>'Tab.2. l.d.m.m._Polska'!H275</f>
        <v>13</v>
      </c>
      <c r="V20" s="1091">
        <f>'Tab.2. l.d.m.m._Polska'!I275</f>
        <v>13</v>
      </c>
      <c r="W20" s="441">
        <f>'Tab.2. l.d.m.m._Polska'!J275</f>
        <v>1091</v>
      </c>
      <c r="X20" s="442">
        <f>'Tab.2. l.d.m.m._Polska'!K275</f>
        <v>1049</v>
      </c>
      <c r="Y20" s="472">
        <f>'Tab.2. l.d.m.m._Polska'!L275</f>
        <v>2</v>
      </c>
      <c r="Z20" s="1091">
        <f>'Tab.2. l.d.m.m._Polska'!M275</f>
        <v>2</v>
      </c>
      <c r="AA20" s="441">
        <f>'Tab.2. l.d.m.m._Polska'!N275</f>
        <v>65</v>
      </c>
      <c r="AB20" s="444">
        <f>'Tab.2. l.d.m.m._Polska'!O275</f>
        <v>58</v>
      </c>
      <c r="AC20" s="844">
        <v>7</v>
      </c>
      <c r="AD20" s="845" t="s">
        <v>242</v>
      </c>
      <c r="AE20" s="450">
        <f t="shared" si="10"/>
        <v>23</v>
      </c>
      <c r="AF20" s="484">
        <f t="shared" si="10"/>
        <v>23</v>
      </c>
      <c r="AG20" s="451">
        <f t="shared" si="11"/>
        <v>2170</v>
      </c>
      <c r="AH20" s="452">
        <f t="shared" si="12"/>
        <v>2022</v>
      </c>
      <c r="AI20" s="440">
        <f>'Tab.2. l.d.m.m._Polska'!H276</f>
        <v>18</v>
      </c>
      <c r="AJ20" s="1091">
        <f>'Tab.2. l.d.m.m._Polska'!I276</f>
        <v>18</v>
      </c>
      <c r="AK20" s="441">
        <f>'Tab.2. l.d.m.m._Polska'!J276</f>
        <v>1829</v>
      </c>
      <c r="AL20" s="442">
        <f>'Tab.2. l.d.m.m._Polska'!K276</f>
        <v>1702</v>
      </c>
      <c r="AM20" s="472">
        <f>'Tab.2. l.d.m.m._Polska'!L276</f>
        <v>5</v>
      </c>
      <c r="AN20" s="1091">
        <f>'Tab.2. l.d.m.m._Polska'!M276</f>
        <v>5</v>
      </c>
      <c r="AO20" s="441">
        <f>'Tab.2. l.d.m.m._Polska'!N276</f>
        <v>341</v>
      </c>
      <c r="AP20" s="444">
        <f>'Tab.2. l.d.m.m._Polska'!O276</f>
        <v>320</v>
      </c>
      <c r="AQ20" s="844">
        <v>7</v>
      </c>
      <c r="AR20" s="845" t="s">
        <v>242</v>
      </c>
      <c r="AS20" s="450">
        <f t="shared" si="13"/>
        <v>15</v>
      </c>
      <c r="AT20" s="484">
        <f t="shared" si="13"/>
        <v>20</v>
      </c>
      <c r="AU20" s="451">
        <f t="shared" si="14"/>
        <v>2432</v>
      </c>
      <c r="AV20" s="452">
        <f t="shared" si="15"/>
        <v>2468</v>
      </c>
      <c r="AW20" s="440">
        <f>'Tab.2. l.d.m.m._Polska'!H277</f>
        <v>13</v>
      </c>
      <c r="AX20" s="1091">
        <f>'Tab.2. l.d.m.m._Polska'!I277</f>
        <v>18</v>
      </c>
      <c r="AY20" s="441">
        <f>'Tab.2. l.d.m.m._Polska'!J277</f>
        <v>2307</v>
      </c>
      <c r="AZ20" s="442">
        <f>'Tab.2. l.d.m.m._Polska'!K277</f>
        <v>2347</v>
      </c>
      <c r="BA20" s="472">
        <f>'Tab.2. l.d.m.m._Polska'!L277</f>
        <v>2</v>
      </c>
      <c r="BB20" s="1091">
        <f>'Tab.2. l.d.m.m._Polska'!M277</f>
        <v>2</v>
      </c>
      <c r="BC20" s="441">
        <f>'Tab.2. l.d.m.m._Polska'!N277</f>
        <v>125</v>
      </c>
      <c r="BD20" s="444">
        <f>'Tab.2. l.d.m.m._Polska'!O277</f>
        <v>121</v>
      </c>
      <c r="BE20" s="844">
        <v>7</v>
      </c>
      <c r="BF20" s="845" t="s">
        <v>242</v>
      </c>
      <c r="BG20" s="450">
        <f t="shared" si="16"/>
        <v>18</v>
      </c>
      <c r="BH20" s="484">
        <f t="shared" si="16"/>
        <v>19</v>
      </c>
      <c r="BI20" s="451">
        <f t="shared" si="17"/>
        <v>1766</v>
      </c>
      <c r="BJ20" s="452">
        <f t="shared" si="18"/>
        <v>1785</v>
      </c>
      <c r="BK20" s="851">
        <f>'Tab.2. l.d.m.m._Polska'!H278</f>
        <v>14</v>
      </c>
      <c r="BL20" s="1091">
        <f>'Tab.2. l.d.m.m._Polska'!I278</f>
        <v>15</v>
      </c>
      <c r="BM20" s="852">
        <f>'Tab.2. l.d.m.m._Polska'!J278</f>
        <v>1595</v>
      </c>
      <c r="BN20" s="853">
        <f>'Tab.2. l.d.m.m._Polska'!K278</f>
        <v>1613</v>
      </c>
      <c r="BO20" s="878">
        <f>'Tab.2. l.d.m.m._Polska'!L278</f>
        <v>4</v>
      </c>
      <c r="BP20" s="1091">
        <f>'Tab.2. l.d.m.m._Polska'!M278</f>
        <v>4</v>
      </c>
      <c r="BQ20" s="852">
        <f>'Tab.2. l.d.m.m._Polska'!N278</f>
        <v>171</v>
      </c>
      <c r="BR20" s="854">
        <f>'Tab.2. l.d.m.m._Polska'!O278</f>
        <v>172</v>
      </c>
      <c r="BS20" s="844">
        <v>7</v>
      </c>
      <c r="BT20" s="845" t="s">
        <v>242</v>
      </c>
      <c r="BU20" s="450">
        <f t="shared" si="19"/>
        <v>8</v>
      </c>
      <c r="BV20" s="484">
        <f t="shared" si="19"/>
        <v>8</v>
      </c>
      <c r="BW20" s="451">
        <f t="shared" si="20"/>
        <v>802</v>
      </c>
      <c r="BX20" s="452">
        <f t="shared" si="21"/>
        <v>795</v>
      </c>
      <c r="BY20" s="851">
        <f>'Tab.2. l.d.m.m._Polska'!H279</f>
        <v>4</v>
      </c>
      <c r="BZ20" s="1091">
        <f>'Tab.2. l.d.m.m._Polska'!I279</f>
        <v>4</v>
      </c>
      <c r="CA20" s="852">
        <f>'Tab.2. l.d.m.m._Polska'!J279</f>
        <v>437</v>
      </c>
      <c r="CB20" s="853">
        <f>'Tab.2. l.d.m.m._Polska'!K279</f>
        <v>435</v>
      </c>
      <c r="CC20" s="878">
        <f>'Tab.2. l.d.m.m._Polska'!L279</f>
        <v>4</v>
      </c>
      <c r="CD20" s="1091">
        <f>'Tab.2. l.d.m.m._Polska'!M279</f>
        <v>4</v>
      </c>
      <c r="CE20" s="852">
        <f>'Tab.2. l.d.m.m._Polska'!N279</f>
        <v>365</v>
      </c>
      <c r="CF20" s="854">
        <f>'Tab.2. l.d.m.m._Polska'!O279</f>
        <v>360</v>
      </c>
      <c r="CG20" s="844">
        <v>7</v>
      </c>
      <c r="CH20" s="845" t="s">
        <v>242</v>
      </c>
      <c r="CI20" s="450">
        <f t="shared" si="22"/>
        <v>0</v>
      </c>
      <c r="CJ20" s="484">
        <f t="shared" si="22"/>
        <v>0</v>
      </c>
      <c r="CK20" s="451">
        <f t="shared" si="23"/>
        <v>0</v>
      </c>
      <c r="CL20" s="452">
        <f t="shared" si="24"/>
        <v>0</v>
      </c>
      <c r="CM20" s="851">
        <f>'Tab.2. l.d.m.m._Polska'!H280</f>
        <v>0</v>
      </c>
      <c r="CN20" s="1091">
        <f>'Tab.2. l.d.m.m._Polska'!I280</f>
        <v>0</v>
      </c>
      <c r="CO20" s="852">
        <f>'Tab.2. l.d.m.m._Polska'!J280</f>
        <v>0</v>
      </c>
      <c r="CP20" s="853">
        <f>'Tab.2. l.d.m.m._Polska'!K280</f>
        <v>0</v>
      </c>
      <c r="CQ20" s="878">
        <f>'Tab.2. l.d.m.m._Polska'!L280</f>
        <v>0</v>
      </c>
      <c r="CR20" s="1091">
        <f>'Tab.2. l.d.m.m._Polska'!M280</f>
        <v>0</v>
      </c>
      <c r="CS20" s="852">
        <f>'Tab.2. l.d.m.m._Polska'!N280</f>
        <v>0</v>
      </c>
      <c r="CT20" s="854">
        <f>'Tab.2. l.d.m.m._Polska'!O280</f>
        <v>0</v>
      </c>
      <c r="CU20" s="844">
        <v>7</v>
      </c>
      <c r="CV20" s="845" t="s">
        <v>242</v>
      </c>
      <c r="CW20" s="450">
        <f t="shared" si="25"/>
        <v>5</v>
      </c>
      <c r="CX20" s="484">
        <f t="shared" si="25"/>
        <v>5</v>
      </c>
      <c r="CY20" s="451">
        <f t="shared" si="26"/>
        <v>644</v>
      </c>
      <c r="CZ20" s="452">
        <f t="shared" si="27"/>
        <v>615</v>
      </c>
      <c r="DA20" s="851">
        <f>'Tab.2. l.d.m.m._Polska'!H281</f>
        <v>4</v>
      </c>
      <c r="DB20" s="1091">
        <f>'Tab.2. l.d.m.m._Polska'!I281</f>
        <v>4</v>
      </c>
      <c r="DC20" s="852">
        <f>'Tab.2. l.d.m.m._Polska'!J281</f>
        <v>529</v>
      </c>
      <c r="DD20" s="853">
        <f>'Tab.2. l.d.m.m._Polska'!K281</f>
        <v>508</v>
      </c>
      <c r="DE20" s="878">
        <f>'Tab.2. l.d.m.m._Polska'!L281</f>
        <v>1</v>
      </c>
      <c r="DF20" s="878">
        <f>'Tab.2. l.d.m.m._Polska'!M281</f>
        <v>1</v>
      </c>
      <c r="DG20" s="852">
        <f>'Tab.2. l.d.m.m._Polska'!N281</f>
        <v>115</v>
      </c>
      <c r="DH20" s="854">
        <f>'Tab.2. l.d.m.m._Polska'!O281</f>
        <v>107</v>
      </c>
      <c r="DI20" s="844">
        <v>7</v>
      </c>
      <c r="DJ20" s="845" t="s">
        <v>242</v>
      </c>
      <c r="DK20" s="450">
        <f t="shared" si="28"/>
        <v>0</v>
      </c>
      <c r="DL20" s="484">
        <f t="shared" si="28"/>
        <v>0</v>
      </c>
      <c r="DM20" s="451">
        <f t="shared" si="29"/>
        <v>0</v>
      </c>
      <c r="DN20" s="452">
        <f t="shared" si="30"/>
        <v>0</v>
      </c>
      <c r="DO20" s="851">
        <f>'Tab.2. l.d.m.m._Polska'!H282</f>
        <v>0</v>
      </c>
      <c r="DP20" s="1091">
        <f>'Tab.2. l.d.m.m._Polska'!I282</f>
        <v>0</v>
      </c>
      <c r="DQ20" s="852">
        <f>'Tab.2. l.d.m.m._Polska'!J282</f>
        <v>0</v>
      </c>
      <c r="DR20" s="853">
        <f>'Tab.2. l.d.m.m._Polska'!K282</f>
        <v>0</v>
      </c>
      <c r="DS20" s="878">
        <f>'Tab.2. l.d.m.m._Polska'!L282</f>
        <v>0</v>
      </c>
      <c r="DT20" s="1091">
        <f>'Tab.2. l.d.m.m._Polska'!M282</f>
        <v>0</v>
      </c>
      <c r="DU20" s="852">
        <f>'Tab.2. l.d.m.m._Polska'!N282</f>
        <v>0</v>
      </c>
      <c r="DV20" s="854">
        <f>'Tab.2. l.d.m.m._Polska'!O282</f>
        <v>0</v>
      </c>
      <c r="DW20" s="844">
        <v>7</v>
      </c>
      <c r="DX20" s="845" t="s">
        <v>242</v>
      </c>
      <c r="DY20" s="450">
        <f t="shared" si="31"/>
        <v>0</v>
      </c>
      <c r="DZ20" s="484">
        <f t="shared" si="31"/>
        <v>0</v>
      </c>
      <c r="EA20" s="451">
        <f t="shared" si="32"/>
        <v>0</v>
      </c>
      <c r="EB20" s="452">
        <f t="shared" si="33"/>
        <v>0</v>
      </c>
      <c r="EC20" s="851">
        <f>'Tab.2. l.d.m.m._Polska'!H283</f>
        <v>0</v>
      </c>
      <c r="ED20" s="1091">
        <f>'Tab.2. l.d.m.m._Polska'!I283</f>
        <v>0</v>
      </c>
      <c r="EE20" s="852">
        <f>'Tab.2. l.d.m.m._Polska'!J283</f>
        <v>0</v>
      </c>
      <c r="EF20" s="853">
        <f>'Tab.2. l.d.m.m._Polska'!K283</f>
        <v>0</v>
      </c>
      <c r="EG20" s="878">
        <f>'Tab.2. l.d.m.m._Polska'!L283</f>
        <v>0</v>
      </c>
      <c r="EH20" s="1091">
        <f>'Tab.2. l.d.m.m._Polska'!M283</f>
        <v>0</v>
      </c>
      <c r="EI20" s="852">
        <f>'Tab.2. l.d.m.m._Polska'!N283</f>
        <v>0</v>
      </c>
      <c r="EJ20" s="854">
        <f>'Tab.2. l.d.m.m._Polska'!O283</f>
        <v>0</v>
      </c>
      <c r="EK20" s="844">
        <v>7</v>
      </c>
      <c r="EL20" s="845" t="s">
        <v>242</v>
      </c>
      <c r="EM20" s="450">
        <f t="shared" si="34"/>
        <v>3</v>
      </c>
      <c r="EN20" s="484">
        <f t="shared" si="34"/>
        <v>3</v>
      </c>
      <c r="EO20" s="451">
        <f t="shared" si="35"/>
        <v>228</v>
      </c>
      <c r="EP20" s="452">
        <f t="shared" si="36"/>
        <v>228</v>
      </c>
      <c r="EQ20" s="851">
        <f>'Tab.2. l.d.m.m._Polska'!H284</f>
        <v>3</v>
      </c>
      <c r="ER20" s="1091">
        <f>'Tab.2. l.d.m.m._Polska'!I284</f>
        <v>3</v>
      </c>
      <c r="ES20" s="852">
        <f>'Tab.2. l.d.m.m._Polska'!J284</f>
        <v>228</v>
      </c>
      <c r="ET20" s="853">
        <f>'Tab.2. l.d.m.m._Polska'!K284</f>
        <v>228</v>
      </c>
      <c r="EU20" s="878">
        <f>'Tab.2. l.d.m.m._Polska'!L284</f>
        <v>0</v>
      </c>
      <c r="EV20" s="1091">
        <f>'Tab.2. l.d.m.m._Polska'!M284</f>
        <v>0</v>
      </c>
      <c r="EW20" s="852">
        <f>'Tab.2. l.d.m.m._Polska'!N284</f>
        <v>0</v>
      </c>
      <c r="EX20" s="854">
        <f>'Tab.2. l.d.m.m._Polska'!O284</f>
        <v>0</v>
      </c>
    </row>
    <row r="21" spans="1:154" ht="15" customHeight="1" x14ac:dyDescent="0.2">
      <c r="A21" s="844">
        <v>8</v>
      </c>
      <c r="B21" s="845" t="s">
        <v>243</v>
      </c>
      <c r="C21" s="1307">
        <f t="shared" si="37"/>
        <v>27</v>
      </c>
      <c r="D21" s="1308" t="str">
        <f>'Tab.2. l.d.m.m._Polska'!E309&amp;" ("&amp;R21+AF21+AT21+BH21+BV21+CJ21+CX21+DL21+DZ21+EN21&amp;")"</f>
        <v>27 (31)</v>
      </c>
      <c r="E21" s="1309">
        <f t="shared" si="0"/>
        <v>2908</v>
      </c>
      <c r="F21" s="1310">
        <f t="shared" si="1"/>
        <v>2881</v>
      </c>
      <c r="G21" s="1307">
        <f t="shared" si="38"/>
        <v>15</v>
      </c>
      <c r="H21" s="1324">
        <f t="shared" si="39"/>
        <v>19</v>
      </c>
      <c r="I21" s="1309">
        <f t="shared" si="2"/>
        <v>2026</v>
      </c>
      <c r="J21" s="1310">
        <f t="shared" si="3"/>
        <v>2000</v>
      </c>
      <c r="K21" s="1307">
        <f t="shared" si="4"/>
        <v>12</v>
      </c>
      <c r="L21" s="1091">
        <f t="shared" si="4"/>
        <v>12</v>
      </c>
      <c r="M21" s="1309">
        <f t="shared" si="5"/>
        <v>882</v>
      </c>
      <c r="N21" s="1320">
        <f t="shared" si="6"/>
        <v>881</v>
      </c>
      <c r="O21" s="844">
        <v>8</v>
      </c>
      <c r="P21" s="845" t="s">
        <v>243</v>
      </c>
      <c r="Q21" s="450">
        <f t="shared" si="7"/>
        <v>7</v>
      </c>
      <c r="R21" s="484">
        <f t="shared" si="7"/>
        <v>7</v>
      </c>
      <c r="S21" s="451">
        <f t="shared" si="8"/>
        <v>418</v>
      </c>
      <c r="T21" s="452">
        <f t="shared" si="9"/>
        <v>405</v>
      </c>
      <c r="U21" s="440">
        <f>'Tab.2. l.d.m.m._Polska'!H311</f>
        <v>5</v>
      </c>
      <c r="V21" s="1091">
        <f>'Tab.2. l.d.m.m._Polska'!I311</f>
        <v>5</v>
      </c>
      <c r="W21" s="441">
        <f>'Tab.2. l.d.m.m._Polska'!J311</f>
        <v>326</v>
      </c>
      <c r="X21" s="442">
        <f>'Tab.2. l.d.m.m._Polska'!K311</f>
        <v>317</v>
      </c>
      <c r="Y21" s="472">
        <f>'Tab.2. l.d.m.m._Polska'!L311</f>
        <v>2</v>
      </c>
      <c r="Z21" s="1091">
        <f>'Tab.2. l.d.m.m._Polska'!M311</f>
        <v>2</v>
      </c>
      <c r="AA21" s="441">
        <f>'Tab.2. l.d.m.m._Polska'!N311</f>
        <v>92</v>
      </c>
      <c r="AB21" s="444">
        <f>'Tab.2. l.d.m.m._Polska'!O311</f>
        <v>88</v>
      </c>
      <c r="AC21" s="844">
        <v>8</v>
      </c>
      <c r="AD21" s="845" t="s">
        <v>243</v>
      </c>
      <c r="AE21" s="450">
        <f t="shared" si="10"/>
        <v>0</v>
      </c>
      <c r="AF21" s="484">
        <f t="shared" si="10"/>
        <v>1</v>
      </c>
      <c r="AG21" s="451">
        <f t="shared" si="11"/>
        <v>42</v>
      </c>
      <c r="AH21" s="452">
        <f t="shared" si="12"/>
        <v>38</v>
      </c>
      <c r="AI21" s="440">
        <f>'Tab.2. l.d.m.m._Polska'!H312</f>
        <v>0</v>
      </c>
      <c r="AJ21" s="1091">
        <f>'Tab.2. l.d.m.m._Polska'!I312</f>
        <v>1</v>
      </c>
      <c r="AK21" s="441">
        <f>'Tab.2. l.d.m.m._Polska'!J312</f>
        <v>42</v>
      </c>
      <c r="AL21" s="442">
        <f>'Tab.2. l.d.m.m._Polska'!K312</f>
        <v>38</v>
      </c>
      <c r="AM21" s="472">
        <f>'Tab.2. l.d.m.m._Polska'!L312</f>
        <v>0</v>
      </c>
      <c r="AN21" s="1091">
        <f>'Tab.2. l.d.m.m._Polska'!M312</f>
        <v>0</v>
      </c>
      <c r="AO21" s="441">
        <f>'Tab.2. l.d.m.m._Polska'!N312</f>
        <v>0</v>
      </c>
      <c r="AP21" s="444">
        <f>'Tab.2. l.d.m.m._Polska'!O312</f>
        <v>0</v>
      </c>
      <c r="AQ21" s="844">
        <v>8</v>
      </c>
      <c r="AR21" s="845" t="s">
        <v>243</v>
      </c>
      <c r="AS21" s="450">
        <f t="shared" si="13"/>
        <v>3</v>
      </c>
      <c r="AT21" s="484">
        <f t="shared" si="13"/>
        <v>3</v>
      </c>
      <c r="AU21" s="451">
        <f t="shared" si="14"/>
        <v>760</v>
      </c>
      <c r="AV21" s="452">
        <f t="shared" si="15"/>
        <v>759</v>
      </c>
      <c r="AW21" s="440">
        <f>'Tab.2. l.d.m.m._Polska'!H313</f>
        <v>2</v>
      </c>
      <c r="AX21" s="1091">
        <f>'Tab.2. l.d.m.m._Polska'!I313</f>
        <v>2</v>
      </c>
      <c r="AY21" s="441">
        <f>'Tab.2. l.d.m.m._Polska'!J313</f>
        <v>705</v>
      </c>
      <c r="AZ21" s="442">
        <f>'Tab.2. l.d.m.m._Polska'!K313</f>
        <v>704</v>
      </c>
      <c r="BA21" s="472">
        <f>'Tab.2. l.d.m.m._Polska'!L313</f>
        <v>1</v>
      </c>
      <c r="BB21" s="1091">
        <f>'Tab.2. l.d.m.m._Polska'!M313</f>
        <v>1</v>
      </c>
      <c r="BC21" s="441">
        <f>'Tab.2. l.d.m.m._Polska'!N313</f>
        <v>55</v>
      </c>
      <c r="BD21" s="444">
        <f>'Tab.2. l.d.m.m._Polska'!O313</f>
        <v>55</v>
      </c>
      <c r="BE21" s="844">
        <v>8</v>
      </c>
      <c r="BF21" s="845" t="s">
        <v>243</v>
      </c>
      <c r="BG21" s="450">
        <f t="shared" si="16"/>
        <v>5</v>
      </c>
      <c r="BH21" s="484">
        <f t="shared" si="16"/>
        <v>5</v>
      </c>
      <c r="BI21" s="451">
        <f t="shared" si="17"/>
        <v>479</v>
      </c>
      <c r="BJ21" s="452">
        <f t="shared" si="18"/>
        <v>470</v>
      </c>
      <c r="BK21" s="851">
        <f>'Tab.2. l.d.m.m._Polska'!H314</f>
        <v>5</v>
      </c>
      <c r="BL21" s="1091">
        <f>'Tab.2. l.d.m.m._Polska'!I314</f>
        <v>5</v>
      </c>
      <c r="BM21" s="852">
        <f>'Tab.2. l.d.m.m._Polska'!J314</f>
        <v>479</v>
      </c>
      <c r="BN21" s="853">
        <f>'Tab.2. l.d.m.m._Polska'!K314</f>
        <v>470</v>
      </c>
      <c r="BO21" s="878">
        <f>'Tab.2. l.d.m.m._Polska'!L314</f>
        <v>0</v>
      </c>
      <c r="BP21" s="1091">
        <f>'Tab.2. l.d.m.m._Polska'!M314</f>
        <v>0</v>
      </c>
      <c r="BQ21" s="852">
        <f>'Tab.2. l.d.m.m._Polska'!N314</f>
        <v>0</v>
      </c>
      <c r="BR21" s="854">
        <f>'Tab.2. l.d.m.m._Polska'!O314</f>
        <v>0</v>
      </c>
      <c r="BS21" s="844">
        <v>8</v>
      </c>
      <c r="BT21" s="845" t="s">
        <v>243</v>
      </c>
      <c r="BU21" s="450">
        <f t="shared" si="19"/>
        <v>1</v>
      </c>
      <c r="BV21" s="484">
        <f t="shared" si="19"/>
        <v>1</v>
      </c>
      <c r="BW21" s="451">
        <f t="shared" si="20"/>
        <v>110</v>
      </c>
      <c r="BX21" s="452">
        <f t="shared" si="21"/>
        <v>110</v>
      </c>
      <c r="BY21" s="851">
        <f>'Tab.2. l.d.m.m._Polska'!H315</f>
        <v>0</v>
      </c>
      <c r="BZ21" s="1091">
        <f>'Tab.2. l.d.m.m._Polska'!I315</f>
        <v>0</v>
      </c>
      <c r="CA21" s="852">
        <f>'Tab.2. l.d.m.m._Polska'!J315</f>
        <v>0</v>
      </c>
      <c r="CB21" s="853">
        <f>'Tab.2. l.d.m.m._Polska'!K315</f>
        <v>0</v>
      </c>
      <c r="CC21" s="878">
        <f>'Tab.2. l.d.m.m._Polska'!L315</f>
        <v>1</v>
      </c>
      <c r="CD21" s="1091">
        <f>'Tab.2. l.d.m.m._Polska'!M315</f>
        <v>1</v>
      </c>
      <c r="CE21" s="852">
        <f>'Tab.2. l.d.m.m._Polska'!N315</f>
        <v>110</v>
      </c>
      <c r="CF21" s="854">
        <f>'Tab.2. l.d.m.m._Polska'!O315</f>
        <v>110</v>
      </c>
      <c r="CG21" s="844">
        <v>8</v>
      </c>
      <c r="CH21" s="845" t="s">
        <v>243</v>
      </c>
      <c r="CI21" s="450">
        <f t="shared" si="22"/>
        <v>0</v>
      </c>
      <c r="CJ21" s="484">
        <f t="shared" si="22"/>
        <v>1</v>
      </c>
      <c r="CK21" s="451">
        <f t="shared" si="23"/>
        <v>45</v>
      </c>
      <c r="CL21" s="452">
        <f t="shared" si="24"/>
        <v>45</v>
      </c>
      <c r="CM21" s="851">
        <f>'Tab.2. l.d.m.m._Polska'!H316</f>
        <v>0</v>
      </c>
      <c r="CN21" s="1091">
        <f>'Tab.2. l.d.m.m._Polska'!I316</f>
        <v>1</v>
      </c>
      <c r="CO21" s="852">
        <f>'Tab.2. l.d.m.m._Polska'!J316</f>
        <v>45</v>
      </c>
      <c r="CP21" s="853">
        <f>'Tab.2. l.d.m.m._Polska'!K316</f>
        <v>45</v>
      </c>
      <c r="CQ21" s="878">
        <f>'Tab.2. l.d.m.m._Polska'!L316</f>
        <v>0</v>
      </c>
      <c r="CR21" s="1091">
        <f>'Tab.2. l.d.m.m._Polska'!M316</f>
        <v>0</v>
      </c>
      <c r="CS21" s="852">
        <f>'Tab.2. l.d.m.m._Polska'!N316</f>
        <v>0</v>
      </c>
      <c r="CT21" s="854">
        <f>'Tab.2. l.d.m.m._Polska'!O316</f>
        <v>0</v>
      </c>
      <c r="CU21" s="844">
        <v>8</v>
      </c>
      <c r="CV21" s="845" t="s">
        <v>243</v>
      </c>
      <c r="CW21" s="450">
        <f t="shared" si="25"/>
        <v>5</v>
      </c>
      <c r="CX21" s="484">
        <f t="shared" si="25"/>
        <v>5</v>
      </c>
      <c r="CY21" s="451">
        <f t="shared" si="26"/>
        <v>470</v>
      </c>
      <c r="CZ21" s="452">
        <f t="shared" si="27"/>
        <v>467</v>
      </c>
      <c r="DA21" s="851">
        <f>'Tab.2. l.d.m.m._Polska'!H317</f>
        <v>2</v>
      </c>
      <c r="DB21" s="1091">
        <f>'Tab.2. l.d.m.m._Polska'!I317</f>
        <v>2</v>
      </c>
      <c r="DC21" s="852">
        <f>'Tab.2. l.d.m.m._Polska'!J317</f>
        <v>258</v>
      </c>
      <c r="DD21" s="853">
        <f>'Tab.2. l.d.m.m._Polska'!K317</f>
        <v>255</v>
      </c>
      <c r="DE21" s="878">
        <f>'Tab.2. l.d.m.m._Polska'!L317</f>
        <v>3</v>
      </c>
      <c r="DF21" s="878">
        <f>'Tab.2. l.d.m.m._Polska'!M317</f>
        <v>3</v>
      </c>
      <c r="DG21" s="852">
        <f>'Tab.2. l.d.m.m._Polska'!N317</f>
        <v>212</v>
      </c>
      <c r="DH21" s="854">
        <f>'Tab.2. l.d.m.m._Polska'!O317</f>
        <v>212</v>
      </c>
      <c r="DI21" s="844">
        <v>8</v>
      </c>
      <c r="DJ21" s="845" t="s">
        <v>243</v>
      </c>
      <c r="DK21" s="450">
        <f t="shared" si="28"/>
        <v>0</v>
      </c>
      <c r="DL21" s="484">
        <f t="shared" si="28"/>
        <v>2</v>
      </c>
      <c r="DM21" s="451">
        <f t="shared" si="29"/>
        <v>115</v>
      </c>
      <c r="DN21" s="452">
        <f t="shared" si="30"/>
        <v>115</v>
      </c>
      <c r="DO21" s="851">
        <f>'Tab.2. l.d.m.m._Polska'!H318</f>
        <v>0</v>
      </c>
      <c r="DP21" s="1091">
        <f>'Tab.2. l.d.m.m._Polska'!I318</f>
        <v>2</v>
      </c>
      <c r="DQ21" s="852">
        <f>'Tab.2. l.d.m.m._Polska'!J318</f>
        <v>115</v>
      </c>
      <c r="DR21" s="853">
        <f>'Tab.2. l.d.m.m._Polska'!K318</f>
        <v>115</v>
      </c>
      <c r="DS21" s="878">
        <f>'Tab.2. l.d.m.m._Polska'!L318</f>
        <v>0</v>
      </c>
      <c r="DT21" s="1091">
        <f>'Tab.2. l.d.m.m._Polska'!M318</f>
        <v>0</v>
      </c>
      <c r="DU21" s="852">
        <f>'Tab.2. l.d.m.m._Polska'!N318</f>
        <v>0</v>
      </c>
      <c r="DV21" s="854">
        <f>'Tab.2. l.d.m.m._Polska'!O318</f>
        <v>0</v>
      </c>
      <c r="DW21" s="844">
        <v>8</v>
      </c>
      <c r="DX21" s="845" t="s">
        <v>243</v>
      </c>
      <c r="DY21" s="450">
        <f t="shared" si="31"/>
        <v>1</v>
      </c>
      <c r="DZ21" s="484">
        <f t="shared" si="31"/>
        <v>1</v>
      </c>
      <c r="EA21" s="451">
        <f t="shared" si="32"/>
        <v>56</v>
      </c>
      <c r="EB21" s="452">
        <f t="shared" si="33"/>
        <v>56</v>
      </c>
      <c r="EC21" s="851">
        <f>'Tab.2. l.d.m.m._Polska'!H319</f>
        <v>1</v>
      </c>
      <c r="ED21" s="1091">
        <f>'Tab.2. l.d.m.m._Polska'!I319</f>
        <v>1</v>
      </c>
      <c r="EE21" s="852">
        <f>'Tab.2. l.d.m.m._Polska'!J319</f>
        <v>56</v>
      </c>
      <c r="EF21" s="853">
        <f>'Tab.2. l.d.m.m._Polska'!K319</f>
        <v>56</v>
      </c>
      <c r="EG21" s="878">
        <f>'Tab.2. l.d.m.m._Polska'!L319</f>
        <v>0</v>
      </c>
      <c r="EH21" s="1091">
        <f>'Tab.2. l.d.m.m._Polska'!M319</f>
        <v>0</v>
      </c>
      <c r="EI21" s="852">
        <f>'Tab.2. l.d.m.m._Polska'!N319</f>
        <v>0</v>
      </c>
      <c r="EJ21" s="854">
        <f>'Tab.2. l.d.m.m._Polska'!O319</f>
        <v>0</v>
      </c>
      <c r="EK21" s="844">
        <v>8</v>
      </c>
      <c r="EL21" s="845" t="s">
        <v>243</v>
      </c>
      <c r="EM21" s="450">
        <f t="shared" si="34"/>
        <v>5</v>
      </c>
      <c r="EN21" s="484">
        <f t="shared" si="34"/>
        <v>5</v>
      </c>
      <c r="EO21" s="451">
        <f t="shared" si="35"/>
        <v>413</v>
      </c>
      <c r="EP21" s="452">
        <f t="shared" si="36"/>
        <v>416</v>
      </c>
      <c r="EQ21" s="851">
        <f>'Tab.2. l.d.m.m._Polska'!H320</f>
        <v>0</v>
      </c>
      <c r="ER21" s="1091">
        <f>'Tab.2. l.d.m.m._Polska'!I320</f>
        <v>0</v>
      </c>
      <c r="ES21" s="852">
        <f>'Tab.2. l.d.m.m._Polska'!J320</f>
        <v>0</v>
      </c>
      <c r="ET21" s="853">
        <f>'Tab.2. l.d.m.m._Polska'!K320</f>
        <v>0</v>
      </c>
      <c r="EU21" s="878">
        <f>'Tab.2. l.d.m.m._Polska'!L320</f>
        <v>5</v>
      </c>
      <c r="EV21" s="1091">
        <f>'Tab.2. l.d.m.m._Polska'!M320</f>
        <v>5</v>
      </c>
      <c r="EW21" s="852">
        <f>'Tab.2. l.d.m.m._Polska'!N320</f>
        <v>413</v>
      </c>
      <c r="EX21" s="854">
        <f>'Tab.2. l.d.m.m._Polska'!O320</f>
        <v>416</v>
      </c>
    </row>
    <row r="22" spans="1:154" ht="15" customHeight="1" x14ac:dyDescent="0.2">
      <c r="A22" s="844">
        <v>9</v>
      </c>
      <c r="B22" s="845" t="s">
        <v>244</v>
      </c>
      <c r="C22" s="1307">
        <f t="shared" si="37"/>
        <v>48</v>
      </c>
      <c r="D22" s="1308" t="str">
        <f>'Tab.2. l.d.m.m._Polska'!E345&amp;" ("&amp;R22+AF22+AT22+BH22+BV22+CJ22+CX22+DL22+DZ22+EN22&amp;")"</f>
        <v>48 (48)</v>
      </c>
      <c r="E22" s="1309">
        <f t="shared" si="0"/>
        <v>4599</v>
      </c>
      <c r="F22" s="1310">
        <f t="shared" si="1"/>
        <v>4430</v>
      </c>
      <c r="G22" s="1307">
        <f t="shared" si="38"/>
        <v>31</v>
      </c>
      <c r="H22" s="1324">
        <f t="shared" si="39"/>
        <v>31</v>
      </c>
      <c r="I22" s="1309">
        <f t="shared" si="2"/>
        <v>3498</v>
      </c>
      <c r="J22" s="1310">
        <f t="shared" si="3"/>
        <v>3381</v>
      </c>
      <c r="K22" s="1307">
        <f t="shared" si="4"/>
        <v>17</v>
      </c>
      <c r="L22" s="1091">
        <f t="shared" si="4"/>
        <v>17</v>
      </c>
      <c r="M22" s="1309">
        <f t="shared" si="5"/>
        <v>1101</v>
      </c>
      <c r="N22" s="1320">
        <f t="shared" si="6"/>
        <v>1049</v>
      </c>
      <c r="O22" s="844">
        <v>9</v>
      </c>
      <c r="P22" s="845" t="s">
        <v>244</v>
      </c>
      <c r="Q22" s="450">
        <f t="shared" si="7"/>
        <v>4</v>
      </c>
      <c r="R22" s="484">
        <f t="shared" si="7"/>
        <v>4</v>
      </c>
      <c r="S22" s="451">
        <f t="shared" si="8"/>
        <v>172</v>
      </c>
      <c r="T22" s="452">
        <f t="shared" si="9"/>
        <v>159</v>
      </c>
      <c r="U22" s="440">
        <f>'Tab.2. l.d.m.m._Polska'!H347</f>
        <v>1</v>
      </c>
      <c r="V22" s="1091">
        <f>'Tab.2. l.d.m.m._Polska'!I347</f>
        <v>1</v>
      </c>
      <c r="W22" s="441">
        <f>'Tab.2. l.d.m.m._Polska'!J347</f>
        <v>61</v>
      </c>
      <c r="X22" s="442">
        <f>'Tab.2. l.d.m.m._Polska'!K347</f>
        <v>59</v>
      </c>
      <c r="Y22" s="472">
        <f>'Tab.2. l.d.m.m._Polska'!L347</f>
        <v>3</v>
      </c>
      <c r="Z22" s="1091">
        <f>'Tab.2. l.d.m.m._Polska'!M347</f>
        <v>3</v>
      </c>
      <c r="AA22" s="441">
        <f>'Tab.2. l.d.m.m._Polska'!N347</f>
        <v>111</v>
      </c>
      <c r="AB22" s="444">
        <f>'Tab.2. l.d.m.m._Polska'!O347</f>
        <v>100</v>
      </c>
      <c r="AC22" s="844">
        <v>9</v>
      </c>
      <c r="AD22" s="845" t="s">
        <v>244</v>
      </c>
      <c r="AE22" s="450">
        <f t="shared" si="10"/>
        <v>5</v>
      </c>
      <c r="AF22" s="484">
        <f t="shared" si="10"/>
        <v>5</v>
      </c>
      <c r="AG22" s="451">
        <f t="shared" si="11"/>
        <v>447</v>
      </c>
      <c r="AH22" s="452">
        <f t="shared" si="12"/>
        <v>423</v>
      </c>
      <c r="AI22" s="440">
        <f>'Tab.2. l.d.m.m._Polska'!H348</f>
        <v>5</v>
      </c>
      <c r="AJ22" s="1091">
        <f>'Tab.2. l.d.m.m._Polska'!I348</f>
        <v>5</v>
      </c>
      <c r="AK22" s="441">
        <f>'Tab.2. l.d.m.m._Polska'!J348</f>
        <v>447</v>
      </c>
      <c r="AL22" s="442">
        <f>'Tab.2. l.d.m.m._Polska'!K348</f>
        <v>423</v>
      </c>
      <c r="AM22" s="472">
        <f>'Tab.2. l.d.m.m._Polska'!L348</f>
        <v>0</v>
      </c>
      <c r="AN22" s="1091">
        <f>'Tab.2. l.d.m.m._Polska'!M348</f>
        <v>0</v>
      </c>
      <c r="AO22" s="441">
        <f>'Tab.2. l.d.m.m._Polska'!N348</f>
        <v>0</v>
      </c>
      <c r="AP22" s="444">
        <f>'Tab.2. l.d.m.m._Polska'!O348</f>
        <v>0</v>
      </c>
      <c r="AQ22" s="844">
        <v>9</v>
      </c>
      <c r="AR22" s="845" t="s">
        <v>244</v>
      </c>
      <c r="AS22" s="450">
        <f t="shared" si="13"/>
        <v>13</v>
      </c>
      <c r="AT22" s="484">
        <f t="shared" si="13"/>
        <v>13</v>
      </c>
      <c r="AU22" s="451">
        <f t="shared" si="14"/>
        <v>1770</v>
      </c>
      <c r="AV22" s="452">
        <f t="shared" si="15"/>
        <v>1753</v>
      </c>
      <c r="AW22" s="440">
        <f>'Tab.2. l.d.m.m._Polska'!H349</f>
        <v>12</v>
      </c>
      <c r="AX22" s="1091">
        <f>'Tab.2. l.d.m.m._Polska'!I349</f>
        <v>12</v>
      </c>
      <c r="AY22" s="441">
        <f>'Tab.2. l.d.m.m._Polska'!J349</f>
        <v>1694</v>
      </c>
      <c r="AZ22" s="442">
        <f>'Tab.2. l.d.m.m._Polska'!K349</f>
        <v>1678</v>
      </c>
      <c r="BA22" s="472">
        <f>'Tab.2. l.d.m.m._Polska'!L349</f>
        <v>1</v>
      </c>
      <c r="BB22" s="1091">
        <f>'Tab.2. l.d.m.m._Polska'!M349</f>
        <v>1</v>
      </c>
      <c r="BC22" s="441">
        <f>'Tab.2. l.d.m.m._Polska'!N349</f>
        <v>76</v>
      </c>
      <c r="BD22" s="444">
        <f>'Tab.2. l.d.m.m._Polska'!O349</f>
        <v>75</v>
      </c>
      <c r="BE22" s="844">
        <v>9</v>
      </c>
      <c r="BF22" s="845" t="s">
        <v>244</v>
      </c>
      <c r="BG22" s="450">
        <f t="shared" si="16"/>
        <v>5</v>
      </c>
      <c r="BH22" s="484">
        <f t="shared" si="16"/>
        <v>5</v>
      </c>
      <c r="BI22" s="451">
        <f t="shared" si="17"/>
        <v>508</v>
      </c>
      <c r="BJ22" s="452">
        <f t="shared" si="18"/>
        <v>500</v>
      </c>
      <c r="BK22" s="851">
        <f>'Tab.2. l.d.m.m._Polska'!H350</f>
        <v>3</v>
      </c>
      <c r="BL22" s="1091">
        <f>'Tab.2. l.d.m.m._Polska'!I350</f>
        <v>3</v>
      </c>
      <c r="BM22" s="852">
        <f>'Tab.2. l.d.m.m._Polska'!J350</f>
        <v>333</v>
      </c>
      <c r="BN22" s="853">
        <f>'Tab.2. l.d.m.m._Polska'!K350</f>
        <v>325</v>
      </c>
      <c r="BO22" s="878">
        <f>'Tab.2. l.d.m.m._Polska'!L350</f>
        <v>2</v>
      </c>
      <c r="BP22" s="1091">
        <f>'Tab.2. l.d.m.m._Polska'!M350</f>
        <v>2</v>
      </c>
      <c r="BQ22" s="852">
        <f>'Tab.2. l.d.m.m._Polska'!N350</f>
        <v>175</v>
      </c>
      <c r="BR22" s="854">
        <f>'Tab.2. l.d.m.m._Polska'!O350</f>
        <v>175</v>
      </c>
      <c r="BS22" s="844">
        <v>9</v>
      </c>
      <c r="BT22" s="845" t="s">
        <v>244</v>
      </c>
      <c r="BU22" s="450">
        <f t="shared" si="19"/>
        <v>6</v>
      </c>
      <c r="BV22" s="484">
        <f t="shared" si="19"/>
        <v>6</v>
      </c>
      <c r="BW22" s="451">
        <f t="shared" si="20"/>
        <v>431</v>
      </c>
      <c r="BX22" s="452">
        <f t="shared" si="21"/>
        <v>423</v>
      </c>
      <c r="BY22" s="851">
        <f>'Tab.2. l.d.m.m._Polska'!H351</f>
        <v>0</v>
      </c>
      <c r="BZ22" s="1091">
        <f>'Tab.2. l.d.m.m._Polska'!I351</f>
        <v>0</v>
      </c>
      <c r="CA22" s="852">
        <f>'Tab.2. l.d.m.m._Polska'!J351</f>
        <v>0</v>
      </c>
      <c r="CB22" s="853">
        <f>'Tab.2. l.d.m.m._Polska'!K351</f>
        <v>0</v>
      </c>
      <c r="CC22" s="878">
        <f>'Tab.2. l.d.m.m._Polska'!L351</f>
        <v>6</v>
      </c>
      <c r="CD22" s="1091">
        <f>'Tab.2. l.d.m.m._Polska'!M351</f>
        <v>6</v>
      </c>
      <c r="CE22" s="852">
        <f>'Tab.2. l.d.m.m._Polska'!N351</f>
        <v>431</v>
      </c>
      <c r="CF22" s="854">
        <f>'Tab.2. l.d.m.m._Polska'!O351</f>
        <v>423</v>
      </c>
      <c r="CG22" s="844">
        <v>9</v>
      </c>
      <c r="CH22" s="845" t="s">
        <v>244</v>
      </c>
      <c r="CI22" s="450">
        <f t="shared" si="22"/>
        <v>0</v>
      </c>
      <c r="CJ22" s="484">
        <f t="shared" si="22"/>
        <v>0</v>
      </c>
      <c r="CK22" s="451">
        <f t="shared" si="23"/>
        <v>0</v>
      </c>
      <c r="CL22" s="452">
        <f t="shared" si="24"/>
        <v>0</v>
      </c>
      <c r="CM22" s="851">
        <f>'Tab.2. l.d.m.m._Polska'!H352</f>
        <v>0</v>
      </c>
      <c r="CN22" s="1091">
        <f>'Tab.2. l.d.m.m._Polska'!I352</f>
        <v>0</v>
      </c>
      <c r="CO22" s="852">
        <f>'Tab.2. l.d.m.m._Polska'!J352</f>
        <v>0</v>
      </c>
      <c r="CP22" s="853">
        <f>'Tab.2. l.d.m.m._Polska'!K352</f>
        <v>0</v>
      </c>
      <c r="CQ22" s="878">
        <f>'Tab.2. l.d.m.m._Polska'!L352</f>
        <v>0</v>
      </c>
      <c r="CR22" s="1091">
        <f>'Tab.2. l.d.m.m._Polska'!M352</f>
        <v>0</v>
      </c>
      <c r="CS22" s="852">
        <f>'Tab.2. l.d.m.m._Polska'!N352</f>
        <v>0</v>
      </c>
      <c r="CT22" s="854">
        <f>'Tab.2. l.d.m.m._Polska'!O352</f>
        <v>0</v>
      </c>
      <c r="CU22" s="844">
        <v>9</v>
      </c>
      <c r="CV22" s="845" t="s">
        <v>244</v>
      </c>
      <c r="CW22" s="450">
        <f t="shared" si="25"/>
        <v>8</v>
      </c>
      <c r="CX22" s="484">
        <f t="shared" si="25"/>
        <v>8</v>
      </c>
      <c r="CY22" s="451">
        <f t="shared" si="26"/>
        <v>580</v>
      </c>
      <c r="CZ22" s="452">
        <f t="shared" si="27"/>
        <v>537</v>
      </c>
      <c r="DA22" s="851">
        <f>'Tab.2. l.d.m.m._Polska'!H353</f>
        <v>5</v>
      </c>
      <c r="DB22" s="1091">
        <f>'Tab.2. l.d.m.m._Polska'!I353</f>
        <v>5</v>
      </c>
      <c r="DC22" s="852">
        <f>'Tab.2. l.d.m.m._Polska'!J353</f>
        <v>395</v>
      </c>
      <c r="DD22" s="853">
        <f>'Tab.2. l.d.m.m._Polska'!K353</f>
        <v>367</v>
      </c>
      <c r="DE22" s="878">
        <f>'Tab.2. l.d.m.m._Polska'!L353</f>
        <v>3</v>
      </c>
      <c r="DF22" s="878">
        <f>'Tab.2. l.d.m.m._Polska'!M353</f>
        <v>3</v>
      </c>
      <c r="DG22" s="852">
        <f>'Tab.2. l.d.m.m._Polska'!N353</f>
        <v>185</v>
      </c>
      <c r="DH22" s="854">
        <f>'Tab.2. l.d.m.m._Polska'!O353</f>
        <v>170</v>
      </c>
      <c r="DI22" s="844">
        <v>9</v>
      </c>
      <c r="DJ22" s="845" t="s">
        <v>244</v>
      </c>
      <c r="DK22" s="450">
        <f t="shared" si="28"/>
        <v>0</v>
      </c>
      <c r="DL22" s="484">
        <f t="shared" si="28"/>
        <v>0</v>
      </c>
      <c r="DM22" s="451">
        <f t="shared" si="29"/>
        <v>0</v>
      </c>
      <c r="DN22" s="452">
        <f t="shared" si="30"/>
        <v>0</v>
      </c>
      <c r="DO22" s="851">
        <f>'Tab.2. l.d.m.m._Polska'!H354</f>
        <v>0</v>
      </c>
      <c r="DP22" s="1091">
        <f>'Tab.2. l.d.m.m._Polska'!I354</f>
        <v>0</v>
      </c>
      <c r="DQ22" s="852">
        <f>'Tab.2. l.d.m.m._Polska'!J354</f>
        <v>0</v>
      </c>
      <c r="DR22" s="853">
        <f>'Tab.2. l.d.m.m._Polska'!K354</f>
        <v>0</v>
      </c>
      <c r="DS22" s="878">
        <f>'Tab.2. l.d.m.m._Polska'!L354</f>
        <v>0</v>
      </c>
      <c r="DT22" s="1091">
        <f>'Tab.2. l.d.m.m._Polska'!M354</f>
        <v>0</v>
      </c>
      <c r="DU22" s="852">
        <f>'Tab.2. l.d.m.m._Polska'!N354</f>
        <v>0</v>
      </c>
      <c r="DV22" s="854">
        <f>'Tab.2. l.d.m.m._Polska'!O354</f>
        <v>0</v>
      </c>
      <c r="DW22" s="844">
        <v>9</v>
      </c>
      <c r="DX22" s="845" t="s">
        <v>244</v>
      </c>
      <c r="DY22" s="450">
        <f t="shared" si="31"/>
        <v>6</v>
      </c>
      <c r="DZ22" s="484">
        <f t="shared" si="31"/>
        <v>6</v>
      </c>
      <c r="EA22" s="451">
        <f t="shared" si="32"/>
        <v>606</v>
      </c>
      <c r="EB22" s="452">
        <f t="shared" si="33"/>
        <v>551</v>
      </c>
      <c r="EC22" s="851">
        <f>'Tab.2. l.d.m.m._Polska'!H355</f>
        <v>4</v>
      </c>
      <c r="ED22" s="1091">
        <f>'Tab.2. l.d.m.m._Polska'!I355</f>
        <v>4</v>
      </c>
      <c r="EE22" s="852">
        <f>'Tab.2. l.d.m.m._Polska'!J355</f>
        <v>483</v>
      </c>
      <c r="EF22" s="853">
        <f>'Tab.2. l.d.m.m._Polska'!K355</f>
        <v>445</v>
      </c>
      <c r="EG22" s="878">
        <f>'Tab.2. l.d.m.m._Polska'!L355</f>
        <v>2</v>
      </c>
      <c r="EH22" s="1091">
        <f>'Tab.2. l.d.m.m._Polska'!M355</f>
        <v>2</v>
      </c>
      <c r="EI22" s="852">
        <f>'Tab.2. l.d.m.m._Polska'!N355</f>
        <v>123</v>
      </c>
      <c r="EJ22" s="854">
        <f>'Tab.2. l.d.m.m._Polska'!O355</f>
        <v>106</v>
      </c>
      <c r="EK22" s="844">
        <v>9</v>
      </c>
      <c r="EL22" s="845" t="s">
        <v>244</v>
      </c>
      <c r="EM22" s="450">
        <f t="shared" si="34"/>
        <v>1</v>
      </c>
      <c r="EN22" s="484">
        <f t="shared" si="34"/>
        <v>1</v>
      </c>
      <c r="EO22" s="451">
        <f t="shared" si="35"/>
        <v>85</v>
      </c>
      <c r="EP22" s="452">
        <f t="shared" si="36"/>
        <v>84</v>
      </c>
      <c r="EQ22" s="851">
        <f>'Tab.2. l.d.m.m._Polska'!H356</f>
        <v>1</v>
      </c>
      <c r="ER22" s="1091">
        <f>'Tab.2. l.d.m.m._Polska'!I356</f>
        <v>1</v>
      </c>
      <c r="ES22" s="852">
        <f>'Tab.2. l.d.m.m._Polska'!J356</f>
        <v>85</v>
      </c>
      <c r="ET22" s="853">
        <f>'Tab.2. l.d.m.m._Polska'!K356</f>
        <v>84</v>
      </c>
      <c r="EU22" s="878">
        <f>'Tab.2. l.d.m.m._Polska'!L356</f>
        <v>0</v>
      </c>
      <c r="EV22" s="1091">
        <f>'Tab.2. l.d.m.m._Polska'!M356</f>
        <v>0</v>
      </c>
      <c r="EW22" s="852">
        <f>'Tab.2. l.d.m.m._Polska'!N356</f>
        <v>0</v>
      </c>
      <c r="EX22" s="854">
        <f>'Tab.2. l.d.m.m._Polska'!O356</f>
        <v>0</v>
      </c>
    </row>
    <row r="23" spans="1:154" ht="15" customHeight="1" x14ac:dyDescent="0.2">
      <c r="A23" s="846">
        <v>10</v>
      </c>
      <c r="B23" s="845" t="s">
        <v>245</v>
      </c>
      <c r="C23" s="1307">
        <f t="shared" si="37"/>
        <v>21</v>
      </c>
      <c r="D23" s="1308" t="str">
        <f>'Tab.2. l.d.m.m._Polska'!E381&amp;" ("&amp;R23+AF23+AT23+BH23+BV23+CJ23+CX23+DL23+DZ23+EN23&amp;")"</f>
        <v>21 (21)</v>
      </c>
      <c r="E23" s="1309">
        <f t="shared" si="0"/>
        <v>2295</v>
      </c>
      <c r="F23" s="1310">
        <f t="shared" si="1"/>
        <v>2284</v>
      </c>
      <c r="G23" s="1307">
        <f t="shared" si="38"/>
        <v>15</v>
      </c>
      <c r="H23" s="1324">
        <f t="shared" si="39"/>
        <v>15</v>
      </c>
      <c r="I23" s="1309">
        <f t="shared" si="2"/>
        <v>1862</v>
      </c>
      <c r="J23" s="1310">
        <f t="shared" si="3"/>
        <v>1850</v>
      </c>
      <c r="K23" s="1307">
        <f t="shared" si="4"/>
        <v>6</v>
      </c>
      <c r="L23" s="1091">
        <f t="shared" si="4"/>
        <v>6</v>
      </c>
      <c r="M23" s="1309">
        <f t="shared" si="5"/>
        <v>433</v>
      </c>
      <c r="N23" s="1320">
        <f t="shared" si="6"/>
        <v>434</v>
      </c>
      <c r="O23" s="846">
        <v>10</v>
      </c>
      <c r="P23" s="845" t="s">
        <v>245</v>
      </c>
      <c r="Q23" s="450">
        <f t="shared" si="7"/>
        <v>3</v>
      </c>
      <c r="R23" s="484">
        <f t="shared" si="7"/>
        <v>3</v>
      </c>
      <c r="S23" s="451">
        <f t="shared" si="8"/>
        <v>85</v>
      </c>
      <c r="T23" s="452">
        <f t="shared" si="9"/>
        <v>87</v>
      </c>
      <c r="U23" s="440">
        <f>'Tab.2. l.d.m.m._Polska'!H383</f>
        <v>1</v>
      </c>
      <c r="V23" s="1091">
        <f>'Tab.2. l.d.m.m._Polska'!I383</f>
        <v>1</v>
      </c>
      <c r="W23" s="441">
        <f>'Tab.2. l.d.m.m._Polska'!J383</f>
        <v>30</v>
      </c>
      <c r="X23" s="442">
        <f>'Tab.2. l.d.m.m._Polska'!K383</f>
        <v>30</v>
      </c>
      <c r="Y23" s="472">
        <f>'Tab.2. l.d.m.m._Polska'!L383</f>
        <v>2</v>
      </c>
      <c r="Z23" s="1091">
        <f>'Tab.2. l.d.m.m._Polska'!M383</f>
        <v>2</v>
      </c>
      <c r="AA23" s="441">
        <f>'Tab.2. l.d.m.m._Polska'!N383</f>
        <v>55</v>
      </c>
      <c r="AB23" s="444">
        <f>'Tab.2. l.d.m.m._Polska'!O383</f>
        <v>57</v>
      </c>
      <c r="AC23" s="846">
        <v>10</v>
      </c>
      <c r="AD23" s="845" t="s">
        <v>245</v>
      </c>
      <c r="AE23" s="450">
        <f t="shared" si="10"/>
        <v>4</v>
      </c>
      <c r="AF23" s="484">
        <f t="shared" si="10"/>
        <v>4</v>
      </c>
      <c r="AG23" s="451">
        <f t="shared" si="11"/>
        <v>488</v>
      </c>
      <c r="AH23" s="452">
        <f t="shared" si="12"/>
        <v>489</v>
      </c>
      <c r="AI23" s="440">
        <f>'Tab.2. l.d.m.m._Polska'!H384</f>
        <v>4</v>
      </c>
      <c r="AJ23" s="1091">
        <f>'Tab.2. l.d.m.m._Polska'!I384</f>
        <v>4</v>
      </c>
      <c r="AK23" s="441">
        <f>'Tab.2. l.d.m.m._Polska'!J384</f>
        <v>488</v>
      </c>
      <c r="AL23" s="442">
        <f>'Tab.2. l.d.m.m._Polska'!K384</f>
        <v>489</v>
      </c>
      <c r="AM23" s="472">
        <f>'Tab.2. l.d.m.m._Polska'!L384</f>
        <v>0</v>
      </c>
      <c r="AN23" s="1091">
        <f>'Tab.2. l.d.m.m._Polska'!M384</f>
        <v>0</v>
      </c>
      <c r="AO23" s="441">
        <f>'Tab.2. l.d.m.m._Polska'!N384</f>
        <v>0</v>
      </c>
      <c r="AP23" s="444">
        <f>'Tab.2. l.d.m.m._Polska'!O384</f>
        <v>0</v>
      </c>
      <c r="AQ23" s="846">
        <v>10</v>
      </c>
      <c r="AR23" s="845" t="s">
        <v>245</v>
      </c>
      <c r="AS23" s="450">
        <f t="shared" si="13"/>
        <v>4</v>
      </c>
      <c r="AT23" s="484">
        <f t="shared" si="13"/>
        <v>4</v>
      </c>
      <c r="AU23" s="451">
        <f t="shared" si="14"/>
        <v>655</v>
      </c>
      <c r="AV23" s="452">
        <f t="shared" si="15"/>
        <v>653</v>
      </c>
      <c r="AW23" s="440">
        <f>'Tab.2. l.d.m.m._Polska'!H385</f>
        <v>2</v>
      </c>
      <c r="AX23" s="1091">
        <f>'Tab.2. l.d.m.m._Polska'!I385</f>
        <v>2</v>
      </c>
      <c r="AY23" s="441">
        <f>'Tab.2. l.d.m.m._Polska'!J385</f>
        <v>407</v>
      </c>
      <c r="AZ23" s="442">
        <f>'Tab.2. l.d.m.m._Polska'!K385</f>
        <v>404</v>
      </c>
      <c r="BA23" s="472">
        <f>'Tab.2. l.d.m.m._Polska'!L385</f>
        <v>2</v>
      </c>
      <c r="BB23" s="1091">
        <f>'Tab.2. l.d.m.m._Polska'!M385</f>
        <v>2</v>
      </c>
      <c r="BC23" s="441">
        <f>'Tab.2. l.d.m.m._Polska'!N385</f>
        <v>248</v>
      </c>
      <c r="BD23" s="444">
        <f>'Tab.2. l.d.m.m._Polska'!O385</f>
        <v>249</v>
      </c>
      <c r="BE23" s="846">
        <v>10</v>
      </c>
      <c r="BF23" s="845" t="s">
        <v>245</v>
      </c>
      <c r="BG23" s="450">
        <f t="shared" si="16"/>
        <v>1</v>
      </c>
      <c r="BH23" s="484">
        <f t="shared" si="16"/>
        <v>1</v>
      </c>
      <c r="BI23" s="451">
        <f t="shared" si="17"/>
        <v>114</v>
      </c>
      <c r="BJ23" s="452">
        <f t="shared" si="18"/>
        <v>114</v>
      </c>
      <c r="BK23" s="851">
        <f>'Tab.2. l.d.m.m._Polska'!H386</f>
        <v>1</v>
      </c>
      <c r="BL23" s="1091">
        <f>'Tab.2. l.d.m.m._Polska'!I386</f>
        <v>1</v>
      </c>
      <c r="BM23" s="852">
        <f>'Tab.2. l.d.m.m._Polska'!J386</f>
        <v>114</v>
      </c>
      <c r="BN23" s="853">
        <f>'Tab.2. l.d.m.m._Polska'!K386</f>
        <v>114</v>
      </c>
      <c r="BO23" s="878">
        <f>'Tab.2. l.d.m.m._Polska'!L386</f>
        <v>0</v>
      </c>
      <c r="BP23" s="1091">
        <f>'Tab.2. l.d.m.m._Polska'!M386</f>
        <v>0</v>
      </c>
      <c r="BQ23" s="852">
        <f>'Tab.2. l.d.m.m._Polska'!N386</f>
        <v>0</v>
      </c>
      <c r="BR23" s="854">
        <f>'Tab.2. l.d.m.m._Polska'!O386</f>
        <v>0</v>
      </c>
      <c r="BS23" s="846">
        <v>10</v>
      </c>
      <c r="BT23" s="845" t="s">
        <v>245</v>
      </c>
      <c r="BU23" s="450">
        <f t="shared" si="19"/>
        <v>4</v>
      </c>
      <c r="BV23" s="484">
        <f t="shared" si="19"/>
        <v>4</v>
      </c>
      <c r="BW23" s="451">
        <f t="shared" si="20"/>
        <v>278</v>
      </c>
      <c r="BX23" s="452">
        <f t="shared" si="21"/>
        <v>275</v>
      </c>
      <c r="BY23" s="851">
        <f>'Tab.2. l.d.m.m._Polska'!H387</f>
        <v>2</v>
      </c>
      <c r="BZ23" s="1091">
        <f>'Tab.2. l.d.m.m._Polska'!I387</f>
        <v>2</v>
      </c>
      <c r="CA23" s="852">
        <f>'Tab.2. l.d.m.m._Polska'!J387</f>
        <v>148</v>
      </c>
      <c r="CB23" s="853">
        <f>'Tab.2. l.d.m.m._Polska'!K387</f>
        <v>147</v>
      </c>
      <c r="CC23" s="878">
        <f>'Tab.2. l.d.m.m._Polska'!L387</f>
        <v>2</v>
      </c>
      <c r="CD23" s="1091">
        <f>'Tab.2. l.d.m.m._Polska'!M387</f>
        <v>2</v>
      </c>
      <c r="CE23" s="852">
        <f>'Tab.2. l.d.m.m._Polska'!N387</f>
        <v>130</v>
      </c>
      <c r="CF23" s="854">
        <f>'Tab.2. l.d.m.m._Polska'!O387</f>
        <v>128</v>
      </c>
      <c r="CG23" s="846">
        <v>10</v>
      </c>
      <c r="CH23" s="845" t="s">
        <v>245</v>
      </c>
      <c r="CI23" s="450">
        <f t="shared" si="22"/>
        <v>0</v>
      </c>
      <c r="CJ23" s="484">
        <f t="shared" si="22"/>
        <v>0</v>
      </c>
      <c r="CK23" s="451">
        <f t="shared" si="23"/>
        <v>0</v>
      </c>
      <c r="CL23" s="452">
        <f t="shared" si="24"/>
        <v>0</v>
      </c>
      <c r="CM23" s="851">
        <f>'Tab.2. l.d.m.m._Polska'!H388</f>
        <v>0</v>
      </c>
      <c r="CN23" s="1091">
        <f>'Tab.2. l.d.m.m._Polska'!I388</f>
        <v>0</v>
      </c>
      <c r="CO23" s="852">
        <f>'Tab.2. l.d.m.m._Polska'!J388</f>
        <v>0</v>
      </c>
      <c r="CP23" s="853">
        <f>'Tab.2. l.d.m.m._Polska'!K388</f>
        <v>0</v>
      </c>
      <c r="CQ23" s="878">
        <f>'Tab.2. l.d.m.m._Polska'!L388</f>
        <v>0</v>
      </c>
      <c r="CR23" s="1091">
        <f>'Tab.2. l.d.m.m._Polska'!M388</f>
        <v>0</v>
      </c>
      <c r="CS23" s="852">
        <f>'Tab.2. l.d.m.m._Polska'!N388</f>
        <v>0</v>
      </c>
      <c r="CT23" s="854">
        <f>'Tab.2. l.d.m.m._Polska'!O388</f>
        <v>0</v>
      </c>
      <c r="CU23" s="846">
        <v>10</v>
      </c>
      <c r="CV23" s="845" t="s">
        <v>245</v>
      </c>
      <c r="CW23" s="450">
        <f t="shared" si="25"/>
        <v>4</v>
      </c>
      <c r="CX23" s="484">
        <f t="shared" si="25"/>
        <v>4</v>
      </c>
      <c r="CY23" s="451">
        <f t="shared" si="26"/>
        <v>405</v>
      </c>
      <c r="CZ23" s="452">
        <f t="shared" si="27"/>
        <v>396</v>
      </c>
      <c r="DA23" s="851">
        <f>'Tab.2. l.d.m.m._Polska'!H389</f>
        <v>4</v>
      </c>
      <c r="DB23" s="1091">
        <f>'Tab.2. l.d.m.m._Polska'!I389</f>
        <v>4</v>
      </c>
      <c r="DC23" s="852">
        <f>'Tab.2. l.d.m.m._Polska'!J389</f>
        <v>405</v>
      </c>
      <c r="DD23" s="853">
        <f>'Tab.2. l.d.m.m._Polska'!K389</f>
        <v>396</v>
      </c>
      <c r="DE23" s="878">
        <f>'Tab.2. l.d.m.m._Polska'!L389</f>
        <v>0</v>
      </c>
      <c r="DF23" s="878">
        <f>'Tab.2. l.d.m.m._Polska'!M389</f>
        <v>0</v>
      </c>
      <c r="DG23" s="852">
        <f>'Tab.2. l.d.m.m._Polska'!N389</f>
        <v>0</v>
      </c>
      <c r="DH23" s="854">
        <f>'Tab.2. l.d.m.m._Polska'!O389</f>
        <v>0</v>
      </c>
      <c r="DI23" s="846">
        <v>10</v>
      </c>
      <c r="DJ23" s="845" t="s">
        <v>245</v>
      </c>
      <c r="DK23" s="450">
        <f t="shared" si="28"/>
        <v>0</v>
      </c>
      <c r="DL23" s="484">
        <f t="shared" si="28"/>
        <v>0</v>
      </c>
      <c r="DM23" s="451">
        <f t="shared" si="29"/>
        <v>0</v>
      </c>
      <c r="DN23" s="452">
        <f t="shared" si="30"/>
        <v>0</v>
      </c>
      <c r="DO23" s="851">
        <f>'Tab.2. l.d.m.m._Polska'!H390</f>
        <v>0</v>
      </c>
      <c r="DP23" s="1091">
        <f>'Tab.2. l.d.m.m._Polska'!I390</f>
        <v>0</v>
      </c>
      <c r="DQ23" s="852">
        <f>'Tab.2. l.d.m.m._Polska'!J390</f>
        <v>0</v>
      </c>
      <c r="DR23" s="853">
        <f>'Tab.2. l.d.m.m._Polska'!K390</f>
        <v>0</v>
      </c>
      <c r="DS23" s="878">
        <f>'Tab.2. l.d.m.m._Polska'!L390</f>
        <v>0</v>
      </c>
      <c r="DT23" s="1091">
        <f>'Tab.2. l.d.m.m._Polska'!M390</f>
        <v>0</v>
      </c>
      <c r="DU23" s="852">
        <f>'Tab.2. l.d.m.m._Polska'!N390</f>
        <v>0</v>
      </c>
      <c r="DV23" s="854">
        <f>'Tab.2. l.d.m.m._Polska'!O390</f>
        <v>0</v>
      </c>
      <c r="DW23" s="846">
        <v>10</v>
      </c>
      <c r="DX23" s="845" t="s">
        <v>245</v>
      </c>
      <c r="DY23" s="450">
        <f t="shared" si="31"/>
        <v>0</v>
      </c>
      <c r="DZ23" s="484">
        <f t="shared" si="31"/>
        <v>0</v>
      </c>
      <c r="EA23" s="451">
        <f t="shared" si="32"/>
        <v>0</v>
      </c>
      <c r="EB23" s="452">
        <f t="shared" si="33"/>
        <v>0</v>
      </c>
      <c r="EC23" s="851">
        <f>'Tab.2. l.d.m.m._Polska'!H391</f>
        <v>0</v>
      </c>
      <c r="ED23" s="1091">
        <f>'Tab.2. l.d.m.m._Polska'!I391</f>
        <v>0</v>
      </c>
      <c r="EE23" s="852">
        <f>'Tab.2. l.d.m.m._Polska'!J391</f>
        <v>0</v>
      </c>
      <c r="EF23" s="853">
        <f>'Tab.2. l.d.m.m._Polska'!K391</f>
        <v>0</v>
      </c>
      <c r="EG23" s="878">
        <f>'Tab.2. l.d.m.m._Polska'!L391</f>
        <v>0</v>
      </c>
      <c r="EH23" s="1091">
        <f>'Tab.2. l.d.m.m._Polska'!M391</f>
        <v>0</v>
      </c>
      <c r="EI23" s="852">
        <f>'Tab.2. l.d.m.m._Polska'!N391</f>
        <v>0</v>
      </c>
      <c r="EJ23" s="854">
        <f>'Tab.2. l.d.m.m._Polska'!O391</f>
        <v>0</v>
      </c>
      <c r="EK23" s="846">
        <v>10</v>
      </c>
      <c r="EL23" s="845" t="s">
        <v>245</v>
      </c>
      <c r="EM23" s="450">
        <f t="shared" si="34"/>
        <v>1</v>
      </c>
      <c r="EN23" s="484">
        <f t="shared" si="34"/>
        <v>1</v>
      </c>
      <c r="EO23" s="451">
        <f t="shared" si="35"/>
        <v>270</v>
      </c>
      <c r="EP23" s="452">
        <f t="shared" si="36"/>
        <v>270</v>
      </c>
      <c r="EQ23" s="851">
        <f>'Tab.2. l.d.m.m._Polska'!H392</f>
        <v>1</v>
      </c>
      <c r="ER23" s="1091">
        <f>'Tab.2. l.d.m.m._Polska'!I392</f>
        <v>1</v>
      </c>
      <c r="ES23" s="852">
        <f>'Tab.2. l.d.m.m._Polska'!J392</f>
        <v>270</v>
      </c>
      <c r="ET23" s="853">
        <f>'Tab.2. l.d.m.m._Polska'!K392</f>
        <v>270</v>
      </c>
      <c r="EU23" s="878">
        <f>'Tab.2. l.d.m.m._Polska'!L392</f>
        <v>0</v>
      </c>
      <c r="EV23" s="1091">
        <f>'Tab.2. l.d.m.m._Polska'!M392</f>
        <v>0</v>
      </c>
      <c r="EW23" s="852">
        <f>'Tab.2. l.d.m.m._Polska'!N392</f>
        <v>0</v>
      </c>
      <c r="EX23" s="854">
        <f>'Tab.2. l.d.m.m._Polska'!O392</f>
        <v>0</v>
      </c>
    </row>
    <row r="24" spans="1:154" ht="15" customHeight="1" x14ac:dyDescent="0.2">
      <c r="A24" s="846">
        <v>11</v>
      </c>
      <c r="B24" s="845" t="s">
        <v>246</v>
      </c>
      <c r="C24" s="1307">
        <f t="shared" si="37"/>
        <v>39</v>
      </c>
      <c r="D24" s="1308" t="str">
        <f>'Tab.2. l.d.m.m._Polska'!E417&amp;" ("&amp;R24+AF24+AT24+BH24+BV24+CJ24+CX24+DL24+DZ24+EN24&amp;")"</f>
        <v>39 (46)</v>
      </c>
      <c r="E24" s="1309">
        <f t="shared" si="0"/>
        <v>3850</v>
      </c>
      <c r="F24" s="1310">
        <f t="shared" si="1"/>
        <v>3851</v>
      </c>
      <c r="G24" s="1307">
        <f t="shared" si="38"/>
        <v>31</v>
      </c>
      <c r="H24" s="1324">
        <f t="shared" si="39"/>
        <v>35</v>
      </c>
      <c r="I24" s="1309">
        <f t="shared" si="2"/>
        <v>3303</v>
      </c>
      <c r="J24" s="1310">
        <f t="shared" si="3"/>
        <v>3308</v>
      </c>
      <c r="K24" s="1307">
        <f t="shared" si="4"/>
        <v>8</v>
      </c>
      <c r="L24" s="1091">
        <f t="shared" si="4"/>
        <v>11</v>
      </c>
      <c r="M24" s="1309">
        <f t="shared" si="5"/>
        <v>547</v>
      </c>
      <c r="N24" s="1320">
        <f t="shared" si="6"/>
        <v>543</v>
      </c>
      <c r="O24" s="846">
        <v>11</v>
      </c>
      <c r="P24" s="845" t="s">
        <v>246</v>
      </c>
      <c r="Q24" s="450">
        <f t="shared" si="7"/>
        <v>1</v>
      </c>
      <c r="R24" s="484">
        <f t="shared" si="7"/>
        <v>2</v>
      </c>
      <c r="S24" s="451">
        <f t="shared" si="8"/>
        <v>33</v>
      </c>
      <c r="T24" s="452">
        <f t="shared" si="9"/>
        <v>31</v>
      </c>
      <c r="U24" s="440">
        <f>'Tab.2. l.d.m.m._Polska'!H419</f>
        <v>0</v>
      </c>
      <c r="V24" s="1091">
        <f>'Tab.2. l.d.m.m._Polska'!I419</f>
        <v>0</v>
      </c>
      <c r="W24" s="441">
        <f>'Tab.2. l.d.m.m._Polska'!J419</f>
        <v>0</v>
      </c>
      <c r="X24" s="442">
        <f>'Tab.2. l.d.m.m._Polska'!K419</f>
        <v>0</v>
      </c>
      <c r="Y24" s="472">
        <f>'Tab.2. l.d.m.m._Polska'!L419</f>
        <v>1</v>
      </c>
      <c r="Z24" s="1091">
        <f>'Tab.2. l.d.m.m._Polska'!M419</f>
        <v>2</v>
      </c>
      <c r="AA24" s="441">
        <f>'Tab.2. l.d.m.m._Polska'!N419</f>
        <v>33</v>
      </c>
      <c r="AB24" s="444">
        <f>'Tab.2. l.d.m.m._Polska'!O419</f>
        <v>31</v>
      </c>
      <c r="AC24" s="846">
        <v>11</v>
      </c>
      <c r="AD24" s="845" t="s">
        <v>246</v>
      </c>
      <c r="AE24" s="450">
        <f t="shared" si="10"/>
        <v>6</v>
      </c>
      <c r="AF24" s="484">
        <f t="shared" si="10"/>
        <v>6</v>
      </c>
      <c r="AG24" s="451">
        <f t="shared" si="11"/>
        <v>512</v>
      </c>
      <c r="AH24" s="452">
        <f t="shared" si="12"/>
        <v>492</v>
      </c>
      <c r="AI24" s="440">
        <f>'Tab.2. l.d.m.m._Polska'!H420</f>
        <v>5</v>
      </c>
      <c r="AJ24" s="1091">
        <f>'Tab.2. l.d.m.m._Polska'!I420</f>
        <v>5</v>
      </c>
      <c r="AK24" s="441">
        <f>'Tab.2. l.d.m.m._Polska'!J420</f>
        <v>429</v>
      </c>
      <c r="AL24" s="442">
        <f>'Tab.2. l.d.m.m._Polska'!K420</f>
        <v>413</v>
      </c>
      <c r="AM24" s="472">
        <f>'Tab.2. l.d.m.m._Polska'!L420</f>
        <v>1</v>
      </c>
      <c r="AN24" s="1091">
        <f>'Tab.2. l.d.m.m._Polska'!M420</f>
        <v>1</v>
      </c>
      <c r="AO24" s="441">
        <f>'Tab.2. l.d.m.m._Polska'!N420</f>
        <v>83</v>
      </c>
      <c r="AP24" s="444">
        <f>'Tab.2. l.d.m.m._Polska'!O420</f>
        <v>79</v>
      </c>
      <c r="AQ24" s="846">
        <v>11</v>
      </c>
      <c r="AR24" s="845" t="s">
        <v>246</v>
      </c>
      <c r="AS24" s="450">
        <f t="shared" si="13"/>
        <v>9</v>
      </c>
      <c r="AT24" s="484">
        <f t="shared" si="13"/>
        <v>11</v>
      </c>
      <c r="AU24" s="451">
        <f t="shared" si="14"/>
        <v>1279</v>
      </c>
      <c r="AV24" s="452">
        <f t="shared" si="15"/>
        <v>1268</v>
      </c>
      <c r="AW24" s="440">
        <f>'Tab.2. l.d.m.m._Polska'!H421</f>
        <v>9</v>
      </c>
      <c r="AX24" s="1091">
        <f>'Tab.2. l.d.m.m._Polska'!I421</f>
        <v>11</v>
      </c>
      <c r="AY24" s="441">
        <f>'Tab.2. l.d.m.m._Polska'!J421</f>
        <v>1279</v>
      </c>
      <c r="AZ24" s="442">
        <f>'Tab.2. l.d.m.m._Polska'!K421</f>
        <v>1268</v>
      </c>
      <c r="BA24" s="472">
        <f>'Tab.2. l.d.m.m._Polska'!L421</f>
        <v>0</v>
      </c>
      <c r="BB24" s="1091">
        <f>'Tab.2. l.d.m.m._Polska'!M421</f>
        <v>0</v>
      </c>
      <c r="BC24" s="441">
        <f>'Tab.2. l.d.m.m._Polska'!N421</f>
        <v>0</v>
      </c>
      <c r="BD24" s="444">
        <f>'Tab.2. l.d.m.m._Polska'!O421</f>
        <v>0</v>
      </c>
      <c r="BE24" s="846">
        <v>11</v>
      </c>
      <c r="BF24" s="845" t="s">
        <v>246</v>
      </c>
      <c r="BG24" s="450">
        <f t="shared" si="16"/>
        <v>6</v>
      </c>
      <c r="BH24" s="484">
        <f t="shared" si="16"/>
        <v>8</v>
      </c>
      <c r="BI24" s="451">
        <f t="shared" si="17"/>
        <v>512</v>
      </c>
      <c r="BJ24" s="452">
        <f t="shared" si="18"/>
        <v>539</v>
      </c>
      <c r="BK24" s="851">
        <f>'Tab.2. l.d.m.m._Polska'!H422</f>
        <v>5</v>
      </c>
      <c r="BL24" s="1091">
        <f>'Tab.2. l.d.m.m._Polska'!I422</f>
        <v>7</v>
      </c>
      <c r="BM24" s="852">
        <f>'Tab.2. l.d.m.m._Polska'!J422</f>
        <v>485</v>
      </c>
      <c r="BN24" s="853">
        <f>'Tab.2. l.d.m.m._Polska'!K422</f>
        <v>511</v>
      </c>
      <c r="BO24" s="878">
        <f>'Tab.2. l.d.m.m._Polska'!L422</f>
        <v>1</v>
      </c>
      <c r="BP24" s="1091">
        <f>'Tab.2. l.d.m.m._Polska'!M422</f>
        <v>1</v>
      </c>
      <c r="BQ24" s="852">
        <f>'Tab.2. l.d.m.m._Polska'!N422</f>
        <v>27</v>
      </c>
      <c r="BR24" s="854">
        <f>'Tab.2. l.d.m.m._Polska'!O422</f>
        <v>28</v>
      </c>
      <c r="BS24" s="846">
        <v>11</v>
      </c>
      <c r="BT24" s="845" t="s">
        <v>246</v>
      </c>
      <c r="BU24" s="450">
        <f t="shared" si="19"/>
        <v>3</v>
      </c>
      <c r="BV24" s="484">
        <f t="shared" si="19"/>
        <v>4</v>
      </c>
      <c r="BW24" s="451">
        <f t="shared" si="20"/>
        <v>292</v>
      </c>
      <c r="BX24" s="452">
        <f t="shared" si="21"/>
        <v>294</v>
      </c>
      <c r="BY24" s="851">
        <f>'Tab.2. l.d.m.m._Polska'!H423</f>
        <v>0</v>
      </c>
      <c r="BZ24" s="1091">
        <f>'Tab.2. l.d.m.m._Polska'!I423</f>
        <v>0</v>
      </c>
      <c r="CA24" s="852">
        <f>'Tab.2. l.d.m.m._Polska'!J423</f>
        <v>0</v>
      </c>
      <c r="CB24" s="853">
        <f>'Tab.2. l.d.m.m._Polska'!K423</f>
        <v>0</v>
      </c>
      <c r="CC24" s="878">
        <f>'Tab.2. l.d.m.m._Polska'!L423</f>
        <v>3</v>
      </c>
      <c r="CD24" s="1091">
        <f>'Tab.2. l.d.m.m._Polska'!M423</f>
        <v>4</v>
      </c>
      <c r="CE24" s="852">
        <f>'Tab.2. l.d.m.m._Polska'!N423</f>
        <v>292</v>
      </c>
      <c r="CF24" s="854">
        <f>'Tab.2. l.d.m.m._Polska'!O423</f>
        <v>294</v>
      </c>
      <c r="CG24" s="846">
        <v>11</v>
      </c>
      <c r="CH24" s="845" t="s">
        <v>246</v>
      </c>
      <c r="CI24" s="450">
        <f t="shared" si="22"/>
        <v>0</v>
      </c>
      <c r="CJ24" s="484">
        <f t="shared" si="22"/>
        <v>0</v>
      </c>
      <c r="CK24" s="451">
        <f t="shared" si="23"/>
        <v>0</v>
      </c>
      <c r="CL24" s="452">
        <f t="shared" si="24"/>
        <v>0</v>
      </c>
      <c r="CM24" s="851">
        <f>'Tab.2. l.d.m.m._Polska'!H424</f>
        <v>0</v>
      </c>
      <c r="CN24" s="1091">
        <f>'Tab.2. l.d.m.m._Polska'!I424</f>
        <v>0</v>
      </c>
      <c r="CO24" s="852">
        <f>'Tab.2. l.d.m.m._Polska'!J424</f>
        <v>0</v>
      </c>
      <c r="CP24" s="853">
        <f>'Tab.2. l.d.m.m._Polska'!K424</f>
        <v>0</v>
      </c>
      <c r="CQ24" s="878">
        <f>'Tab.2. l.d.m.m._Polska'!L424</f>
        <v>0</v>
      </c>
      <c r="CR24" s="1091">
        <f>'Tab.2. l.d.m.m._Polska'!M424</f>
        <v>0</v>
      </c>
      <c r="CS24" s="852">
        <f>'Tab.2. l.d.m.m._Polska'!N424</f>
        <v>0</v>
      </c>
      <c r="CT24" s="854">
        <f>'Tab.2. l.d.m.m._Polska'!O424</f>
        <v>0</v>
      </c>
      <c r="CU24" s="846">
        <v>11</v>
      </c>
      <c r="CV24" s="845" t="s">
        <v>246</v>
      </c>
      <c r="CW24" s="450">
        <f t="shared" si="25"/>
        <v>7</v>
      </c>
      <c r="CX24" s="484">
        <f t="shared" si="25"/>
        <v>8</v>
      </c>
      <c r="CY24" s="451">
        <f t="shared" si="26"/>
        <v>579</v>
      </c>
      <c r="CZ24" s="452">
        <f t="shared" si="27"/>
        <v>565</v>
      </c>
      <c r="DA24" s="851">
        <f>'Tab.2. l.d.m.m._Polska'!H425</f>
        <v>6</v>
      </c>
      <c r="DB24" s="1091">
        <f>'Tab.2. l.d.m.m._Polska'!I425</f>
        <v>6</v>
      </c>
      <c r="DC24" s="852">
        <f>'Tab.2. l.d.m.m._Polska'!J425</f>
        <v>525</v>
      </c>
      <c r="DD24" s="853">
        <f>'Tab.2. l.d.m.m._Polska'!K425</f>
        <v>512</v>
      </c>
      <c r="DE24" s="878">
        <f>'Tab.2. l.d.m.m._Polska'!L425</f>
        <v>1</v>
      </c>
      <c r="DF24" s="878">
        <f>'Tab.2. l.d.m.m._Polska'!M425</f>
        <v>2</v>
      </c>
      <c r="DG24" s="852">
        <f>'Tab.2. l.d.m.m._Polska'!N425</f>
        <v>54</v>
      </c>
      <c r="DH24" s="854">
        <f>'Tab.2. l.d.m.m._Polska'!O425</f>
        <v>53</v>
      </c>
      <c r="DI24" s="846">
        <v>11</v>
      </c>
      <c r="DJ24" s="845" t="s">
        <v>246</v>
      </c>
      <c r="DK24" s="450">
        <f t="shared" si="28"/>
        <v>2</v>
      </c>
      <c r="DL24" s="484">
        <f t="shared" si="28"/>
        <v>2</v>
      </c>
      <c r="DM24" s="451">
        <f t="shared" si="29"/>
        <v>249</v>
      </c>
      <c r="DN24" s="452">
        <f t="shared" si="30"/>
        <v>254</v>
      </c>
      <c r="DO24" s="851">
        <f>'Tab.2. l.d.m.m._Polska'!H426</f>
        <v>2</v>
      </c>
      <c r="DP24" s="1091">
        <f>'Tab.2. l.d.m.m._Polska'!I426</f>
        <v>2</v>
      </c>
      <c r="DQ24" s="852">
        <f>'Tab.2. l.d.m.m._Polska'!J426</f>
        <v>249</v>
      </c>
      <c r="DR24" s="853">
        <f>'Tab.2. l.d.m.m._Polska'!K426</f>
        <v>254</v>
      </c>
      <c r="DS24" s="878">
        <f>'Tab.2. l.d.m.m._Polska'!L426</f>
        <v>0</v>
      </c>
      <c r="DT24" s="1091">
        <f>'Tab.2. l.d.m.m._Polska'!M426</f>
        <v>0</v>
      </c>
      <c r="DU24" s="852">
        <f>'Tab.2. l.d.m.m._Polska'!N426</f>
        <v>0</v>
      </c>
      <c r="DV24" s="854">
        <f>'Tab.2. l.d.m.m._Polska'!O426</f>
        <v>0</v>
      </c>
      <c r="DW24" s="846">
        <v>11</v>
      </c>
      <c r="DX24" s="845" t="s">
        <v>246</v>
      </c>
      <c r="DY24" s="450">
        <f t="shared" si="31"/>
        <v>0</v>
      </c>
      <c r="DZ24" s="484">
        <f t="shared" si="31"/>
        <v>0</v>
      </c>
      <c r="EA24" s="451">
        <f t="shared" si="32"/>
        <v>0</v>
      </c>
      <c r="EB24" s="452">
        <f t="shared" si="33"/>
        <v>0</v>
      </c>
      <c r="EC24" s="851">
        <f>'Tab.2. l.d.m.m._Polska'!H427</f>
        <v>0</v>
      </c>
      <c r="ED24" s="1091">
        <f>'Tab.2. l.d.m.m._Polska'!I427</f>
        <v>0</v>
      </c>
      <c r="EE24" s="852">
        <f>'Tab.2. l.d.m.m._Polska'!J427</f>
        <v>0</v>
      </c>
      <c r="EF24" s="853">
        <f>'Tab.2. l.d.m.m._Polska'!K427</f>
        <v>0</v>
      </c>
      <c r="EG24" s="878">
        <f>'Tab.2. l.d.m.m._Polska'!L427</f>
        <v>0</v>
      </c>
      <c r="EH24" s="1091">
        <f>'Tab.2. l.d.m.m._Polska'!M427</f>
        <v>0</v>
      </c>
      <c r="EI24" s="852">
        <f>'Tab.2. l.d.m.m._Polska'!N427</f>
        <v>0</v>
      </c>
      <c r="EJ24" s="854">
        <f>'Tab.2. l.d.m.m._Polska'!O427</f>
        <v>0</v>
      </c>
      <c r="EK24" s="846">
        <v>11</v>
      </c>
      <c r="EL24" s="845" t="s">
        <v>246</v>
      </c>
      <c r="EM24" s="450">
        <f t="shared" si="34"/>
        <v>5</v>
      </c>
      <c r="EN24" s="484">
        <f t="shared" si="34"/>
        <v>5</v>
      </c>
      <c r="EO24" s="451">
        <f t="shared" si="35"/>
        <v>394</v>
      </c>
      <c r="EP24" s="452">
        <f t="shared" si="36"/>
        <v>408</v>
      </c>
      <c r="EQ24" s="851">
        <f>'Tab.2. l.d.m.m._Polska'!H428</f>
        <v>4</v>
      </c>
      <c r="ER24" s="1091">
        <f>'Tab.2. l.d.m.m._Polska'!I428</f>
        <v>4</v>
      </c>
      <c r="ES24" s="852">
        <f>'Tab.2. l.d.m.m._Polska'!J428</f>
        <v>336</v>
      </c>
      <c r="ET24" s="853">
        <f>'Tab.2. l.d.m.m._Polska'!K428</f>
        <v>350</v>
      </c>
      <c r="EU24" s="878">
        <f>'Tab.2. l.d.m.m._Polska'!L428</f>
        <v>1</v>
      </c>
      <c r="EV24" s="1091">
        <f>'Tab.2. l.d.m.m._Polska'!M428</f>
        <v>1</v>
      </c>
      <c r="EW24" s="852">
        <f>'Tab.2. l.d.m.m._Polska'!N428</f>
        <v>58</v>
      </c>
      <c r="EX24" s="854">
        <f>'Tab.2. l.d.m.m._Polska'!O428</f>
        <v>58</v>
      </c>
    </row>
    <row r="25" spans="1:154" ht="15" customHeight="1" x14ac:dyDescent="0.2">
      <c r="A25" s="1282">
        <v>12</v>
      </c>
      <c r="B25" s="1283" t="s">
        <v>247</v>
      </c>
      <c r="C25" s="1311">
        <f t="shared" si="37"/>
        <v>84</v>
      </c>
      <c r="D25" s="1312" t="str">
        <f>'Tab.2. l.d.m.m._Polska'!E453&amp;" ("&amp;R25+AF25+AT25+BH25+BV25+CJ25+CX25+DL25+DZ25+EN25&amp;")"</f>
        <v>84 (85)</v>
      </c>
      <c r="E25" s="1313">
        <f t="shared" si="0"/>
        <v>7820</v>
      </c>
      <c r="F25" s="1314">
        <f t="shared" si="1"/>
        <v>7783</v>
      </c>
      <c r="G25" s="1311">
        <f t="shared" si="38"/>
        <v>46</v>
      </c>
      <c r="H25" s="1325">
        <f t="shared" si="39"/>
        <v>47</v>
      </c>
      <c r="I25" s="1313">
        <f t="shared" si="2"/>
        <v>4891</v>
      </c>
      <c r="J25" s="1314">
        <f t="shared" si="3"/>
        <v>4876</v>
      </c>
      <c r="K25" s="1311">
        <f t="shared" si="4"/>
        <v>38</v>
      </c>
      <c r="L25" s="1285">
        <f t="shared" si="4"/>
        <v>38</v>
      </c>
      <c r="M25" s="1313">
        <f t="shared" si="5"/>
        <v>2929</v>
      </c>
      <c r="N25" s="1321">
        <f t="shared" si="6"/>
        <v>2907</v>
      </c>
      <c r="O25" s="1282">
        <v>12</v>
      </c>
      <c r="P25" s="1283" t="s">
        <v>247</v>
      </c>
      <c r="Q25" s="1289">
        <f t="shared" si="7"/>
        <v>22</v>
      </c>
      <c r="R25" s="1290">
        <f t="shared" si="7"/>
        <v>22</v>
      </c>
      <c r="S25" s="1291">
        <f t="shared" si="8"/>
        <v>1930</v>
      </c>
      <c r="T25" s="1292">
        <f t="shared" si="9"/>
        <v>1915</v>
      </c>
      <c r="U25" s="1293">
        <f>'Tab.2. l.d.m.m._Polska'!H455</f>
        <v>12</v>
      </c>
      <c r="V25" s="1285">
        <f>'Tab.2. l.d.m.m._Polska'!I455</f>
        <v>12</v>
      </c>
      <c r="W25" s="1294">
        <f>'Tab.2. l.d.m.m._Polska'!J455</f>
        <v>1222</v>
      </c>
      <c r="X25" s="1295">
        <f>'Tab.2. l.d.m.m._Polska'!K455</f>
        <v>1215</v>
      </c>
      <c r="Y25" s="1296">
        <f>'Tab.2. l.d.m.m._Polska'!L455</f>
        <v>10</v>
      </c>
      <c r="Z25" s="1285">
        <f>'Tab.2. l.d.m.m._Polska'!M455</f>
        <v>10</v>
      </c>
      <c r="AA25" s="1294">
        <f>'Tab.2. l.d.m.m._Polska'!N455</f>
        <v>708</v>
      </c>
      <c r="AB25" s="1297">
        <f>'Tab.2. l.d.m.m._Polska'!O455</f>
        <v>700</v>
      </c>
      <c r="AC25" s="1282">
        <v>12</v>
      </c>
      <c r="AD25" s="1283" t="s">
        <v>247</v>
      </c>
      <c r="AE25" s="1289">
        <f t="shared" si="10"/>
        <v>11</v>
      </c>
      <c r="AF25" s="1290">
        <f t="shared" si="10"/>
        <v>11</v>
      </c>
      <c r="AG25" s="1291">
        <f t="shared" si="11"/>
        <v>994</v>
      </c>
      <c r="AH25" s="1292">
        <f t="shared" si="12"/>
        <v>988</v>
      </c>
      <c r="AI25" s="1293">
        <f>'Tab.2. l.d.m.m._Polska'!H456</f>
        <v>10</v>
      </c>
      <c r="AJ25" s="1285">
        <f>'Tab.2. l.d.m.m._Polska'!I456</f>
        <v>10</v>
      </c>
      <c r="AK25" s="1294">
        <f>'Tab.2. l.d.m.m._Polska'!J456</f>
        <v>934</v>
      </c>
      <c r="AL25" s="1295">
        <f>'Tab.2. l.d.m.m._Polska'!K456</f>
        <v>928</v>
      </c>
      <c r="AM25" s="1296">
        <f>'Tab.2. l.d.m.m._Polska'!L456</f>
        <v>1</v>
      </c>
      <c r="AN25" s="1285">
        <f>'Tab.2. l.d.m.m._Polska'!M456</f>
        <v>1</v>
      </c>
      <c r="AO25" s="1294">
        <f>'Tab.2. l.d.m.m._Polska'!N456</f>
        <v>60</v>
      </c>
      <c r="AP25" s="1297">
        <f>'Tab.2. l.d.m.m._Polska'!O456</f>
        <v>60</v>
      </c>
      <c r="AQ25" s="1282">
        <v>12</v>
      </c>
      <c r="AR25" s="1283" t="s">
        <v>247</v>
      </c>
      <c r="AS25" s="1289">
        <f t="shared" si="13"/>
        <v>17</v>
      </c>
      <c r="AT25" s="1290">
        <f t="shared" si="13"/>
        <v>18</v>
      </c>
      <c r="AU25" s="1291">
        <f t="shared" si="14"/>
        <v>2092</v>
      </c>
      <c r="AV25" s="1292">
        <f t="shared" si="15"/>
        <v>2092</v>
      </c>
      <c r="AW25" s="1293">
        <f>'Tab.2. l.d.m.m._Polska'!H457</f>
        <v>11</v>
      </c>
      <c r="AX25" s="1285">
        <f>'Tab.2. l.d.m.m._Polska'!I457</f>
        <v>12</v>
      </c>
      <c r="AY25" s="1294">
        <f>'Tab.2. l.d.m.m._Polska'!J457</f>
        <v>1529</v>
      </c>
      <c r="AZ25" s="1295">
        <f>'Tab.2. l.d.m.m._Polska'!K457</f>
        <v>1529</v>
      </c>
      <c r="BA25" s="1296">
        <f>'Tab.2. l.d.m.m._Polska'!L457</f>
        <v>6</v>
      </c>
      <c r="BB25" s="1285">
        <f>'Tab.2. l.d.m.m._Polska'!M457</f>
        <v>6</v>
      </c>
      <c r="BC25" s="1294">
        <f>'Tab.2. l.d.m.m._Polska'!N457</f>
        <v>563</v>
      </c>
      <c r="BD25" s="1297">
        <f>'Tab.2. l.d.m.m._Polska'!O457</f>
        <v>563</v>
      </c>
      <c r="BE25" s="1282">
        <v>12</v>
      </c>
      <c r="BF25" s="1283" t="s">
        <v>247</v>
      </c>
      <c r="BG25" s="1289">
        <f t="shared" si="16"/>
        <v>12</v>
      </c>
      <c r="BH25" s="1290">
        <f t="shared" si="16"/>
        <v>12</v>
      </c>
      <c r="BI25" s="1291">
        <f t="shared" si="17"/>
        <v>925</v>
      </c>
      <c r="BJ25" s="1292">
        <f t="shared" si="18"/>
        <v>919</v>
      </c>
      <c r="BK25" s="1284">
        <f>'Tab.2. l.d.m.m._Polska'!H458</f>
        <v>5</v>
      </c>
      <c r="BL25" s="1285">
        <f>'Tab.2. l.d.m.m._Polska'!I458</f>
        <v>5</v>
      </c>
      <c r="BM25" s="1286">
        <f>'Tab.2. l.d.m.m._Polska'!J458</f>
        <v>396</v>
      </c>
      <c r="BN25" s="1287">
        <f>'Tab.2. l.d.m.m._Polska'!K458</f>
        <v>396</v>
      </c>
      <c r="BO25" s="1298">
        <f>'Tab.2. l.d.m.m._Polska'!L458</f>
        <v>7</v>
      </c>
      <c r="BP25" s="1285">
        <f>'Tab.2. l.d.m.m._Polska'!M458</f>
        <v>7</v>
      </c>
      <c r="BQ25" s="1286">
        <f>'Tab.2. l.d.m.m._Polska'!N458</f>
        <v>529</v>
      </c>
      <c r="BR25" s="1288">
        <f>'Tab.2. l.d.m.m._Polska'!O458</f>
        <v>523</v>
      </c>
      <c r="BS25" s="1282">
        <v>12</v>
      </c>
      <c r="BT25" s="1283" t="s">
        <v>247</v>
      </c>
      <c r="BU25" s="1289">
        <f t="shared" si="19"/>
        <v>7</v>
      </c>
      <c r="BV25" s="1290">
        <f t="shared" si="19"/>
        <v>7</v>
      </c>
      <c r="BW25" s="1291">
        <f t="shared" si="20"/>
        <v>471</v>
      </c>
      <c r="BX25" s="1292">
        <f t="shared" si="21"/>
        <v>466</v>
      </c>
      <c r="BY25" s="1284">
        <f>'Tab.2. l.d.m.m._Polska'!H459</f>
        <v>0</v>
      </c>
      <c r="BZ25" s="1285">
        <f>'Tab.2. l.d.m.m._Polska'!I459</f>
        <v>0</v>
      </c>
      <c r="CA25" s="1286">
        <f>'Tab.2. l.d.m.m._Polska'!J459</f>
        <v>0</v>
      </c>
      <c r="CB25" s="1287">
        <f>'Tab.2. l.d.m.m._Polska'!K459</f>
        <v>0</v>
      </c>
      <c r="CC25" s="1298">
        <f>'Tab.2. l.d.m.m._Polska'!L459</f>
        <v>7</v>
      </c>
      <c r="CD25" s="1285">
        <f>'Tab.2. l.d.m.m._Polska'!M459</f>
        <v>7</v>
      </c>
      <c r="CE25" s="1286">
        <f>'Tab.2. l.d.m.m._Polska'!N459</f>
        <v>471</v>
      </c>
      <c r="CF25" s="1288">
        <f>'Tab.2. l.d.m.m._Polska'!O459</f>
        <v>466</v>
      </c>
      <c r="CG25" s="1282">
        <v>12</v>
      </c>
      <c r="CH25" s="1283" t="s">
        <v>247</v>
      </c>
      <c r="CI25" s="1289">
        <f t="shared" si="22"/>
        <v>2</v>
      </c>
      <c r="CJ25" s="1290">
        <f t="shared" si="22"/>
        <v>2</v>
      </c>
      <c r="CK25" s="1291">
        <f t="shared" si="23"/>
        <v>306</v>
      </c>
      <c r="CL25" s="1292">
        <f t="shared" si="24"/>
        <v>304</v>
      </c>
      <c r="CM25" s="1284">
        <f>'Tab.2. l.d.m.m._Polska'!H460</f>
        <v>0</v>
      </c>
      <c r="CN25" s="1285">
        <f>'Tab.2. l.d.m.m._Polska'!I460</f>
        <v>0</v>
      </c>
      <c r="CO25" s="1286">
        <f>'Tab.2. l.d.m.m._Polska'!J460</f>
        <v>0</v>
      </c>
      <c r="CP25" s="1287">
        <f>'Tab.2. l.d.m.m._Polska'!K460</f>
        <v>0</v>
      </c>
      <c r="CQ25" s="1298">
        <f>'Tab.2. l.d.m.m._Polska'!L460</f>
        <v>2</v>
      </c>
      <c r="CR25" s="1285">
        <f>'Tab.2. l.d.m.m._Polska'!M460</f>
        <v>2</v>
      </c>
      <c r="CS25" s="1286">
        <f>'Tab.2. l.d.m.m._Polska'!N460</f>
        <v>306</v>
      </c>
      <c r="CT25" s="1288">
        <f>'Tab.2. l.d.m.m._Polska'!O460</f>
        <v>304</v>
      </c>
      <c r="CU25" s="1282">
        <v>12</v>
      </c>
      <c r="CV25" s="1283" t="s">
        <v>247</v>
      </c>
      <c r="CW25" s="1289">
        <f t="shared" si="25"/>
        <v>3</v>
      </c>
      <c r="CX25" s="1290">
        <f t="shared" si="25"/>
        <v>3</v>
      </c>
      <c r="CY25" s="1291">
        <f t="shared" si="26"/>
        <v>189</v>
      </c>
      <c r="CZ25" s="1292">
        <f t="shared" si="27"/>
        <v>190</v>
      </c>
      <c r="DA25" s="1284">
        <f>'Tab.2. l.d.m.m._Polska'!H461</f>
        <v>1</v>
      </c>
      <c r="DB25" s="1285">
        <f>'Tab.2. l.d.m.m._Polska'!I461</f>
        <v>1</v>
      </c>
      <c r="DC25" s="1286">
        <f>'Tab.2. l.d.m.m._Polska'!J461</f>
        <v>70</v>
      </c>
      <c r="DD25" s="1287">
        <f>'Tab.2. l.d.m.m._Polska'!K461</f>
        <v>70</v>
      </c>
      <c r="DE25" s="1298">
        <f>'Tab.2. l.d.m.m._Polska'!L461</f>
        <v>2</v>
      </c>
      <c r="DF25" s="1298">
        <f>'Tab.2. l.d.m.m._Polska'!M461</f>
        <v>2</v>
      </c>
      <c r="DG25" s="1286">
        <f>'Tab.2. l.d.m.m._Polska'!N461</f>
        <v>119</v>
      </c>
      <c r="DH25" s="1288">
        <f>'Tab.2. l.d.m.m._Polska'!O461</f>
        <v>120</v>
      </c>
      <c r="DI25" s="1282">
        <v>12</v>
      </c>
      <c r="DJ25" s="1283" t="s">
        <v>247</v>
      </c>
      <c r="DK25" s="1289">
        <f t="shared" si="28"/>
        <v>0</v>
      </c>
      <c r="DL25" s="1290">
        <f t="shared" si="28"/>
        <v>0</v>
      </c>
      <c r="DM25" s="1291">
        <f t="shared" si="29"/>
        <v>0</v>
      </c>
      <c r="DN25" s="1292">
        <f t="shared" si="30"/>
        <v>0</v>
      </c>
      <c r="DO25" s="1284">
        <f>'Tab.2. l.d.m.m._Polska'!H462</f>
        <v>0</v>
      </c>
      <c r="DP25" s="1285">
        <f>'Tab.2. l.d.m.m._Polska'!I462</f>
        <v>0</v>
      </c>
      <c r="DQ25" s="1286">
        <f>'Tab.2. l.d.m.m._Polska'!J462</f>
        <v>0</v>
      </c>
      <c r="DR25" s="1287">
        <f>'Tab.2. l.d.m.m._Polska'!K462</f>
        <v>0</v>
      </c>
      <c r="DS25" s="1298">
        <f>'Tab.2. l.d.m.m._Polska'!L462</f>
        <v>0</v>
      </c>
      <c r="DT25" s="1285">
        <f>'Tab.2. l.d.m.m._Polska'!M462</f>
        <v>0</v>
      </c>
      <c r="DU25" s="1286">
        <f>'Tab.2. l.d.m.m._Polska'!N462</f>
        <v>0</v>
      </c>
      <c r="DV25" s="1288">
        <f>'Tab.2. l.d.m.m._Polska'!O462</f>
        <v>0</v>
      </c>
      <c r="DW25" s="1282">
        <v>12</v>
      </c>
      <c r="DX25" s="1283" t="s">
        <v>247</v>
      </c>
      <c r="DY25" s="1289">
        <f t="shared" si="31"/>
        <v>3</v>
      </c>
      <c r="DZ25" s="1290">
        <f t="shared" si="31"/>
        <v>3</v>
      </c>
      <c r="EA25" s="1291">
        <f t="shared" si="32"/>
        <v>331</v>
      </c>
      <c r="EB25" s="1292">
        <f t="shared" si="33"/>
        <v>330</v>
      </c>
      <c r="EC25" s="1284">
        <f>'Tab.2. l.d.m.m._Polska'!H463</f>
        <v>3</v>
      </c>
      <c r="ED25" s="1285">
        <f>'Tab.2. l.d.m.m._Polska'!I463</f>
        <v>3</v>
      </c>
      <c r="EE25" s="1286">
        <f>'Tab.2. l.d.m.m._Polska'!J463</f>
        <v>331</v>
      </c>
      <c r="EF25" s="1287">
        <f>'Tab.2. l.d.m.m._Polska'!K463</f>
        <v>330</v>
      </c>
      <c r="EG25" s="1298">
        <f>'Tab.2. l.d.m.m._Polska'!L463</f>
        <v>0</v>
      </c>
      <c r="EH25" s="1285">
        <f>'Tab.2. l.d.m.m._Polska'!M463</f>
        <v>0</v>
      </c>
      <c r="EI25" s="1286">
        <f>'Tab.2. l.d.m.m._Polska'!N463</f>
        <v>0</v>
      </c>
      <c r="EJ25" s="1288">
        <f>'Tab.2. l.d.m.m._Polska'!O463</f>
        <v>0</v>
      </c>
      <c r="EK25" s="1282">
        <v>12</v>
      </c>
      <c r="EL25" s="1283" t="s">
        <v>247</v>
      </c>
      <c r="EM25" s="1289">
        <f t="shared" si="34"/>
        <v>7</v>
      </c>
      <c r="EN25" s="1290">
        <f t="shared" si="34"/>
        <v>7</v>
      </c>
      <c r="EO25" s="1291">
        <f t="shared" si="35"/>
        <v>582</v>
      </c>
      <c r="EP25" s="1292">
        <f t="shared" si="36"/>
        <v>579</v>
      </c>
      <c r="EQ25" s="1284">
        <f>'Tab.2. l.d.m.m._Polska'!H464</f>
        <v>4</v>
      </c>
      <c r="ER25" s="1285">
        <f>'Tab.2. l.d.m.m._Polska'!I464</f>
        <v>4</v>
      </c>
      <c r="ES25" s="1286">
        <f>'Tab.2. l.d.m.m._Polska'!J464</f>
        <v>409</v>
      </c>
      <c r="ET25" s="1287">
        <f>'Tab.2. l.d.m.m._Polska'!K464</f>
        <v>408</v>
      </c>
      <c r="EU25" s="1298">
        <f>'Tab.2. l.d.m.m._Polska'!L464</f>
        <v>3</v>
      </c>
      <c r="EV25" s="1285">
        <f>'Tab.2. l.d.m.m._Polska'!M464</f>
        <v>3</v>
      </c>
      <c r="EW25" s="1286">
        <f>'Tab.2. l.d.m.m._Polska'!N464</f>
        <v>173</v>
      </c>
      <c r="EX25" s="1288">
        <f>'Tab.2. l.d.m.m._Polska'!O464</f>
        <v>171</v>
      </c>
    </row>
    <row r="26" spans="1:154" ht="15" customHeight="1" x14ac:dyDescent="0.2">
      <c r="A26" s="846">
        <v>13</v>
      </c>
      <c r="B26" s="845" t="s">
        <v>248</v>
      </c>
      <c r="C26" s="1307">
        <f t="shared" si="37"/>
        <v>31</v>
      </c>
      <c r="D26" s="1308" t="str">
        <f>'Tab.2. l.d.m.m._Polska'!E489&amp;" ("&amp;R26+AF26+AT26+BH26+BV26+CJ26+CX26+DL26+DZ26+EN26&amp;")"</f>
        <v>31 (31)</v>
      </c>
      <c r="E26" s="1309">
        <f t="shared" si="0"/>
        <v>3259</v>
      </c>
      <c r="F26" s="1310">
        <f t="shared" si="1"/>
        <v>3211</v>
      </c>
      <c r="G26" s="1307">
        <f t="shared" si="38"/>
        <v>24</v>
      </c>
      <c r="H26" s="1324">
        <f t="shared" si="39"/>
        <v>24</v>
      </c>
      <c r="I26" s="1309">
        <f t="shared" si="2"/>
        <v>2847</v>
      </c>
      <c r="J26" s="1310">
        <f t="shared" si="3"/>
        <v>2829</v>
      </c>
      <c r="K26" s="1307">
        <f t="shared" si="4"/>
        <v>7</v>
      </c>
      <c r="L26" s="1091">
        <f t="shared" si="4"/>
        <v>7</v>
      </c>
      <c r="M26" s="1309">
        <f t="shared" si="5"/>
        <v>412</v>
      </c>
      <c r="N26" s="1320">
        <f t="shared" si="6"/>
        <v>382</v>
      </c>
      <c r="O26" s="846">
        <v>13</v>
      </c>
      <c r="P26" s="845" t="s">
        <v>248</v>
      </c>
      <c r="Q26" s="450">
        <f t="shared" si="7"/>
        <v>1</v>
      </c>
      <c r="R26" s="484">
        <f t="shared" si="7"/>
        <v>1</v>
      </c>
      <c r="S26" s="451">
        <f t="shared" si="8"/>
        <v>35</v>
      </c>
      <c r="T26" s="452">
        <f t="shared" si="9"/>
        <v>35</v>
      </c>
      <c r="U26" s="440">
        <f>'Tab.2. l.d.m.m._Polska'!H491</f>
        <v>0</v>
      </c>
      <c r="V26" s="1091">
        <f>'Tab.2. l.d.m.m._Polska'!I491</f>
        <v>0</v>
      </c>
      <c r="W26" s="441">
        <f>'Tab.2. l.d.m.m._Polska'!J491</f>
        <v>0</v>
      </c>
      <c r="X26" s="442">
        <f>'Tab.2. l.d.m.m._Polska'!K491</f>
        <v>0</v>
      </c>
      <c r="Y26" s="472">
        <f>'Tab.2. l.d.m.m._Polska'!L491</f>
        <v>1</v>
      </c>
      <c r="Z26" s="1091">
        <f>'Tab.2. l.d.m.m._Polska'!M491</f>
        <v>1</v>
      </c>
      <c r="AA26" s="441">
        <f>'Tab.2. l.d.m.m._Polska'!N491</f>
        <v>35</v>
      </c>
      <c r="AB26" s="444">
        <f>'Tab.2. l.d.m.m._Polska'!O491</f>
        <v>35</v>
      </c>
      <c r="AC26" s="846">
        <v>13</v>
      </c>
      <c r="AD26" s="845" t="s">
        <v>248</v>
      </c>
      <c r="AE26" s="450">
        <f t="shared" si="10"/>
        <v>7</v>
      </c>
      <c r="AF26" s="484">
        <f t="shared" si="10"/>
        <v>7</v>
      </c>
      <c r="AG26" s="451">
        <f t="shared" si="11"/>
        <v>988</v>
      </c>
      <c r="AH26" s="452">
        <f t="shared" si="12"/>
        <v>936</v>
      </c>
      <c r="AI26" s="440">
        <f>'Tab.2. l.d.m.m._Polska'!H492</f>
        <v>5</v>
      </c>
      <c r="AJ26" s="1091">
        <f>'Tab.2. l.d.m.m._Polska'!I492</f>
        <v>5</v>
      </c>
      <c r="AK26" s="441">
        <f>'Tab.2. l.d.m.m._Polska'!J492</f>
        <v>832</v>
      </c>
      <c r="AL26" s="442">
        <f>'Tab.2. l.d.m.m._Polska'!K492</f>
        <v>788</v>
      </c>
      <c r="AM26" s="472">
        <f>'Tab.2. l.d.m.m._Polska'!L492</f>
        <v>2</v>
      </c>
      <c r="AN26" s="1091">
        <f>'Tab.2. l.d.m.m._Polska'!M492</f>
        <v>2</v>
      </c>
      <c r="AO26" s="441">
        <f>'Tab.2. l.d.m.m._Polska'!N492</f>
        <v>156</v>
      </c>
      <c r="AP26" s="444">
        <f>'Tab.2. l.d.m.m._Polska'!O492</f>
        <v>148</v>
      </c>
      <c r="AQ26" s="846">
        <v>13</v>
      </c>
      <c r="AR26" s="845" t="s">
        <v>248</v>
      </c>
      <c r="AS26" s="450">
        <f t="shared" si="13"/>
        <v>11</v>
      </c>
      <c r="AT26" s="484">
        <f t="shared" si="13"/>
        <v>11</v>
      </c>
      <c r="AU26" s="451">
        <f t="shared" si="14"/>
        <v>1126</v>
      </c>
      <c r="AV26" s="452">
        <f t="shared" si="15"/>
        <v>1166</v>
      </c>
      <c r="AW26" s="440">
        <f>'Tab.2. l.d.m.m._Polska'!H493</f>
        <v>9</v>
      </c>
      <c r="AX26" s="1091">
        <f>'Tab.2. l.d.m.m._Polska'!I493</f>
        <v>9</v>
      </c>
      <c r="AY26" s="441">
        <f>'Tab.2. l.d.m.m._Polska'!J493</f>
        <v>996</v>
      </c>
      <c r="AZ26" s="442">
        <f>'Tab.2. l.d.m.m._Polska'!K493</f>
        <v>1037</v>
      </c>
      <c r="BA26" s="472">
        <f>'Tab.2. l.d.m.m._Polska'!L493</f>
        <v>2</v>
      </c>
      <c r="BB26" s="1091">
        <f>'Tab.2. l.d.m.m._Polska'!M493</f>
        <v>2</v>
      </c>
      <c r="BC26" s="441">
        <f>'Tab.2. l.d.m.m._Polska'!N493</f>
        <v>130</v>
      </c>
      <c r="BD26" s="444">
        <f>'Tab.2. l.d.m.m._Polska'!O493</f>
        <v>129</v>
      </c>
      <c r="BE26" s="846">
        <v>13</v>
      </c>
      <c r="BF26" s="845" t="s">
        <v>248</v>
      </c>
      <c r="BG26" s="450">
        <f t="shared" si="16"/>
        <v>5</v>
      </c>
      <c r="BH26" s="484">
        <f t="shared" si="16"/>
        <v>5</v>
      </c>
      <c r="BI26" s="451">
        <f t="shared" si="17"/>
        <v>465</v>
      </c>
      <c r="BJ26" s="452">
        <f t="shared" si="18"/>
        <v>462</v>
      </c>
      <c r="BK26" s="851">
        <f>'Tab.2. l.d.m.m._Polska'!H494</f>
        <v>5</v>
      </c>
      <c r="BL26" s="1091">
        <f>'Tab.2. l.d.m.m._Polska'!I494</f>
        <v>5</v>
      </c>
      <c r="BM26" s="852">
        <f>'Tab.2. l.d.m.m._Polska'!J494</f>
        <v>465</v>
      </c>
      <c r="BN26" s="853">
        <f>'Tab.2. l.d.m.m._Polska'!K494</f>
        <v>462</v>
      </c>
      <c r="BO26" s="878">
        <f>'Tab.2. l.d.m.m._Polska'!L494</f>
        <v>0</v>
      </c>
      <c r="BP26" s="1091">
        <f>'Tab.2. l.d.m.m._Polska'!M494</f>
        <v>0</v>
      </c>
      <c r="BQ26" s="852">
        <f>'Tab.2. l.d.m.m._Polska'!N494</f>
        <v>0</v>
      </c>
      <c r="BR26" s="854">
        <f>'Tab.2. l.d.m.m._Polska'!O494</f>
        <v>0</v>
      </c>
      <c r="BS26" s="846">
        <v>13</v>
      </c>
      <c r="BT26" s="845" t="s">
        <v>248</v>
      </c>
      <c r="BU26" s="450">
        <f t="shared" si="19"/>
        <v>2</v>
      </c>
      <c r="BV26" s="484">
        <f t="shared" si="19"/>
        <v>2</v>
      </c>
      <c r="BW26" s="451">
        <f t="shared" si="20"/>
        <v>232</v>
      </c>
      <c r="BX26" s="452">
        <f t="shared" si="21"/>
        <v>222</v>
      </c>
      <c r="BY26" s="851">
        <f>'Tab.2. l.d.m.m._Polska'!H495</f>
        <v>2</v>
      </c>
      <c r="BZ26" s="1091">
        <f>'Tab.2. l.d.m.m._Polska'!I495</f>
        <v>2</v>
      </c>
      <c r="CA26" s="852">
        <f>'Tab.2. l.d.m.m._Polska'!J495</f>
        <v>232</v>
      </c>
      <c r="CB26" s="853">
        <f>'Tab.2. l.d.m.m._Polska'!K495</f>
        <v>222</v>
      </c>
      <c r="CC26" s="878">
        <f>'Tab.2. l.d.m.m._Polska'!L495</f>
        <v>0</v>
      </c>
      <c r="CD26" s="1091">
        <f>'Tab.2. l.d.m.m._Polska'!M495</f>
        <v>0</v>
      </c>
      <c r="CE26" s="852">
        <f>'Tab.2. l.d.m.m._Polska'!N495</f>
        <v>0</v>
      </c>
      <c r="CF26" s="854">
        <f>'Tab.2. l.d.m.m._Polska'!O495</f>
        <v>0</v>
      </c>
      <c r="CG26" s="846">
        <v>13</v>
      </c>
      <c r="CH26" s="845" t="s">
        <v>248</v>
      </c>
      <c r="CI26" s="450">
        <f t="shared" si="22"/>
        <v>1</v>
      </c>
      <c r="CJ26" s="484">
        <f t="shared" si="22"/>
        <v>1</v>
      </c>
      <c r="CK26" s="451">
        <f t="shared" si="23"/>
        <v>45</v>
      </c>
      <c r="CL26" s="452">
        <f t="shared" si="24"/>
        <v>46</v>
      </c>
      <c r="CM26" s="851">
        <f>'Tab.2. l.d.m.m._Polska'!H496</f>
        <v>0</v>
      </c>
      <c r="CN26" s="1091">
        <f>'Tab.2. l.d.m.m._Polska'!I496</f>
        <v>0</v>
      </c>
      <c r="CO26" s="852">
        <f>'Tab.2. l.d.m.m._Polska'!J496</f>
        <v>0</v>
      </c>
      <c r="CP26" s="853">
        <f>'Tab.2. l.d.m.m._Polska'!K496</f>
        <v>0</v>
      </c>
      <c r="CQ26" s="878">
        <f>'Tab.2. l.d.m.m._Polska'!L496</f>
        <v>1</v>
      </c>
      <c r="CR26" s="1091">
        <f>'Tab.2. l.d.m.m._Polska'!M496</f>
        <v>1</v>
      </c>
      <c r="CS26" s="852">
        <f>'Tab.2. l.d.m.m._Polska'!N496</f>
        <v>45</v>
      </c>
      <c r="CT26" s="854">
        <f>'Tab.2. l.d.m.m._Polska'!O496</f>
        <v>46</v>
      </c>
      <c r="CU26" s="846">
        <v>13</v>
      </c>
      <c r="CV26" s="845" t="s">
        <v>248</v>
      </c>
      <c r="CW26" s="450">
        <f t="shared" si="25"/>
        <v>3</v>
      </c>
      <c r="CX26" s="484">
        <f t="shared" si="25"/>
        <v>3</v>
      </c>
      <c r="CY26" s="451">
        <f t="shared" si="26"/>
        <v>244</v>
      </c>
      <c r="CZ26" s="452">
        <f t="shared" si="27"/>
        <v>217</v>
      </c>
      <c r="DA26" s="851">
        <f>'Tab.2. l.d.m.m._Polska'!H497</f>
        <v>2</v>
      </c>
      <c r="DB26" s="1091">
        <f>'Tab.2. l.d.m.m._Polska'!I497</f>
        <v>2</v>
      </c>
      <c r="DC26" s="852">
        <f>'Tab.2. l.d.m.m._Polska'!J497</f>
        <v>198</v>
      </c>
      <c r="DD26" s="853">
        <f>'Tab.2. l.d.m.m._Polska'!K497</f>
        <v>193</v>
      </c>
      <c r="DE26" s="878">
        <f>'Tab.2. l.d.m.m._Polska'!L497</f>
        <v>1</v>
      </c>
      <c r="DF26" s="878">
        <f>'Tab.2. l.d.m.m._Polska'!M497</f>
        <v>1</v>
      </c>
      <c r="DG26" s="852">
        <f>'Tab.2. l.d.m.m._Polska'!N497</f>
        <v>46</v>
      </c>
      <c r="DH26" s="854">
        <f>'Tab.2. l.d.m.m._Polska'!O497</f>
        <v>24</v>
      </c>
      <c r="DI26" s="846">
        <v>13</v>
      </c>
      <c r="DJ26" s="845" t="s">
        <v>248</v>
      </c>
      <c r="DK26" s="450">
        <f t="shared" si="28"/>
        <v>0</v>
      </c>
      <c r="DL26" s="484">
        <f t="shared" si="28"/>
        <v>0</v>
      </c>
      <c r="DM26" s="451">
        <f t="shared" si="29"/>
        <v>0</v>
      </c>
      <c r="DN26" s="452">
        <f t="shared" si="30"/>
        <v>0</v>
      </c>
      <c r="DO26" s="851">
        <f>'Tab.2. l.d.m.m._Polska'!H498</f>
        <v>0</v>
      </c>
      <c r="DP26" s="1091">
        <f>'Tab.2. l.d.m.m._Polska'!I498</f>
        <v>0</v>
      </c>
      <c r="DQ26" s="852">
        <f>'Tab.2. l.d.m.m._Polska'!J498</f>
        <v>0</v>
      </c>
      <c r="DR26" s="853">
        <f>'Tab.2. l.d.m.m._Polska'!K498</f>
        <v>0</v>
      </c>
      <c r="DS26" s="878">
        <f>'Tab.2. l.d.m.m._Polska'!L498</f>
        <v>0</v>
      </c>
      <c r="DT26" s="1091">
        <f>'Tab.2. l.d.m.m._Polska'!M498</f>
        <v>0</v>
      </c>
      <c r="DU26" s="852">
        <f>'Tab.2. l.d.m.m._Polska'!N498</f>
        <v>0</v>
      </c>
      <c r="DV26" s="854">
        <f>'Tab.2. l.d.m.m._Polska'!O498</f>
        <v>0</v>
      </c>
      <c r="DW26" s="846">
        <v>13</v>
      </c>
      <c r="DX26" s="845" t="s">
        <v>248</v>
      </c>
      <c r="DY26" s="450">
        <f t="shared" si="31"/>
        <v>0</v>
      </c>
      <c r="DZ26" s="484">
        <f t="shared" si="31"/>
        <v>0</v>
      </c>
      <c r="EA26" s="451">
        <f t="shared" si="32"/>
        <v>0</v>
      </c>
      <c r="EB26" s="452">
        <f t="shared" si="33"/>
        <v>0</v>
      </c>
      <c r="EC26" s="851">
        <f>'Tab.2. l.d.m.m._Polska'!H499</f>
        <v>0</v>
      </c>
      <c r="ED26" s="1091">
        <f>'Tab.2. l.d.m.m._Polska'!I499</f>
        <v>0</v>
      </c>
      <c r="EE26" s="852">
        <f>'Tab.2. l.d.m.m._Polska'!J499</f>
        <v>0</v>
      </c>
      <c r="EF26" s="853">
        <f>'Tab.2. l.d.m.m._Polska'!K499</f>
        <v>0</v>
      </c>
      <c r="EG26" s="878">
        <f>'Tab.2. l.d.m.m._Polska'!L499</f>
        <v>0</v>
      </c>
      <c r="EH26" s="1091">
        <f>'Tab.2. l.d.m.m._Polska'!M499</f>
        <v>0</v>
      </c>
      <c r="EI26" s="852">
        <f>'Tab.2. l.d.m.m._Polska'!N499</f>
        <v>0</v>
      </c>
      <c r="EJ26" s="854">
        <f>'Tab.2. l.d.m.m._Polska'!O499</f>
        <v>0</v>
      </c>
      <c r="EK26" s="846">
        <v>13</v>
      </c>
      <c r="EL26" s="845" t="s">
        <v>248</v>
      </c>
      <c r="EM26" s="450">
        <f t="shared" si="34"/>
        <v>1</v>
      </c>
      <c r="EN26" s="484">
        <f t="shared" si="34"/>
        <v>1</v>
      </c>
      <c r="EO26" s="451">
        <f t="shared" si="35"/>
        <v>124</v>
      </c>
      <c r="EP26" s="452">
        <f t="shared" si="36"/>
        <v>127</v>
      </c>
      <c r="EQ26" s="851">
        <f>'Tab.2. l.d.m.m._Polska'!H500</f>
        <v>1</v>
      </c>
      <c r="ER26" s="1091">
        <f>'Tab.2. l.d.m.m._Polska'!I500</f>
        <v>1</v>
      </c>
      <c r="ES26" s="852">
        <f>'Tab.2. l.d.m.m._Polska'!J500</f>
        <v>124</v>
      </c>
      <c r="ET26" s="853">
        <f>'Tab.2. l.d.m.m._Polska'!K500</f>
        <v>127</v>
      </c>
      <c r="EU26" s="878">
        <f>'Tab.2. l.d.m.m._Polska'!L500</f>
        <v>0</v>
      </c>
      <c r="EV26" s="1091">
        <f>'Tab.2. l.d.m.m._Polska'!M500</f>
        <v>0</v>
      </c>
      <c r="EW26" s="852">
        <f>'Tab.2. l.d.m.m._Polska'!N500</f>
        <v>0</v>
      </c>
      <c r="EX26" s="854">
        <f>'Tab.2. l.d.m.m._Polska'!O500</f>
        <v>0</v>
      </c>
    </row>
    <row r="27" spans="1:154" ht="15" customHeight="1" x14ac:dyDescent="0.2">
      <c r="A27" s="846">
        <v>14</v>
      </c>
      <c r="B27" s="845" t="s">
        <v>249</v>
      </c>
      <c r="C27" s="1307">
        <f t="shared" si="37"/>
        <v>38</v>
      </c>
      <c r="D27" s="1308" t="str">
        <f>'Tab.2. l.d.m.m._Polska'!E525&amp;" ("&amp;R27+AF27+AT27+BH27+BV27+CJ27+CX27+DL27+DZ27+EN27&amp;")"</f>
        <v>38 (38)</v>
      </c>
      <c r="E27" s="1309">
        <f t="shared" si="0"/>
        <v>3530</v>
      </c>
      <c r="F27" s="1310">
        <f t="shared" si="1"/>
        <v>3424</v>
      </c>
      <c r="G27" s="1307">
        <f t="shared" si="38"/>
        <v>28</v>
      </c>
      <c r="H27" s="1324">
        <f t="shared" si="39"/>
        <v>28</v>
      </c>
      <c r="I27" s="1309">
        <f t="shared" si="2"/>
        <v>2923</v>
      </c>
      <c r="J27" s="1310">
        <f t="shared" si="3"/>
        <v>2836</v>
      </c>
      <c r="K27" s="1307">
        <f t="shared" si="4"/>
        <v>10</v>
      </c>
      <c r="L27" s="1091">
        <f t="shared" si="4"/>
        <v>10</v>
      </c>
      <c r="M27" s="1309">
        <f t="shared" si="5"/>
        <v>607</v>
      </c>
      <c r="N27" s="1320">
        <f t="shared" si="6"/>
        <v>588</v>
      </c>
      <c r="O27" s="846">
        <v>14</v>
      </c>
      <c r="P27" s="845" t="s">
        <v>249</v>
      </c>
      <c r="Q27" s="450">
        <f t="shared" si="7"/>
        <v>5</v>
      </c>
      <c r="R27" s="484">
        <f t="shared" si="7"/>
        <v>5</v>
      </c>
      <c r="S27" s="451">
        <f t="shared" si="8"/>
        <v>263</v>
      </c>
      <c r="T27" s="452">
        <f t="shared" si="9"/>
        <v>252</v>
      </c>
      <c r="U27" s="440">
        <f>'Tab.2. l.d.m.m._Polska'!H527</f>
        <v>3</v>
      </c>
      <c r="V27" s="1091">
        <f>'Tab.2. l.d.m.m._Polska'!I527</f>
        <v>3</v>
      </c>
      <c r="W27" s="441">
        <f>'Tab.2. l.d.m.m._Polska'!J527</f>
        <v>132</v>
      </c>
      <c r="X27" s="442">
        <f>'Tab.2. l.d.m.m._Polska'!K527</f>
        <v>134</v>
      </c>
      <c r="Y27" s="472">
        <f>'Tab.2. l.d.m.m._Polska'!L527</f>
        <v>2</v>
      </c>
      <c r="Z27" s="1091">
        <f>'Tab.2. l.d.m.m._Polska'!M527</f>
        <v>2</v>
      </c>
      <c r="AA27" s="441">
        <f>'Tab.2. l.d.m.m._Polska'!N527</f>
        <v>131</v>
      </c>
      <c r="AB27" s="444">
        <f>'Tab.2. l.d.m.m._Polska'!O527</f>
        <v>118</v>
      </c>
      <c r="AC27" s="846">
        <v>14</v>
      </c>
      <c r="AD27" s="845" t="s">
        <v>249</v>
      </c>
      <c r="AE27" s="450">
        <f t="shared" si="10"/>
        <v>7</v>
      </c>
      <c r="AF27" s="484">
        <f t="shared" si="10"/>
        <v>7</v>
      </c>
      <c r="AG27" s="451">
        <f t="shared" si="11"/>
        <v>540</v>
      </c>
      <c r="AH27" s="452">
        <f t="shared" si="12"/>
        <v>534</v>
      </c>
      <c r="AI27" s="440">
        <f>'Tab.2. l.d.m.m._Polska'!H528</f>
        <v>7</v>
      </c>
      <c r="AJ27" s="1091">
        <f>'Tab.2. l.d.m.m._Polska'!I528</f>
        <v>7</v>
      </c>
      <c r="AK27" s="441">
        <f>'Tab.2. l.d.m.m._Polska'!J528</f>
        <v>540</v>
      </c>
      <c r="AL27" s="442">
        <f>'Tab.2. l.d.m.m._Polska'!K528</f>
        <v>534</v>
      </c>
      <c r="AM27" s="472">
        <f>'Tab.2. l.d.m.m._Polska'!L528</f>
        <v>0</v>
      </c>
      <c r="AN27" s="1091">
        <f>'Tab.2. l.d.m.m._Polska'!M528</f>
        <v>0</v>
      </c>
      <c r="AO27" s="441">
        <f>'Tab.2. l.d.m.m._Polska'!N528</f>
        <v>0</v>
      </c>
      <c r="AP27" s="444">
        <f>'Tab.2. l.d.m.m._Polska'!O528</f>
        <v>0</v>
      </c>
      <c r="AQ27" s="846">
        <v>14</v>
      </c>
      <c r="AR27" s="845" t="s">
        <v>249</v>
      </c>
      <c r="AS27" s="450">
        <f t="shared" si="13"/>
        <v>7</v>
      </c>
      <c r="AT27" s="484">
        <f t="shared" si="13"/>
        <v>7</v>
      </c>
      <c r="AU27" s="451">
        <f t="shared" si="14"/>
        <v>975</v>
      </c>
      <c r="AV27" s="452">
        <f t="shared" si="15"/>
        <v>972</v>
      </c>
      <c r="AW27" s="440">
        <f>'Tab.2. l.d.m.m._Polska'!H529</f>
        <v>5</v>
      </c>
      <c r="AX27" s="1091">
        <f>'Tab.2. l.d.m.m._Polska'!I529</f>
        <v>5</v>
      </c>
      <c r="AY27" s="441">
        <f>'Tab.2. l.d.m.m._Polska'!J529</f>
        <v>835</v>
      </c>
      <c r="AZ27" s="442">
        <f>'Tab.2. l.d.m.m._Polska'!K529</f>
        <v>832</v>
      </c>
      <c r="BA27" s="472">
        <f>'Tab.2. l.d.m.m._Polska'!L529</f>
        <v>2</v>
      </c>
      <c r="BB27" s="1091">
        <f>'Tab.2. l.d.m.m._Polska'!M529</f>
        <v>2</v>
      </c>
      <c r="BC27" s="441">
        <f>'Tab.2. l.d.m.m._Polska'!N529</f>
        <v>140</v>
      </c>
      <c r="BD27" s="444">
        <f>'Tab.2. l.d.m.m._Polska'!O529</f>
        <v>140</v>
      </c>
      <c r="BE27" s="846">
        <v>14</v>
      </c>
      <c r="BF27" s="845" t="s">
        <v>249</v>
      </c>
      <c r="BG27" s="450">
        <f t="shared" si="16"/>
        <v>6</v>
      </c>
      <c r="BH27" s="484">
        <f t="shared" si="16"/>
        <v>6</v>
      </c>
      <c r="BI27" s="451">
        <f t="shared" si="17"/>
        <v>683</v>
      </c>
      <c r="BJ27" s="452">
        <f t="shared" si="18"/>
        <v>639</v>
      </c>
      <c r="BK27" s="851">
        <f>'Tab.2. l.d.m.m._Polska'!H530</f>
        <v>5</v>
      </c>
      <c r="BL27" s="1091">
        <f>'Tab.2. l.d.m.m._Polska'!I530</f>
        <v>5</v>
      </c>
      <c r="BM27" s="852">
        <f>'Tab.2. l.d.m.m._Polska'!J530</f>
        <v>659</v>
      </c>
      <c r="BN27" s="853">
        <f>'Tab.2. l.d.m.m._Polska'!K530</f>
        <v>615</v>
      </c>
      <c r="BO27" s="878">
        <f>'Tab.2. l.d.m.m._Polska'!L530</f>
        <v>1</v>
      </c>
      <c r="BP27" s="1091">
        <f>'Tab.2. l.d.m.m._Polska'!M530</f>
        <v>1</v>
      </c>
      <c r="BQ27" s="852">
        <f>'Tab.2. l.d.m.m._Polska'!N530</f>
        <v>24</v>
      </c>
      <c r="BR27" s="854">
        <f>'Tab.2. l.d.m.m._Polska'!O530</f>
        <v>24</v>
      </c>
      <c r="BS27" s="846">
        <v>14</v>
      </c>
      <c r="BT27" s="845" t="s">
        <v>249</v>
      </c>
      <c r="BU27" s="450">
        <f t="shared" si="19"/>
        <v>5</v>
      </c>
      <c r="BV27" s="484">
        <f t="shared" si="19"/>
        <v>5</v>
      </c>
      <c r="BW27" s="451">
        <f t="shared" si="20"/>
        <v>317</v>
      </c>
      <c r="BX27" s="452">
        <f t="shared" si="21"/>
        <v>311</v>
      </c>
      <c r="BY27" s="851">
        <f>'Tab.2. l.d.m.m._Polska'!H531</f>
        <v>1</v>
      </c>
      <c r="BZ27" s="1091">
        <f>'Tab.2. l.d.m.m._Polska'!I531</f>
        <v>1</v>
      </c>
      <c r="CA27" s="852">
        <f>'Tab.2. l.d.m.m._Polska'!J531</f>
        <v>95</v>
      </c>
      <c r="CB27" s="853">
        <f>'Tab.2. l.d.m.m._Polska'!K531</f>
        <v>95</v>
      </c>
      <c r="CC27" s="878">
        <f>'Tab.2. l.d.m.m._Polska'!L531</f>
        <v>4</v>
      </c>
      <c r="CD27" s="1091">
        <f>'Tab.2. l.d.m.m._Polska'!M531</f>
        <v>4</v>
      </c>
      <c r="CE27" s="852">
        <f>'Tab.2. l.d.m.m._Polska'!N531</f>
        <v>222</v>
      </c>
      <c r="CF27" s="854">
        <f>'Tab.2. l.d.m.m._Polska'!O531</f>
        <v>216</v>
      </c>
      <c r="CG27" s="846">
        <v>14</v>
      </c>
      <c r="CH27" s="845" t="s">
        <v>249</v>
      </c>
      <c r="CI27" s="450">
        <f t="shared" si="22"/>
        <v>1</v>
      </c>
      <c r="CJ27" s="484">
        <f t="shared" si="22"/>
        <v>1</v>
      </c>
      <c r="CK27" s="451">
        <f t="shared" si="23"/>
        <v>90</v>
      </c>
      <c r="CL27" s="452">
        <f t="shared" si="24"/>
        <v>90</v>
      </c>
      <c r="CM27" s="851">
        <f>'Tab.2. l.d.m.m._Polska'!H532</f>
        <v>0</v>
      </c>
      <c r="CN27" s="1091">
        <f>'Tab.2. l.d.m.m._Polska'!I532</f>
        <v>0</v>
      </c>
      <c r="CO27" s="852">
        <f>'Tab.2. l.d.m.m._Polska'!J532</f>
        <v>0</v>
      </c>
      <c r="CP27" s="853">
        <f>'Tab.2. l.d.m.m._Polska'!K532</f>
        <v>0</v>
      </c>
      <c r="CQ27" s="878">
        <f>'Tab.2. l.d.m.m._Polska'!L532</f>
        <v>1</v>
      </c>
      <c r="CR27" s="1091">
        <f>'Tab.2. l.d.m.m._Polska'!M532</f>
        <v>1</v>
      </c>
      <c r="CS27" s="852">
        <f>'Tab.2. l.d.m.m._Polska'!N532</f>
        <v>90</v>
      </c>
      <c r="CT27" s="854">
        <f>'Tab.2. l.d.m.m._Polska'!O532</f>
        <v>90</v>
      </c>
      <c r="CU27" s="846">
        <v>14</v>
      </c>
      <c r="CV27" s="845" t="s">
        <v>249</v>
      </c>
      <c r="CW27" s="450">
        <f t="shared" si="25"/>
        <v>5</v>
      </c>
      <c r="CX27" s="484">
        <f t="shared" si="25"/>
        <v>5</v>
      </c>
      <c r="CY27" s="451">
        <f t="shared" si="26"/>
        <v>482</v>
      </c>
      <c r="CZ27" s="452">
        <f t="shared" si="27"/>
        <v>447</v>
      </c>
      <c r="DA27" s="851">
        <f>'Tab.2. l.d.m.m._Polska'!H533</f>
        <v>5</v>
      </c>
      <c r="DB27" s="1091">
        <f>'Tab.2. l.d.m.m._Polska'!I533</f>
        <v>5</v>
      </c>
      <c r="DC27" s="852">
        <f>'Tab.2. l.d.m.m._Polska'!J533</f>
        <v>482</v>
      </c>
      <c r="DD27" s="853">
        <f>'Tab.2. l.d.m.m._Polska'!K533</f>
        <v>447</v>
      </c>
      <c r="DE27" s="878">
        <f>'Tab.2. l.d.m.m._Polska'!L533</f>
        <v>0</v>
      </c>
      <c r="DF27" s="878">
        <f>'Tab.2. l.d.m.m._Polska'!M533</f>
        <v>0</v>
      </c>
      <c r="DG27" s="852">
        <f>'Tab.2. l.d.m.m._Polska'!N533</f>
        <v>0</v>
      </c>
      <c r="DH27" s="854">
        <f>'Tab.2. l.d.m.m._Polska'!O533</f>
        <v>0</v>
      </c>
      <c r="DI27" s="846">
        <v>14</v>
      </c>
      <c r="DJ27" s="845" t="s">
        <v>249</v>
      </c>
      <c r="DK27" s="450">
        <f t="shared" si="28"/>
        <v>1</v>
      </c>
      <c r="DL27" s="484">
        <f t="shared" si="28"/>
        <v>1</v>
      </c>
      <c r="DM27" s="451">
        <f t="shared" si="29"/>
        <v>90</v>
      </c>
      <c r="DN27" s="452">
        <f t="shared" si="30"/>
        <v>90</v>
      </c>
      <c r="DO27" s="851">
        <f>'Tab.2. l.d.m.m._Polska'!H534</f>
        <v>1</v>
      </c>
      <c r="DP27" s="1091">
        <f>'Tab.2. l.d.m.m._Polska'!I534</f>
        <v>1</v>
      </c>
      <c r="DQ27" s="852">
        <f>'Tab.2. l.d.m.m._Polska'!J534</f>
        <v>90</v>
      </c>
      <c r="DR27" s="853">
        <f>'Tab.2. l.d.m.m._Polska'!K534</f>
        <v>90</v>
      </c>
      <c r="DS27" s="878">
        <f>'Tab.2. l.d.m.m._Polska'!L534</f>
        <v>0</v>
      </c>
      <c r="DT27" s="1091">
        <f>'Tab.2. l.d.m.m._Polska'!M534</f>
        <v>0</v>
      </c>
      <c r="DU27" s="852">
        <f>'Tab.2. l.d.m.m._Polska'!N534</f>
        <v>0</v>
      </c>
      <c r="DV27" s="854">
        <f>'Tab.2. l.d.m.m._Polska'!O534</f>
        <v>0</v>
      </c>
      <c r="DW27" s="846">
        <v>14</v>
      </c>
      <c r="DX27" s="845" t="s">
        <v>249</v>
      </c>
      <c r="DY27" s="450">
        <f t="shared" si="31"/>
        <v>0</v>
      </c>
      <c r="DZ27" s="484">
        <f t="shared" si="31"/>
        <v>0</v>
      </c>
      <c r="EA27" s="451">
        <f t="shared" si="32"/>
        <v>0</v>
      </c>
      <c r="EB27" s="452">
        <f t="shared" si="33"/>
        <v>0</v>
      </c>
      <c r="EC27" s="851">
        <f>'Tab.2. l.d.m.m._Polska'!H535</f>
        <v>0</v>
      </c>
      <c r="ED27" s="1091">
        <f>'Tab.2. l.d.m.m._Polska'!I535</f>
        <v>0</v>
      </c>
      <c r="EE27" s="852">
        <f>'Tab.2. l.d.m.m._Polska'!J535</f>
        <v>0</v>
      </c>
      <c r="EF27" s="853">
        <f>'Tab.2. l.d.m.m._Polska'!K535</f>
        <v>0</v>
      </c>
      <c r="EG27" s="878">
        <f>'Tab.2. l.d.m.m._Polska'!L535</f>
        <v>0</v>
      </c>
      <c r="EH27" s="1091">
        <f>'Tab.2. l.d.m.m._Polska'!M535</f>
        <v>0</v>
      </c>
      <c r="EI27" s="852">
        <f>'Tab.2. l.d.m.m._Polska'!N535</f>
        <v>0</v>
      </c>
      <c r="EJ27" s="854">
        <f>'Tab.2. l.d.m.m._Polska'!O535</f>
        <v>0</v>
      </c>
      <c r="EK27" s="846">
        <v>14</v>
      </c>
      <c r="EL27" s="845" t="s">
        <v>249</v>
      </c>
      <c r="EM27" s="450">
        <f t="shared" si="34"/>
        <v>1</v>
      </c>
      <c r="EN27" s="484">
        <f t="shared" si="34"/>
        <v>1</v>
      </c>
      <c r="EO27" s="451">
        <f t="shared" si="35"/>
        <v>90</v>
      </c>
      <c r="EP27" s="452">
        <f t="shared" si="36"/>
        <v>89</v>
      </c>
      <c r="EQ27" s="851">
        <f>'Tab.2. l.d.m.m._Polska'!H536</f>
        <v>1</v>
      </c>
      <c r="ER27" s="1091">
        <f>'Tab.2. l.d.m.m._Polska'!I536</f>
        <v>1</v>
      </c>
      <c r="ES27" s="852">
        <f>'Tab.2. l.d.m.m._Polska'!J536</f>
        <v>90</v>
      </c>
      <c r="ET27" s="853">
        <f>'Tab.2. l.d.m.m._Polska'!K536</f>
        <v>89</v>
      </c>
      <c r="EU27" s="878">
        <f>'Tab.2. l.d.m.m._Polska'!L536</f>
        <v>0</v>
      </c>
      <c r="EV27" s="1091">
        <f>'Tab.2. l.d.m.m._Polska'!M536</f>
        <v>0</v>
      </c>
      <c r="EW27" s="852">
        <f>'Tab.2. l.d.m.m._Polska'!N536</f>
        <v>0</v>
      </c>
      <c r="EX27" s="854">
        <f>'Tab.2. l.d.m.m._Polska'!O536</f>
        <v>0</v>
      </c>
    </row>
    <row r="28" spans="1:154" ht="15" customHeight="1" x14ac:dyDescent="0.2">
      <c r="A28" s="846">
        <v>15</v>
      </c>
      <c r="B28" s="845" t="s">
        <v>250</v>
      </c>
      <c r="C28" s="1307">
        <f t="shared" si="37"/>
        <v>65</v>
      </c>
      <c r="D28" s="1308" t="str">
        <f>'Tab.2. l.d.m.m._Polska'!E561&amp;" ("&amp;R28+AF28+AT28+BH28+BV28+CJ28+CX28+DL28+DZ28+EN28&amp;")"</f>
        <v>65 (68)</v>
      </c>
      <c r="E28" s="1309">
        <f t="shared" si="0"/>
        <v>6293</v>
      </c>
      <c r="F28" s="1310">
        <f t="shared" si="1"/>
        <v>6184</v>
      </c>
      <c r="G28" s="1307">
        <f t="shared" si="38"/>
        <v>54</v>
      </c>
      <c r="H28" s="1324">
        <f t="shared" si="39"/>
        <v>54</v>
      </c>
      <c r="I28" s="1309">
        <f t="shared" si="2"/>
        <v>5251</v>
      </c>
      <c r="J28" s="1310">
        <f t="shared" si="3"/>
        <v>5180</v>
      </c>
      <c r="K28" s="1307">
        <f t="shared" si="4"/>
        <v>11</v>
      </c>
      <c r="L28" s="1091">
        <f t="shared" si="4"/>
        <v>14</v>
      </c>
      <c r="M28" s="1309">
        <f t="shared" si="5"/>
        <v>1042</v>
      </c>
      <c r="N28" s="1320">
        <f t="shared" si="6"/>
        <v>1004</v>
      </c>
      <c r="O28" s="846">
        <v>15</v>
      </c>
      <c r="P28" s="845" t="s">
        <v>250</v>
      </c>
      <c r="Q28" s="450">
        <f t="shared" si="7"/>
        <v>12</v>
      </c>
      <c r="R28" s="484">
        <f t="shared" si="7"/>
        <v>12</v>
      </c>
      <c r="S28" s="451">
        <f t="shared" si="8"/>
        <v>796</v>
      </c>
      <c r="T28" s="452">
        <f t="shared" si="9"/>
        <v>757</v>
      </c>
      <c r="U28" s="440">
        <f>'Tab.2. l.d.m.m._Polska'!H563</f>
        <v>9</v>
      </c>
      <c r="V28" s="1091">
        <f>'Tab.2. l.d.m.m._Polska'!I563</f>
        <v>9</v>
      </c>
      <c r="W28" s="441">
        <f>'Tab.2. l.d.m.m._Polska'!J563</f>
        <v>634</v>
      </c>
      <c r="X28" s="442">
        <f>'Tab.2. l.d.m.m._Polska'!K563</f>
        <v>608</v>
      </c>
      <c r="Y28" s="472">
        <f>'Tab.2. l.d.m.m._Polska'!L563</f>
        <v>3</v>
      </c>
      <c r="Z28" s="1091">
        <f>'Tab.2. l.d.m.m._Polska'!M563</f>
        <v>3</v>
      </c>
      <c r="AA28" s="441">
        <f>'Tab.2. l.d.m.m._Polska'!N563</f>
        <v>162</v>
      </c>
      <c r="AB28" s="444">
        <f>'Tab.2. l.d.m.m._Polska'!O563</f>
        <v>149</v>
      </c>
      <c r="AC28" s="846">
        <v>15</v>
      </c>
      <c r="AD28" s="845" t="s">
        <v>250</v>
      </c>
      <c r="AE28" s="450">
        <f t="shared" si="10"/>
        <v>20</v>
      </c>
      <c r="AF28" s="484">
        <f t="shared" si="10"/>
        <v>21</v>
      </c>
      <c r="AG28" s="451">
        <f t="shared" si="11"/>
        <v>2197</v>
      </c>
      <c r="AH28" s="452">
        <f t="shared" si="12"/>
        <v>2164</v>
      </c>
      <c r="AI28" s="440">
        <f>'Tab.2. l.d.m.m._Polska'!H564</f>
        <v>18</v>
      </c>
      <c r="AJ28" s="1091">
        <f>'Tab.2. l.d.m.m._Polska'!I564</f>
        <v>18</v>
      </c>
      <c r="AK28" s="441">
        <f>'Tab.2. l.d.m.m._Polska'!J564</f>
        <v>1875</v>
      </c>
      <c r="AL28" s="442">
        <f>'Tab.2. l.d.m.m._Polska'!K564</f>
        <v>1858</v>
      </c>
      <c r="AM28" s="472">
        <f>'Tab.2. l.d.m.m._Polska'!L564</f>
        <v>2</v>
      </c>
      <c r="AN28" s="1091">
        <f>'Tab.2. l.d.m.m._Polska'!M564</f>
        <v>3</v>
      </c>
      <c r="AO28" s="441">
        <f>'Tab.2. l.d.m.m._Polska'!N564</f>
        <v>322</v>
      </c>
      <c r="AP28" s="444">
        <f>'Tab.2. l.d.m.m._Polska'!O564</f>
        <v>306</v>
      </c>
      <c r="AQ28" s="846">
        <v>15</v>
      </c>
      <c r="AR28" s="845" t="s">
        <v>250</v>
      </c>
      <c r="AS28" s="450">
        <f t="shared" si="13"/>
        <v>10</v>
      </c>
      <c r="AT28" s="484">
        <f t="shared" si="13"/>
        <v>10</v>
      </c>
      <c r="AU28" s="451">
        <f t="shared" si="14"/>
        <v>1096</v>
      </c>
      <c r="AV28" s="452">
        <f t="shared" si="15"/>
        <v>1088</v>
      </c>
      <c r="AW28" s="440">
        <f>'Tab.2. l.d.m.m._Polska'!H565</f>
        <v>10</v>
      </c>
      <c r="AX28" s="1091">
        <f>'Tab.2. l.d.m.m._Polska'!I565</f>
        <v>10</v>
      </c>
      <c r="AY28" s="441">
        <f>'Tab.2. l.d.m.m._Polska'!J565</f>
        <v>1096</v>
      </c>
      <c r="AZ28" s="442">
        <f>'Tab.2. l.d.m.m._Polska'!K565</f>
        <v>1088</v>
      </c>
      <c r="BA28" s="472">
        <f>'Tab.2. l.d.m.m._Polska'!L565</f>
        <v>0</v>
      </c>
      <c r="BB28" s="1091">
        <f>'Tab.2. l.d.m.m._Polska'!M565</f>
        <v>0</v>
      </c>
      <c r="BC28" s="441">
        <f>'Tab.2. l.d.m.m._Polska'!N565</f>
        <v>0</v>
      </c>
      <c r="BD28" s="444">
        <f>'Tab.2. l.d.m.m._Polska'!O565</f>
        <v>0</v>
      </c>
      <c r="BE28" s="846">
        <v>15</v>
      </c>
      <c r="BF28" s="845" t="s">
        <v>250</v>
      </c>
      <c r="BG28" s="450">
        <f t="shared" si="16"/>
        <v>15</v>
      </c>
      <c r="BH28" s="484">
        <f t="shared" si="16"/>
        <v>16</v>
      </c>
      <c r="BI28" s="451">
        <f t="shared" si="17"/>
        <v>1517</v>
      </c>
      <c r="BJ28" s="452">
        <f t="shared" si="18"/>
        <v>1501</v>
      </c>
      <c r="BK28" s="851">
        <f>'Tab.2. l.d.m.m._Polska'!H566</f>
        <v>14</v>
      </c>
      <c r="BL28" s="1091">
        <f>'Tab.2. l.d.m.m._Polska'!I566</f>
        <v>14</v>
      </c>
      <c r="BM28" s="852">
        <f>'Tab.2. l.d.m.m._Polska'!J566</f>
        <v>1377</v>
      </c>
      <c r="BN28" s="853">
        <f>'Tab.2. l.d.m.m._Polska'!K566</f>
        <v>1362</v>
      </c>
      <c r="BO28" s="878">
        <f>'Tab.2. l.d.m.m._Polska'!L566</f>
        <v>1</v>
      </c>
      <c r="BP28" s="1091">
        <f>'Tab.2. l.d.m.m._Polska'!M566</f>
        <v>2</v>
      </c>
      <c r="BQ28" s="852">
        <f>'Tab.2. l.d.m.m._Polska'!N566</f>
        <v>140</v>
      </c>
      <c r="BR28" s="854">
        <f>'Tab.2. l.d.m.m._Polska'!O566</f>
        <v>139</v>
      </c>
      <c r="BS28" s="846">
        <v>15</v>
      </c>
      <c r="BT28" s="845" t="s">
        <v>250</v>
      </c>
      <c r="BU28" s="450">
        <f t="shared" si="19"/>
        <v>6</v>
      </c>
      <c r="BV28" s="484">
        <f t="shared" si="19"/>
        <v>6</v>
      </c>
      <c r="BW28" s="451">
        <f t="shared" si="20"/>
        <v>384</v>
      </c>
      <c r="BX28" s="452">
        <f t="shared" si="21"/>
        <v>381</v>
      </c>
      <c r="BY28" s="851">
        <f>'Tab.2. l.d.m.m._Polska'!H567</f>
        <v>1</v>
      </c>
      <c r="BZ28" s="1091">
        <f>'Tab.2. l.d.m.m._Polska'!I567</f>
        <v>1</v>
      </c>
      <c r="CA28" s="852">
        <f>'Tab.2. l.d.m.m._Polska'!J567</f>
        <v>66</v>
      </c>
      <c r="CB28" s="853">
        <f>'Tab.2. l.d.m.m._Polska'!K567</f>
        <v>65</v>
      </c>
      <c r="CC28" s="878">
        <f>'Tab.2. l.d.m.m._Polska'!L567</f>
        <v>5</v>
      </c>
      <c r="CD28" s="1091">
        <f>'Tab.2. l.d.m.m._Polska'!M567</f>
        <v>5</v>
      </c>
      <c r="CE28" s="852">
        <f>'Tab.2. l.d.m.m._Polska'!N567</f>
        <v>318</v>
      </c>
      <c r="CF28" s="854">
        <f>'Tab.2. l.d.m.m._Polska'!O567</f>
        <v>316</v>
      </c>
      <c r="CG28" s="846">
        <v>15</v>
      </c>
      <c r="CH28" s="845" t="s">
        <v>250</v>
      </c>
      <c r="CI28" s="450">
        <f t="shared" si="22"/>
        <v>1</v>
      </c>
      <c r="CJ28" s="484">
        <f t="shared" si="22"/>
        <v>2</v>
      </c>
      <c r="CK28" s="451">
        <f t="shared" si="23"/>
        <v>167</v>
      </c>
      <c r="CL28" s="452">
        <f t="shared" si="24"/>
        <v>160</v>
      </c>
      <c r="CM28" s="851">
        <f>'Tab.2. l.d.m.m._Polska'!H568</f>
        <v>1</v>
      </c>
      <c r="CN28" s="1091">
        <f>'Tab.2. l.d.m.m._Polska'!I568</f>
        <v>1</v>
      </c>
      <c r="CO28" s="852">
        <f>'Tab.2. l.d.m.m._Polska'!J568</f>
        <v>67</v>
      </c>
      <c r="CP28" s="853">
        <f>'Tab.2. l.d.m.m._Polska'!K568</f>
        <v>66</v>
      </c>
      <c r="CQ28" s="878">
        <f>'Tab.2. l.d.m.m._Polska'!L568</f>
        <v>0</v>
      </c>
      <c r="CR28" s="1091">
        <f>'Tab.2. l.d.m.m._Polska'!M568</f>
        <v>1</v>
      </c>
      <c r="CS28" s="852">
        <f>'Tab.2. l.d.m.m._Polska'!N568</f>
        <v>100</v>
      </c>
      <c r="CT28" s="854">
        <f>'Tab.2. l.d.m.m._Polska'!O568</f>
        <v>94</v>
      </c>
      <c r="CU28" s="846">
        <v>15</v>
      </c>
      <c r="CV28" s="845" t="s">
        <v>250</v>
      </c>
      <c r="CW28" s="450">
        <f t="shared" si="25"/>
        <v>0</v>
      </c>
      <c r="CX28" s="484">
        <f t="shared" si="25"/>
        <v>0</v>
      </c>
      <c r="CY28" s="451">
        <f t="shared" si="26"/>
        <v>0</v>
      </c>
      <c r="CZ28" s="452">
        <f t="shared" si="27"/>
        <v>0</v>
      </c>
      <c r="DA28" s="851">
        <f>'Tab.2. l.d.m.m._Polska'!H569</f>
        <v>0</v>
      </c>
      <c r="DB28" s="1091">
        <f>'Tab.2. l.d.m.m._Polska'!I569</f>
        <v>0</v>
      </c>
      <c r="DC28" s="852">
        <f>'Tab.2. l.d.m.m._Polska'!J569</f>
        <v>0</v>
      </c>
      <c r="DD28" s="853">
        <f>'Tab.2. l.d.m.m._Polska'!K569</f>
        <v>0</v>
      </c>
      <c r="DE28" s="878">
        <f>'Tab.2. l.d.m.m._Polska'!L569</f>
        <v>0</v>
      </c>
      <c r="DF28" s="878">
        <f>'Tab.2. l.d.m.m._Polska'!M569</f>
        <v>0</v>
      </c>
      <c r="DG28" s="852">
        <f>'Tab.2. l.d.m.m._Polska'!N569</f>
        <v>0</v>
      </c>
      <c r="DH28" s="854">
        <f>'Tab.2. l.d.m.m._Polska'!O569</f>
        <v>0</v>
      </c>
      <c r="DI28" s="846">
        <v>15</v>
      </c>
      <c r="DJ28" s="845" t="s">
        <v>250</v>
      </c>
      <c r="DK28" s="450">
        <f t="shared" si="28"/>
        <v>0</v>
      </c>
      <c r="DL28" s="484">
        <f t="shared" si="28"/>
        <v>0</v>
      </c>
      <c r="DM28" s="451">
        <f t="shared" si="29"/>
        <v>0</v>
      </c>
      <c r="DN28" s="452">
        <f t="shared" si="30"/>
        <v>0</v>
      </c>
      <c r="DO28" s="851">
        <f>'Tab.2. l.d.m.m._Polska'!H570</f>
        <v>0</v>
      </c>
      <c r="DP28" s="1091">
        <f>'Tab.2. l.d.m.m._Polska'!I570</f>
        <v>0</v>
      </c>
      <c r="DQ28" s="852">
        <f>'Tab.2. l.d.m.m._Polska'!J570</f>
        <v>0</v>
      </c>
      <c r="DR28" s="853">
        <f>'Tab.2. l.d.m.m._Polska'!K570</f>
        <v>0</v>
      </c>
      <c r="DS28" s="878">
        <f>'Tab.2. l.d.m.m._Polska'!L570</f>
        <v>0</v>
      </c>
      <c r="DT28" s="1091">
        <f>'Tab.2. l.d.m.m._Polska'!M570</f>
        <v>0</v>
      </c>
      <c r="DU28" s="852">
        <f>'Tab.2. l.d.m.m._Polska'!N570</f>
        <v>0</v>
      </c>
      <c r="DV28" s="854">
        <f>'Tab.2. l.d.m.m._Polska'!O570</f>
        <v>0</v>
      </c>
      <c r="DW28" s="846">
        <v>15</v>
      </c>
      <c r="DX28" s="845" t="s">
        <v>250</v>
      </c>
      <c r="DY28" s="450">
        <f t="shared" si="31"/>
        <v>1</v>
      </c>
      <c r="DZ28" s="484">
        <f t="shared" si="31"/>
        <v>1</v>
      </c>
      <c r="EA28" s="451">
        <f t="shared" si="32"/>
        <v>136</v>
      </c>
      <c r="EB28" s="452">
        <f t="shared" si="33"/>
        <v>133</v>
      </c>
      <c r="EC28" s="851">
        <f>'Tab.2. l.d.m.m._Polska'!H571</f>
        <v>1</v>
      </c>
      <c r="ED28" s="1091">
        <f>'Tab.2. l.d.m.m._Polska'!I571</f>
        <v>1</v>
      </c>
      <c r="EE28" s="852">
        <f>'Tab.2. l.d.m.m._Polska'!J571</f>
        <v>136</v>
      </c>
      <c r="EF28" s="853">
        <f>'Tab.2. l.d.m.m._Polska'!K571</f>
        <v>133</v>
      </c>
      <c r="EG28" s="878">
        <f>'Tab.2. l.d.m.m._Polska'!L571</f>
        <v>0</v>
      </c>
      <c r="EH28" s="1091">
        <f>'Tab.2. l.d.m.m._Polska'!M571</f>
        <v>0</v>
      </c>
      <c r="EI28" s="852">
        <f>'Tab.2. l.d.m.m._Polska'!N571</f>
        <v>0</v>
      </c>
      <c r="EJ28" s="854">
        <f>'Tab.2. l.d.m.m._Polska'!O571</f>
        <v>0</v>
      </c>
      <c r="EK28" s="846">
        <v>15</v>
      </c>
      <c r="EL28" s="845" t="s">
        <v>250</v>
      </c>
      <c r="EM28" s="450">
        <f t="shared" si="34"/>
        <v>0</v>
      </c>
      <c r="EN28" s="484">
        <f t="shared" si="34"/>
        <v>0</v>
      </c>
      <c r="EO28" s="451">
        <f t="shared" si="35"/>
        <v>0</v>
      </c>
      <c r="EP28" s="452">
        <f t="shared" si="36"/>
        <v>0</v>
      </c>
      <c r="EQ28" s="851">
        <f>'Tab.2. l.d.m.m._Polska'!H572</f>
        <v>0</v>
      </c>
      <c r="ER28" s="1091">
        <f>'Tab.2. l.d.m.m._Polska'!I572</f>
        <v>0</v>
      </c>
      <c r="ES28" s="852">
        <f>'Tab.2. l.d.m.m._Polska'!J572</f>
        <v>0</v>
      </c>
      <c r="ET28" s="853">
        <f>'Tab.2. l.d.m.m._Polska'!K572</f>
        <v>0</v>
      </c>
      <c r="EU28" s="878">
        <f>'Tab.2. l.d.m.m._Polska'!L572</f>
        <v>0</v>
      </c>
      <c r="EV28" s="1091">
        <f>'Tab.2. l.d.m.m._Polska'!M572</f>
        <v>0</v>
      </c>
      <c r="EW28" s="852">
        <f>'Tab.2. l.d.m.m._Polska'!N572</f>
        <v>0</v>
      </c>
      <c r="EX28" s="854">
        <f>'Tab.2. l.d.m.m._Polska'!O572</f>
        <v>0</v>
      </c>
    </row>
    <row r="29" spans="1:154" ht="15" customHeight="1" thickBot="1" x14ac:dyDescent="0.25">
      <c r="A29" s="846">
        <v>16</v>
      </c>
      <c r="B29" s="845" t="s">
        <v>251</v>
      </c>
      <c r="C29" s="1315">
        <f t="shared" si="37"/>
        <v>31</v>
      </c>
      <c r="D29" s="1316" t="str">
        <f>'Tab.2. l.d.m.m._Polska'!E597&amp;" ("&amp;R29+AF29+AT29+BH29+BV29+CJ29+CX29+DL29+DZ29+EN29&amp;")"</f>
        <v>31 (31)</v>
      </c>
      <c r="E29" s="1317">
        <f t="shared" si="0"/>
        <v>3745</v>
      </c>
      <c r="F29" s="1318">
        <f t="shared" si="1"/>
        <v>3716</v>
      </c>
      <c r="G29" s="1315">
        <f t="shared" si="38"/>
        <v>24</v>
      </c>
      <c r="H29" s="1326">
        <f t="shared" si="39"/>
        <v>24</v>
      </c>
      <c r="I29" s="1317">
        <f t="shared" si="2"/>
        <v>3109</v>
      </c>
      <c r="J29" s="1318">
        <f t="shared" si="3"/>
        <v>3083</v>
      </c>
      <c r="K29" s="1315">
        <f t="shared" si="4"/>
        <v>7</v>
      </c>
      <c r="L29" s="1092">
        <f t="shared" si="4"/>
        <v>7</v>
      </c>
      <c r="M29" s="1317">
        <f t="shared" si="5"/>
        <v>636</v>
      </c>
      <c r="N29" s="1322">
        <f t="shared" si="6"/>
        <v>633</v>
      </c>
      <c r="O29" s="846">
        <v>16</v>
      </c>
      <c r="P29" s="845" t="s">
        <v>251</v>
      </c>
      <c r="Q29" s="450">
        <f t="shared" si="7"/>
        <v>1</v>
      </c>
      <c r="R29" s="484">
        <f t="shared" si="7"/>
        <v>1</v>
      </c>
      <c r="S29" s="451">
        <f t="shared" si="8"/>
        <v>60</v>
      </c>
      <c r="T29" s="452">
        <f t="shared" si="9"/>
        <v>59</v>
      </c>
      <c r="U29" s="1086">
        <f>'Tab.2. l.d.m.m._Polska'!H599</f>
        <v>1</v>
      </c>
      <c r="V29" s="1092">
        <f>'Tab.2. l.d.m.m._Polska'!I599</f>
        <v>1</v>
      </c>
      <c r="W29" s="1087">
        <f>'Tab.2. l.d.m.m._Polska'!J599</f>
        <v>60</v>
      </c>
      <c r="X29" s="1088">
        <f>'Tab.2. l.d.m.m._Polska'!K599</f>
        <v>59</v>
      </c>
      <c r="Y29" s="472">
        <f>'Tab.2. l.d.m.m._Polska'!L599</f>
        <v>0</v>
      </c>
      <c r="Z29" s="1091">
        <f>'Tab.2. l.d.m.m._Polska'!M599</f>
        <v>0</v>
      </c>
      <c r="AA29" s="441">
        <f>'Tab.2. l.d.m.m._Polska'!N599</f>
        <v>0</v>
      </c>
      <c r="AB29" s="444">
        <f>'Tab.2. l.d.m.m._Polska'!O599</f>
        <v>0</v>
      </c>
      <c r="AC29" s="846">
        <v>16</v>
      </c>
      <c r="AD29" s="845" t="s">
        <v>251</v>
      </c>
      <c r="AE29" s="450">
        <f t="shared" si="10"/>
        <v>12</v>
      </c>
      <c r="AF29" s="484">
        <f t="shared" si="10"/>
        <v>12</v>
      </c>
      <c r="AG29" s="451">
        <f t="shared" si="11"/>
        <v>1084</v>
      </c>
      <c r="AH29" s="452">
        <f t="shared" si="12"/>
        <v>1068</v>
      </c>
      <c r="AI29" s="1086">
        <f>'Tab.2. l.d.m.m._Polska'!H600</f>
        <v>9</v>
      </c>
      <c r="AJ29" s="1092">
        <f>'Tab.2. l.d.m.m._Polska'!I600</f>
        <v>9</v>
      </c>
      <c r="AK29" s="1087">
        <f>'Tab.2. l.d.m.m._Polska'!J600</f>
        <v>841</v>
      </c>
      <c r="AL29" s="1088">
        <f>'Tab.2. l.d.m.m._Polska'!K600</f>
        <v>824</v>
      </c>
      <c r="AM29" s="472">
        <f>'Tab.2. l.d.m.m._Polska'!L600</f>
        <v>3</v>
      </c>
      <c r="AN29" s="1091">
        <f>'Tab.2. l.d.m.m._Polska'!M600</f>
        <v>3</v>
      </c>
      <c r="AO29" s="441">
        <f>'Tab.2. l.d.m.m._Polska'!N600</f>
        <v>243</v>
      </c>
      <c r="AP29" s="444">
        <f>'Tab.2. l.d.m.m._Polska'!O600</f>
        <v>244</v>
      </c>
      <c r="AQ29" s="846">
        <v>16</v>
      </c>
      <c r="AR29" s="845" t="s">
        <v>251</v>
      </c>
      <c r="AS29" s="450">
        <f t="shared" si="13"/>
        <v>4</v>
      </c>
      <c r="AT29" s="484">
        <f t="shared" si="13"/>
        <v>4</v>
      </c>
      <c r="AU29" s="451">
        <f t="shared" si="14"/>
        <v>799</v>
      </c>
      <c r="AV29" s="452">
        <f t="shared" si="15"/>
        <v>798</v>
      </c>
      <c r="AW29" s="1086">
        <f>'Tab.2. l.d.m.m._Polska'!H601</f>
        <v>4</v>
      </c>
      <c r="AX29" s="1092">
        <f>'Tab.2. l.d.m.m._Polska'!I601</f>
        <v>4</v>
      </c>
      <c r="AY29" s="1087">
        <f>'Tab.2. l.d.m.m._Polska'!J601</f>
        <v>799</v>
      </c>
      <c r="AZ29" s="1088">
        <f>'Tab.2. l.d.m.m._Polska'!K601</f>
        <v>798</v>
      </c>
      <c r="BA29" s="472">
        <f>'Tab.2. l.d.m.m._Polska'!L601</f>
        <v>0</v>
      </c>
      <c r="BB29" s="1091">
        <f>'Tab.2. l.d.m.m._Polska'!M601</f>
        <v>0</v>
      </c>
      <c r="BC29" s="441">
        <f>'Tab.2. l.d.m.m._Polska'!N601</f>
        <v>0</v>
      </c>
      <c r="BD29" s="444">
        <f>'Tab.2. l.d.m.m._Polska'!O601</f>
        <v>0</v>
      </c>
      <c r="BE29" s="846">
        <v>16</v>
      </c>
      <c r="BF29" s="845" t="s">
        <v>251</v>
      </c>
      <c r="BG29" s="450">
        <f t="shared" si="16"/>
        <v>6</v>
      </c>
      <c r="BH29" s="484">
        <f t="shared" si="16"/>
        <v>6</v>
      </c>
      <c r="BI29" s="451">
        <f t="shared" si="17"/>
        <v>620</v>
      </c>
      <c r="BJ29" s="452">
        <f t="shared" si="18"/>
        <v>615</v>
      </c>
      <c r="BK29" s="1082">
        <f>'Tab.2. l.d.m.m._Polska'!H602</f>
        <v>4</v>
      </c>
      <c r="BL29" s="1092">
        <f>'Tab.2. l.d.m.m._Polska'!I602</f>
        <v>4</v>
      </c>
      <c r="BM29" s="1083">
        <f>'Tab.2. l.d.m.m._Polska'!J602</f>
        <v>472</v>
      </c>
      <c r="BN29" s="1084">
        <f>'Tab.2. l.d.m.m._Polska'!K602</f>
        <v>471</v>
      </c>
      <c r="BO29" s="878">
        <f>'Tab.2. l.d.m.m._Polska'!L602</f>
        <v>2</v>
      </c>
      <c r="BP29" s="1091">
        <f>'Tab.2. l.d.m.m._Polska'!M602</f>
        <v>2</v>
      </c>
      <c r="BQ29" s="852">
        <f>'Tab.2. l.d.m.m._Polska'!N602</f>
        <v>148</v>
      </c>
      <c r="BR29" s="854">
        <f>'Tab.2. l.d.m.m._Polska'!O602</f>
        <v>144</v>
      </c>
      <c r="BS29" s="846">
        <v>16</v>
      </c>
      <c r="BT29" s="845" t="s">
        <v>251</v>
      </c>
      <c r="BU29" s="450">
        <f t="shared" si="19"/>
        <v>0</v>
      </c>
      <c r="BV29" s="484">
        <f t="shared" si="19"/>
        <v>0</v>
      </c>
      <c r="BW29" s="451">
        <f t="shared" si="20"/>
        <v>0</v>
      </c>
      <c r="BX29" s="452">
        <f t="shared" si="21"/>
        <v>0</v>
      </c>
      <c r="BY29" s="1082">
        <f>'Tab.2. l.d.m.m._Polska'!H603</f>
        <v>0</v>
      </c>
      <c r="BZ29" s="1092">
        <f>'Tab.2. l.d.m.m._Polska'!I603</f>
        <v>0</v>
      </c>
      <c r="CA29" s="1083">
        <f>'Tab.2. l.d.m.m._Polska'!J603</f>
        <v>0</v>
      </c>
      <c r="CB29" s="1084">
        <f>'Tab.2. l.d.m.m._Polska'!K603</f>
        <v>0</v>
      </c>
      <c r="CC29" s="878">
        <f>'Tab.2. l.d.m.m._Polska'!L603</f>
        <v>0</v>
      </c>
      <c r="CD29" s="1091">
        <f>'Tab.2. l.d.m.m._Polska'!M603</f>
        <v>0</v>
      </c>
      <c r="CE29" s="852">
        <f>'Tab.2. l.d.m.m._Polska'!N603</f>
        <v>0</v>
      </c>
      <c r="CF29" s="854">
        <f>'Tab.2. l.d.m.m._Polska'!O603</f>
        <v>0</v>
      </c>
      <c r="CG29" s="846">
        <v>16</v>
      </c>
      <c r="CH29" s="845" t="s">
        <v>251</v>
      </c>
      <c r="CI29" s="450">
        <f t="shared" si="22"/>
        <v>0</v>
      </c>
      <c r="CJ29" s="484">
        <f t="shared" si="22"/>
        <v>0</v>
      </c>
      <c r="CK29" s="451">
        <f t="shared" si="23"/>
        <v>0</v>
      </c>
      <c r="CL29" s="452">
        <f t="shared" si="24"/>
        <v>0</v>
      </c>
      <c r="CM29" s="1082">
        <f>'Tab.2. l.d.m.m._Polska'!H604</f>
        <v>0</v>
      </c>
      <c r="CN29" s="1092">
        <f>'Tab.2. l.d.m.m._Polska'!I604</f>
        <v>0</v>
      </c>
      <c r="CO29" s="1083">
        <f>'Tab.2. l.d.m.m._Polska'!J604</f>
        <v>0</v>
      </c>
      <c r="CP29" s="1084">
        <f>'Tab.2. l.d.m.m._Polska'!K604</f>
        <v>0</v>
      </c>
      <c r="CQ29" s="878">
        <f>'Tab.2. l.d.m.m._Polska'!L604</f>
        <v>0</v>
      </c>
      <c r="CR29" s="1091">
        <f>'Tab.2. l.d.m.m._Polska'!M604</f>
        <v>0</v>
      </c>
      <c r="CS29" s="852">
        <f>'Tab.2. l.d.m.m._Polska'!N604</f>
        <v>0</v>
      </c>
      <c r="CT29" s="854">
        <f>'Tab.2. l.d.m.m._Polska'!O604</f>
        <v>0</v>
      </c>
      <c r="CU29" s="846">
        <v>16</v>
      </c>
      <c r="CV29" s="845" t="s">
        <v>251</v>
      </c>
      <c r="CW29" s="450">
        <f t="shared" si="25"/>
        <v>5</v>
      </c>
      <c r="CX29" s="484">
        <f t="shared" si="25"/>
        <v>5</v>
      </c>
      <c r="CY29" s="451">
        <f t="shared" si="26"/>
        <v>842</v>
      </c>
      <c r="CZ29" s="452">
        <f t="shared" si="27"/>
        <v>840</v>
      </c>
      <c r="DA29" s="1082">
        <f>'Tab.2. l.d.m.m._Polska'!H605</f>
        <v>4</v>
      </c>
      <c r="DB29" s="1092">
        <f>'Tab.2. l.d.m.m._Polska'!I605</f>
        <v>4</v>
      </c>
      <c r="DC29" s="1083">
        <f>'Tab.2. l.d.m.m._Polska'!J605</f>
        <v>662</v>
      </c>
      <c r="DD29" s="1084">
        <f>'Tab.2. l.d.m.m._Polska'!K605</f>
        <v>660</v>
      </c>
      <c r="DE29" s="878">
        <f>'Tab.2. l.d.m.m._Polska'!L605</f>
        <v>1</v>
      </c>
      <c r="DF29" s="878">
        <f>'Tab.2. l.d.m.m._Polska'!M605</f>
        <v>1</v>
      </c>
      <c r="DG29" s="852">
        <f>'Tab.2. l.d.m.m._Polska'!N605</f>
        <v>180</v>
      </c>
      <c r="DH29" s="854">
        <f>'Tab.2. l.d.m.m._Polska'!O605</f>
        <v>180</v>
      </c>
      <c r="DI29" s="846">
        <v>16</v>
      </c>
      <c r="DJ29" s="845" t="s">
        <v>251</v>
      </c>
      <c r="DK29" s="450">
        <f t="shared" si="28"/>
        <v>0</v>
      </c>
      <c r="DL29" s="484">
        <f t="shared" si="28"/>
        <v>0</v>
      </c>
      <c r="DM29" s="451">
        <f t="shared" si="29"/>
        <v>0</v>
      </c>
      <c r="DN29" s="452">
        <f t="shared" si="30"/>
        <v>0</v>
      </c>
      <c r="DO29" s="1082">
        <f>'Tab.2. l.d.m.m._Polska'!H606</f>
        <v>0</v>
      </c>
      <c r="DP29" s="1092">
        <f>'Tab.2. l.d.m.m._Polska'!I606</f>
        <v>0</v>
      </c>
      <c r="DQ29" s="1083">
        <f>'Tab.2. l.d.m.m._Polska'!J606</f>
        <v>0</v>
      </c>
      <c r="DR29" s="1084">
        <f>'Tab.2. l.d.m.m._Polska'!K606</f>
        <v>0</v>
      </c>
      <c r="DS29" s="878">
        <f>'Tab.2. l.d.m.m._Polska'!L606</f>
        <v>0</v>
      </c>
      <c r="DT29" s="1091">
        <f>'Tab.2. l.d.m.m._Polska'!M606</f>
        <v>0</v>
      </c>
      <c r="DU29" s="852">
        <f>'Tab.2. l.d.m.m._Polska'!N606</f>
        <v>0</v>
      </c>
      <c r="DV29" s="854">
        <f>'Tab.2. l.d.m.m._Polska'!O606</f>
        <v>0</v>
      </c>
      <c r="DW29" s="846">
        <v>16</v>
      </c>
      <c r="DX29" s="845" t="s">
        <v>251</v>
      </c>
      <c r="DY29" s="450">
        <f t="shared" si="31"/>
        <v>0</v>
      </c>
      <c r="DZ29" s="484">
        <f t="shared" si="31"/>
        <v>0</v>
      </c>
      <c r="EA29" s="451">
        <f t="shared" si="32"/>
        <v>0</v>
      </c>
      <c r="EB29" s="452">
        <f t="shared" si="33"/>
        <v>0</v>
      </c>
      <c r="EC29" s="1082">
        <f>'Tab.2. l.d.m.m._Polska'!H607</f>
        <v>0</v>
      </c>
      <c r="ED29" s="1092">
        <f>'Tab.2. l.d.m.m._Polska'!I607</f>
        <v>0</v>
      </c>
      <c r="EE29" s="1083">
        <f>'Tab.2. l.d.m.m._Polska'!J607</f>
        <v>0</v>
      </c>
      <c r="EF29" s="1084">
        <f>'Tab.2. l.d.m.m._Polska'!K607</f>
        <v>0</v>
      </c>
      <c r="EG29" s="878">
        <f>'Tab.2. l.d.m.m._Polska'!L607</f>
        <v>0</v>
      </c>
      <c r="EH29" s="1091">
        <f>'Tab.2. l.d.m.m._Polska'!M607</f>
        <v>0</v>
      </c>
      <c r="EI29" s="852">
        <f>'Tab.2. l.d.m.m._Polska'!N607</f>
        <v>0</v>
      </c>
      <c r="EJ29" s="854">
        <f>'Tab.2. l.d.m.m._Polska'!O607</f>
        <v>0</v>
      </c>
      <c r="EK29" s="846">
        <v>16</v>
      </c>
      <c r="EL29" s="845" t="s">
        <v>251</v>
      </c>
      <c r="EM29" s="450">
        <f t="shared" si="34"/>
        <v>3</v>
      </c>
      <c r="EN29" s="484">
        <f t="shared" si="34"/>
        <v>3</v>
      </c>
      <c r="EO29" s="451">
        <f t="shared" si="35"/>
        <v>340</v>
      </c>
      <c r="EP29" s="452">
        <f t="shared" si="36"/>
        <v>336</v>
      </c>
      <c r="EQ29" s="1082">
        <f>'Tab.2. l.d.m.m._Polska'!H608</f>
        <v>2</v>
      </c>
      <c r="ER29" s="1092">
        <f>'Tab.2. l.d.m.m._Polska'!I608</f>
        <v>2</v>
      </c>
      <c r="ES29" s="1083">
        <f>'Tab.2. l.d.m.m._Polska'!J608</f>
        <v>275</v>
      </c>
      <c r="ET29" s="1084">
        <f>'Tab.2. l.d.m.m._Polska'!K608</f>
        <v>271</v>
      </c>
      <c r="EU29" s="878">
        <f>'Tab.2. l.d.m.m._Polska'!L608</f>
        <v>1</v>
      </c>
      <c r="EV29" s="1091">
        <f>'Tab.2. l.d.m.m._Polska'!M608</f>
        <v>1</v>
      </c>
      <c r="EW29" s="852">
        <f>'Tab.2. l.d.m.m._Polska'!N608</f>
        <v>65</v>
      </c>
      <c r="EX29" s="854">
        <f>'Tab.2. l.d.m.m._Polska'!O608</f>
        <v>65</v>
      </c>
    </row>
    <row r="30" spans="1:154" ht="21" customHeight="1" thickBot="1" x14ac:dyDescent="0.25">
      <c r="A30" s="834" t="s">
        <v>252</v>
      </c>
      <c r="B30" s="835"/>
      <c r="C30" s="836">
        <f>G30+K30</f>
        <v>782</v>
      </c>
      <c r="D30" s="1299" t="str">
        <f>IF(C30='Tab.2. l.d.m.m._Polska'!E21, 'Tab.2. l.d.m.m._Polska'!E21, "UWAGA!")&amp;" ("&amp;R30+AF30+AT30+BH30+BV30+CJ30+CX30+DL30+DZ30+EN30&amp;")"</f>
        <v>782 (816)</v>
      </c>
      <c r="E30" s="837">
        <f>I30+M30</f>
        <v>77368</v>
      </c>
      <c r="F30" s="838">
        <f>J30+N30</f>
        <v>76219</v>
      </c>
      <c r="G30" s="836">
        <f t="shared" ref="G30:N30" si="40">SUM(G14:G29)</f>
        <v>580</v>
      </c>
      <c r="H30" s="1301" t="str">
        <f>G30&amp;" ("&amp;SUM(H14:H29)&amp;")"</f>
        <v>580 (608)</v>
      </c>
      <c r="I30" s="837">
        <f t="shared" si="40"/>
        <v>63960</v>
      </c>
      <c r="J30" s="1302">
        <f t="shared" si="40"/>
        <v>63109</v>
      </c>
      <c r="K30" s="836">
        <f t="shared" si="40"/>
        <v>202</v>
      </c>
      <c r="L30" s="1299" t="str">
        <f>K30&amp;" ("&amp;SUM(L14:L29)&amp;")"</f>
        <v>202 (208)</v>
      </c>
      <c r="M30" s="837">
        <f t="shared" si="40"/>
        <v>13408</v>
      </c>
      <c r="N30" s="840">
        <f t="shared" si="40"/>
        <v>13110</v>
      </c>
      <c r="O30" s="834" t="s">
        <v>252</v>
      </c>
      <c r="P30" s="835"/>
      <c r="Q30" s="836">
        <f t="shared" si="7"/>
        <v>117</v>
      </c>
      <c r="R30" s="1080">
        <f t="shared" si="7"/>
        <v>119</v>
      </c>
      <c r="S30" s="837">
        <f t="shared" si="8"/>
        <v>8591</v>
      </c>
      <c r="T30" s="838">
        <f t="shared" si="9"/>
        <v>8353</v>
      </c>
      <c r="U30" s="836">
        <f t="shared" ref="U30:AB30" si="41">SUM(U14:U29)</f>
        <v>80</v>
      </c>
      <c r="V30" s="1080">
        <f t="shared" si="41"/>
        <v>81</v>
      </c>
      <c r="W30" s="837">
        <f t="shared" si="41"/>
        <v>6639</v>
      </c>
      <c r="X30" s="839">
        <f t="shared" si="41"/>
        <v>6477</v>
      </c>
      <c r="Y30" s="836">
        <f t="shared" si="41"/>
        <v>37</v>
      </c>
      <c r="Z30" s="1080">
        <f t="shared" si="41"/>
        <v>38</v>
      </c>
      <c r="AA30" s="837">
        <f t="shared" si="41"/>
        <v>1952</v>
      </c>
      <c r="AB30" s="840">
        <f t="shared" si="41"/>
        <v>1876</v>
      </c>
      <c r="AC30" s="834" t="s">
        <v>252</v>
      </c>
      <c r="AD30" s="835"/>
      <c r="AE30" s="836">
        <f t="shared" si="10"/>
        <v>156</v>
      </c>
      <c r="AF30" s="1080">
        <f t="shared" si="10"/>
        <v>160</v>
      </c>
      <c r="AG30" s="837">
        <f t="shared" si="11"/>
        <v>15850</v>
      </c>
      <c r="AH30" s="838">
        <f t="shared" si="12"/>
        <v>15497</v>
      </c>
      <c r="AI30" s="836">
        <f t="shared" ref="AI30:AP30" si="42">SUM(AI14:AI29)</f>
        <v>131</v>
      </c>
      <c r="AJ30" s="1080">
        <f t="shared" si="42"/>
        <v>134</v>
      </c>
      <c r="AK30" s="837">
        <f t="shared" si="42"/>
        <v>14114</v>
      </c>
      <c r="AL30" s="839">
        <f t="shared" si="42"/>
        <v>13822</v>
      </c>
      <c r="AM30" s="836">
        <f t="shared" si="42"/>
        <v>25</v>
      </c>
      <c r="AN30" s="1080">
        <f t="shared" si="42"/>
        <v>26</v>
      </c>
      <c r="AO30" s="837">
        <f t="shared" si="42"/>
        <v>1736</v>
      </c>
      <c r="AP30" s="840">
        <f t="shared" si="42"/>
        <v>1675</v>
      </c>
      <c r="AQ30" s="834" t="s">
        <v>252</v>
      </c>
      <c r="AR30" s="835"/>
      <c r="AS30" s="836">
        <f t="shared" si="13"/>
        <v>164</v>
      </c>
      <c r="AT30" s="1080">
        <f t="shared" si="13"/>
        <v>177</v>
      </c>
      <c r="AU30" s="837">
        <f t="shared" si="14"/>
        <v>20687</v>
      </c>
      <c r="AV30" s="838">
        <f t="shared" si="15"/>
        <v>20595</v>
      </c>
      <c r="AW30" s="836">
        <f t="shared" ref="AW30:BD30" si="43">SUM(AW14:AW29)</f>
        <v>141</v>
      </c>
      <c r="AX30" s="1080">
        <f t="shared" si="43"/>
        <v>154</v>
      </c>
      <c r="AY30" s="837">
        <f t="shared" si="43"/>
        <v>18781</v>
      </c>
      <c r="AZ30" s="839">
        <f t="shared" si="43"/>
        <v>18709</v>
      </c>
      <c r="BA30" s="836">
        <f t="shared" si="43"/>
        <v>23</v>
      </c>
      <c r="BB30" s="1080">
        <f t="shared" si="43"/>
        <v>23</v>
      </c>
      <c r="BC30" s="837">
        <f t="shared" si="43"/>
        <v>1906</v>
      </c>
      <c r="BD30" s="840">
        <f t="shared" si="43"/>
        <v>1886</v>
      </c>
      <c r="BE30" s="834" t="s">
        <v>252</v>
      </c>
      <c r="BF30" s="835"/>
      <c r="BG30" s="836">
        <f t="shared" si="16"/>
        <v>134</v>
      </c>
      <c r="BH30" s="1080">
        <f t="shared" si="16"/>
        <v>141</v>
      </c>
      <c r="BI30" s="837">
        <f t="shared" si="17"/>
        <v>12318</v>
      </c>
      <c r="BJ30" s="838">
        <f t="shared" si="18"/>
        <v>12238</v>
      </c>
      <c r="BK30" s="836">
        <f t="shared" ref="BK30:BR30" si="44">SUM(BK14:BK29)</f>
        <v>103</v>
      </c>
      <c r="BL30" s="1080">
        <f t="shared" si="44"/>
        <v>109</v>
      </c>
      <c r="BM30" s="837">
        <f t="shared" si="44"/>
        <v>10698</v>
      </c>
      <c r="BN30" s="839">
        <f t="shared" si="44"/>
        <v>10629</v>
      </c>
      <c r="BO30" s="836">
        <f t="shared" si="44"/>
        <v>31</v>
      </c>
      <c r="BP30" s="1080">
        <f t="shared" si="44"/>
        <v>32</v>
      </c>
      <c r="BQ30" s="837">
        <f t="shared" si="44"/>
        <v>1620</v>
      </c>
      <c r="BR30" s="840">
        <f t="shared" si="44"/>
        <v>1609</v>
      </c>
      <c r="BS30" s="834" t="s">
        <v>252</v>
      </c>
      <c r="BT30" s="835"/>
      <c r="BU30" s="836">
        <f t="shared" si="19"/>
        <v>69</v>
      </c>
      <c r="BV30" s="1080">
        <f t="shared" si="19"/>
        <v>72</v>
      </c>
      <c r="BW30" s="837">
        <f t="shared" si="20"/>
        <v>5410</v>
      </c>
      <c r="BX30" s="838">
        <f t="shared" si="21"/>
        <v>5344</v>
      </c>
      <c r="BY30" s="836">
        <f t="shared" ref="BY30:CF30" si="45">SUM(BY14:BY29)</f>
        <v>20</v>
      </c>
      <c r="BZ30" s="1080">
        <f t="shared" si="45"/>
        <v>22</v>
      </c>
      <c r="CA30" s="837">
        <f t="shared" si="45"/>
        <v>2058</v>
      </c>
      <c r="CB30" s="839">
        <f t="shared" si="45"/>
        <v>2037</v>
      </c>
      <c r="CC30" s="836">
        <f t="shared" si="45"/>
        <v>49</v>
      </c>
      <c r="CD30" s="1080">
        <f t="shared" si="45"/>
        <v>50</v>
      </c>
      <c r="CE30" s="837">
        <f t="shared" si="45"/>
        <v>3352</v>
      </c>
      <c r="CF30" s="840">
        <f t="shared" si="45"/>
        <v>3307</v>
      </c>
      <c r="CG30" s="834" t="s">
        <v>252</v>
      </c>
      <c r="CH30" s="835"/>
      <c r="CI30" s="836">
        <f t="shared" si="22"/>
        <v>8</v>
      </c>
      <c r="CJ30" s="1080">
        <f t="shared" si="22"/>
        <v>10</v>
      </c>
      <c r="CK30" s="837">
        <f t="shared" si="23"/>
        <v>901</v>
      </c>
      <c r="CL30" s="838">
        <f t="shared" si="24"/>
        <v>891</v>
      </c>
      <c r="CM30" s="836">
        <f t="shared" ref="CM30:CT30" si="46">SUM(CM14:CM29)</f>
        <v>3</v>
      </c>
      <c r="CN30" s="1080">
        <f t="shared" si="46"/>
        <v>4</v>
      </c>
      <c r="CO30" s="837">
        <f t="shared" si="46"/>
        <v>290</v>
      </c>
      <c r="CP30" s="839">
        <f t="shared" si="46"/>
        <v>288</v>
      </c>
      <c r="CQ30" s="836">
        <f t="shared" si="46"/>
        <v>5</v>
      </c>
      <c r="CR30" s="1080">
        <f t="shared" si="46"/>
        <v>6</v>
      </c>
      <c r="CS30" s="837">
        <f t="shared" si="46"/>
        <v>611</v>
      </c>
      <c r="CT30" s="840">
        <f t="shared" si="46"/>
        <v>603</v>
      </c>
      <c r="CU30" s="834" t="s">
        <v>252</v>
      </c>
      <c r="CV30" s="835"/>
      <c r="CW30" s="855">
        <f t="shared" si="25"/>
        <v>75</v>
      </c>
      <c r="CX30" s="1085">
        <f t="shared" si="26"/>
        <v>76</v>
      </c>
      <c r="CY30" s="856">
        <f t="shared" si="26"/>
        <v>7437</v>
      </c>
      <c r="CZ30" s="857">
        <f t="shared" si="27"/>
        <v>7239</v>
      </c>
      <c r="DA30" s="855">
        <f t="shared" ref="DA30:DH30" si="47">SUM(DA14:DA29)</f>
        <v>58</v>
      </c>
      <c r="DB30" s="1085">
        <f t="shared" si="47"/>
        <v>58</v>
      </c>
      <c r="DC30" s="856">
        <f t="shared" si="47"/>
        <v>6253</v>
      </c>
      <c r="DD30" s="858">
        <f t="shared" si="47"/>
        <v>6113</v>
      </c>
      <c r="DE30" s="855">
        <f t="shared" si="47"/>
        <v>17</v>
      </c>
      <c r="DF30" s="1085">
        <f t="shared" si="47"/>
        <v>18</v>
      </c>
      <c r="DG30" s="856">
        <f t="shared" si="47"/>
        <v>1184</v>
      </c>
      <c r="DH30" s="859">
        <f t="shared" si="47"/>
        <v>1126</v>
      </c>
      <c r="DI30" s="834" t="s">
        <v>252</v>
      </c>
      <c r="DJ30" s="835"/>
      <c r="DK30" s="855">
        <f t="shared" si="28"/>
        <v>9</v>
      </c>
      <c r="DL30" s="1085">
        <f t="shared" si="28"/>
        <v>11</v>
      </c>
      <c r="DM30" s="856">
        <f t="shared" si="29"/>
        <v>1246</v>
      </c>
      <c r="DN30" s="857">
        <f t="shared" si="30"/>
        <v>1246</v>
      </c>
      <c r="DO30" s="855">
        <f t="shared" ref="DO30:DV30" si="48">SUM(DO14:DO29)</f>
        <v>9</v>
      </c>
      <c r="DP30" s="1085">
        <f t="shared" si="48"/>
        <v>11</v>
      </c>
      <c r="DQ30" s="856">
        <f t="shared" si="48"/>
        <v>1246</v>
      </c>
      <c r="DR30" s="858">
        <f t="shared" si="48"/>
        <v>1246</v>
      </c>
      <c r="DS30" s="855">
        <f t="shared" si="48"/>
        <v>0</v>
      </c>
      <c r="DT30" s="1085">
        <f t="shared" si="48"/>
        <v>0</v>
      </c>
      <c r="DU30" s="856">
        <f t="shared" si="48"/>
        <v>0</v>
      </c>
      <c r="DV30" s="859">
        <f t="shared" si="48"/>
        <v>0</v>
      </c>
      <c r="DW30" s="834" t="s">
        <v>252</v>
      </c>
      <c r="DX30" s="835"/>
      <c r="DY30" s="855">
        <f t="shared" si="31"/>
        <v>14</v>
      </c>
      <c r="DZ30" s="1085">
        <f t="shared" si="31"/>
        <v>14</v>
      </c>
      <c r="EA30" s="856">
        <f t="shared" si="32"/>
        <v>1488</v>
      </c>
      <c r="EB30" s="857">
        <f t="shared" si="33"/>
        <v>1381</v>
      </c>
      <c r="EC30" s="855">
        <f t="shared" ref="EC30:EJ30" si="49">SUM(EC14:EC29)</f>
        <v>12</v>
      </c>
      <c r="ED30" s="1085">
        <f t="shared" si="49"/>
        <v>12</v>
      </c>
      <c r="EE30" s="856">
        <f t="shared" si="49"/>
        <v>1365</v>
      </c>
      <c r="EF30" s="858">
        <f t="shared" si="49"/>
        <v>1275</v>
      </c>
      <c r="EG30" s="855">
        <f t="shared" si="49"/>
        <v>2</v>
      </c>
      <c r="EH30" s="1085">
        <f t="shared" si="49"/>
        <v>2</v>
      </c>
      <c r="EI30" s="856">
        <f t="shared" si="49"/>
        <v>123</v>
      </c>
      <c r="EJ30" s="859">
        <f t="shared" si="49"/>
        <v>106</v>
      </c>
      <c r="EK30" s="834" t="s">
        <v>252</v>
      </c>
      <c r="EL30" s="835"/>
      <c r="EM30" s="855">
        <f t="shared" si="34"/>
        <v>36</v>
      </c>
      <c r="EN30" s="1085">
        <f t="shared" si="34"/>
        <v>36</v>
      </c>
      <c r="EO30" s="856">
        <f t="shared" si="35"/>
        <v>3440</v>
      </c>
      <c r="EP30" s="857">
        <f t="shared" si="36"/>
        <v>3435</v>
      </c>
      <c r="EQ30" s="855">
        <f t="shared" ref="EQ30:EX30" si="50">SUM(EQ14:EQ29)</f>
        <v>23</v>
      </c>
      <c r="ER30" s="1085">
        <f t="shared" si="50"/>
        <v>23</v>
      </c>
      <c r="ES30" s="856">
        <f t="shared" si="50"/>
        <v>2516</v>
      </c>
      <c r="ET30" s="858">
        <f t="shared" si="50"/>
        <v>2513</v>
      </c>
      <c r="EU30" s="855">
        <f t="shared" si="50"/>
        <v>13</v>
      </c>
      <c r="EV30" s="1085">
        <f t="shared" si="50"/>
        <v>13</v>
      </c>
      <c r="EW30" s="856">
        <f t="shared" si="50"/>
        <v>924</v>
      </c>
      <c r="EX30" s="859">
        <f t="shared" si="50"/>
        <v>922</v>
      </c>
    </row>
    <row r="31" spans="1:154" ht="13.5" thickTop="1" x14ac:dyDescent="0.2">
      <c r="O31" s="3"/>
      <c r="P31" s="3"/>
      <c r="Q31" s="3"/>
      <c r="R31" s="3"/>
      <c r="S31" s="3"/>
      <c r="T31" s="3"/>
      <c r="U31" s="3"/>
      <c r="V31" s="3"/>
      <c r="W31" s="3"/>
      <c r="X31" s="3"/>
      <c r="Y31" s="3"/>
      <c r="Z31" s="3"/>
      <c r="AA31" s="3"/>
      <c r="AB31" s="3"/>
      <c r="AC31" s="9"/>
      <c r="AD31" s="9"/>
      <c r="AE31" s="9"/>
      <c r="AF31" s="9"/>
      <c r="AG31" s="9"/>
      <c r="AH31" s="3"/>
      <c r="AI31" s="3"/>
      <c r="AJ31" s="3"/>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row>
    <row r="33" spans="4:4" x14ac:dyDescent="0.2">
      <c r="D33">
        <f>IF(C30='Tab.2. l.d.m.m._Polska'!E21, 'Tab.2. l.d.m.m._Polska'!E21, "UWAGA!")</f>
        <v>782</v>
      </c>
    </row>
    <row r="46" spans="4:4" ht="15" customHeight="1" x14ac:dyDescent="0.2"/>
    <row r="47" spans="4:4" ht="15" customHeight="1" x14ac:dyDescent="0.2"/>
    <row r="48" spans="4: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21"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21"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21"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21" customHeight="1" x14ac:dyDescent="0.2"/>
    <row r="162" ht="15.7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21" customHeight="1" x14ac:dyDescent="0.2"/>
  </sheetData>
  <mergeCells count="113">
    <mergeCell ref="AI11:AL11"/>
    <mergeCell ref="AM11:AP11"/>
    <mergeCell ref="DI10:DI12"/>
    <mergeCell ref="DJ10:DJ12"/>
    <mergeCell ref="DK10:DN11"/>
    <mergeCell ref="EL10:EL12"/>
    <mergeCell ref="CM11:CP11"/>
    <mergeCell ref="BY11:CB11"/>
    <mergeCell ref="EC11:EF11"/>
    <mergeCell ref="EG11:EJ11"/>
    <mergeCell ref="EQ10:EX10"/>
    <mergeCell ref="EM10:EP11"/>
    <mergeCell ref="DO10:DV10"/>
    <mergeCell ref="EK10:EK12"/>
    <mergeCell ref="DW10:DW12"/>
    <mergeCell ref="DX10:DX12"/>
    <mergeCell ref="EQ11:ET11"/>
    <mergeCell ref="EU11:EX11"/>
    <mergeCell ref="EC10:EJ10"/>
    <mergeCell ref="DY10:EB11"/>
    <mergeCell ref="DS11:DV11"/>
    <mergeCell ref="DO11:DR11"/>
    <mergeCell ref="EW1:EX1"/>
    <mergeCell ref="EK6:EX6"/>
    <mergeCell ref="EK7:EX7"/>
    <mergeCell ref="EK8:EX8"/>
    <mergeCell ref="EK5:EX5"/>
    <mergeCell ref="EI1:EJ1"/>
    <mergeCell ref="DW6:EJ6"/>
    <mergeCell ref="DW7:EJ7"/>
    <mergeCell ref="DW8:EJ8"/>
    <mergeCell ref="DW5:EJ5"/>
    <mergeCell ref="DU1:DV1"/>
    <mergeCell ref="DI6:DV6"/>
    <mergeCell ref="DI7:DV7"/>
    <mergeCell ref="DI8:DV8"/>
    <mergeCell ref="DI5:DV5"/>
    <mergeCell ref="CV10:CV12"/>
    <mergeCell ref="DA10:DH10"/>
    <mergeCell ref="CW10:CZ11"/>
    <mergeCell ref="DA11:DD11"/>
    <mergeCell ref="DG1:DH1"/>
    <mergeCell ref="CU5:DH5"/>
    <mergeCell ref="CU10:CU12"/>
    <mergeCell ref="CU6:DH6"/>
    <mergeCell ref="CU7:DH7"/>
    <mergeCell ref="CU8:DH8"/>
    <mergeCell ref="BS7:CF7"/>
    <mergeCell ref="CG7:CT7"/>
    <mergeCell ref="A10:A12"/>
    <mergeCell ref="B10:B12"/>
    <mergeCell ref="O10:O12"/>
    <mergeCell ref="P10:P12"/>
    <mergeCell ref="C10:F11"/>
    <mergeCell ref="AE10:AH11"/>
    <mergeCell ref="G10:N10"/>
    <mergeCell ref="G11:J11"/>
    <mergeCell ref="CM10:CT10"/>
    <mergeCell ref="CG6:CT6"/>
    <mergeCell ref="K11:N11"/>
    <mergeCell ref="U11:X11"/>
    <mergeCell ref="AW11:AZ11"/>
    <mergeCell ref="BA11:BD11"/>
    <mergeCell ref="Q10:T11"/>
    <mergeCell ref="U10:AB10"/>
    <mergeCell ref="AI10:AP10"/>
    <mergeCell ref="AW10:BD10"/>
    <mergeCell ref="BK11:BN11"/>
    <mergeCell ref="BO11:BR11"/>
    <mergeCell ref="BY10:CF10"/>
    <mergeCell ref="BT10:BT12"/>
    <mergeCell ref="BU10:BX11"/>
    <mergeCell ref="CH10:CH12"/>
    <mergeCell ref="CC11:CF11"/>
    <mergeCell ref="BK10:BR10"/>
    <mergeCell ref="CQ11:CT11"/>
    <mergeCell ref="CG10:CG12"/>
    <mergeCell ref="DE11:DH11"/>
    <mergeCell ref="AQ10:AQ12"/>
    <mergeCell ref="BE8:BR8"/>
    <mergeCell ref="BS8:CF8"/>
    <mergeCell ref="CG8:CT8"/>
    <mergeCell ref="BF10:BF12"/>
    <mergeCell ref="AR10:AR12"/>
    <mergeCell ref="AS10:AV11"/>
    <mergeCell ref="AC10:AC12"/>
    <mergeCell ref="AD10:AD12"/>
    <mergeCell ref="CI10:CL11"/>
    <mergeCell ref="AO1:AP1"/>
    <mergeCell ref="BQ1:BR1"/>
    <mergeCell ref="CE1:CF1"/>
    <mergeCell ref="BS10:BS12"/>
    <mergeCell ref="BE7:BR7"/>
    <mergeCell ref="BE10:BE12"/>
    <mergeCell ref="BG10:BJ11"/>
    <mergeCell ref="A8:N8"/>
    <mergeCell ref="O7:AB7"/>
    <mergeCell ref="AC7:AP7"/>
    <mergeCell ref="AQ7:BD7"/>
    <mergeCell ref="AQ8:BD8"/>
    <mergeCell ref="BC1:BD1"/>
    <mergeCell ref="A6:N6"/>
    <mergeCell ref="A7:N7"/>
    <mergeCell ref="O8:AB8"/>
    <mergeCell ref="AC8:AP8"/>
    <mergeCell ref="CS1:CT1"/>
    <mergeCell ref="M1:N1"/>
    <mergeCell ref="O6:AB6"/>
    <mergeCell ref="AC6:AP6"/>
    <mergeCell ref="AQ6:BD6"/>
    <mergeCell ref="BE6:BR6"/>
    <mergeCell ref="BS6:CF6"/>
    <mergeCell ref="AA1:AB1"/>
  </mergeCells>
  <phoneticPr fontId="82" type="noConversion"/>
  <pageMargins left="0.75" right="0.75" top="1" bottom="1" header="0.5" footer="0.5"/>
  <pageSetup paperSize="9" scale="68" orientation="landscape" r:id="rId1"/>
  <headerFooter alignWithMargins="0"/>
  <ignoredErrors>
    <ignoredError sqref="Z30 V30 AN30 AJ30 BB30 AX30 BP30 BL30 CD30 BZ30 CR30 CN30 DF30 DB30 DP30 DT30 EH30 ED30 EV30 ER30" formulaRange="1"/>
    <ignoredError sqref="D14:D29 D30 L30 H30" formula="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heetViews>
  <sheetFormatPr defaultRowHeight="12.75" x14ac:dyDescent="0.2"/>
  <cols>
    <col min="1" max="1" width="3.7109375" customWidth="1"/>
    <col min="2" max="2" width="24.5703125" bestFit="1" customWidth="1"/>
    <col min="4" max="13" width="10.7109375" customWidth="1"/>
  </cols>
  <sheetData>
    <row r="1" spans="1:13" ht="15.75" x14ac:dyDescent="0.25">
      <c r="A1" s="1" t="s">
        <v>195</v>
      </c>
      <c r="B1" s="3"/>
      <c r="C1" s="4"/>
      <c r="D1" s="3"/>
      <c r="E1" s="3"/>
      <c r="F1" s="3"/>
      <c r="G1" s="413"/>
      <c r="H1" s="413"/>
      <c r="L1" s="1603" t="s">
        <v>386</v>
      </c>
      <c r="M1" s="1603"/>
    </row>
    <row r="2" spans="1:13" x14ac:dyDescent="0.2">
      <c r="A2" s="3" t="s">
        <v>214</v>
      </c>
      <c r="B2" s="3"/>
    </row>
    <row r="3" spans="1:13" x14ac:dyDescent="0.2">
      <c r="A3" s="3" t="s">
        <v>216</v>
      </c>
      <c r="B3" s="3"/>
      <c r="C3" s="3"/>
      <c r="D3" s="3"/>
      <c r="E3" s="3"/>
      <c r="F3" s="3"/>
      <c r="G3" s="3"/>
      <c r="H3" s="3"/>
      <c r="I3" s="3"/>
    </row>
    <row r="4" spans="1:13" x14ac:dyDescent="0.2">
      <c r="A4" s="3" t="s">
        <v>128</v>
      </c>
      <c r="B4" s="3"/>
      <c r="C4" s="3"/>
      <c r="D4" s="3"/>
      <c r="E4" s="3"/>
      <c r="F4" s="3"/>
      <c r="G4" s="3"/>
      <c r="H4" s="3"/>
      <c r="I4" s="3"/>
    </row>
    <row r="5" spans="1:13" x14ac:dyDescent="0.2">
      <c r="A5" s="3"/>
      <c r="B5" s="3"/>
      <c r="C5" s="3"/>
      <c r="D5" s="3"/>
      <c r="E5" s="3"/>
      <c r="F5" s="3"/>
      <c r="G5" s="3"/>
      <c r="H5" s="3"/>
      <c r="I5" s="3"/>
    </row>
    <row r="6" spans="1:13" ht="15.75" x14ac:dyDescent="0.25">
      <c r="A6" s="1604" t="s">
        <v>378</v>
      </c>
      <c r="B6" s="1604"/>
      <c r="C6" s="1604"/>
      <c r="D6" s="1604"/>
      <c r="E6" s="1604"/>
      <c r="F6" s="1604"/>
      <c r="G6" s="1604"/>
      <c r="H6" s="1604"/>
      <c r="I6" s="1604"/>
      <c r="J6" s="1604"/>
      <c r="K6" s="1604"/>
      <c r="L6" s="1604"/>
      <c r="M6" s="1604"/>
    </row>
    <row r="7" spans="1:13" ht="15.75" x14ac:dyDescent="0.25">
      <c r="A7" s="1604" t="s">
        <v>387</v>
      </c>
      <c r="B7" s="1604"/>
      <c r="C7" s="1604"/>
      <c r="D7" s="1604"/>
      <c r="E7" s="1604"/>
      <c r="F7" s="1604"/>
      <c r="G7" s="1604"/>
      <c r="H7" s="1604"/>
      <c r="I7" s="1604"/>
      <c r="J7" s="1604"/>
      <c r="K7" s="1604"/>
      <c r="L7" s="1604"/>
      <c r="M7" s="1604"/>
    </row>
    <row r="8" spans="1:13" ht="15.75" x14ac:dyDescent="0.25">
      <c r="A8" s="1691" t="str">
        <f>"WRAZ ZE STRUTURĄ ZATRUDNIENIA WG STANU NA DZIEŃ 31.XII."&amp;'Tab.1. bilans_Polska'!A2&amp;" r."</f>
        <v>WRAZ ZE STRUTURĄ ZATRUDNIENIA WG STANU NA DZIEŃ 31.XII.2011 r.</v>
      </c>
      <c r="B8" s="1690"/>
      <c r="C8" s="1690"/>
      <c r="D8" s="1690"/>
      <c r="E8" s="1690"/>
      <c r="F8" s="1690"/>
      <c r="G8" s="1690"/>
      <c r="H8" s="1690"/>
      <c r="I8" s="1690"/>
      <c r="J8" s="1690"/>
      <c r="K8" s="1690"/>
      <c r="L8" s="1690"/>
      <c r="M8" s="1690"/>
    </row>
    <row r="9" spans="1:13" ht="13.5" thickBot="1" x14ac:dyDescent="0.25">
      <c r="A9" s="3"/>
      <c r="B9" s="3"/>
      <c r="C9" s="3"/>
      <c r="D9" s="3"/>
      <c r="E9" s="3"/>
      <c r="F9" s="3"/>
      <c r="G9" s="3"/>
      <c r="H9" s="3"/>
      <c r="I9" s="3"/>
    </row>
    <row r="10" spans="1:13" ht="12.75" customHeight="1" thickTop="1" x14ac:dyDescent="0.2">
      <c r="A10" s="1692" t="s">
        <v>226</v>
      </c>
      <c r="B10" s="1695" t="s">
        <v>256</v>
      </c>
      <c r="C10" s="1889" t="s">
        <v>382</v>
      </c>
      <c r="D10" s="1905" t="s">
        <v>49</v>
      </c>
      <c r="E10" s="1906"/>
      <c r="F10" s="1906"/>
      <c r="G10" s="1906"/>
      <c r="H10" s="1906"/>
      <c r="I10" s="1906"/>
      <c r="J10" s="1906"/>
      <c r="K10" s="1906"/>
      <c r="L10" s="1906"/>
      <c r="M10" s="1857"/>
    </row>
    <row r="11" spans="1:13" ht="12.75" customHeight="1" x14ac:dyDescent="0.2">
      <c r="A11" s="1693"/>
      <c r="B11" s="1696"/>
      <c r="C11" s="1890"/>
      <c r="D11" s="1899" t="s">
        <v>383</v>
      </c>
      <c r="E11" s="1900"/>
      <c r="F11" s="1899" t="s">
        <v>384</v>
      </c>
      <c r="G11" s="1900"/>
      <c r="H11" s="1899" t="s">
        <v>385</v>
      </c>
      <c r="I11" s="1900"/>
      <c r="J11" s="1899" t="s">
        <v>348</v>
      </c>
      <c r="K11" s="1900"/>
      <c r="L11" s="1899" t="s">
        <v>349</v>
      </c>
      <c r="M11" s="1903"/>
    </row>
    <row r="12" spans="1:13" ht="12.75" customHeight="1" x14ac:dyDescent="0.2">
      <c r="A12" s="1693"/>
      <c r="B12" s="1696"/>
      <c r="C12" s="1890"/>
      <c r="D12" s="1901"/>
      <c r="E12" s="1902"/>
      <c r="F12" s="1901"/>
      <c r="G12" s="1902"/>
      <c r="H12" s="1901"/>
      <c r="I12" s="1902"/>
      <c r="J12" s="1901"/>
      <c r="K12" s="1902"/>
      <c r="L12" s="1901"/>
      <c r="M12" s="1904"/>
    </row>
    <row r="13" spans="1:13" ht="12.75" customHeight="1" x14ac:dyDescent="0.2">
      <c r="A13" s="1694"/>
      <c r="B13" s="1697"/>
      <c r="C13" s="1701"/>
      <c r="D13" s="625" t="s">
        <v>0</v>
      </c>
      <c r="E13" s="626" t="s">
        <v>377</v>
      </c>
      <c r="F13" s="625" t="s">
        <v>0</v>
      </c>
      <c r="G13" s="626" t="s">
        <v>337</v>
      </c>
      <c r="H13" s="625" t="s">
        <v>0</v>
      </c>
      <c r="I13" s="626" t="s">
        <v>337</v>
      </c>
      <c r="J13" s="626" t="s">
        <v>0</v>
      </c>
      <c r="K13" s="626" t="s">
        <v>377</v>
      </c>
      <c r="L13" s="627" t="s">
        <v>0</v>
      </c>
      <c r="M13" s="628" t="s">
        <v>377</v>
      </c>
    </row>
    <row r="14" spans="1:13" ht="13.5" thickBot="1" x14ac:dyDescent="0.25">
      <c r="A14" s="425"/>
      <c r="B14" s="429">
        <v>0</v>
      </c>
      <c r="C14" s="464">
        <v>1</v>
      </c>
      <c r="D14" s="496">
        <v>2</v>
      </c>
      <c r="E14" s="466">
        <v>3</v>
      </c>
      <c r="F14" s="466">
        <v>4</v>
      </c>
      <c r="G14" s="466">
        <v>5</v>
      </c>
      <c r="H14" s="467">
        <v>6</v>
      </c>
      <c r="I14" s="428">
        <v>7</v>
      </c>
      <c r="J14" s="428">
        <v>8</v>
      </c>
      <c r="K14" s="428">
        <v>9</v>
      </c>
      <c r="L14" s="430">
        <v>10</v>
      </c>
      <c r="M14" s="431">
        <v>11</v>
      </c>
    </row>
    <row r="15" spans="1:13" ht="13.5" thickTop="1" x14ac:dyDescent="0.2">
      <c r="A15" s="461">
        <v>1</v>
      </c>
      <c r="B15" s="508" t="s">
        <v>236</v>
      </c>
      <c r="C15" s="570">
        <f t="shared" ref="C15:C30" si="0">D15+F15+H15+J15+L15</f>
        <v>238.07</v>
      </c>
      <c r="D15" s="632">
        <f>'Tab.9. zatr.umową,etaty środow'!D53</f>
        <v>27.31</v>
      </c>
      <c r="E15" s="611">
        <f t="shared" ref="E15:E30" si="1">ROUND(D15*100/$C15, 1)</f>
        <v>11.5</v>
      </c>
      <c r="F15" s="636">
        <f>'Tab.9. zatr.umową,etaty środow'!D54</f>
        <v>160.35</v>
      </c>
      <c r="G15" s="611">
        <f t="shared" ref="G15:G30" si="2">ROUND(F15*100/$C15, 1)</f>
        <v>67.400000000000006</v>
      </c>
      <c r="H15" s="640">
        <f>'Tab.9. zatr.umową,etaty środow'!D55</f>
        <v>20.55</v>
      </c>
      <c r="I15" s="615">
        <f t="shared" ref="I15:I30" si="3">ROUND(H15*100/$C15, 1)</f>
        <v>8.6</v>
      </c>
      <c r="J15" s="644">
        <f>'Tab.9. zatr.umową,etaty środow'!D56</f>
        <v>14.07</v>
      </c>
      <c r="K15" s="615">
        <f t="shared" ref="K15:K30" si="4">ROUND(J15*100/$C15, 1)</f>
        <v>5.9</v>
      </c>
      <c r="L15" s="646">
        <f>'Tab.9. zatr.umową,etaty środow'!D57</f>
        <v>15.79</v>
      </c>
      <c r="M15" s="617">
        <f t="shared" ref="M15:M30" si="5">ROUND(L15*100/$C15, 1)</f>
        <v>6.6</v>
      </c>
    </row>
    <row r="16" spans="1:13" x14ac:dyDescent="0.2">
      <c r="A16" s="462">
        <v>2</v>
      </c>
      <c r="B16" s="509" t="s">
        <v>237</v>
      </c>
      <c r="C16" s="572">
        <f t="shared" si="0"/>
        <v>302.53000000000003</v>
      </c>
      <c r="D16" s="633">
        <f>'Tab.9. zatr.umową,etaty środow'!D85</f>
        <v>35</v>
      </c>
      <c r="E16" s="612">
        <f t="shared" si="1"/>
        <v>11.6</v>
      </c>
      <c r="F16" s="637">
        <f>'Tab.9. zatr.umową,etaty środow'!D86</f>
        <v>182.37</v>
      </c>
      <c r="G16" s="612">
        <f t="shared" si="2"/>
        <v>60.3</v>
      </c>
      <c r="H16" s="641">
        <f>'Tab.9. zatr.umową,etaty środow'!D87</f>
        <v>24.12</v>
      </c>
      <c r="I16" s="612">
        <f t="shared" si="3"/>
        <v>8</v>
      </c>
      <c r="J16" s="637">
        <f>'Tab.9. zatr.umową,etaty środow'!D88</f>
        <v>25.43</v>
      </c>
      <c r="K16" s="612">
        <f t="shared" si="4"/>
        <v>8.4</v>
      </c>
      <c r="L16" s="647">
        <f>'Tab.9. zatr.umową,etaty środow'!D89</f>
        <v>35.61</v>
      </c>
      <c r="M16" s="618">
        <f t="shared" si="5"/>
        <v>11.8</v>
      </c>
    </row>
    <row r="17" spans="1:13" x14ac:dyDescent="0.2">
      <c r="A17" s="462">
        <v>3</v>
      </c>
      <c r="B17" s="509" t="s">
        <v>238</v>
      </c>
      <c r="C17" s="572">
        <f t="shared" si="0"/>
        <v>436.52</v>
      </c>
      <c r="D17" s="633">
        <f>'Tab.9. zatr.umową,etaty środow'!D117</f>
        <v>42.67</v>
      </c>
      <c r="E17" s="612">
        <f t="shared" si="1"/>
        <v>9.8000000000000007</v>
      </c>
      <c r="F17" s="637">
        <f>'Tab.9. zatr.umową,etaty środow'!D118</f>
        <v>267.57</v>
      </c>
      <c r="G17" s="612">
        <f t="shared" si="2"/>
        <v>61.3</v>
      </c>
      <c r="H17" s="641">
        <f>'Tab.9. zatr.umową,etaty środow'!D119</f>
        <v>35.840000000000003</v>
      </c>
      <c r="I17" s="612">
        <f t="shared" si="3"/>
        <v>8.1999999999999993</v>
      </c>
      <c r="J17" s="637">
        <f>'Tab.9. zatr.umową,etaty środow'!D120</f>
        <v>41.66</v>
      </c>
      <c r="K17" s="612">
        <f t="shared" si="4"/>
        <v>9.5</v>
      </c>
      <c r="L17" s="647">
        <f>'Tab.9. zatr.umową,etaty środow'!D121</f>
        <v>48.78</v>
      </c>
      <c r="M17" s="618">
        <f t="shared" si="5"/>
        <v>11.2</v>
      </c>
    </row>
    <row r="18" spans="1:13" x14ac:dyDescent="0.2">
      <c r="A18" s="462">
        <v>4</v>
      </c>
      <c r="B18" s="509" t="s">
        <v>239</v>
      </c>
      <c r="C18" s="572">
        <f t="shared" si="0"/>
        <v>136.30000000000001</v>
      </c>
      <c r="D18" s="633">
        <f>'Tab.9. zatr.umową,etaty środow'!D149</f>
        <v>16.579999999999998</v>
      </c>
      <c r="E18" s="612">
        <f t="shared" si="1"/>
        <v>12.2</v>
      </c>
      <c r="F18" s="637">
        <f>'Tab.9. zatr.umową,etaty środow'!D150</f>
        <v>98.26</v>
      </c>
      <c r="G18" s="612">
        <f t="shared" si="2"/>
        <v>72.099999999999994</v>
      </c>
      <c r="H18" s="641">
        <f>'Tab.9. zatr.umową,etaty środow'!D151</f>
        <v>7.7</v>
      </c>
      <c r="I18" s="612">
        <f t="shared" si="3"/>
        <v>5.6</v>
      </c>
      <c r="J18" s="637">
        <f>'Tab.9. zatr.umową,etaty środow'!D152</f>
        <v>4.1100000000000003</v>
      </c>
      <c r="K18" s="612">
        <f t="shared" si="4"/>
        <v>3</v>
      </c>
      <c r="L18" s="647">
        <f>'Tab.9. zatr.umową,etaty środow'!D153</f>
        <v>9.65</v>
      </c>
      <c r="M18" s="618">
        <f t="shared" si="5"/>
        <v>7.1</v>
      </c>
    </row>
    <row r="19" spans="1:13" x14ac:dyDescent="0.2">
      <c r="A19" s="462">
        <v>5</v>
      </c>
      <c r="B19" s="509" t="s">
        <v>240</v>
      </c>
      <c r="C19" s="572">
        <f t="shared" si="0"/>
        <v>347.95000000000005</v>
      </c>
      <c r="D19" s="633">
        <f>'Tab.9. zatr.umową,etaty środow'!D181</f>
        <v>37.25</v>
      </c>
      <c r="E19" s="612">
        <f t="shared" si="1"/>
        <v>10.7</v>
      </c>
      <c r="F19" s="637">
        <f>'Tab.9. zatr.umową,etaty środow'!D182</f>
        <v>191.98</v>
      </c>
      <c r="G19" s="612">
        <f t="shared" si="2"/>
        <v>55.2</v>
      </c>
      <c r="H19" s="641">
        <f>'Tab.9. zatr.umową,etaty środow'!D183</f>
        <v>34.75</v>
      </c>
      <c r="I19" s="612">
        <f t="shared" si="3"/>
        <v>10</v>
      </c>
      <c r="J19" s="637">
        <f>'Tab.9. zatr.umową,etaty środow'!D184</f>
        <v>33.799999999999997</v>
      </c>
      <c r="K19" s="612">
        <f t="shared" si="4"/>
        <v>9.6999999999999993</v>
      </c>
      <c r="L19" s="647">
        <f>'Tab.9. zatr.umową,etaty środow'!D185</f>
        <v>50.17</v>
      </c>
      <c r="M19" s="618">
        <f t="shared" si="5"/>
        <v>14.4</v>
      </c>
    </row>
    <row r="20" spans="1:13" x14ac:dyDescent="0.2">
      <c r="A20" s="462">
        <v>6</v>
      </c>
      <c r="B20" s="509" t="s">
        <v>241</v>
      </c>
      <c r="C20" s="572">
        <f t="shared" si="0"/>
        <v>561.78</v>
      </c>
      <c r="D20" s="633">
        <f>'Tab.9. zatr.umową,etaty środow'!D213</f>
        <v>59.15</v>
      </c>
      <c r="E20" s="612">
        <f t="shared" si="1"/>
        <v>10.5</v>
      </c>
      <c r="F20" s="637">
        <f>'Tab.9. zatr.umową,etaty środow'!D214</f>
        <v>386.19</v>
      </c>
      <c r="G20" s="612">
        <f t="shared" si="2"/>
        <v>68.7</v>
      </c>
      <c r="H20" s="641">
        <f>'Tab.9. zatr.umową,etaty środow'!D215</f>
        <v>44.33</v>
      </c>
      <c r="I20" s="612">
        <f t="shared" si="3"/>
        <v>7.9</v>
      </c>
      <c r="J20" s="637">
        <f>'Tab.9. zatr.umową,etaty środow'!D216</f>
        <v>42.51</v>
      </c>
      <c r="K20" s="612">
        <f t="shared" si="4"/>
        <v>7.6</v>
      </c>
      <c r="L20" s="647">
        <f>'Tab.9. zatr.umową,etaty środow'!D217</f>
        <v>29.6</v>
      </c>
      <c r="M20" s="618">
        <f t="shared" si="5"/>
        <v>5.3</v>
      </c>
    </row>
    <row r="21" spans="1:13" x14ac:dyDescent="0.2">
      <c r="A21" s="462">
        <v>7</v>
      </c>
      <c r="B21" s="509" t="s">
        <v>242</v>
      </c>
      <c r="C21" s="572">
        <f t="shared" si="0"/>
        <v>425.77</v>
      </c>
      <c r="D21" s="633">
        <f>'Tab.9. zatr.umową,etaty środow'!D245</f>
        <v>65.069999999999993</v>
      </c>
      <c r="E21" s="612">
        <f t="shared" si="1"/>
        <v>15.3</v>
      </c>
      <c r="F21" s="637">
        <f>'Tab.9. zatr.umową,etaty środow'!D246</f>
        <v>280.70999999999998</v>
      </c>
      <c r="G21" s="612">
        <f t="shared" si="2"/>
        <v>65.900000000000006</v>
      </c>
      <c r="H21" s="641">
        <f>'Tab.9. zatr.umową,etaty środow'!D247</f>
        <v>16.75</v>
      </c>
      <c r="I21" s="612">
        <f t="shared" si="3"/>
        <v>3.9</v>
      </c>
      <c r="J21" s="637">
        <f>'Tab.9. zatr.umową,etaty środow'!D248</f>
        <v>24.92</v>
      </c>
      <c r="K21" s="612">
        <f t="shared" si="4"/>
        <v>5.9</v>
      </c>
      <c r="L21" s="647">
        <f>'Tab.9. zatr.umową,etaty środow'!D249</f>
        <v>38.32</v>
      </c>
      <c r="M21" s="618">
        <f t="shared" si="5"/>
        <v>9</v>
      </c>
    </row>
    <row r="22" spans="1:13" x14ac:dyDescent="0.2">
      <c r="A22" s="462">
        <v>8</v>
      </c>
      <c r="B22" s="509" t="s">
        <v>243</v>
      </c>
      <c r="C22" s="572">
        <f t="shared" si="0"/>
        <v>122.24000000000001</v>
      </c>
      <c r="D22" s="633">
        <f>'Tab.9. zatr.umową,etaty środow'!D277</f>
        <v>11</v>
      </c>
      <c r="E22" s="612">
        <f t="shared" si="1"/>
        <v>9</v>
      </c>
      <c r="F22" s="637">
        <f>'Tab.9. zatr.umową,etaty środow'!D278</f>
        <v>60.59</v>
      </c>
      <c r="G22" s="612">
        <f t="shared" si="2"/>
        <v>49.6</v>
      </c>
      <c r="H22" s="641">
        <f>'Tab.9. zatr.umową,etaty środow'!D279</f>
        <v>17.149999999999999</v>
      </c>
      <c r="I22" s="612">
        <f t="shared" si="3"/>
        <v>14</v>
      </c>
      <c r="J22" s="637">
        <f>'Tab.9. zatr.umową,etaty środow'!D280</f>
        <v>15.5</v>
      </c>
      <c r="K22" s="612">
        <f t="shared" si="4"/>
        <v>12.7</v>
      </c>
      <c r="L22" s="647">
        <f>'Tab.9. zatr.umową,etaty środow'!D281</f>
        <v>18</v>
      </c>
      <c r="M22" s="618">
        <f t="shared" si="5"/>
        <v>14.7</v>
      </c>
    </row>
    <row r="23" spans="1:13" x14ac:dyDescent="0.2">
      <c r="A23" s="462">
        <v>9</v>
      </c>
      <c r="B23" s="509" t="s">
        <v>244</v>
      </c>
      <c r="C23" s="572">
        <f t="shared" si="0"/>
        <v>471.57000000000005</v>
      </c>
      <c r="D23" s="633">
        <f>'Tab.9. zatr.umową,etaty środow'!D309</f>
        <v>57.5</v>
      </c>
      <c r="E23" s="612">
        <f t="shared" si="1"/>
        <v>12.2</v>
      </c>
      <c r="F23" s="637">
        <f>'Tab.9. zatr.umową,etaty środow'!D310</f>
        <v>291.33999999999997</v>
      </c>
      <c r="G23" s="612">
        <f t="shared" si="2"/>
        <v>61.8</v>
      </c>
      <c r="H23" s="641">
        <f>'Tab.9. zatr.umową,etaty środow'!D311</f>
        <v>54.66</v>
      </c>
      <c r="I23" s="612">
        <f t="shared" si="3"/>
        <v>11.6</v>
      </c>
      <c r="J23" s="637">
        <f>'Tab.9. zatr.umową,etaty środow'!D312</f>
        <v>24.73</v>
      </c>
      <c r="K23" s="612">
        <f t="shared" si="4"/>
        <v>5.2</v>
      </c>
      <c r="L23" s="647">
        <f>'Tab.9. zatr.umową,etaty środow'!D313</f>
        <v>43.34</v>
      </c>
      <c r="M23" s="618">
        <f t="shared" si="5"/>
        <v>9.1999999999999993</v>
      </c>
    </row>
    <row r="24" spans="1:13" x14ac:dyDescent="0.2">
      <c r="A24" s="463">
        <v>10</v>
      </c>
      <c r="B24" s="509" t="s">
        <v>245</v>
      </c>
      <c r="C24" s="572">
        <f t="shared" si="0"/>
        <v>76.75</v>
      </c>
      <c r="D24" s="633">
        <f>'Tab.9. zatr.umową,etaty środow'!D341</f>
        <v>7</v>
      </c>
      <c r="E24" s="612">
        <f t="shared" si="1"/>
        <v>9.1</v>
      </c>
      <c r="F24" s="637">
        <f>'Tab.9. zatr.umową,etaty środow'!D342</f>
        <v>42.75</v>
      </c>
      <c r="G24" s="612">
        <f t="shared" si="2"/>
        <v>55.7</v>
      </c>
      <c r="H24" s="641">
        <f>'Tab.9. zatr.umową,etaty środow'!D343</f>
        <v>10.25</v>
      </c>
      <c r="I24" s="612">
        <f t="shared" si="3"/>
        <v>13.4</v>
      </c>
      <c r="J24" s="637">
        <f>'Tab.9. zatr.umową,etaty środow'!D344</f>
        <v>7</v>
      </c>
      <c r="K24" s="612">
        <f t="shared" si="4"/>
        <v>9.1</v>
      </c>
      <c r="L24" s="647">
        <f>'Tab.9. zatr.umową,etaty środow'!D345</f>
        <v>9.75</v>
      </c>
      <c r="M24" s="618">
        <f t="shared" si="5"/>
        <v>12.7</v>
      </c>
    </row>
    <row r="25" spans="1:13" x14ac:dyDescent="0.2">
      <c r="A25" s="463">
        <v>11</v>
      </c>
      <c r="B25" s="509" t="s">
        <v>246</v>
      </c>
      <c r="C25" s="572">
        <f t="shared" si="0"/>
        <v>344.63</v>
      </c>
      <c r="D25" s="633">
        <f>'Tab.9. zatr.umową,etaty środow'!D373</f>
        <v>31</v>
      </c>
      <c r="E25" s="612">
        <f t="shared" si="1"/>
        <v>9</v>
      </c>
      <c r="F25" s="637">
        <f>'Tab.9. zatr.umową,etaty środow'!D374</f>
        <v>218.91</v>
      </c>
      <c r="G25" s="612">
        <f t="shared" si="2"/>
        <v>63.5</v>
      </c>
      <c r="H25" s="641">
        <f>'Tab.9. zatr.umową,etaty środow'!D375</f>
        <v>33.549999999999997</v>
      </c>
      <c r="I25" s="612">
        <f t="shared" si="3"/>
        <v>9.6999999999999993</v>
      </c>
      <c r="J25" s="637">
        <f>'Tab.9. zatr.umową,etaty środow'!D376</f>
        <v>16.41</v>
      </c>
      <c r="K25" s="612">
        <f t="shared" si="4"/>
        <v>4.8</v>
      </c>
      <c r="L25" s="647">
        <f>'Tab.9. zatr.umową,etaty środow'!D377</f>
        <v>44.76</v>
      </c>
      <c r="M25" s="618">
        <f t="shared" si="5"/>
        <v>13</v>
      </c>
    </row>
    <row r="26" spans="1:13" x14ac:dyDescent="0.2">
      <c r="A26" s="463">
        <v>12</v>
      </c>
      <c r="B26" s="509" t="s">
        <v>247</v>
      </c>
      <c r="C26" s="572">
        <f t="shared" si="0"/>
        <v>393.43</v>
      </c>
      <c r="D26" s="633">
        <f>'Tab.9. zatr.umową,etaty środow'!D405</f>
        <v>38.25</v>
      </c>
      <c r="E26" s="612">
        <f t="shared" si="1"/>
        <v>9.6999999999999993</v>
      </c>
      <c r="F26" s="637">
        <f>'Tab.9. zatr.umową,etaty środow'!D406</f>
        <v>226.69</v>
      </c>
      <c r="G26" s="612">
        <f t="shared" si="2"/>
        <v>57.6</v>
      </c>
      <c r="H26" s="641">
        <f>'Tab.9. zatr.umową,etaty środow'!D407</f>
        <v>27.25</v>
      </c>
      <c r="I26" s="612">
        <f t="shared" si="3"/>
        <v>6.9</v>
      </c>
      <c r="J26" s="637">
        <f>'Tab.9. zatr.umową,etaty środow'!D408</f>
        <v>38.74</v>
      </c>
      <c r="K26" s="612">
        <f t="shared" si="4"/>
        <v>9.8000000000000007</v>
      </c>
      <c r="L26" s="647">
        <f>'Tab.9. zatr.umową,etaty środow'!D409</f>
        <v>62.5</v>
      </c>
      <c r="M26" s="618">
        <f t="shared" si="5"/>
        <v>15.9</v>
      </c>
    </row>
    <row r="27" spans="1:13" x14ac:dyDescent="0.2">
      <c r="A27" s="463">
        <v>13</v>
      </c>
      <c r="B27" s="509" t="s">
        <v>248</v>
      </c>
      <c r="C27" s="572">
        <f t="shared" si="0"/>
        <v>241.43</v>
      </c>
      <c r="D27" s="633">
        <f>'Tab.9. zatr.umową,etaty środow'!D437</f>
        <v>28.75</v>
      </c>
      <c r="E27" s="612">
        <f t="shared" si="1"/>
        <v>11.9</v>
      </c>
      <c r="F27" s="637">
        <f>'Tab.9. zatr.umową,etaty środow'!D438</f>
        <v>149.30000000000001</v>
      </c>
      <c r="G27" s="612">
        <f t="shared" si="2"/>
        <v>61.8</v>
      </c>
      <c r="H27" s="641">
        <f>'Tab.9. zatr.umową,etaty środow'!D439</f>
        <v>25.5</v>
      </c>
      <c r="I27" s="612">
        <f t="shared" si="3"/>
        <v>10.6</v>
      </c>
      <c r="J27" s="637">
        <f>'Tab.9. zatr.umową,etaty środow'!D440</f>
        <v>13.63</v>
      </c>
      <c r="K27" s="612">
        <f t="shared" si="4"/>
        <v>5.6</v>
      </c>
      <c r="L27" s="647">
        <f>'Tab.9. zatr.umową,etaty środow'!D441</f>
        <v>24.25</v>
      </c>
      <c r="M27" s="618">
        <f t="shared" si="5"/>
        <v>10</v>
      </c>
    </row>
    <row r="28" spans="1:13" x14ac:dyDescent="0.2">
      <c r="A28" s="463">
        <v>14</v>
      </c>
      <c r="B28" s="509" t="s">
        <v>249</v>
      </c>
      <c r="C28" s="572">
        <f t="shared" si="0"/>
        <v>557.31000000000006</v>
      </c>
      <c r="D28" s="633">
        <f>'Tab.9. zatr.umową,etaty środow'!D469</f>
        <v>45.1</v>
      </c>
      <c r="E28" s="612">
        <f t="shared" si="1"/>
        <v>8.1</v>
      </c>
      <c r="F28" s="637">
        <f>'Tab.9. zatr.umową,etaty środow'!D470</f>
        <v>374.66</v>
      </c>
      <c r="G28" s="612">
        <f t="shared" si="2"/>
        <v>67.2</v>
      </c>
      <c r="H28" s="641">
        <f>'Tab.9. zatr.umową,etaty środow'!D471</f>
        <v>42.63</v>
      </c>
      <c r="I28" s="612">
        <f t="shared" si="3"/>
        <v>7.6</v>
      </c>
      <c r="J28" s="637">
        <f>'Tab.9. zatr.umową,etaty środow'!D472</f>
        <v>37.619999999999997</v>
      </c>
      <c r="K28" s="612">
        <f t="shared" si="4"/>
        <v>6.8</v>
      </c>
      <c r="L28" s="647">
        <f>'Tab.9. zatr.umową,etaty środow'!D473</f>
        <v>57.3</v>
      </c>
      <c r="M28" s="618">
        <f t="shared" si="5"/>
        <v>10.3</v>
      </c>
    </row>
    <row r="29" spans="1:13" x14ac:dyDescent="0.2">
      <c r="A29" s="463">
        <v>15</v>
      </c>
      <c r="B29" s="509" t="s">
        <v>250</v>
      </c>
      <c r="C29" s="572">
        <f t="shared" si="0"/>
        <v>603.18000000000006</v>
      </c>
      <c r="D29" s="633">
        <f>'Tab.9. zatr.umową,etaty środow'!D501</f>
        <v>60.83</v>
      </c>
      <c r="E29" s="612">
        <f t="shared" si="1"/>
        <v>10.1</v>
      </c>
      <c r="F29" s="637">
        <f>'Tab.9. zatr.umową,etaty środow'!D502</f>
        <v>349.91</v>
      </c>
      <c r="G29" s="612">
        <f t="shared" si="2"/>
        <v>58</v>
      </c>
      <c r="H29" s="641">
        <f>'Tab.9. zatr.umową,etaty środow'!D503</f>
        <v>76.64</v>
      </c>
      <c r="I29" s="612">
        <f t="shared" si="3"/>
        <v>12.7</v>
      </c>
      <c r="J29" s="637">
        <f>'Tab.9. zatr.umową,etaty środow'!D504</f>
        <v>44.2</v>
      </c>
      <c r="K29" s="612">
        <f t="shared" si="4"/>
        <v>7.3</v>
      </c>
      <c r="L29" s="647">
        <f>'Tab.9. zatr.umową,etaty środow'!D505</f>
        <v>71.599999999999994</v>
      </c>
      <c r="M29" s="618">
        <f t="shared" si="5"/>
        <v>11.9</v>
      </c>
    </row>
    <row r="30" spans="1:13" ht="13.5" thickBot="1" x14ac:dyDescent="0.25">
      <c r="A30" s="463">
        <v>16</v>
      </c>
      <c r="B30" s="510" t="s">
        <v>251</v>
      </c>
      <c r="C30" s="572">
        <f t="shared" si="0"/>
        <v>224.85</v>
      </c>
      <c r="D30" s="634">
        <f>'Tab.9. zatr.umową,etaty środow'!D533</f>
        <v>26.25</v>
      </c>
      <c r="E30" s="613">
        <f t="shared" si="1"/>
        <v>11.7</v>
      </c>
      <c r="F30" s="638">
        <f>'Tab.9. zatr.umową,etaty środow'!D534</f>
        <v>146.5</v>
      </c>
      <c r="G30" s="613">
        <f t="shared" si="2"/>
        <v>65.2</v>
      </c>
      <c r="H30" s="642">
        <f>'Tab.9. zatr.umową,etaty środow'!D535</f>
        <v>14.06</v>
      </c>
      <c r="I30" s="613">
        <f t="shared" si="3"/>
        <v>6.3</v>
      </c>
      <c r="J30" s="638">
        <f>'Tab.9. zatr.umową,etaty środow'!D536</f>
        <v>12.29</v>
      </c>
      <c r="K30" s="613">
        <f t="shared" si="4"/>
        <v>5.5</v>
      </c>
      <c r="L30" s="648">
        <f>'Tab.9. zatr.umową,etaty środow'!D537</f>
        <v>25.75</v>
      </c>
      <c r="M30" s="619">
        <f t="shared" si="5"/>
        <v>11.5</v>
      </c>
    </row>
    <row r="31" spans="1:13" ht="16.5" thickBot="1" x14ac:dyDescent="0.3">
      <c r="A31" s="445" t="s">
        <v>252</v>
      </c>
      <c r="B31" s="446"/>
      <c r="C31" s="650">
        <f>SUM(C15:C30)</f>
        <v>5484.3100000000013</v>
      </c>
      <c r="D31" s="635">
        <f>SUM(D15:D30)</f>
        <v>588.71</v>
      </c>
      <c r="E31" s="614">
        <f>AVERAGE(E15:E30)</f>
        <v>10.774999999999999</v>
      </c>
      <c r="F31" s="639">
        <f>SUM(F15:F30)</f>
        <v>3428.08</v>
      </c>
      <c r="G31" s="614">
        <f>AVERAGE(G15:G30)</f>
        <v>61.956250000000004</v>
      </c>
      <c r="H31" s="643">
        <f>SUM(H15:H30)</f>
        <v>485.73</v>
      </c>
      <c r="I31" s="616">
        <f>AVERAGE(I15:I30)</f>
        <v>9.0625</v>
      </c>
      <c r="J31" s="645">
        <f>SUM(J15:J30)</f>
        <v>396.62</v>
      </c>
      <c r="K31" s="616">
        <f>AVERAGE(K15:K30)</f>
        <v>7.2999999999999989</v>
      </c>
      <c r="L31" s="649">
        <f>SUM(L15:L30)</f>
        <v>585.16999999999996</v>
      </c>
      <c r="M31" s="620">
        <f>AVERAGE(M15:M30)</f>
        <v>10.912500000000001</v>
      </c>
    </row>
    <row r="32" spans="1:13" ht="13.5" thickTop="1" x14ac:dyDescent="0.2"/>
  </sheetData>
  <mergeCells count="13">
    <mergeCell ref="L1:M1"/>
    <mergeCell ref="C10:C13"/>
    <mergeCell ref="B10:B13"/>
    <mergeCell ref="A6:M6"/>
    <mergeCell ref="A7:M7"/>
    <mergeCell ref="A8:M8"/>
    <mergeCell ref="D11:E12"/>
    <mergeCell ref="F11:G12"/>
    <mergeCell ref="H11:I12"/>
    <mergeCell ref="D10:M10"/>
    <mergeCell ref="J11:K12"/>
    <mergeCell ref="L11:M12"/>
    <mergeCell ref="A10:A13"/>
  </mergeCells>
  <phoneticPr fontId="82" type="noConversion"/>
  <printOptions horizontalCentered="1" verticalCentered="1"/>
  <pageMargins left="0.19685039370078741" right="0.56000000000000005" top="0.98425196850393704" bottom="0.98425196850393704" header="0.51181102362204722" footer="0.51181102362204722"/>
  <pageSetup paperSize="9" scale="98" orientation="landscape" r:id="rId1"/>
  <headerFooter alignWithMargins="0"/>
  <ignoredErrors>
    <ignoredError sqref="F15:L30 E31:K31" formula="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0"/>
  <sheetViews>
    <sheetView zoomScale="75" workbookViewId="0"/>
  </sheetViews>
  <sheetFormatPr defaultRowHeight="12.75" x14ac:dyDescent="0.2"/>
  <cols>
    <col min="1" max="1" width="6.7109375" customWidth="1"/>
    <col min="2" max="2" width="58.140625" customWidth="1"/>
    <col min="3" max="3" width="16.140625" customWidth="1"/>
    <col min="4" max="4" width="17.7109375" customWidth="1"/>
    <col min="5" max="5" width="20.28515625" customWidth="1"/>
    <col min="9" max="9" width="10.7109375" bestFit="1" customWidth="1"/>
  </cols>
  <sheetData>
    <row r="1" spans="1:5" ht="26.25" x14ac:dyDescent="0.4">
      <c r="A1" s="267" t="s">
        <v>196</v>
      </c>
      <c r="B1" s="266" t="s">
        <v>195</v>
      </c>
      <c r="C1" s="569"/>
    </row>
    <row r="2" spans="1:5" ht="20.100000000000001" customHeight="1" x14ac:dyDescent="0.25">
      <c r="B2" s="11" t="s">
        <v>116</v>
      </c>
      <c r="D2" s="1824" t="s">
        <v>458</v>
      </c>
      <c r="E2" s="1824"/>
    </row>
    <row r="3" spans="1:5" ht="20.100000000000001" customHeight="1" x14ac:dyDescent="0.25">
      <c r="B3" s="14" t="s">
        <v>129</v>
      </c>
      <c r="C3" s="11"/>
      <c r="D3" s="11"/>
    </row>
    <row r="4" spans="1:5" ht="20.100000000000001" customHeight="1" x14ac:dyDescent="0.25">
      <c r="B4" s="11" t="s">
        <v>143</v>
      </c>
    </row>
    <row r="5" spans="1:5" ht="24.95" customHeight="1" x14ac:dyDescent="0.25">
      <c r="B5" s="11"/>
    </row>
    <row r="6" spans="1:5" ht="20.100000000000001" customHeight="1" x14ac:dyDescent="0.25">
      <c r="B6" s="1138" t="s">
        <v>130</v>
      </c>
    </row>
    <row r="7" spans="1:5" ht="17.45" customHeight="1" x14ac:dyDescent="0.25">
      <c r="B7" s="1150" t="s">
        <v>131</v>
      </c>
    </row>
    <row r="8" spans="1:5" ht="26.25" customHeight="1" x14ac:dyDescent="0.4">
      <c r="B8" s="1601" t="str">
        <f>"MIESZKANIA  CHRONIONE  W "&amp;'Tab.1. bilans_Polska'!A2&amp;" r."</f>
        <v>MIESZKANIA  CHRONIONE  W 2011 r.</v>
      </c>
      <c r="C8" s="1601"/>
      <c r="D8" s="1601"/>
      <c r="E8" s="1601"/>
    </row>
    <row r="9" spans="1:5" ht="23.25" customHeight="1" x14ac:dyDescent="0.35">
      <c r="B9" s="30"/>
      <c r="C9" s="30"/>
      <c r="D9" s="30"/>
      <c r="E9" s="30"/>
    </row>
    <row r="10" spans="1:5" ht="18.75" customHeight="1" thickBot="1" x14ac:dyDescent="0.3">
      <c r="B10" s="11"/>
    </row>
    <row r="11" spans="1:5" ht="35.1" customHeight="1" thickTop="1" thickBot="1" x14ac:dyDescent="0.25">
      <c r="B11" s="116"/>
      <c r="C11" s="1863" t="s">
        <v>4</v>
      </c>
      <c r="D11" s="1864"/>
      <c r="E11" s="1865"/>
    </row>
    <row r="12" spans="1:5" ht="35.1" customHeight="1" x14ac:dyDescent="0.2">
      <c r="B12" s="117" t="s">
        <v>21</v>
      </c>
      <c r="C12" s="118" t="s">
        <v>99</v>
      </c>
      <c r="D12" s="119" t="s">
        <v>13</v>
      </c>
      <c r="E12" s="120" t="s">
        <v>100</v>
      </c>
    </row>
    <row r="13" spans="1:5" ht="35.1" customHeight="1" thickBot="1" x14ac:dyDescent="0.25">
      <c r="B13" s="121"/>
      <c r="C13" s="122"/>
      <c r="D13" s="123"/>
      <c r="E13" s="124" t="s">
        <v>101</v>
      </c>
    </row>
    <row r="14" spans="1:5" ht="15.75" thickBot="1" x14ac:dyDescent="0.25">
      <c r="B14" s="125">
        <v>0</v>
      </c>
      <c r="C14" s="126">
        <v>1</v>
      </c>
      <c r="D14" s="127">
        <v>2</v>
      </c>
      <c r="E14" s="128">
        <v>3</v>
      </c>
    </row>
    <row r="15" spans="1:5" ht="35.1" customHeight="1" thickTop="1" thickBot="1" x14ac:dyDescent="0.25">
      <c r="B15" s="1132" t="str">
        <f>"1. Stan na dzień 31. XII. "&amp;'Tab.1. bilans_Polska'!A2-1&amp;" r."</f>
        <v>1. Stan na dzień 31. XII. 2010 r.</v>
      </c>
      <c r="C15" s="972">
        <f t="shared" ref="C15:E17" si="0">C45+C75+C105+C135+C165+C195+C225+C255+C285+C315+C345+C375+C405+C435+C465+C495</f>
        <v>23</v>
      </c>
      <c r="D15" s="973">
        <f t="shared" si="0"/>
        <v>61</v>
      </c>
      <c r="E15" s="974">
        <f t="shared" si="0"/>
        <v>63</v>
      </c>
    </row>
    <row r="16" spans="1:5" ht="35.1" customHeight="1" thickBot="1" x14ac:dyDescent="0.25">
      <c r="B16" s="1128" t="str">
        <f>"2. Przybyło w "&amp;'Tab.1. bilans_Polska'!A2&amp;" r."</f>
        <v>2. Przybyło w 2011 r.</v>
      </c>
      <c r="C16" s="975">
        <f t="shared" si="0"/>
        <v>1</v>
      </c>
      <c r="D16" s="976">
        <f t="shared" si="0"/>
        <v>9</v>
      </c>
      <c r="E16" s="977">
        <f t="shared" si="0"/>
        <v>7</v>
      </c>
    </row>
    <row r="17" spans="1:5" ht="35.1" customHeight="1" thickBot="1" x14ac:dyDescent="0.25">
      <c r="B17" s="1128" t="str">
        <f>"3. Ubyło w "&amp;'Tab.1. bilans_Polska'!A2&amp;" r."</f>
        <v>3. Ubyło w 2011 r.</v>
      </c>
      <c r="C17" s="975">
        <f t="shared" si="0"/>
        <v>23</v>
      </c>
      <c r="D17" s="976">
        <f t="shared" si="0"/>
        <v>61</v>
      </c>
      <c r="E17" s="977">
        <f t="shared" si="0"/>
        <v>63</v>
      </c>
    </row>
    <row r="18" spans="1:5" ht="35.1" customHeight="1" thickBot="1" x14ac:dyDescent="0.25">
      <c r="B18" s="1128" t="str">
        <f>"4. Stan na dzień 31. XII. "&amp;'Tab.1. bilans_Polska'!A2&amp;" r. (w.1+w.2-w.3)"</f>
        <v>4. Stan na dzień 31. XII. 2011 r. (w.1+w.2-w.3)</v>
      </c>
      <c r="C18" s="367">
        <f>C15+(C16-C17)</f>
        <v>1</v>
      </c>
      <c r="D18" s="368">
        <f>D15+(D16-D17)</f>
        <v>9</v>
      </c>
      <c r="E18" s="369">
        <f>E15+(E16-E17)</f>
        <v>7</v>
      </c>
    </row>
    <row r="19" spans="1:5" ht="35.1" customHeight="1" thickBot="1" x14ac:dyDescent="0.25">
      <c r="B19" s="1131" t="str">
        <f>"5. Planowane zwiększenie w "&amp;'Tab.1. bilans_Polska'!A2+1&amp;" r."</f>
        <v>5. Planowane zwiększenie w 2012 r.</v>
      </c>
      <c r="C19" s="978">
        <f>C49+C79+C109+C139+C169+C199+C229+C259+C289+C319+C349+C379+C409+C439+C469+C499</f>
        <v>0</v>
      </c>
      <c r="D19" s="979">
        <f>D49+D79+D109+D139+D169+D199+D229+D259+D289+D319+D349+D379+D409+D439+D469+D499</f>
        <v>0</v>
      </c>
      <c r="E19" s="180" t="s">
        <v>51</v>
      </c>
    </row>
    <row r="20" spans="1:5" ht="25.5" customHeight="1" thickTop="1" thickBot="1" x14ac:dyDescent="0.25"/>
    <row r="21" spans="1:5" ht="35.1" customHeight="1" thickTop="1" thickBot="1" x14ac:dyDescent="0.3">
      <c r="B21" s="1129" t="str">
        <f>+"I.  Liczba osób umieszczonych w mieszkaniach chronionych w "&amp;'Tab.1. bilans_Polska'!A2&amp;" r."</f>
        <v>I.  Liczba osób umieszczonych w mieszkaniach chronionych w 2011 r.</v>
      </c>
      <c r="C21" s="129"/>
      <c r="D21" s="129"/>
      <c r="E21" s="1198">
        <f>E51+E81+E111+E141+E171+E201+E231+E261+E291+E321+E351+E381+E411+E441+E471+E501</f>
        <v>7</v>
      </c>
    </row>
    <row r="22" spans="1:5" ht="18" x14ac:dyDescent="0.2">
      <c r="B22" s="130" t="s">
        <v>102</v>
      </c>
      <c r="C22" s="131"/>
      <c r="D22" s="131"/>
      <c r="E22" s="1196"/>
    </row>
    <row r="23" spans="1:5" ht="18.75" thickBot="1" x14ac:dyDescent="0.3">
      <c r="B23" s="1130" t="str">
        <f>"     nionych wg stanu na dzień 31. XII. "&amp;'Tab.1. bilans_Polska'!A2&amp;" r."</f>
        <v xml:space="preserve">     nionych wg stanu na dzień 31. XII. 2011 r.</v>
      </c>
      <c r="C23" s="19"/>
      <c r="D23" s="19"/>
      <c r="E23" s="1199">
        <f>E53+E83+E113+E143+E173+E203+E233+E263+E293+E323+E353+E383+E413+E443+E473+E503</f>
        <v>0</v>
      </c>
    </row>
    <row r="24" spans="1:5" ht="18" x14ac:dyDescent="0.25">
      <c r="B24" s="132" t="s">
        <v>103</v>
      </c>
      <c r="C24" s="21"/>
      <c r="D24" s="21"/>
      <c r="E24" s="181"/>
    </row>
    <row r="25" spans="1:5" ht="18.75" thickBot="1" x14ac:dyDescent="0.3">
      <c r="B25" s="133" t="s">
        <v>114</v>
      </c>
      <c r="C25" s="24"/>
      <c r="D25" s="24"/>
      <c r="E25" s="938">
        <f>IF(E21=0, 0, (E21*100)/(E23+E21)*0.01)</f>
        <v>1</v>
      </c>
    </row>
    <row r="26" spans="1:5" ht="13.5" thickTop="1" x14ac:dyDescent="0.2"/>
    <row r="27" spans="1:5" ht="30" customHeight="1" x14ac:dyDescent="0.25">
      <c r="B27" s="1150" t="s">
        <v>123</v>
      </c>
      <c r="C27" s="1155"/>
      <c r="D27" s="805"/>
      <c r="E27" s="805"/>
    </row>
    <row r="28" spans="1:5" ht="36.75" customHeight="1" x14ac:dyDescent="0.25">
      <c r="B28" s="1150" t="s">
        <v>132</v>
      </c>
      <c r="C28" s="1155"/>
      <c r="D28" s="1140"/>
      <c r="E28" s="805"/>
    </row>
    <row r="29" spans="1:5" ht="13.15" customHeight="1" x14ac:dyDescent="0.25">
      <c r="B29" s="1150"/>
      <c r="C29" s="805"/>
      <c r="D29" s="1907" t="s">
        <v>141</v>
      </c>
      <c r="E29" s="1907"/>
    </row>
    <row r="30" spans="1:5" ht="24" customHeight="1" x14ac:dyDescent="0.25">
      <c r="B30" s="1150" t="s">
        <v>137</v>
      </c>
      <c r="C30" s="805"/>
      <c r="D30" s="1908" t="s">
        <v>126</v>
      </c>
      <c r="E30" s="1908"/>
    </row>
    <row r="32" spans="1:5" ht="20.25" x14ac:dyDescent="0.25">
      <c r="A32" s="358" t="s">
        <v>166</v>
      </c>
      <c r="B32" s="11" t="s">
        <v>116</v>
      </c>
      <c r="D32" s="1824" t="s">
        <v>98</v>
      </c>
      <c r="E32" s="1824"/>
    </row>
    <row r="33" spans="2:5" ht="18" x14ac:dyDescent="0.25">
      <c r="B33" s="14" t="s">
        <v>129</v>
      </c>
      <c r="C33" s="11"/>
      <c r="D33" s="11"/>
    </row>
    <row r="34" spans="2:5" ht="18" x14ac:dyDescent="0.25">
      <c r="B34" s="11" t="s">
        <v>143</v>
      </c>
      <c r="D34" s="1806" t="str">
        <f>'Tab.1. bilans_Polska'!$E$59</f>
        <v>Termin: 29 luty 2012 r.</v>
      </c>
      <c r="E34" s="1806"/>
    </row>
    <row r="35" spans="2:5" ht="18" x14ac:dyDescent="0.25">
      <c r="B35" s="11"/>
    </row>
    <row r="36" spans="2:5" ht="18" x14ac:dyDescent="0.25">
      <c r="B36" s="11" t="s">
        <v>130</v>
      </c>
    </row>
    <row r="37" spans="2:5" ht="15.75" x14ac:dyDescent="0.25">
      <c r="B37" s="1" t="s">
        <v>131</v>
      </c>
    </row>
    <row r="38" spans="2:5" ht="26.25" x14ac:dyDescent="0.4">
      <c r="B38" s="1601" t="str">
        <f>$B$8</f>
        <v>MIESZKANIA  CHRONIONE  W 2011 r.</v>
      </c>
      <c r="C38" s="1601"/>
      <c r="D38" s="1601"/>
      <c r="E38" s="1601"/>
    </row>
    <row r="39" spans="2:5" ht="23.25" x14ac:dyDescent="0.35">
      <c r="B39" s="30"/>
      <c r="C39" s="30"/>
      <c r="D39" s="30"/>
      <c r="E39" s="30"/>
    </row>
    <row r="40" spans="2:5" ht="18.75" thickBot="1" x14ac:dyDescent="0.3">
      <c r="B40" s="11"/>
    </row>
    <row r="41" spans="2:5" ht="19.5" thickTop="1" thickBot="1" x14ac:dyDescent="0.25">
      <c r="B41" s="116"/>
      <c r="C41" s="1863" t="s">
        <v>4</v>
      </c>
      <c r="D41" s="1864"/>
      <c r="E41" s="1865"/>
    </row>
    <row r="42" spans="2:5" ht="20.25" x14ac:dyDescent="0.2">
      <c r="B42" s="117" t="s">
        <v>21</v>
      </c>
      <c r="C42" s="118" t="s">
        <v>99</v>
      </c>
      <c r="D42" s="119" t="s">
        <v>13</v>
      </c>
      <c r="E42" s="120" t="s">
        <v>100</v>
      </c>
    </row>
    <row r="43" spans="2:5" ht="18.75" thickBot="1" x14ac:dyDescent="0.25">
      <c r="B43" s="121"/>
      <c r="C43" s="122"/>
      <c r="D43" s="123"/>
      <c r="E43" s="124" t="s">
        <v>101</v>
      </c>
    </row>
    <row r="44" spans="2:5" ht="15.75" thickBot="1" x14ac:dyDescent="0.25">
      <c r="B44" s="125">
        <v>0</v>
      </c>
      <c r="C44" s="126">
        <v>1</v>
      </c>
      <c r="D44" s="127">
        <v>2</v>
      </c>
      <c r="E44" s="128">
        <v>3</v>
      </c>
    </row>
    <row r="45" spans="2:5" ht="20.25" thickTop="1" thickBot="1" x14ac:dyDescent="0.25">
      <c r="B45" s="1133" t="str">
        <f>$B$15</f>
        <v>1. Stan na dzień 31. XII. 2010 r.</v>
      </c>
      <c r="C45" s="1391">
        <v>0</v>
      </c>
      <c r="D45" s="1357">
        <v>0</v>
      </c>
      <c r="E45" s="1392">
        <v>0</v>
      </c>
    </row>
    <row r="46" spans="2:5" ht="19.5" thickBot="1" x14ac:dyDescent="0.25">
      <c r="B46" s="1134" t="str">
        <f>$B$16</f>
        <v>2. Przybyło w 2011 r.</v>
      </c>
      <c r="C46" s="1393">
        <v>0</v>
      </c>
      <c r="D46" s="1361">
        <v>0</v>
      </c>
      <c r="E46" s="1394">
        <v>0</v>
      </c>
    </row>
    <row r="47" spans="2:5" ht="19.5" thickBot="1" x14ac:dyDescent="0.25">
      <c r="B47" s="1134" t="str">
        <f>$B$17</f>
        <v>3. Ubyło w 2011 r.</v>
      </c>
      <c r="C47" s="1393">
        <v>0</v>
      </c>
      <c r="D47" s="1361">
        <v>0</v>
      </c>
      <c r="E47" s="1394">
        <v>0</v>
      </c>
    </row>
    <row r="48" spans="2:5" ht="18.75" thickBot="1" x14ac:dyDescent="0.25">
      <c r="B48" s="1134" t="str">
        <f>$B$18</f>
        <v>4. Stan na dzień 31. XII. 2011 r. (w.1+w.2-w.3)</v>
      </c>
      <c r="C48" s="367">
        <f>(C45+C46)-C47</f>
        <v>0</v>
      </c>
      <c r="D48" s="368">
        <f>(D45+D46)-D47</f>
        <v>0</v>
      </c>
      <c r="E48" s="369">
        <f>(E45+E46)-E47</f>
        <v>0</v>
      </c>
    </row>
    <row r="49" spans="1:9" ht="19.5" thickBot="1" x14ac:dyDescent="0.25">
      <c r="B49" s="1135" t="str">
        <f>$B$19</f>
        <v>5. Planowane zwiększenie w 2012 r.</v>
      </c>
      <c r="C49" s="1395">
        <v>0</v>
      </c>
      <c r="D49" s="1365">
        <v>0</v>
      </c>
      <c r="E49" s="180" t="s">
        <v>51</v>
      </c>
    </row>
    <row r="50" spans="1:9" ht="14.25" thickTop="1" thickBot="1" x14ac:dyDescent="0.25"/>
    <row r="51" spans="1:9" ht="20.25" thickTop="1" thickBot="1" x14ac:dyDescent="0.35">
      <c r="B51" s="1136" t="str">
        <f>$B$21</f>
        <v>I.  Liczba osób umieszczonych w mieszkaniach chronionych w 2011 r.</v>
      </c>
      <c r="C51" s="129"/>
      <c r="D51" s="129"/>
      <c r="E51" s="1396">
        <v>0</v>
      </c>
    </row>
    <row r="52" spans="1:9" ht="18" x14ac:dyDescent="0.2">
      <c r="B52" s="130" t="s">
        <v>102</v>
      </c>
      <c r="C52" s="131"/>
      <c r="D52" s="131"/>
      <c r="E52" s="1390" t="s">
        <v>447</v>
      </c>
    </row>
    <row r="53" spans="1:9" ht="19.5" thickBot="1" x14ac:dyDescent="0.35">
      <c r="B53" s="1137" t="str">
        <f>$B$23</f>
        <v xml:space="preserve">     nionych wg stanu na dzień 31. XII. 2011 r.</v>
      </c>
      <c r="C53" s="19"/>
      <c r="D53" s="19"/>
      <c r="E53" s="1397">
        <v>0</v>
      </c>
    </row>
    <row r="54" spans="1:9" ht="18" x14ac:dyDescent="0.25">
      <c r="B54" s="132" t="s">
        <v>103</v>
      </c>
      <c r="C54" s="21"/>
      <c r="D54" s="21"/>
      <c r="E54" s="181"/>
    </row>
    <row r="55" spans="1:9" ht="18.75" thickBot="1" x14ac:dyDescent="0.3">
      <c r="B55" s="133" t="s">
        <v>114</v>
      </c>
      <c r="C55" s="24"/>
      <c r="D55" s="24"/>
      <c r="E55" s="371">
        <f>IF(E51=0, 0, (E51*100)/(E53+E51)*0.01)</f>
        <v>0</v>
      </c>
      <c r="I55" s="370"/>
    </row>
    <row r="56" spans="1:9" ht="13.5" thickTop="1" x14ac:dyDescent="0.2"/>
    <row r="57" spans="1:9" ht="15.75" x14ac:dyDescent="0.25">
      <c r="B57" s="1" t="s">
        <v>123</v>
      </c>
      <c r="C57" s="12"/>
    </row>
    <row r="58" spans="1:9" ht="18" x14ac:dyDescent="0.25">
      <c r="B58" s="1" t="s">
        <v>132</v>
      </c>
      <c r="C58" s="12"/>
      <c r="D58" s="25"/>
    </row>
    <row r="59" spans="1:9" ht="15.75" x14ac:dyDescent="0.25">
      <c r="B59" s="1"/>
      <c r="D59" s="1604" t="s">
        <v>141</v>
      </c>
      <c r="E59" s="1604"/>
    </row>
    <row r="60" spans="1:9" ht="15.75" x14ac:dyDescent="0.25">
      <c r="B60" s="1" t="s">
        <v>137</v>
      </c>
      <c r="D60" s="1718" t="s">
        <v>126</v>
      </c>
      <c r="E60" s="1718"/>
    </row>
    <row r="62" spans="1:9" ht="20.25" x14ac:dyDescent="0.25">
      <c r="A62" s="358" t="s">
        <v>168</v>
      </c>
      <c r="B62" s="11" t="s">
        <v>116</v>
      </c>
      <c r="D62" s="1824" t="s">
        <v>98</v>
      </c>
      <c r="E62" s="1824"/>
    </row>
    <row r="63" spans="1:9" ht="18" x14ac:dyDescent="0.25">
      <c r="B63" s="14" t="s">
        <v>129</v>
      </c>
      <c r="C63" s="11"/>
      <c r="D63" s="11"/>
    </row>
    <row r="64" spans="1:9" ht="18" x14ac:dyDescent="0.25">
      <c r="B64" s="11" t="s">
        <v>143</v>
      </c>
      <c r="D64" s="1806" t="str">
        <f>'Tab.1. bilans_Polska'!$E$59</f>
        <v>Termin: 29 luty 2012 r.</v>
      </c>
      <c r="E64" s="1806"/>
    </row>
    <row r="65" spans="2:5" ht="18" x14ac:dyDescent="0.25">
      <c r="B65" s="11"/>
    </row>
    <row r="66" spans="2:5" ht="18" x14ac:dyDescent="0.25">
      <c r="B66" s="11" t="s">
        <v>130</v>
      </c>
    </row>
    <row r="67" spans="2:5" ht="15.75" x14ac:dyDescent="0.25">
      <c r="B67" s="1" t="s">
        <v>131</v>
      </c>
    </row>
    <row r="68" spans="2:5" ht="26.25" x14ac:dyDescent="0.4">
      <c r="B68" s="1601" t="str">
        <f>$B$8</f>
        <v>MIESZKANIA  CHRONIONE  W 2011 r.</v>
      </c>
      <c r="C68" s="1601"/>
      <c r="D68" s="1601"/>
      <c r="E68" s="1601"/>
    </row>
    <row r="69" spans="2:5" ht="23.25" x14ac:dyDescent="0.35">
      <c r="B69" s="30"/>
      <c r="C69" s="30"/>
      <c r="D69" s="30"/>
      <c r="E69" s="30"/>
    </row>
    <row r="70" spans="2:5" ht="18.75" thickBot="1" x14ac:dyDescent="0.3">
      <c r="B70" s="11"/>
    </row>
    <row r="71" spans="2:5" ht="19.5" thickTop="1" thickBot="1" x14ac:dyDescent="0.25">
      <c r="B71" s="116"/>
      <c r="C71" s="1863" t="s">
        <v>4</v>
      </c>
      <c r="D71" s="1864"/>
      <c r="E71" s="1865"/>
    </row>
    <row r="72" spans="2:5" ht="20.25" x14ac:dyDescent="0.2">
      <c r="B72" s="117" t="s">
        <v>21</v>
      </c>
      <c r="C72" s="118" t="s">
        <v>99</v>
      </c>
      <c r="D72" s="119" t="s">
        <v>13</v>
      </c>
      <c r="E72" s="120" t="s">
        <v>100</v>
      </c>
    </row>
    <row r="73" spans="2:5" ht="18.75" thickBot="1" x14ac:dyDescent="0.25">
      <c r="B73" s="121"/>
      <c r="C73" s="122"/>
      <c r="D73" s="123"/>
      <c r="E73" s="124" t="s">
        <v>101</v>
      </c>
    </row>
    <row r="74" spans="2:5" ht="15.75" thickBot="1" x14ac:dyDescent="0.25">
      <c r="B74" s="125">
        <v>0</v>
      </c>
      <c r="C74" s="126">
        <v>1</v>
      </c>
      <c r="D74" s="127">
        <v>2</v>
      </c>
      <c r="E74" s="128">
        <v>3</v>
      </c>
    </row>
    <row r="75" spans="2:5" ht="20.25" thickTop="1" thickBot="1" x14ac:dyDescent="0.25">
      <c r="B75" s="1133" t="str">
        <f>$B$15</f>
        <v>1. Stan na dzień 31. XII. 2010 r.</v>
      </c>
      <c r="C75" s="1391">
        <v>0</v>
      </c>
      <c r="D75" s="1357">
        <v>0</v>
      </c>
      <c r="E75" s="1392">
        <v>0</v>
      </c>
    </row>
    <row r="76" spans="2:5" ht="19.5" thickBot="1" x14ac:dyDescent="0.25">
      <c r="B76" s="1134" t="str">
        <f>$B$16</f>
        <v>2. Przybyło w 2011 r.</v>
      </c>
      <c r="C76" s="1393">
        <v>0</v>
      </c>
      <c r="D76" s="1361">
        <v>0</v>
      </c>
      <c r="E76" s="1394">
        <v>0</v>
      </c>
    </row>
    <row r="77" spans="2:5" ht="19.5" thickBot="1" x14ac:dyDescent="0.25">
      <c r="B77" s="1134" t="str">
        <f>$B$17</f>
        <v>3. Ubyło w 2011 r.</v>
      </c>
      <c r="C77" s="1393">
        <v>0</v>
      </c>
      <c r="D77" s="1361">
        <v>0</v>
      </c>
      <c r="E77" s="1394">
        <v>0</v>
      </c>
    </row>
    <row r="78" spans="2:5" ht="18.75" thickBot="1" x14ac:dyDescent="0.25">
      <c r="B78" s="1134" t="str">
        <f>$B$18</f>
        <v>4. Stan na dzień 31. XII. 2011 r. (w.1+w.2-w.3)</v>
      </c>
      <c r="C78" s="367">
        <f>(C75+C76)-C77</f>
        <v>0</v>
      </c>
      <c r="D78" s="368">
        <f>(D75+D76)-D77</f>
        <v>0</v>
      </c>
      <c r="E78" s="369">
        <f>(E75+E76)-E77</f>
        <v>0</v>
      </c>
    </row>
    <row r="79" spans="2:5" ht="19.5" thickBot="1" x14ac:dyDescent="0.25">
      <c r="B79" s="1135" t="str">
        <f>$B$19</f>
        <v>5. Planowane zwiększenie w 2012 r.</v>
      </c>
      <c r="C79" s="1395">
        <v>0</v>
      </c>
      <c r="D79" s="1365">
        <v>0</v>
      </c>
      <c r="E79" s="180" t="s">
        <v>51</v>
      </c>
    </row>
    <row r="80" spans="2:5" ht="14.25" thickTop="1" thickBot="1" x14ac:dyDescent="0.25"/>
    <row r="81" spans="1:5" ht="20.25" thickTop="1" thickBot="1" x14ac:dyDescent="0.35">
      <c r="B81" s="1136" t="str">
        <f>$B$21</f>
        <v>I.  Liczba osób umieszczonych w mieszkaniach chronionych w 2011 r.</v>
      </c>
      <c r="C81" s="129"/>
      <c r="D81" s="129"/>
      <c r="E81" s="1396">
        <v>0</v>
      </c>
    </row>
    <row r="82" spans="1:5" ht="18" x14ac:dyDescent="0.2">
      <c r="B82" s="130" t="s">
        <v>102</v>
      </c>
      <c r="C82" s="131"/>
      <c r="D82" s="131"/>
      <c r="E82" s="1390" t="s">
        <v>447</v>
      </c>
    </row>
    <row r="83" spans="1:5" ht="19.5" thickBot="1" x14ac:dyDescent="0.35">
      <c r="B83" s="1137" t="str">
        <f>$B$23</f>
        <v xml:space="preserve">     nionych wg stanu na dzień 31. XII. 2011 r.</v>
      </c>
      <c r="C83" s="19"/>
      <c r="D83" s="19"/>
      <c r="E83" s="1397">
        <v>0</v>
      </c>
    </row>
    <row r="84" spans="1:5" ht="18" x14ac:dyDescent="0.25">
      <c r="B84" s="132" t="s">
        <v>103</v>
      </c>
      <c r="C84" s="21"/>
      <c r="D84" s="21"/>
      <c r="E84" s="181"/>
    </row>
    <row r="85" spans="1:5" ht="18.75" thickBot="1" x14ac:dyDescent="0.3">
      <c r="B85" s="133" t="s">
        <v>114</v>
      </c>
      <c r="C85" s="24"/>
      <c r="D85" s="24"/>
      <c r="E85" s="371">
        <f>IF(E81=0, 0, (E81*100)/(E83+E81)*0.01)</f>
        <v>0</v>
      </c>
    </row>
    <row r="86" spans="1:5" ht="13.5" thickTop="1" x14ac:dyDescent="0.2"/>
    <row r="87" spans="1:5" ht="15.75" x14ac:dyDescent="0.25">
      <c r="B87" s="1" t="s">
        <v>123</v>
      </c>
      <c r="C87" s="12"/>
    </row>
    <row r="88" spans="1:5" ht="18" x14ac:dyDescent="0.25">
      <c r="B88" s="1" t="s">
        <v>132</v>
      </c>
      <c r="C88" s="12"/>
      <c r="D88" s="25"/>
    </row>
    <row r="89" spans="1:5" ht="15.75" x14ac:dyDescent="0.25">
      <c r="B89" s="1"/>
      <c r="D89" s="1604" t="s">
        <v>141</v>
      </c>
      <c r="E89" s="1604"/>
    </row>
    <row r="90" spans="1:5" ht="15.75" x14ac:dyDescent="0.25">
      <c r="B90" s="1" t="s">
        <v>137</v>
      </c>
      <c r="D90" s="1718" t="s">
        <v>126</v>
      </c>
      <c r="E90" s="1718"/>
    </row>
    <row r="92" spans="1:5" ht="20.25" x14ac:dyDescent="0.25">
      <c r="A92" s="358" t="s">
        <v>170</v>
      </c>
      <c r="B92" s="11" t="s">
        <v>116</v>
      </c>
      <c r="D92" s="1824" t="s">
        <v>98</v>
      </c>
      <c r="E92" s="1824"/>
    </row>
    <row r="93" spans="1:5" ht="18" x14ac:dyDescent="0.25">
      <c r="B93" s="14" t="s">
        <v>129</v>
      </c>
      <c r="C93" s="11"/>
      <c r="D93" s="11"/>
    </row>
    <row r="94" spans="1:5" ht="18" x14ac:dyDescent="0.25">
      <c r="B94" s="11" t="s">
        <v>143</v>
      </c>
      <c r="D94" s="1806" t="str">
        <f>'Tab.1. bilans_Polska'!$E$59</f>
        <v>Termin: 29 luty 2012 r.</v>
      </c>
      <c r="E94" s="1806"/>
    </row>
    <row r="95" spans="1:5" ht="18" x14ac:dyDescent="0.25">
      <c r="B95" s="11"/>
    </row>
    <row r="96" spans="1:5" ht="18" x14ac:dyDescent="0.25">
      <c r="B96" s="11" t="s">
        <v>130</v>
      </c>
    </row>
    <row r="97" spans="2:5" ht="15.75" x14ac:dyDescent="0.25">
      <c r="B97" s="1" t="s">
        <v>131</v>
      </c>
    </row>
    <row r="98" spans="2:5" ht="26.25" x14ac:dyDescent="0.4">
      <c r="B98" s="1601" t="str">
        <f>$B$8</f>
        <v>MIESZKANIA  CHRONIONE  W 2011 r.</v>
      </c>
      <c r="C98" s="1601"/>
      <c r="D98" s="1601"/>
      <c r="E98" s="1601"/>
    </row>
    <row r="99" spans="2:5" ht="23.25" x14ac:dyDescent="0.35">
      <c r="B99" s="30"/>
      <c r="C99" s="30"/>
      <c r="D99" s="30"/>
      <c r="E99" s="30"/>
    </row>
    <row r="100" spans="2:5" ht="18.75" thickBot="1" x14ac:dyDescent="0.3">
      <c r="B100" s="11"/>
    </row>
    <row r="101" spans="2:5" ht="19.5" thickTop="1" thickBot="1" x14ac:dyDescent="0.25">
      <c r="B101" s="116"/>
      <c r="C101" s="1863" t="s">
        <v>4</v>
      </c>
      <c r="D101" s="1864"/>
      <c r="E101" s="1865"/>
    </row>
    <row r="102" spans="2:5" ht="20.25" x14ac:dyDescent="0.2">
      <c r="B102" s="117" t="s">
        <v>21</v>
      </c>
      <c r="C102" s="118" t="s">
        <v>99</v>
      </c>
      <c r="D102" s="119" t="s">
        <v>13</v>
      </c>
      <c r="E102" s="120" t="s">
        <v>100</v>
      </c>
    </row>
    <row r="103" spans="2:5" ht="18.75" thickBot="1" x14ac:dyDescent="0.25">
      <c r="B103" s="121"/>
      <c r="C103" s="122"/>
      <c r="D103" s="123"/>
      <c r="E103" s="124" t="s">
        <v>101</v>
      </c>
    </row>
    <row r="104" spans="2:5" ht="15.75" thickBot="1" x14ac:dyDescent="0.25">
      <c r="B104" s="125">
        <v>0</v>
      </c>
      <c r="C104" s="126">
        <v>1</v>
      </c>
      <c r="D104" s="127">
        <v>2</v>
      </c>
      <c r="E104" s="128">
        <v>3</v>
      </c>
    </row>
    <row r="105" spans="2:5" ht="20.25" thickTop="1" thickBot="1" x14ac:dyDescent="0.25">
      <c r="B105" s="1133" t="str">
        <f>$B$15</f>
        <v>1. Stan na dzień 31. XII. 2010 r.</v>
      </c>
      <c r="C105" s="1391">
        <v>0</v>
      </c>
      <c r="D105" s="1357">
        <v>0</v>
      </c>
      <c r="E105" s="1392">
        <v>0</v>
      </c>
    </row>
    <row r="106" spans="2:5" ht="19.5" thickBot="1" x14ac:dyDescent="0.25">
      <c r="B106" s="1134" t="str">
        <f>$B$16</f>
        <v>2. Przybyło w 2011 r.</v>
      </c>
      <c r="C106" s="1393">
        <v>0</v>
      </c>
      <c r="D106" s="1361">
        <v>0</v>
      </c>
      <c r="E106" s="1394">
        <v>0</v>
      </c>
    </row>
    <row r="107" spans="2:5" ht="19.5" thickBot="1" x14ac:dyDescent="0.25">
      <c r="B107" s="1134" t="str">
        <f>$B$17</f>
        <v>3. Ubyło w 2011 r.</v>
      </c>
      <c r="C107" s="1393">
        <v>0</v>
      </c>
      <c r="D107" s="1361">
        <v>0</v>
      </c>
      <c r="E107" s="1394">
        <v>0</v>
      </c>
    </row>
    <row r="108" spans="2:5" ht="18.75" thickBot="1" x14ac:dyDescent="0.25">
      <c r="B108" s="1134" t="str">
        <f>$B$18</f>
        <v>4. Stan na dzień 31. XII. 2011 r. (w.1+w.2-w.3)</v>
      </c>
      <c r="C108" s="367">
        <f>(C105+C106)-C107</f>
        <v>0</v>
      </c>
      <c r="D108" s="368">
        <f>(D105+D106)-D107</f>
        <v>0</v>
      </c>
      <c r="E108" s="369">
        <f>(E105+E106)-E107</f>
        <v>0</v>
      </c>
    </row>
    <row r="109" spans="2:5" ht="19.5" thickBot="1" x14ac:dyDescent="0.25">
      <c r="B109" s="1135" t="str">
        <f>$B$19</f>
        <v>5. Planowane zwiększenie w 2012 r.</v>
      </c>
      <c r="C109" s="1395">
        <v>0</v>
      </c>
      <c r="D109" s="1365">
        <v>0</v>
      </c>
      <c r="E109" s="180" t="s">
        <v>51</v>
      </c>
    </row>
    <row r="110" spans="2:5" ht="14.25" thickTop="1" thickBot="1" x14ac:dyDescent="0.25"/>
    <row r="111" spans="2:5" ht="20.25" thickTop="1" thickBot="1" x14ac:dyDescent="0.35">
      <c r="B111" s="1136" t="str">
        <f>$B$21</f>
        <v>I.  Liczba osób umieszczonych w mieszkaniach chronionych w 2011 r.</v>
      </c>
      <c r="C111" s="129"/>
      <c r="D111" s="129"/>
      <c r="E111" s="1396">
        <v>0</v>
      </c>
    </row>
    <row r="112" spans="2:5" ht="18" x14ac:dyDescent="0.2">
      <c r="B112" s="130" t="s">
        <v>102</v>
      </c>
      <c r="C112" s="131"/>
      <c r="D112" s="131"/>
      <c r="E112" s="1390" t="s">
        <v>447</v>
      </c>
    </row>
    <row r="113" spans="1:5" ht="19.5" thickBot="1" x14ac:dyDescent="0.35">
      <c r="B113" s="1137" t="str">
        <f>$B$23</f>
        <v xml:space="preserve">     nionych wg stanu na dzień 31. XII. 2011 r.</v>
      </c>
      <c r="C113" s="19"/>
      <c r="D113" s="19"/>
      <c r="E113" s="1397">
        <v>0</v>
      </c>
    </row>
    <row r="114" spans="1:5" ht="18" x14ac:dyDescent="0.25">
      <c r="B114" s="132" t="s">
        <v>103</v>
      </c>
      <c r="C114" s="21"/>
      <c r="D114" s="21"/>
      <c r="E114" s="181"/>
    </row>
    <row r="115" spans="1:5" ht="18.75" thickBot="1" x14ac:dyDescent="0.3">
      <c r="B115" s="133" t="s">
        <v>114</v>
      </c>
      <c r="C115" s="24"/>
      <c r="D115" s="24"/>
      <c r="E115" s="935">
        <f>IF(E111=0, 0, (E111*100)/(E113+E111)*0.01)</f>
        <v>0</v>
      </c>
    </row>
    <row r="116" spans="1:5" ht="13.5" thickTop="1" x14ac:dyDescent="0.2"/>
    <row r="117" spans="1:5" ht="15.75" x14ac:dyDescent="0.25">
      <c r="B117" s="1" t="s">
        <v>123</v>
      </c>
      <c r="C117" s="12"/>
    </row>
    <row r="118" spans="1:5" ht="18" x14ac:dyDescent="0.25">
      <c r="B118" s="1" t="s">
        <v>132</v>
      </c>
      <c r="C118" s="12"/>
      <c r="D118" s="25"/>
    </row>
    <row r="119" spans="1:5" ht="15.75" x14ac:dyDescent="0.25">
      <c r="B119" s="1"/>
      <c r="D119" s="1604" t="s">
        <v>141</v>
      </c>
      <c r="E119" s="1604"/>
    </row>
    <row r="120" spans="1:5" ht="15.75" x14ac:dyDescent="0.25">
      <c r="B120" s="1" t="s">
        <v>137</v>
      </c>
      <c r="D120" s="1718" t="s">
        <v>126</v>
      </c>
      <c r="E120" s="1718"/>
    </row>
    <row r="122" spans="1:5" ht="20.25" x14ac:dyDescent="0.25">
      <c r="A122" s="358" t="s">
        <v>172</v>
      </c>
      <c r="B122" s="11" t="s">
        <v>116</v>
      </c>
      <c r="D122" s="1824" t="s">
        <v>98</v>
      </c>
      <c r="E122" s="1824"/>
    </row>
    <row r="123" spans="1:5" ht="18" x14ac:dyDescent="0.25">
      <c r="B123" s="14" t="s">
        <v>129</v>
      </c>
      <c r="C123" s="11"/>
      <c r="D123" s="11"/>
    </row>
    <row r="124" spans="1:5" ht="18" x14ac:dyDescent="0.25">
      <c r="B124" s="11" t="s">
        <v>143</v>
      </c>
      <c r="D124" s="1806" t="str">
        <f>'Tab.1. bilans_Polska'!$E$59</f>
        <v>Termin: 29 luty 2012 r.</v>
      </c>
      <c r="E124" s="1806"/>
    </row>
    <row r="125" spans="1:5" ht="18" x14ac:dyDescent="0.25">
      <c r="B125" s="11"/>
    </row>
    <row r="126" spans="1:5" ht="18" x14ac:dyDescent="0.25">
      <c r="B126" s="11" t="s">
        <v>130</v>
      </c>
    </row>
    <row r="127" spans="1:5" ht="15.75" x14ac:dyDescent="0.25">
      <c r="B127" s="1" t="s">
        <v>131</v>
      </c>
    </row>
    <row r="128" spans="1:5" ht="26.25" x14ac:dyDescent="0.4">
      <c r="B128" s="1601" t="str">
        <f>$B$8</f>
        <v>MIESZKANIA  CHRONIONE  W 2011 r.</v>
      </c>
      <c r="C128" s="1601"/>
      <c r="D128" s="1601"/>
      <c r="E128" s="1601"/>
    </row>
    <row r="129" spans="2:5" ht="23.25" x14ac:dyDescent="0.35">
      <c r="B129" s="30"/>
      <c r="C129" s="30"/>
      <c r="D129" s="30"/>
      <c r="E129" s="30"/>
    </row>
    <row r="130" spans="2:5" ht="18.75" thickBot="1" x14ac:dyDescent="0.3">
      <c r="B130" s="11"/>
    </row>
    <row r="131" spans="2:5" ht="19.5" thickTop="1" thickBot="1" x14ac:dyDescent="0.25">
      <c r="B131" s="116"/>
      <c r="C131" s="1863" t="s">
        <v>4</v>
      </c>
      <c r="D131" s="1864"/>
      <c r="E131" s="1865"/>
    </row>
    <row r="132" spans="2:5" ht="20.25" x14ac:dyDescent="0.2">
      <c r="B132" s="117" t="s">
        <v>21</v>
      </c>
      <c r="C132" s="118" t="s">
        <v>99</v>
      </c>
      <c r="D132" s="119" t="s">
        <v>13</v>
      </c>
      <c r="E132" s="120" t="s">
        <v>100</v>
      </c>
    </row>
    <row r="133" spans="2:5" ht="18.75" thickBot="1" x14ac:dyDescent="0.25">
      <c r="B133" s="121"/>
      <c r="C133" s="122"/>
      <c r="D133" s="123"/>
      <c r="E133" s="124" t="s">
        <v>101</v>
      </c>
    </row>
    <row r="134" spans="2:5" ht="15.75" thickBot="1" x14ac:dyDescent="0.25">
      <c r="B134" s="125">
        <v>0</v>
      </c>
      <c r="C134" s="126">
        <v>1</v>
      </c>
      <c r="D134" s="127">
        <v>2</v>
      </c>
      <c r="E134" s="128">
        <v>3</v>
      </c>
    </row>
    <row r="135" spans="2:5" ht="20.25" thickTop="1" thickBot="1" x14ac:dyDescent="0.25">
      <c r="B135" s="1133" t="str">
        <f>$B$15</f>
        <v>1. Stan na dzień 31. XII. 2010 r.</v>
      </c>
      <c r="C135" s="1391">
        <v>0</v>
      </c>
      <c r="D135" s="1357">
        <v>0</v>
      </c>
      <c r="E135" s="1392">
        <v>0</v>
      </c>
    </row>
    <row r="136" spans="2:5" ht="19.5" thickBot="1" x14ac:dyDescent="0.25">
      <c r="B136" s="1134" t="str">
        <f>$B$16</f>
        <v>2. Przybyło w 2011 r.</v>
      </c>
      <c r="C136" s="1393">
        <v>1</v>
      </c>
      <c r="D136" s="1361">
        <v>9</v>
      </c>
      <c r="E136" s="1394">
        <v>7</v>
      </c>
    </row>
    <row r="137" spans="2:5" ht="19.5" thickBot="1" x14ac:dyDescent="0.25">
      <c r="B137" s="1134" t="str">
        <f>$B$17</f>
        <v>3. Ubyło w 2011 r.</v>
      </c>
      <c r="C137" s="1393">
        <v>0</v>
      </c>
      <c r="D137" s="1361">
        <v>0</v>
      </c>
      <c r="E137" s="1394">
        <v>0</v>
      </c>
    </row>
    <row r="138" spans="2:5" ht="18.75" thickBot="1" x14ac:dyDescent="0.25">
      <c r="B138" s="1134" t="str">
        <f>$B$18</f>
        <v>4. Stan na dzień 31. XII. 2011 r. (w.1+w.2-w.3)</v>
      </c>
      <c r="C138" s="367">
        <f>(C135+C136)-C137</f>
        <v>1</v>
      </c>
      <c r="D138" s="368">
        <f>(D135+D136)-D137</f>
        <v>9</v>
      </c>
      <c r="E138" s="369">
        <f>(E135+E136)-E137</f>
        <v>7</v>
      </c>
    </row>
    <row r="139" spans="2:5" ht="19.5" thickBot="1" x14ac:dyDescent="0.25">
      <c r="B139" s="1135" t="str">
        <f>$B$19</f>
        <v>5. Planowane zwiększenie w 2012 r.</v>
      </c>
      <c r="C139" s="1395">
        <v>0</v>
      </c>
      <c r="D139" s="1365">
        <v>0</v>
      </c>
      <c r="E139" s="180" t="s">
        <v>51</v>
      </c>
    </row>
    <row r="140" spans="2:5" ht="14.25" thickTop="1" thickBot="1" x14ac:dyDescent="0.25"/>
    <row r="141" spans="2:5" ht="20.25" thickTop="1" thickBot="1" x14ac:dyDescent="0.35">
      <c r="B141" s="1136" t="str">
        <f>$B$21</f>
        <v>I.  Liczba osób umieszczonych w mieszkaniach chronionych w 2011 r.</v>
      </c>
      <c r="C141" s="129"/>
      <c r="D141" s="129"/>
      <c r="E141" s="1396">
        <v>7</v>
      </c>
    </row>
    <row r="142" spans="2:5" ht="18" x14ac:dyDescent="0.2">
      <c r="B142" s="130" t="s">
        <v>102</v>
      </c>
      <c r="C142" s="131"/>
      <c r="D142" s="131"/>
      <c r="E142" s="1390" t="s">
        <v>447</v>
      </c>
    </row>
    <row r="143" spans="2:5" ht="19.5" thickBot="1" x14ac:dyDescent="0.35">
      <c r="B143" s="1137" t="str">
        <f>$B$23</f>
        <v xml:space="preserve">     nionych wg stanu na dzień 31. XII. 2011 r.</v>
      </c>
      <c r="C143" s="19"/>
      <c r="D143" s="19"/>
      <c r="E143" s="1397">
        <v>0</v>
      </c>
    </row>
    <row r="144" spans="2:5" ht="18" x14ac:dyDescent="0.25">
      <c r="B144" s="132" t="s">
        <v>103</v>
      </c>
      <c r="C144" s="21"/>
      <c r="D144" s="21"/>
      <c r="E144" s="181"/>
    </row>
    <row r="145" spans="1:5" ht="18.75" thickBot="1" x14ac:dyDescent="0.3">
      <c r="B145" s="133" t="s">
        <v>114</v>
      </c>
      <c r="C145" s="24"/>
      <c r="D145" s="24"/>
      <c r="E145" s="371">
        <f>IF(E141=0, 0, (E141*100)/(E143+E141)*0.01)</f>
        <v>1</v>
      </c>
    </row>
    <row r="146" spans="1:5" ht="13.5" thickTop="1" x14ac:dyDescent="0.2"/>
    <row r="147" spans="1:5" ht="15.75" x14ac:dyDescent="0.25">
      <c r="B147" s="1" t="s">
        <v>123</v>
      </c>
      <c r="C147" s="12"/>
    </row>
    <row r="148" spans="1:5" ht="18" x14ac:dyDescent="0.25">
      <c r="B148" s="1" t="s">
        <v>132</v>
      </c>
      <c r="C148" s="12"/>
      <c r="D148" s="25"/>
    </row>
    <row r="149" spans="1:5" ht="15.75" x14ac:dyDescent="0.25">
      <c r="B149" s="1"/>
      <c r="D149" s="1604" t="s">
        <v>141</v>
      </c>
      <c r="E149" s="1604"/>
    </row>
    <row r="150" spans="1:5" ht="15.75" x14ac:dyDescent="0.25">
      <c r="B150" s="1" t="s">
        <v>137</v>
      </c>
      <c r="D150" s="1718" t="s">
        <v>126</v>
      </c>
      <c r="E150" s="1718"/>
    </row>
    <row r="152" spans="1:5" ht="20.25" x14ac:dyDescent="0.25">
      <c r="A152" s="358" t="s">
        <v>197</v>
      </c>
      <c r="B152" s="11" t="s">
        <v>116</v>
      </c>
      <c r="D152" s="1824" t="s">
        <v>98</v>
      </c>
      <c r="E152" s="1824"/>
    </row>
    <row r="153" spans="1:5" ht="18" x14ac:dyDescent="0.25">
      <c r="B153" s="14" t="s">
        <v>129</v>
      </c>
      <c r="C153" s="11"/>
      <c r="D153" s="11"/>
    </row>
    <row r="154" spans="1:5" ht="18" x14ac:dyDescent="0.25">
      <c r="B154" s="11" t="s">
        <v>143</v>
      </c>
      <c r="D154" s="1806" t="str">
        <f>'Tab.1. bilans_Polska'!$E$59</f>
        <v>Termin: 29 luty 2012 r.</v>
      </c>
      <c r="E154" s="1806"/>
    </row>
    <row r="155" spans="1:5" ht="18" x14ac:dyDescent="0.25">
      <c r="B155" s="11"/>
    </row>
    <row r="156" spans="1:5" ht="18" x14ac:dyDescent="0.25">
      <c r="B156" s="11" t="s">
        <v>130</v>
      </c>
    </row>
    <row r="157" spans="1:5" ht="15.75" x14ac:dyDescent="0.25">
      <c r="B157" s="1" t="s">
        <v>131</v>
      </c>
    </row>
    <row r="158" spans="1:5" ht="26.25" x14ac:dyDescent="0.4">
      <c r="B158" s="1601" t="str">
        <f>$B$8</f>
        <v>MIESZKANIA  CHRONIONE  W 2011 r.</v>
      </c>
      <c r="C158" s="1601"/>
      <c r="D158" s="1601"/>
      <c r="E158" s="1601"/>
    </row>
    <row r="159" spans="1:5" ht="23.25" x14ac:dyDescent="0.35">
      <c r="B159" s="30"/>
      <c r="C159" s="30"/>
      <c r="D159" s="30"/>
      <c r="E159" s="30"/>
    </row>
    <row r="160" spans="1:5" ht="18.75" thickBot="1" x14ac:dyDescent="0.3">
      <c r="B160" s="11"/>
    </row>
    <row r="161" spans="2:5" ht="19.5" thickTop="1" thickBot="1" x14ac:dyDescent="0.25">
      <c r="B161" s="116"/>
      <c r="C161" s="1863" t="s">
        <v>4</v>
      </c>
      <c r="D161" s="1864"/>
      <c r="E161" s="1865"/>
    </row>
    <row r="162" spans="2:5" ht="20.25" x14ac:dyDescent="0.2">
      <c r="B162" s="117" t="s">
        <v>21</v>
      </c>
      <c r="C162" s="118" t="s">
        <v>99</v>
      </c>
      <c r="D162" s="119" t="s">
        <v>13</v>
      </c>
      <c r="E162" s="120" t="s">
        <v>100</v>
      </c>
    </row>
    <row r="163" spans="2:5" ht="18.75" thickBot="1" x14ac:dyDescent="0.25">
      <c r="B163" s="121"/>
      <c r="C163" s="122"/>
      <c r="D163" s="123"/>
      <c r="E163" s="124" t="s">
        <v>101</v>
      </c>
    </row>
    <row r="164" spans="2:5" ht="15.75" thickBot="1" x14ac:dyDescent="0.25">
      <c r="B164" s="125">
        <v>0</v>
      </c>
      <c r="C164" s="126">
        <v>1</v>
      </c>
      <c r="D164" s="127">
        <v>2</v>
      </c>
      <c r="E164" s="128">
        <v>3</v>
      </c>
    </row>
    <row r="165" spans="2:5" ht="20.25" thickTop="1" thickBot="1" x14ac:dyDescent="0.25">
      <c r="B165" s="1133" t="str">
        <f>$B$15</f>
        <v>1. Stan na dzień 31. XII. 2010 r.</v>
      </c>
      <c r="C165" s="1391">
        <v>0</v>
      </c>
      <c r="D165" s="1357">
        <v>0</v>
      </c>
      <c r="E165" s="1392">
        <v>0</v>
      </c>
    </row>
    <row r="166" spans="2:5" ht="19.5" thickBot="1" x14ac:dyDescent="0.25">
      <c r="B166" s="1134" t="str">
        <f>$B$16</f>
        <v>2. Przybyło w 2011 r.</v>
      </c>
      <c r="C166" s="1393">
        <v>0</v>
      </c>
      <c r="D166" s="1361">
        <v>0</v>
      </c>
      <c r="E166" s="1394">
        <v>0</v>
      </c>
    </row>
    <row r="167" spans="2:5" ht="19.5" thickBot="1" x14ac:dyDescent="0.25">
      <c r="B167" s="1134" t="str">
        <f>$B$17</f>
        <v>3. Ubyło w 2011 r.</v>
      </c>
      <c r="C167" s="1393">
        <v>0</v>
      </c>
      <c r="D167" s="1361">
        <v>0</v>
      </c>
      <c r="E167" s="1394">
        <v>0</v>
      </c>
    </row>
    <row r="168" spans="2:5" ht="18.75" thickBot="1" x14ac:dyDescent="0.25">
      <c r="B168" s="1134" t="str">
        <f>$B$18</f>
        <v>4. Stan na dzień 31. XII. 2011 r. (w.1+w.2-w.3)</v>
      </c>
      <c r="C168" s="367">
        <f>(C165+C166)-C167</f>
        <v>0</v>
      </c>
      <c r="D168" s="368">
        <f>(D165+D166)-D167</f>
        <v>0</v>
      </c>
      <c r="E168" s="369">
        <f>(E165+E166)-E167</f>
        <v>0</v>
      </c>
    </row>
    <row r="169" spans="2:5" ht="19.5" thickBot="1" x14ac:dyDescent="0.25">
      <c r="B169" s="1135" t="str">
        <f>$B$19</f>
        <v>5. Planowane zwiększenie w 2012 r.</v>
      </c>
      <c r="C169" s="1395">
        <v>0</v>
      </c>
      <c r="D169" s="1365">
        <v>0</v>
      </c>
      <c r="E169" s="180" t="s">
        <v>51</v>
      </c>
    </row>
    <row r="170" spans="2:5" ht="14.25" thickTop="1" thickBot="1" x14ac:dyDescent="0.25"/>
    <row r="171" spans="2:5" ht="20.25" thickTop="1" thickBot="1" x14ac:dyDescent="0.35">
      <c r="B171" s="1136" t="str">
        <f>$B$21</f>
        <v>I.  Liczba osób umieszczonych w mieszkaniach chronionych w 2011 r.</v>
      </c>
      <c r="C171" s="129"/>
      <c r="D171" s="129"/>
      <c r="E171" s="1396">
        <v>0</v>
      </c>
    </row>
    <row r="172" spans="2:5" ht="18" x14ac:dyDescent="0.2">
      <c r="B172" s="130" t="s">
        <v>102</v>
      </c>
      <c r="C172" s="131"/>
      <c r="D172" s="131"/>
      <c r="E172" s="1390" t="s">
        <v>447</v>
      </c>
    </row>
    <row r="173" spans="2:5" ht="19.5" thickBot="1" x14ac:dyDescent="0.35">
      <c r="B173" s="1137" t="str">
        <f>$B$23</f>
        <v xml:space="preserve">     nionych wg stanu na dzień 31. XII. 2011 r.</v>
      </c>
      <c r="C173" s="19"/>
      <c r="D173" s="19"/>
      <c r="E173" s="1397">
        <v>0</v>
      </c>
    </row>
    <row r="174" spans="2:5" ht="18" x14ac:dyDescent="0.25">
      <c r="B174" s="132" t="s">
        <v>103</v>
      </c>
      <c r="C174" s="21"/>
      <c r="D174" s="21"/>
      <c r="E174" s="181"/>
    </row>
    <row r="175" spans="2:5" ht="18.75" thickBot="1" x14ac:dyDescent="0.3">
      <c r="B175" s="133" t="s">
        <v>114</v>
      </c>
      <c r="C175" s="24"/>
      <c r="D175" s="24"/>
      <c r="E175" s="371">
        <f>IF(E171=0, 0, (E171*100)/(E173+E171)*0.01)</f>
        <v>0</v>
      </c>
    </row>
    <row r="176" spans="2:5" ht="13.5" thickTop="1" x14ac:dyDescent="0.2"/>
    <row r="177" spans="1:5" ht="15.75" x14ac:dyDescent="0.25">
      <c r="B177" s="1" t="s">
        <v>123</v>
      </c>
      <c r="C177" s="12"/>
    </row>
    <row r="178" spans="1:5" ht="18" x14ac:dyDescent="0.25">
      <c r="B178" s="1" t="s">
        <v>132</v>
      </c>
      <c r="C178" s="12"/>
      <c r="D178" s="25"/>
    </row>
    <row r="179" spans="1:5" ht="15.75" x14ac:dyDescent="0.25">
      <c r="B179" s="1"/>
      <c r="D179" s="1604" t="s">
        <v>141</v>
      </c>
      <c r="E179" s="1604"/>
    </row>
    <row r="180" spans="1:5" ht="15.75" x14ac:dyDescent="0.25">
      <c r="B180" s="1" t="s">
        <v>137</v>
      </c>
      <c r="D180" s="1718" t="s">
        <v>126</v>
      </c>
      <c r="E180" s="1718"/>
    </row>
    <row r="182" spans="1:5" ht="20.25" x14ac:dyDescent="0.25">
      <c r="A182" s="358" t="s">
        <v>198</v>
      </c>
      <c r="B182" s="11" t="s">
        <v>116</v>
      </c>
      <c r="D182" s="1824" t="s">
        <v>98</v>
      </c>
      <c r="E182" s="1824"/>
    </row>
    <row r="183" spans="1:5" ht="18" x14ac:dyDescent="0.25">
      <c r="B183" s="14" t="s">
        <v>129</v>
      </c>
      <c r="C183" s="11"/>
      <c r="D183" s="11"/>
    </row>
    <row r="184" spans="1:5" ht="18" x14ac:dyDescent="0.25">
      <c r="B184" s="11" t="s">
        <v>143</v>
      </c>
      <c r="D184" s="1806" t="str">
        <f>'Tab.1. bilans_Polska'!$E$59</f>
        <v>Termin: 29 luty 2012 r.</v>
      </c>
      <c r="E184" s="1806"/>
    </row>
    <row r="185" spans="1:5" ht="18" x14ac:dyDescent="0.25">
      <c r="B185" s="11"/>
    </row>
    <row r="186" spans="1:5" ht="18" x14ac:dyDescent="0.25">
      <c r="B186" s="11" t="s">
        <v>130</v>
      </c>
    </row>
    <row r="187" spans="1:5" ht="15.75" x14ac:dyDescent="0.25">
      <c r="B187" s="1" t="s">
        <v>131</v>
      </c>
    </row>
    <row r="188" spans="1:5" ht="26.25" x14ac:dyDescent="0.4">
      <c r="B188" s="1601" t="str">
        <f>$B$8</f>
        <v>MIESZKANIA  CHRONIONE  W 2011 r.</v>
      </c>
      <c r="C188" s="1601"/>
      <c r="D188" s="1601"/>
      <c r="E188" s="1601"/>
    </row>
    <row r="189" spans="1:5" ht="23.25" x14ac:dyDescent="0.35">
      <c r="B189" s="30"/>
      <c r="C189" s="30"/>
      <c r="D189" s="30"/>
      <c r="E189" s="30"/>
    </row>
    <row r="190" spans="1:5" ht="18.75" thickBot="1" x14ac:dyDescent="0.3">
      <c r="B190" s="11"/>
    </row>
    <row r="191" spans="1:5" ht="19.5" thickTop="1" thickBot="1" x14ac:dyDescent="0.25">
      <c r="B191" s="116"/>
      <c r="C191" s="1863" t="s">
        <v>4</v>
      </c>
      <c r="D191" s="1864"/>
      <c r="E191" s="1865"/>
    </row>
    <row r="192" spans="1:5" ht="20.25" x14ac:dyDescent="0.2">
      <c r="B192" s="117" t="s">
        <v>21</v>
      </c>
      <c r="C192" s="118" t="s">
        <v>99</v>
      </c>
      <c r="D192" s="119" t="s">
        <v>13</v>
      </c>
      <c r="E192" s="120" t="s">
        <v>100</v>
      </c>
    </row>
    <row r="193" spans="2:5" ht="18.75" thickBot="1" x14ac:dyDescent="0.25">
      <c r="B193" s="121"/>
      <c r="C193" s="122"/>
      <c r="D193" s="123"/>
      <c r="E193" s="124" t="s">
        <v>101</v>
      </c>
    </row>
    <row r="194" spans="2:5" ht="15.75" thickBot="1" x14ac:dyDescent="0.25">
      <c r="B194" s="125">
        <v>0</v>
      </c>
      <c r="C194" s="126">
        <v>1</v>
      </c>
      <c r="D194" s="127">
        <v>2</v>
      </c>
      <c r="E194" s="128">
        <v>3</v>
      </c>
    </row>
    <row r="195" spans="2:5" ht="20.25" thickTop="1" thickBot="1" x14ac:dyDescent="0.25">
      <c r="B195" s="1133" t="str">
        <f>$B$15</f>
        <v>1. Stan na dzień 31. XII. 2010 r.</v>
      </c>
      <c r="C195" s="1391">
        <v>0</v>
      </c>
      <c r="D195" s="1357">
        <v>0</v>
      </c>
      <c r="E195" s="1392">
        <v>0</v>
      </c>
    </row>
    <row r="196" spans="2:5" ht="19.5" thickBot="1" x14ac:dyDescent="0.25">
      <c r="B196" s="1134" t="str">
        <f>$B$16</f>
        <v>2. Przybyło w 2011 r.</v>
      </c>
      <c r="C196" s="1393">
        <v>0</v>
      </c>
      <c r="D196" s="1361">
        <v>0</v>
      </c>
      <c r="E196" s="1394">
        <v>0</v>
      </c>
    </row>
    <row r="197" spans="2:5" ht="19.5" thickBot="1" x14ac:dyDescent="0.25">
      <c r="B197" s="1134" t="str">
        <f>$B$17</f>
        <v>3. Ubyło w 2011 r.</v>
      </c>
      <c r="C197" s="1393">
        <v>0</v>
      </c>
      <c r="D197" s="1361">
        <v>0</v>
      </c>
      <c r="E197" s="1394">
        <v>0</v>
      </c>
    </row>
    <row r="198" spans="2:5" ht="18.75" thickBot="1" x14ac:dyDescent="0.25">
      <c r="B198" s="1134" t="str">
        <f>$B$18</f>
        <v>4. Stan na dzień 31. XII. 2011 r. (w.1+w.2-w.3)</v>
      </c>
      <c r="C198" s="367">
        <f>(C195+C196)-C197</f>
        <v>0</v>
      </c>
      <c r="D198" s="368">
        <f>(D195+D196)-D197</f>
        <v>0</v>
      </c>
      <c r="E198" s="369">
        <f>(E195+E196)-E197</f>
        <v>0</v>
      </c>
    </row>
    <row r="199" spans="2:5" ht="19.5" thickBot="1" x14ac:dyDescent="0.25">
      <c r="B199" s="1135" t="str">
        <f>$B$19</f>
        <v>5. Planowane zwiększenie w 2012 r.</v>
      </c>
      <c r="C199" s="1395">
        <v>0</v>
      </c>
      <c r="D199" s="1365">
        <v>0</v>
      </c>
      <c r="E199" s="180" t="s">
        <v>51</v>
      </c>
    </row>
    <row r="200" spans="2:5" ht="14.25" thickTop="1" thickBot="1" x14ac:dyDescent="0.25"/>
    <row r="201" spans="2:5" ht="20.25" thickTop="1" thickBot="1" x14ac:dyDescent="0.35">
      <c r="B201" s="1136" t="str">
        <f>$B$21</f>
        <v>I.  Liczba osób umieszczonych w mieszkaniach chronionych w 2011 r.</v>
      </c>
      <c r="C201" s="129"/>
      <c r="D201" s="129"/>
      <c r="E201" s="1396">
        <v>0</v>
      </c>
    </row>
    <row r="202" spans="2:5" ht="18" x14ac:dyDescent="0.2">
      <c r="B202" s="130" t="s">
        <v>102</v>
      </c>
      <c r="C202" s="131"/>
      <c r="D202" s="131"/>
      <c r="E202" s="1390" t="s">
        <v>447</v>
      </c>
    </row>
    <row r="203" spans="2:5" ht="19.5" thickBot="1" x14ac:dyDescent="0.35">
      <c r="B203" s="1137" t="str">
        <f>$B$23</f>
        <v xml:space="preserve">     nionych wg stanu na dzień 31. XII. 2011 r.</v>
      </c>
      <c r="C203" s="19"/>
      <c r="D203" s="19"/>
      <c r="E203" s="1397">
        <v>0</v>
      </c>
    </row>
    <row r="204" spans="2:5" ht="18" x14ac:dyDescent="0.25">
      <c r="B204" s="132" t="s">
        <v>103</v>
      </c>
      <c r="C204" s="21"/>
      <c r="D204" s="21"/>
      <c r="E204" s="181"/>
    </row>
    <row r="205" spans="2:5" ht="18.75" thickBot="1" x14ac:dyDescent="0.3">
      <c r="B205" s="133" t="s">
        <v>114</v>
      </c>
      <c r="C205" s="24"/>
      <c r="D205" s="24"/>
      <c r="E205" s="371">
        <f>IF(E201=0, 0, (E201*100)/(E203+E201)*0.01)</f>
        <v>0</v>
      </c>
    </row>
    <row r="206" spans="2:5" ht="13.5" thickTop="1" x14ac:dyDescent="0.2"/>
    <row r="207" spans="2:5" ht="15.75" x14ac:dyDescent="0.25">
      <c r="B207" s="1" t="s">
        <v>123</v>
      </c>
      <c r="C207" s="12"/>
    </row>
    <row r="208" spans="2:5" ht="18" x14ac:dyDescent="0.25">
      <c r="B208" s="1" t="s">
        <v>132</v>
      </c>
      <c r="C208" s="12"/>
      <c r="D208" s="25"/>
    </row>
    <row r="209" spans="1:5" ht="15.75" x14ac:dyDescent="0.25">
      <c r="B209" s="1"/>
      <c r="D209" s="1604" t="s">
        <v>141</v>
      </c>
      <c r="E209" s="1604"/>
    </row>
    <row r="210" spans="1:5" ht="15.75" x14ac:dyDescent="0.25">
      <c r="B210" s="1" t="s">
        <v>137</v>
      </c>
      <c r="D210" s="1718" t="s">
        <v>126</v>
      </c>
      <c r="E210" s="1718"/>
    </row>
    <row r="212" spans="1:5" ht="20.25" x14ac:dyDescent="0.25">
      <c r="A212" s="358" t="s">
        <v>199</v>
      </c>
      <c r="B212" s="11" t="s">
        <v>116</v>
      </c>
      <c r="D212" s="1824" t="s">
        <v>98</v>
      </c>
      <c r="E212" s="1824"/>
    </row>
    <row r="213" spans="1:5" ht="18" x14ac:dyDescent="0.25">
      <c r="B213" s="14" t="s">
        <v>129</v>
      </c>
      <c r="C213" s="11"/>
      <c r="D213" s="11"/>
    </row>
    <row r="214" spans="1:5" ht="18" x14ac:dyDescent="0.25">
      <c r="B214" s="11" t="s">
        <v>143</v>
      </c>
      <c r="D214" s="1806" t="str">
        <f>'Tab.1. bilans_Polska'!$E$59</f>
        <v>Termin: 29 luty 2012 r.</v>
      </c>
      <c r="E214" s="1806"/>
    </row>
    <row r="215" spans="1:5" ht="18" x14ac:dyDescent="0.25">
      <c r="B215" s="11"/>
    </row>
    <row r="216" spans="1:5" ht="18" x14ac:dyDescent="0.25">
      <c r="B216" s="11" t="s">
        <v>130</v>
      </c>
    </row>
    <row r="217" spans="1:5" ht="15.75" x14ac:dyDescent="0.25">
      <c r="B217" s="1" t="s">
        <v>131</v>
      </c>
    </row>
    <row r="218" spans="1:5" ht="26.25" x14ac:dyDescent="0.4">
      <c r="B218" s="1601" t="str">
        <f>$B$8</f>
        <v>MIESZKANIA  CHRONIONE  W 2011 r.</v>
      </c>
      <c r="C218" s="1601"/>
      <c r="D218" s="1601"/>
      <c r="E218" s="1601"/>
    </row>
    <row r="219" spans="1:5" ht="23.25" x14ac:dyDescent="0.35">
      <c r="B219" s="30"/>
      <c r="C219" s="30"/>
      <c r="D219" s="30"/>
      <c r="E219" s="30"/>
    </row>
    <row r="220" spans="1:5" ht="18.75" thickBot="1" x14ac:dyDescent="0.3">
      <c r="B220" s="11"/>
    </row>
    <row r="221" spans="1:5" ht="19.5" thickTop="1" thickBot="1" x14ac:dyDescent="0.25">
      <c r="B221" s="116"/>
      <c r="C221" s="1863" t="s">
        <v>4</v>
      </c>
      <c r="D221" s="1864"/>
      <c r="E221" s="1865"/>
    </row>
    <row r="222" spans="1:5" ht="20.25" x14ac:dyDescent="0.2">
      <c r="B222" s="117" t="s">
        <v>21</v>
      </c>
      <c r="C222" s="118" t="s">
        <v>99</v>
      </c>
      <c r="D222" s="119" t="s">
        <v>13</v>
      </c>
      <c r="E222" s="120" t="s">
        <v>100</v>
      </c>
    </row>
    <row r="223" spans="1:5" ht="18.75" thickBot="1" x14ac:dyDescent="0.25">
      <c r="B223" s="121"/>
      <c r="C223" s="122"/>
      <c r="D223" s="123"/>
      <c r="E223" s="124" t="s">
        <v>101</v>
      </c>
    </row>
    <row r="224" spans="1:5" ht="15.75" thickBot="1" x14ac:dyDescent="0.25">
      <c r="B224" s="125">
        <v>0</v>
      </c>
      <c r="C224" s="126">
        <v>1</v>
      </c>
      <c r="D224" s="127">
        <v>2</v>
      </c>
      <c r="E224" s="128">
        <v>3</v>
      </c>
    </row>
    <row r="225" spans="2:5" ht="20.25" thickTop="1" thickBot="1" x14ac:dyDescent="0.25">
      <c r="B225" s="1133" t="str">
        <f>$B$15</f>
        <v>1. Stan na dzień 31. XII. 2010 r.</v>
      </c>
      <c r="C225" s="1391">
        <v>0</v>
      </c>
      <c r="D225" s="1357">
        <v>0</v>
      </c>
      <c r="E225" s="1392">
        <v>0</v>
      </c>
    </row>
    <row r="226" spans="2:5" ht="19.5" thickBot="1" x14ac:dyDescent="0.25">
      <c r="B226" s="1134" t="str">
        <f>$B$16</f>
        <v>2. Przybyło w 2011 r.</v>
      </c>
      <c r="C226" s="1393">
        <v>0</v>
      </c>
      <c r="D226" s="1361">
        <v>0</v>
      </c>
      <c r="E226" s="1394">
        <v>0</v>
      </c>
    </row>
    <row r="227" spans="2:5" ht="19.5" thickBot="1" x14ac:dyDescent="0.25">
      <c r="B227" s="1134" t="str">
        <f>$B$17</f>
        <v>3. Ubyło w 2011 r.</v>
      </c>
      <c r="C227" s="1393">
        <v>0</v>
      </c>
      <c r="D227" s="1361">
        <v>0</v>
      </c>
      <c r="E227" s="1394">
        <v>0</v>
      </c>
    </row>
    <row r="228" spans="2:5" ht="18.75" thickBot="1" x14ac:dyDescent="0.25">
      <c r="B228" s="1134" t="str">
        <f>$B$18</f>
        <v>4. Stan na dzień 31. XII. 2011 r. (w.1+w.2-w.3)</v>
      </c>
      <c r="C228" s="367">
        <f>(C225+C226)-C227</f>
        <v>0</v>
      </c>
      <c r="D228" s="368">
        <f>(D225+D226)-D227</f>
        <v>0</v>
      </c>
      <c r="E228" s="369">
        <f>(E225+E226)-E227</f>
        <v>0</v>
      </c>
    </row>
    <row r="229" spans="2:5" ht="19.5" thickBot="1" x14ac:dyDescent="0.25">
      <c r="B229" s="1135" t="str">
        <f>$B$19</f>
        <v>5. Planowane zwiększenie w 2012 r.</v>
      </c>
      <c r="C229" s="1395">
        <v>0</v>
      </c>
      <c r="D229" s="1365">
        <v>0</v>
      </c>
      <c r="E229" s="180" t="s">
        <v>51</v>
      </c>
    </row>
    <row r="230" spans="2:5" ht="14.25" thickTop="1" thickBot="1" x14ac:dyDescent="0.25"/>
    <row r="231" spans="2:5" ht="20.25" thickTop="1" thickBot="1" x14ac:dyDescent="0.35">
      <c r="B231" s="1136" t="str">
        <f>$B$21</f>
        <v>I.  Liczba osób umieszczonych w mieszkaniach chronionych w 2011 r.</v>
      </c>
      <c r="C231" s="129"/>
      <c r="D231" s="129"/>
      <c r="E231" s="1396">
        <v>0</v>
      </c>
    </row>
    <row r="232" spans="2:5" ht="18" x14ac:dyDescent="0.2">
      <c r="B232" s="130" t="s">
        <v>102</v>
      </c>
      <c r="C232" s="131"/>
      <c r="D232" s="131"/>
      <c r="E232" s="1390" t="s">
        <v>447</v>
      </c>
    </row>
    <row r="233" spans="2:5" ht="19.5" thickBot="1" x14ac:dyDescent="0.35">
      <c r="B233" s="1137" t="str">
        <f>$B$23</f>
        <v xml:space="preserve">     nionych wg stanu na dzień 31. XII. 2011 r.</v>
      </c>
      <c r="C233" s="19"/>
      <c r="D233" s="19"/>
      <c r="E233" s="1397">
        <v>0</v>
      </c>
    </row>
    <row r="234" spans="2:5" ht="18" x14ac:dyDescent="0.25">
      <c r="B234" s="132" t="s">
        <v>103</v>
      </c>
      <c r="C234" s="21"/>
      <c r="D234" s="21"/>
      <c r="E234" s="181"/>
    </row>
    <row r="235" spans="2:5" ht="18.75" thickBot="1" x14ac:dyDescent="0.3">
      <c r="B235" s="133" t="s">
        <v>114</v>
      </c>
      <c r="C235" s="24"/>
      <c r="D235" s="24"/>
      <c r="E235" s="371">
        <f>IF(E231=0, 0, (E231*100)/(E233+E231)*0.01)</f>
        <v>0</v>
      </c>
    </row>
    <row r="236" spans="2:5" ht="13.5" thickTop="1" x14ac:dyDescent="0.2"/>
    <row r="237" spans="2:5" ht="15.75" x14ac:dyDescent="0.25">
      <c r="B237" s="1" t="s">
        <v>123</v>
      </c>
      <c r="C237" s="12"/>
    </row>
    <row r="238" spans="2:5" ht="18" x14ac:dyDescent="0.25">
      <c r="B238" s="1" t="s">
        <v>132</v>
      </c>
      <c r="C238" s="12"/>
      <c r="D238" s="25"/>
    </row>
    <row r="239" spans="2:5" ht="15.75" x14ac:dyDescent="0.25">
      <c r="B239" s="1"/>
      <c r="D239" s="1604" t="s">
        <v>141</v>
      </c>
      <c r="E239" s="1604"/>
    </row>
    <row r="240" spans="2:5" ht="15.75" x14ac:dyDescent="0.25">
      <c r="B240" s="1" t="s">
        <v>137</v>
      </c>
      <c r="D240" s="1718" t="s">
        <v>126</v>
      </c>
      <c r="E240" s="1718"/>
    </row>
    <row r="242" spans="1:5" ht="20.25" x14ac:dyDescent="0.25">
      <c r="A242" s="358" t="s">
        <v>200</v>
      </c>
      <c r="B242" s="11" t="s">
        <v>116</v>
      </c>
      <c r="D242" s="1824" t="s">
        <v>98</v>
      </c>
      <c r="E242" s="1824"/>
    </row>
    <row r="243" spans="1:5" ht="18" x14ac:dyDescent="0.25">
      <c r="B243" s="14" t="s">
        <v>129</v>
      </c>
      <c r="C243" s="11"/>
      <c r="D243" s="11"/>
    </row>
    <row r="244" spans="1:5" ht="18" x14ac:dyDescent="0.25">
      <c r="B244" s="11" t="s">
        <v>143</v>
      </c>
      <c r="D244" s="1806" t="str">
        <f>'Tab.1. bilans_Polska'!$E$59</f>
        <v>Termin: 29 luty 2012 r.</v>
      </c>
      <c r="E244" s="1806"/>
    </row>
    <row r="245" spans="1:5" ht="18" x14ac:dyDescent="0.25">
      <c r="B245" s="11"/>
    </row>
    <row r="246" spans="1:5" ht="18" x14ac:dyDescent="0.25">
      <c r="B246" s="11" t="s">
        <v>130</v>
      </c>
    </row>
    <row r="247" spans="1:5" ht="15.75" x14ac:dyDescent="0.25">
      <c r="B247" s="1" t="s">
        <v>131</v>
      </c>
    </row>
    <row r="248" spans="1:5" ht="26.25" x14ac:dyDescent="0.4">
      <c r="B248" s="1601" t="str">
        <f>$B$8</f>
        <v>MIESZKANIA  CHRONIONE  W 2011 r.</v>
      </c>
      <c r="C248" s="1601"/>
      <c r="D248" s="1601"/>
      <c r="E248" s="1601"/>
    </row>
    <row r="249" spans="1:5" ht="23.25" x14ac:dyDescent="0.35">
      <c r="B249" s="30"/>
      <c r="C249" s="30"/>
      <c r="D249" s="30"/>
      <c r="E249" s="30"/>
    </row>
    <row r="250" spans="1:5" ht="18.75" thickBot="1" x14ac:dyDescent="0.3">
      <c r="B250" s="11"/>
    </row>
    <row r="251" spans="1:5" ht="19.5" thickTop="1" thickBot="1" x14ac:dyDescent="0.25">
      <c r="B251" s="116"/>
      <c r="C251" s="1863" t="s">
        <v>4</v>
      </c>
      <c r="D251" s="1864"/>
      <c r="E251" s="1865"/>
    </row>
    <row r="252" spans="1:5" ht="20.25" x14ac:dyDescent="0.2">
      <c r="B252" s="117" t="s">
        <v>21</v>
      </c>
      <c r="C252" s="118" t="s">
        <v>99</v>
      </c>
      <c r="D252" s="119" t="s">
        <v>13</v>
      </c>
      <c r="E252" s="120" t="s">
        <v>100</v>
      </c>
    </row>
    <row r="253" spans="1:5" ht="18.75" thickBot="1" x14ac:dyDescent="0.25">
      <c r="B253" s="121"/>
      <c r="C253" s="122"/>
      <c r="D253" s="123"/>
      <c r="E253" s="124" t="s">
        <v>101</v>
      </c>
    </row>
    <row r="254" spans="1:5" ht="15.75" thickBot="1" x14ac:dyDescent="0.25">
      <c r="B254" s="125">
        <v>0</v>
      </c>
      <c r="C254" s="126">
        <v>1</v>
      </c>
      <c r="D254" s="127">
        <v>2</v>
      </c>
      <c r="E254" s="128">
        <v>3</v>
      </c>
    </row>
    <row r="255" spans="1:5" ht="20.25" thickTop="1" thickBot="1" x14ac:dyDescent="0.25">
      <c r="B255" s="1133" t="str">
        <f>$B$15</f>
        <v>1. Stan na dzień 31. XII. 2010 r.</v>
      </c>
      <c r="C255" s="1398">
        <v>0</v>
      </c>
      <c r="D255" s="1399">
        <v>0</v>
      </c>
      <c r="E255" s="1400">
        <v>0</v>
      </c>
    </row>
    <row r="256" spans="1:5" ht="19.5" thickBot="1" x14ac:dyDescent="0.25">
      <c r="B256" s="1134" t="str">
        <f>$B$16</f>
        <v>2. Przybyło w 2011 r.</v>
      </c>
      <c r="C256" s="1393">
        <v>0</v>
      </c>
      <c r="D256" s="1361">
        <v>0</v>
      </c>
      <c r="E256" s="1394">
        <v>0</v>
      </c>
    </row>
    <row r="257" spans="1:5" ht="19.5" thickBot="1" x14ac:dyDescent="0.25">
      <c r="B257" s="1134" t="str">
        <f>$B$17</f>
        <v>3. Ubyło w 2011 r.</v>
      </c>
      <c r="C257" s="1393">
        <v>0</v>
      </c>
      <c r="D257" s="1361">
        <v>0</v>
      </c>
      <c r="E257" s="1394">
        <v>0</v>
      </c>
    </row>
    <row r="258" spans="1:5" ht="18.75" thickBot="1" x14ac:dyDescent="0.25">
      <c r="B258" s="1134" t="str">
        <f>$B$18</f>
        <v>4. Stan na dzień 31. XII. 2011 r. (w.1+w.2-w.3)</v>
      </c>
      <c r="C258" s="367">
        <f>(C255+C256)-C257</f>
        <v>0</v>
      </c>
      <c r="D258" s="368">
        <f>(D255+D256)-D257</f>
        <v>0</v>
      </c>
      <c r="E258" s="369">
        <f>(E255+E256)-E257</f>
        <v>0</v>
      </c>
    </row>
    <row r="259" spans="1:5" ht="19.5" thickBot="1" x14ac:dyDescent="0.25">
      <c r="B259" s="1135" t="str">
        <f>$B$19</f>
        <v>5. Planowane zwiększenie w 2012 r.</v>
      </c>
      <c r="C259" s="1395">
        <v>0</v>
      </c>
      <c r="D259" s="1365">
        <v>0</v>
      </c>
      <c r="E259" s="180" t="s">
        <v>51</v>
      </c>
    </row>
    <row r="260" spans="1:5" ht="14.25" thickTop="1" thickBot="1" x14ac:dyDescent="0.25"/>
    <row r="261" spans="1:5" ht="20.25" thickTop="1" thickBot="1" x14ac:dyDescent="0.35">
      <c r="B261" s="1136" t="str">
        <f>$B$21</f>
        <v>I.  Liczba osób umieszczonych w mieszkaniach chronionych w 2011 r.</v>
      </c>
      <c r="C261" s="129"/>
      <c r="D261" s="129"/>
      <c r="E261" s="1396">
        <v>0</v>
      </c>
    </row>
    <row r="262" spans="1:5" ht="18" x14ac:dyDescent="0.2">
      <c r="B262" s="130" t="s">
        <v>102</v>
      </c>
      <c r="C262" s="131"/>
      <c r="D262" s="131"/>
      <c r="E262" s="1390" t="s">
        <v>447</v>
      </c>
    </row>
    <row r="263" spans="1:5" ht="19.5" thickBot="1" x14ac:dyDescent="0.35">
      <c r="B263" s="1137" t="str">
        <f>$B$23</f>
        <v xml:space="preserve">     nionych wg stanu na dzień 31. XII. 2011 r.</v>
      </c>
      <c r="C263" s="19"/>
      <c r="D263" s="19"/>
      <c r="E263" s="1397">
        <v>0</v>
      </c>
    </row>
    <row r="264" spans="1:5" ht="18" x14ac:dyDescent="0.25">
      <c r="B264" s="132" t="s">
        <v>103</v>
      </c>
      <c r="C264" s="21"/>
      <c r="D264" s="21"/>
      <c r="E264" s="181"/>
    </row>
    <row r="265" spans="1:5" ht="18.75" thickBot="1" x14ac:dyDescent="0.3">
      <c r="B265" s="133" t="s">
        <v>114</v>
      </c>
      <c r="C265" s="24"/>
      <c r="D265" s="24"/>
      <c r="E265" s="371">
        <f>IF(E261=0, 0, (E261*100)/(E263+E261)*0.01)</f>
        <v>0</v>
      </c>
    </row>
    <row r="266" spans="1:5" ht="13.5" thickTop="1" x14ac:dyDescent="0.2"/>
    <row r="267" spans="1:5" ht="15.75" x14ac:dyDescent="0.25">
      <c r="B267" s="1" t="s">
        <v>123</v>
      </c>
      <c r="C267" s="12"/>
    </row>
    <row r="268" spans="1:5" ht="18" x14ac:dyDescent="0.25">
      <c r="B268" s="1" t="s">
        <v>132</v>
      </c>
      <c r="C268" s="12"/>
      <c r="D268" s="25"/>
    </row>
    <row r="269" spans="1:5" ht="15.75" x14ac:dyDescent="0.25">
      <c r="B269" s="1"/>
      <c r="D269" s="1604" t="s">
        <v>141</v>
      </c>
      <c r="E269" s="1604"/>
    </row>
    <row r="270" spans="1:5" ht="15.75" x14ac:dyDescent="0.25">
      <c r="B270" s="1" t="s">
        <v>137</v>
      </c>
      <c r="D270" s="1718" t="s">
        <v>126</v>
      </c>
      <c r="E270" s="1718"/>
    </row>
    <row r="272" spans="1:5" ht="20.25" x14ac:dyDescent="0.25">
      <c r="A272" s="358" t="s">
        <v>201</v>
      </c>
      <c r="B272" s="11" t="s">
        <v>116</v>
      </c>
      <c r="D272" s="1824" t="s">
        <v>98</v>
      </c>
      <c r="E272" s="1824"/>
    </row>
    <row r="273" spans="2:5" ht="18" x14ac:dyDescent="0.25">
      <c r="B273" s="14" t="s">
        <v>129</v>
      </c>
      <c r="C273" s="11"/>
      <c r="D273" s="11"/>
    </row>
    <row r="274" spans="2:5" ht="18" x14ac:dyDescent="0.25">
      <c r="B274" s="11" t="s">
        <v>143</v>
      </c>
      <c r="D274" s="1806" t="str">
        <f>'Tab.1. bilans_Polska'!$E$59</f>
        <v>Termin: 29 luty 2012 r.</v>
      </c>
      <c r="E274" s="1806"/>
    </row>
    <row r="275" spans="2:5" ht="18" x14ac:dyDescent="0.25">
      <c r="B275" s="11"/>
    </row>
    <row r="276" spans="2:5" ht="18" x14ac:dyDescent="0.25">
      <c r="B276" s="11" t="s">
        <v>130</v>
      </c>
    </row>
    <row r="277" spans="2:5" ht="15.75" x14ac:dyDescent="0.25">
      <c r="B277" s="1" t="s">
        <v>131</v>
      </c>
    </row>
    <row r="278" spans="2:5" ht="26.25" x14ac:dyDescent="0.4">
      <c r="B278" s="1601" t="str">
        <f>$B$8</f>
        <v>MIESZKANIA  CHRONIONE  W 2011 r.</v>
      </c>
      <c r="C278" s="1601"/>
      <c r="D278" s="1601"/>
      <c r="E278" s="1601"/>
    </row>
    <row r="279" spans="2:5" ht="23.25" x14ac:dyDescent="0.35">
      <c r="B279" s="30"/>
      <c r="C279" s="30"/>
      <c r="D279" s="30"/>
      <c r="E279" s="30"/>
    </row>
    <row r="280" spans="2:5" ht="18.75" thickBot="1" x14ac:dyDescent="0.3">
      <c r="B280" s="11"/>
    </row>
    <row r="281" spans="2:5" ht="19.5" thickTop="1" thickBot="1" x14ac:dyDescent="0.25">
      <c r="B281" s="116"/>
      <c r="C281" s="1863" t="s">
        <v>4</v>
      </c>
      <c r="D281" s="1864"/>
      <c r="E281" s="1865"/>
    </row>
    <row r="282" spans="2:5" ht="20.25" x14ac:dyDescent="0.2">
      <c r="B282" s="117" t="s">
        <v>21</v>
      </c>
      <c r="C282" s="118" t="s">
        <v>99</v>
      </c>
      <c r="D282" s="119" t="s">
        <v>13</v>
      </c>
      <c r="E282" s="120" t="s">
        <v>100</v>
      </c>
    </row>
    <row r="283" spans="2:5" ht="18.75" thickBot="1" x14ac:dyDescent="0.25">
      <c r="B283" s="121"/>
      <c r="C283" s="122"/>
      <c r="D283" s="123"/>
      <c r="E283" s="124" t="s">
        <v>101</v>
      </c>
    </row>
    <row r="284" spans="2:5" ht="15.75" thickBot="1" x14ac:dyDescent="0.25">
      <c r="B284" s="125">
        <v>0</v>
      </c>
      <c r="C284" s="126">
        <v>1</v>
      </c>
      <c r="D284" s="127">
        <v>2</v>
      </c>
      <c r="E284" s="128">
        <v>3</v>
      </c>
    </row>
    <row r="285" spans="2:5" ht="20.25" thickTop="1" thickBot="1" x14ac:dyDescent="0.25">
      <c r="B285" s="1133" t="str">
        <f>$B$15</f>
        <v>1. Stan na dzień 31. XII. 2010 r.</v>
      </c>
      <c r="C285" s="1398">
        <v>0</v>
      </c>
      <c r="D285" s="1399">
        <v>0</v>
      </c>
      <c r="E285" s="1400">
        <v>0</v>
      </c>
    </row>
    <row r="286" spans="2:5" ht="19.5" thickBot="1" x14ac:dyDescent="0.25">
      <c r="B286" s="1134" t="str">
        <f>$B$16</f>
        <v>2. Przybyło w 2011 r.</v>
      </c>
      <c r="C286" s="1393">
        <v>0</v>
      </c>
      <c r="D286" s="1361">
        <v>0</v>
      </c>
      <c r="E286" s="1394">
        <v>0</v>
      </c>
    </row>
    <row r="287" spans="2:5" ht="19.5" thickBot="1" x14ac:dyDescent="0.25">
      <c r="B287" s="1134" t="str">
        <f>$B$17</f>
        <v>3. Ubyło w 2011 r.</v>
      </c>
      <c r="C287" s="1393">
        <v>0</v>
      </c>
      <c r="D287" s="1361">
        <v>0</v>
      </c>
      <c r="E287" s="1394">
        <v>0</v>
      </c>
    </row>
    <row r="288" spans="2:5" ht="18.75" thickBot="1" x14ac:dyDescent="0.25">
      <c r="B288" s="1134" t="str">
        <f>$B$18</f>
        <v>4. Stan na dzień 31. XII. 2011 r. (w.1+w.2-w.3)</v>
      </c>
      <c r="C288" s="367">
        <f>(C285+C286)-C287</f>
        <v>0</v>
      </c>
      <c r="D288" s="368">
        <f>(D285+D286)-D287</f>
        <v>0</v>
      </c>
      <c r="E288" s="369">
        <f>(E285+E286)-E287</f>
        <v>0</v>
      </c>
    </row>
    <row r="289" spans="1:5" ht="19.5" thickBot="1" x14ac:dyDescent="0.25">
      <c r="B289" s="1135" t="str">
        <f>$B$19</f>
        <v>5. Planowane zwiększenie w 2012 r.</v>
      </c>
      <c r="C289" s="1395">
        <v>0</v>
      </c>
      <c r="D289" s="1365">
        <v>0</v>
      </c>
      <c r="E289" s="180" t="s">
        <v>51</v>
      </c>
    </row>
    <row r="290" spans="1:5" ht="14.25" thickTop="1" thickBot="1" x14ac:dyDescent="0.25"/>
    <row r="291" spans="1:5" ht="20.25" thickTop="1" thickBot="1" x14ac:dyDescent="0.35">
      <c r="B291" s="1136" t="str">
        <f>$B$21</f>
        <v>I.  Liczba osób umieszczonych w mieszkaniach chronionych w 2011 r.</v>
      </c>
      <c r="C291" s="129"/>
      <c r="D291" s="129"/>
      <c r="E291" s="1396">
        <v>0</v>
      </c>
    </row>
    <row r="292" spans="1:5" ht="18" x14ac:dyDescent="0.2">
      <c r="B292" s="130" t="s">
        <v>102</v>
      </c>
      <c r="C292" s="131"/>
      <c r="D292" s="131"/>
      <c r="E292" s="1390" t="s">
        <v>447</v>
      </c>
    </row>
    <row r="293" spans="1:5" ht="19.5" thickBot="1" x14ac:dyDescent="0.35">
      <c r="B293" s="1137" t="str">
        <f>$B$23</f>
        <v xml:space="preserve">     nionych wg stanu na dzień 31. XII. 2011 r.</v>
      </c>
      <c r="C293" s="19"/>
      <c r="D293" s="19"/>
      <c r="E293" s="1397">
        <v>0</v>
      </c>
    </row>
    <row r="294" spans="1:5" ht="18" x14ac:dyDescent="0.25">
      <c r="B294" s="132" t="s">
        <v>103</v>
      </c>
      <c r="C294" s="21"/>
      <c r="D294" s="21"/>
      <c r="E294" s="181"/>
    </row>
    <row r="295" spans="1:5" ht="18.75" thickBot="1" x14ac:dyDescent="0.3">
      <c r="B295" s="133" t="s">
        <v>114</v>
      </c>
      <c r="C295" s="24"/>
      <c r="D295" s="24"/>
      <c r="E295" s="371">
        <f>IF(E291=0, 0, (E291*100)/(E293+E291)*0.01)</f>
        <v>0</v>
      </c>
    </row>
    <row r="296" spans="1:5" ht="13.5" thickTop="1" x14ac:dyDescent="0.2"/>
    <row r="297" spans="1:5" ht="15.75" x14ac:dyDescent="0.25">
      <c r="B297" s="1" t="s">
        <v>123</v>
      </c>
      <c r="C297" s="12"/>
    </row>
    <row r="298" spans="1:5" ht="18" x14ac:dyDescent="0.25">
      <c r="B298" s="1" t="s">
        <v>132</v>
      </c>
      <c r="C298" s="12"/>
      <c r="D298" s="25"/>
    </row>
    <row r="299" spans="1:5" ht="15.75" x14ac:dyDescent="0.25">
      <c r="B299" s="1"/>
      <c r="D299" s="1604" t="s">
        <v>141</v>
      </c>
      <c r="E299" s="1604"/>
    </row>
    <row r="300" spans="1:5" ht="15.75" x14ac:dyDescent="0.25">
      <c r="B300" s="1" t="s">
        <v>137</v>
      </c>
      <c r="D300" s="1718" t="s">
        <v>126</v>
      </c>
      <c r="E300" s="1718"/>
    </row>
    <row r="302" spans="1:5" ht="20.25" x14ac:dyDescent="0.25">
      <c r="A302" s="358" t="s">
        <v>202</v>
      </c>
      <c r="B302" s="11" t="s">
        <v>116</v>
      </c>
      <c r="D302" s="1824" t="s">
        <v>98</v>
      </c>
      <c r="E302" s="1824"/>
    </row>
    <row r="303" spans="1:5" ht="18" x14ac:dyDescent="0.25">
      <c r="B303" s="14" t="s">
        <v>129</v>
      </c>
      <c r="C303" s="11"/>
      <c r="D303" s="11"/>
    </row>
    <row r="304" spans="1:5" ht="18" x14ac:dyDescent="0.25">
      <c r="B304" s="11" t="s">
        <v>143</v>
      </c>
      <c r="D304" s="1806" t="str">
        <f>'Tab.1. bilans_Polska'!$E$59</f>
        <v>Termin: 29 luty 2012 r.</v>
      </c>
      <c r="E304" s="1806"/>
    </row>
    <row r="305" spans="2:5" ht="18" x14ac:dyDescent="0.25">
      <c r="B305" s="11"/>
    </row>
    <row r="306" spans="2:5" ht="18" x14ac:dyDescent="0.25">
      <c r="B306" s="11" t="s">
        <v>130</v>
      </c>
    </row>
    <row r="307" spans="2:5" ht="15.75" x14ac:dyDescent="0.25">
      <c r="B307" s="1" t="s">
        <v>131</v>
      </c>
    </row>
    <row r="308" spans="2:5" ht="26.25" x14ac:dyDescent="0.4">
      <c r="B308" s="1601" t="str">
        <f>$B$8</f>
        <v>MIESZKANIA  CHRONIONE  W 2011 r.</v>
      </c>
      <c r="C308" s="1601"/>
      <c r="D308" s="1601"/>
      <c r="E308" s="1601"/>
    </row>
    <row r="309" spans="2:5" ht="23.25" x14ac:dyDescent="0.35">
      <c r="B309" s="30"/>
      <c r="C309" s="30"/>
      <c r="D309" s="30"/>
      <c r="E309" s="30"/>
    </row>
    <row r="310" spans="2:5" ht="18.75" thickBot="1" x14ac:dyDescent="0.3">
      <c r="B310" s="11"/>
    </row>
    <row r="311" spans="2:5" ht="19.5" thickTop="1" thickBot="1" x14ac:dyDescent="0.25">
      <c r="B311" s="116"/>
      <c r="C311" s="1863" t="s">
        <v>4</v>
      </c>
      <c r="D311" s="1864"/>
      <c r="E311" s="1865"/>
    </row>
    <row r="312" spans="2:5" ht="20.25" x14ac:dyDescent="0.2">
      <c r="B312" s="117" t="s">
        <v>21</v>
      </c>
      <c r="C312" s="118" t="s">
        <v>99</v>
      </c>
      <c r="D312" s="119" t="s">
        <v>13</v>
      </c>
      <c r="E312" s="120" t="s">
        <v>100</v>
      </c>
    </row>
    <row r="313" spans="2:5" ht="18.75" thickBot="1" x14ac:dyDescent="0.25">
      <c r="B313" s="121"/>
      <c r="C313" s="122"/>
      <c r="D313" s="123"/>
      <c r="E313" s="124" t="s">
        <v>101</v>
      </c>
    </row>
    <row r="314" spans="2:5" ht="15.75" thickBot="1" x14ac:dyDescent="0.25">
      <c r="B314" s="125">
        <v>0</v>
      </c>
      <c r="C314" s="126">
        <v>1</v>
      </c>
      <c r="D314" s="127">
        <v>2</v>
      </c>
      <c r="E314" s="128">
        <v>3</v>
      </c>
    </row>
    <row r="315" spans="2:5" ht="20.25" thickTop="1" thickBot="1" x14ac:dyDescent="0.25">
      <c r="B315" s="1133" t="str">
        <f>$B$15</f>
        <v>1. Stan na dzień 31. XII. 2010 r.</v>
      </c>
      <c r="C315" s="1391">
        <v>0</v>
      </c>
      <c r="D315" s="1357">
        <v>0</v>
      </c>
      <c r="E315" s="1392">
        <v>0</v>
      </c>
    </row>
    <row r="316" spans="2:5" ht="19.5" thickBot="1" x14ac:dyDescent="0.25">
      <c r="B316" s="1134" t="str">
        <f>$B$16</f>
        <v>2. Przybyło w 2011 r.</v>
      </c>
      <c r="C316" s="1393">
        <v>0</v>
      </c>
      <c r="D316" s="1361">
        <v>0</v>
      </c>
      <c r="E316" s="1394">
        <v>0</v>
      </c>
    </row>
    <row r="317" spans="2:5" ht="19.5" thickBot="1" x14ac:dyDescent="0.25">
      <c r="B317" s="1134" t="str">
        <f>$B$17</f>
        <v>3. Ubyło w 2011 r.</v>
      </c>
      <c r="C317" s="1393">
        <v>0</v>
      </c>
      <c r="D317" s="1361">
        <v>0</v>
      </c>
      <c r="E317" s="1394">
        <v>0</v>
      </c>
    </row>
    <row r="318" spans="2:5" ht="18.75" thickBot="1" x14ac:dyDescent="0.25">
      <c r="B318" s="1134" t="str">
        <f>$B$18</f>
        <v>4. Stan na dzień 31. XII. 2011 r. (w.1+w.2-w.3)</v>
      </c>
      <c r="C318" s="404">
        <f>(C315+C316)-C317</f>
        <v>0</v>
      </c>
      <c r="D318" s="368">
        <f>(D315+D316)-D317</f>
        <v>0</v>
      </c>
      <c r="E318" s="369">
        <f>(E315+E316)-E317</f>
        <v>0</v>
      </c>
    </row>
    <row r="319" spans="2:5" ht="19.5" thickBot="1" x14ac:dyDescent="0.25">
      <c r="B319" s="1135" t="str">
        <f>$B$19</f>
        <v>5. Planowane zwiększenie w 2012 r.</v>
      </c>
      <c r="C319" s="1395">
        <v>0</v>
      </c>
      <c r="D319" s="1365">
        <v>0</v>
      </c>
      <c r="E319" s="180" t="s">
        <v>51</v>
      </c>
    </row>
    <row r="320" spans="2:5" ht="14.25" thickTop="1" thickBot="1" x14ac:dyDescent="0.25"/>
    <row r="321" spans="1:5" ht="20.25" thickTop="1" thickBot="1" x14ac:dyDescent="0.35">
      <c r="B321" s="1136" t="str">
        <f>$B$21</f>
        <v>I.  Liczba osób umieszczonych w mieszkaniach chronionych w 2011 r.</v>
      </c>
      <c r="C321" s="129"/>
      <c r="D321" s="129"/>
      <c r="E321" s="1396">
        <v>0</v>
      </c>
    </row>
    <row r="322" spans="1:5" ht="18" x14ac:dyDescent="0.2">
      <c r="B322" s="130" t="s">
        <v>102</v>
      </c>
      <c r="C322" s="131"/>
      <c r="D322" s="131"/>
      <c r="E322" s="1390" t="s">
        <v>447</v>
      </c>
    </row>
    <row r="323" spans="1:5" ht="19.5" thickBot="1" x14ac:dyDescent="0.35">
      <c r="B323" s="1137" t="str">
        <f>$B$23</f>
        <v xml:space="preserve">     nionych wg stanu na dzień 31. XII. 2011 r.</v>
      </c>
      <c r="C323" s="19"/>
      <c r="D323" s="19"/>
      <c r="E323" s="1397">
        <v>0</v>
      </c>
    </row>
    <row r="324" spans="1:5" ht="18" x14ac:dyDescent="0.25">
      <c r="B324" s="132" t="s">
        <v>103</v>
      </c>
      <c r="C324" s="21"/>
      <c r="D324" s="21"/>
      <c r="E324" s="181"/>
    </row>
    <row r="325" spans="1:5" ht="18.75" thickBot="1" x14ac:dyDescent="0.3">
      <c r="B325" s="133" t="s">
        <v>114</v>
      </c>
      <c r="C325" s="24"/>
      <c r="D325" s="24"/>
      <c r="E325" s="371">
        <f>IF(E321=0, 0, (E321*100)/(E323+E321)*0.01)</f>
        <v>0</v>
      </c>
    </row>
    <row r="326" spans="1:5" ht="13.5" thickTop="1" x14ac:dyDescent="0.2"/>
    <row r="327" spans="1:5" ht="15.75" x14ac:dyDescent="0.25">
      <c r="B327" s="1" t="s">
        <v>123</v>
      </c>
      <c r="C327" s="12"/>
    </row>
    <row r="328" spans="1:5" ht="18" x14ac:dyDescent="0.25">
      <c r="B328" s="1" t="s">
        <v>132</v>
      </c>
      <c r="C328" s="12"/>
      <c r="D328" s="25"/>
    </row>
    <row r="329" spans="1:5" ht="15.75" x14ac:dyDescent="0.25">
      <c r="B329" s="1"/>
      <c r="D329" s="1604" t="s">
        <v>141</v>
      </c>
      <c r="E329" s="1604"/>
    </row>
    <row r="330" spans="1:5" ht="15.75" x14ac:dyDescent="0.25">
      <c r="B330" s="1" t="s">
        <v>137</v>
      </c>
      <c r="D330" s="1718" t="s">
        <v>126</v>
      </c>
      <c r="E330" s="1718"/>
    </row>
    <row r="332" spans="1:5" ht="20.25" x14ac:dyDescent="0.25">
      <c r="A332" s="358" t="s">
        <v>203</v>
      </c>
      <c r="B332" s="11" t="s">
        <v>116</v>
      </c>
      <c r="D332" s="1824" t="s">
        <v>98</v>
      </c>
      <c r="E332" s="1824"/>
    </row>
    <row r="333" spans="1:5" ht="18" x14ac:dyDescent="0.25">
      <c r="B333" s="14" t="s">
        <v>129</v>
      </c>
      <c r="C333" s="11"/>
      <c r="D333" s="11"/>
    </row>
    <row r="334" spans="1:5" ht="18" x14ac:dyDescent="0.25">
      <c r="B334" s="11" t="s">
        <v>143</v>
      </c>
      <c r="D334" s="1806" t="str">
        <f>'Tab.1. bilans_Polska'!$E$59</f>
        <v>Termin: 29 luty 2012 r.</v>
      </c>
      <c r="E334" s="1806"/>
    </row>
    <row r="335" spans="1:5" ht="18" x14ac:dyDescent="0.25">
      <c r="B335" s="11"/>
    </row>
    <row r="336" spans="1:5" ht="18" x14ac:dyDescent="0.25">
      <c r="B336" s="11" t="s">
        <v>130</v>
      </c>
    </row>
    <row r="337" spans="2:5" ht="15.75" x14ac:dyDescent="0.25">
      <c r="B337" s="1" t="s">
        <v>131</v>
      </c>
    </row>
    <row r="338" spans="2:5" ht="26.25" x14ac:dyDescent="0.4">
      <c r="B338" s="1601" t="str">
        <f>$B$8</f>
        <v>MIESZKANIA  CHRONIONE  W 2011 r.</v>
      </c>
      <c r="C338" s="1601"/>
      <c r="D338" s="1601"/>
      <c r="E338" s="1601"/>
    </row>
    <row r="339" spans="2:5" ht="23.25" x14ac:dyDescent="0.35">
      <c r="B339" s="30"/>
      <c r="C339" s="30"/>
      <c r="D339" s="30"/>
      <c r="E339" s="30"/>
    </row>
    <row r="340" spans="2:5" ht="18.75" thickBot="1" x14ac:dyDescent="0.3">
      <c r="B340" s="11"/>
    </row>
    <row r="341" spans="2:5" ht="19.5" thickTop="1" thickBot="1" x14ac:dyDescent="0.25">
      <c r="B341" s="116"/>
      <c r="C341" s="1863" t="s">
        <v>4</v>
      </c>
      <c r="D341" s="1864"/>
      <c r="E341" s="1865"/>
    </row>
    <row r="342" spans="2:5" ht="20.25" x14ac:dyDescent="0.2">
      <c r="B342" s="117" t="s">
        <v>21</v>
      </c>
      <c r="C342" s="118" t="s">
        <v>99</v>
      </c>
      <c r="D342" s="119" t="s">
        <v>13</v>
      </c>
      <c r="E342" s="120" t="s">
        <v>100</v>
      </c>
    </row>
    <row r="343" spans="2:5" ht="18.75" thickBot="1" x14ac:dyDescent="0.25">
      <c r="B343" s="121"/>
      <c r="C343" s="122"/>
      <c r="D343" s="123"/>
      <c r="E343" s="124" t="s">
        <v>101</v>
      </c>
    </row>
    <row r="344" spans="2:5" ht="15.75" thickBot="1" x14ac:dyDescent="0.25">
      <c r="B344" s="125">
        <v>0</v>
      </c>
      <c r="C344" s="126">
        <v>1</v>
      </c>
      <c r="D344" s="127">
        <v>2</v>
      </c>
      <c r="E344" s="128">
        <v>3</v>
      </c>
    </row>
    <row r="345" spans="2:5" ht="20.25" thickTop="1" thickBot="1" x14ac:dyDescent="0.25">
      <c r="B345" s="1133" t="str">
        <f>$B$15</f>
        <v>1. Stan na dzień 31. XII. 2010 r.</v>
      </c>
      <c r="C345" s="1391">
        <v>23</v>
      </c>
      <c r="D345" s="1357">
        <v>61</v>
      </c>
      <c r="E345" s="1392">
        <v>63</v>
      </c>
    </row>
    <row r="346" spans="2:5" ht="19.5" thickBot="1" x14ac:dyDescent="0.25">
      <c r="B346" s="1134" t="str">
        <f>$B$16</f>
        <v>2. Przybyło w 2011 r.</v>
      </c>
      <c r="C346" s="1393">
        <v>0</v>
      </c>
      <c r="D346" s="1361">
        <v>0</v>
      </c>
      <c r="E346" s="1394">
        <v>0</v>
      </c>
    </row>
    <row r="347" spans="2:5" ht="19.5" thickBot="1" x14ac:dyDescent="0.25">
      <c r="B347" s="1134" t="str">
        <f>$B$17</f>
        <v>3. Ubyło w 2011 r.</v>
      </c>
      <c r="C347" s="1393">
        <v>23</v>
      </c>
      <c r="D347" s="1361">
        <v>61</v>
      </c>
      <c r="E347" s="1394">
        <v>63</v>
      </c>
    </row>
    <row r="348" spans="2:5" ht="18.75" thickBot="1" x14ac:dyDescent="0.25">
      <c r="B348" s="1134" t="str">
        <f>$B$18</f>
        <v>4. Stan na dzień 31. XII. 2011 r. (w.1+w.2-w.3)</v>
      </c>
      <c r="C348" s="367">
        <f>(C345+C346)-C347</f>
        <v>0</v>
      </c>
      <c r="D348" s="1208">
        <f>(D345+D346)-D347</f>
        <v>0</v>
      </c>
      <c r="E348" s="369">
        <f>(E345+E346)-E347</f>
        <v>0</v>
      </c>
    </row>
    <row r="349" spans="2:5" ht="19.5" thickBot="1" x14ac:dyDescent="0.25">
      <c r="B349" s="1135" t="str">
        <f>$B$19</f>
        <v>5. Planowane zwiększenie w 2012 r.</v>
      </c>
      <c r="C349" s="1395">
        <v>0</v>
      </c>
      <c r="D349" s="1365">
        <v>0</v>
      </c>
      <c r="E349" s="180" t="s">
        <v>51</v>
      </c>
    </row>
    <row r="350" spans="2:5" ht="14.25" thickTop="1" thickBot="1" x14ac:dyDescent="0.25"/>
    <row r="351" spans="2:5" ht="20.25" thickTop="1" thickBot="1" x14ac:dyDescent="0.35">
      <c r="B351" s="1136" t="str">
        <f>$B$21</f>
        <v>I.  Liczba osób umieszczonych w mieszkaniach chronionych w 2011 r.</v>
      </c>
      <c r="C351" s="129"/>
      <c r="D351" s="129"/>
      <c r="E351" s="1401">
        <v>0</v>
      </c>
    </row>
    <row r="352" spans="2:5" ht="18" x14ac:dyDescent="0.2">
      <c r="B352" s="130" t="s">
        <v>102</v>
      </c>
      <c r="C352" s="131"/>
      <c r="D352" s="131"/>
      <c r="E352" s="1390" t="s">
        <v>447</v>
      </c>
    </row>
    <row r="353" spans="1:5" ht="19.5" thickBot="1" x14ac:dyDescent="0.35">
      <c r="B353" s="1137" t="str">
        <f>$B$23</f>
        <v xml:space="preserve">     nionych wg stanu na dzień 31. XII. 2011 r.</v>
      </c>
      <c r="C353" s="19"/>
      <c r="D353" s="19"/>
      <c r="E353" s="1402">
        <v>0</v>
      </c>
    </row>
    <row r="354" spans="1:5" ht="18" x14ac:dyDescent="0.25">
      <c r="B354" s="132" t="s">
        <v>103</v>
      </c>
      <c r="C354" s="21"/>
      <c r="D354" s="21"/>
      <c r="E354" s="181"/>
    </row>
    <row r="355" spans="1:5" ht="18.75" thickBot="1" x14ac:dyDescent="0.3">
      <c r="B355" s="133" t="s">
        <v>114</v>
      </c>
      <c r="C355" s="24"/>
      <c r="D355" s="24"/>
      <c r="E355" s="371">
        <f>IF(E351=0, 0, (E351*100)/(E353+E351)*0.01)</f>
        <v>0</v>
      </c>
    </row>
    <row r="356" spans="1:5" ht="13.5" thickTop="1" x14ac:dyDescent="0.2"/>
    <row r="357" spans="1:5" ht="15.75" x14ac:dyDescent="0.25">
      <c r="B357" s="1" t="s">
        <v>123</v>
      </c>
      <c r="C357" s="12"/>
    </row>
    <row r="358" spans="1:5" ht="18" x14ac:dyDescent="0.25">
      <c r="B358" s="1" t="s">
        <v>132</v>
      </c>
      <c r="C358" s="12"/>
      <c r="D358" s="25"/>
    </row>
    <row r="359" spans="1:5" ht="15.75" x14ac:dyDescent="0.25">
      <c r="B359" s="1"/>
      <c r="D359" s="1604" t="s">
        <v>141</v>
      </c>
      <c r="E359" s="1604"/>
    </row>
    <row r="360" spans="1:5" ht="15.75" x14ac:dyDescent="0.25">
      <c r="B360" s="1" t="s">
        <v>137</v>
      </c>
      <c r="D360" s="1718" t="s">
        <v>126</v>
      </c>
      <c r="E360" s="1718"/>
    </row>
    <row r="362" spans="1:5" ht="20.25" x14ac:dyDescent="0.25">
      <c r="A362" s="358" t="s">
        <v>204</v>
      </c>
      <c r="B362" s="11" t="s">
        <v>116</v>
      </c>
      <c r="D362" s="1824" t="s">
        <v>98</v>
      </c>
      <c r="E362" s="1824"/>
    </row>
    <row r="363" spans="1:5" ht="18" x14ac:dyDescent="0.25">
      <c r="B363" s="14" t="s">
        <v>129</v>
      </c>
      <c r="C363" s="11"/>
      <c r="D363" s="11"/>
    </row>
    <row r="364" spans="1:5" ht="18" x14ac:dyDescent="0.25">
      <c r="B364" s="11" t="s">
        <v>143</v>
      </c>
      <c r="D364" s="1806" t="str">
        <f>'Tab.1. bilans_Polska'!$E$59</f>
        <v>Termin: 29 luty 2012 r.</v>
      </c>
      <c r="E364" s="1806"/>
    </row>
    <row r="365" spans="1:5" ht="18" x14ac:dyDescent="0.25">
      <c r="B365" s="11"/>
    </row>
    <row r="366" spans="1:5" ht="18" x14ac:dyDescent="0.25">
      <c r="B366" s="11" t="s">
        <v>130</v>
      </c>
    </row>
    <row r="367" spans="1:5" ht="15.75" x14ac:dyDescent="0.25">
      <c r="B367" s="1" t="s">
        <v>131</v>
      </c>
    </row>
    <row r="368" spans="1:5" ht="26.25" x14ac:dyDescent="0.4">
      <c r="B368" s="1601" t="str">
        <f>$B$8</f>
        <v>MIESZKANIA  CHRONIONE  W 2011 r.</v>
      </c>
      <c r="C368" s="1601"/>
      <c r="D368" s="1601"/>
      <c r="E368" s="1601"/>
    </row>
    <row r="369" spans="2:6" ht="23.25" x14ac:dyDescent="0.35">
      <c r="B369" s="30"/>
      <c r="C369" s="30"/>
      <c r="D369" s="30"/>
      <c r="E369" s="30"/>
    </row>
    <row r="370" spans="2:6" ht="18.75" thickBot="1" x14ac:dyDescent="0.3">
      <c r="B370" s="11"/>
    </row>
    <row r="371" spans="2:6" ht="19.5" thickTop="1" thickBot="1" x14ac:dyDescent="0.25">
      <c r="B371" s="116"/>
      <c r="C371" s="1863" t="s">
        <v>4</v>
      </c>
      <c r="D371" s="1864"/>
      <c r="E371" s="1865"/>
    </row>
    <row r="372" spans="2:6" ht="20.25" x14ac:dyDescent="0.2">
      <c r="B372" s="117" t="s">
        <v>21</v>
      </c>
      <c r="C372" s="118" t="s">
        <v>99</v>
      </c>
      <c r="D372" s="119" t="s">
        <v>13</v>
      </c>
      <c r="E372" s="120" t="s">
        <v>100</v>
      </c>
    </row>
    <row r="373" spans="2:6" ht="18.75" thickBot="1" x14ac:dyDescent="0.25">
      <c r="B373" s="121"/>
      <c r="C373" s="122"/>
      <c r="D373" s="123"/>
      <c r="E373" s="124" t="s">
        <v>101</v>
      </c>
    </row>
    <row r="374" spans="2:6" ht="15.75" thickBot="1" x14ac:dyDescent="0.25">
      <c r="B374" s="125">
        <v>0</v>
      </c>
      <c r="C374" s="126">
        <v>1</v>
      </c>
      <c r="D374" s="127">
        <v>2</v>
      </c>
      <c r="E374" s="128">
        <v>3</v>
      </c>
    </row>
    <row r="375" spans="2:6" ht="20.25" thickTop="1" thickBot="1" x14ac:dyDescent="0.25">
      <c r="B375" s="1133" t="str">
        <f>$B$15</f>
        <v>1. Stan na dzień 31. XII. 2010 r.</v>
      </c>
      <c r="C375" s="1391">
        <v>0</v>
      </c>
      <c r="D375" s="1357">
        <v>0</v>
      </c>
      <c r="E375" s="1392">
        <v>0</v>
      </c>
    </row>
    <row r="376" spans="2:6" ht="19.5" thickBot="1" x14ac:dyDescent="0.25">
      <c r="B376" s="1134" t="str">
        <f>$B$16</f>
        <v>2. Przybyło w 2011 r.</v>
      </c>
      <c r="C376" s="1393">
        <v>0</v>
      </c>
      <c r="D376" s="1361">
        <v>0</v>
      </c>
      <c r="E376" s="1394">
        <v>0</v>
      </c>
    </row>
    <row r="377" spans="2:6" ht="19.5" thickBot="1" x14ac:dyDescent="0.25">
      <c r="B377" s="1134" t="str">
        <f>$B$17</f>
        <v>3. Ubyło w 2011 r.</v>
      </c>
      <c r="C377" s="1393">
        <v>0</v>
      </c>
      <c r="D377" s="1361">
        <v>0</v>
      </c>
      <c r="E377" s="1394">
        <v>0</v>
      </c>
      <c r="F377" s="408"/>
    </row>
    <row r="378" spans="2:6" ht="18.75" thickBot="1" x14ac:dyDescent="0.25">
      <c r="B378" s="1134" t="str">
        <f>$B$18</f>
        <v>4. Stan na dzień 31. XII. 2011 r. (w.1+w.2-w.3)</v>
      </c>
      <c r="C378" s="367">
        <f>(C375+C376)-C377</f>
        <v>0</v>
      </c>
      <c r="D378" s="368">
        <f>(D375+D376)-D377</f>
        <v>0</v>
      </c>
      <c r="E378" s="369">
        <f>(E375+E376)-E377</f>
        <v>0</v>
      </c>
    </row>
    <row r="379" spans="2:6" ht="19.5" thickBot="1" x14ac:dyDescent="0.25">
      <c r="B379" s="1135" t="str">
        <f>$B$19</f>
        <v>5. Planowane zwiększenie w 2012 r.</v>
      </c>
      <c r="C379" s="1395">
        <v>0</v>
      </c>
      <c r="D379" s="1365">
        <v>0</v>
      </c>
      <c r="E379" s="180" t="s">
        <v>51</v>
      </c>
    </row>
    <row r="380" spans="2:6" ht="14.25" thickTop="1" thickBot="1" x14ac:dyDescent="0.25"/>
    <row r="381" spans="2:6" ht="20.25" thickTop="1" thickBot="1" x14ac:dyDescent="0.35">
      <c r="B381" s="1136" t="str">
        <f>$B$21</f>
        <v>I.  Liczba osób umieszczonych w mieszkaniach chronionych w 2011 r.</v>
      </c>
      <c r="C381" s="129"/>
      <c r="D381" s="129"/>
      <c r="E381" s="1396">
        <v>0</v>
      </c>
    </row>
    <row r="382" spans="2:6" ht="18" x14ac:dyDescent="0.2">
      <c r="B382" s="130" t="s">
        <v>102</v>
      </c>
      <c r="C382" s="131"/>
      <c r="D382" s="131"/>
      <c r="E382" s="1390" t="s">
        <v>447</v>
      </c>
    </row>
    <row r="383" spans="2:6" ht="19.5" thickBot="1" x14ac:dyDescent="0.35">
      <c r="B383" s="1137" t="str">
        <f>$B$23</f>
        <v xml:space="preserve">     nionych wg stanu na dzień 31. XII. 2011 r.</v>
      </c>
      <c r="C383" s="19"/>
      <c r="D383" s="19"/>
      <c r="E383" s="1397">
        <v>0</v>
      </c>
    </row>
    <row r="384" spans="2:6" ht="18" x14ac:dyDescent="0.25">
      <c r="B384" s="132" t="s">
        <v>103</v>
      </c>
      <c r="C384" s="21"/>
      <c r="D384" s="21"/>
      <c r="E384" s="181"/>
    </row>
    <row r="385" spans="1:5" ht="18.75" thickBot="1" x14ac:dyDescent="0.3">
      <c r="B385" s="133" t="s">
        <v>114</v>
      </c>
      <c r="C385" s="24"/>
      <c r="D385" s="24"/>
      <c r="E385" s="371">
        <f>IF(E381=0, 0, (E381*100)/(E383+E381)*0.01)</f>
        <v>0</v>
      </c>
    </row>
    <row r="386" spans="1:5" ht="13.5" thickTop="1" x14ac:dyDescent="0.2"/>
    <row r="387" spans="1:5" ht="15.75" x14ac:dyDescent="0.25">
      <c r="B387" s="1" t="s">
        <v>123</v>
      </c>
      <c r="C387" s="12"/>
    </row>
    <row r="388" spans="1:5" ht="18" x14ac:dyDescent="0.25">
      <c r="B388" s="1" t="s">
        <v>132</v>
      </c>
      <c r="C388" s="12"/>
      <c r="D388" s="25"/>
    </row>
    <row r="389" spans="1:5" ht="15.75" x14ac:dyDescent="0.25">
      <c r="B389" s="1"/>
      <c r="D389" s="1604" t="s">
        <v>141</v>
      </c>
      <c r="E389" s="1604"/>
    </row>
    <row r="390" spans="1:5" ht="15.75" x14ac:dyDescent="0.25">
      <c r="B390" s="1" t="s">
        <v>137</v>
      </c>
      <c r="D390" s="1718" t="s">
        <v>126</v>
      </c>
      <c r="E390" s="1718"/>
    </row>
    <row r="392" spans="1:5" ht="20.25" x14ac:dyDescent="0.25">
      <c r="A392" s="358" t="s">
        <v>205</v>
      </c>
      <c r="B392" s="11" t="s">
        <v>116</v>
      </c>
      <c r="D392" s="1824" t="s">
        <v>98</v>
      </c>
      <c r="E392" s="1824"/>
    </row>
    <row r="393" spans="1:5" ht="18" x14ac:dyDescent="0.25">
      <c r="B393" s="14" t="s">
        <v>129</v>
      </c>
      <c r="C393" s="11"/>
      <c r="D393" s="11"/>
    </row>
    <row r="394" spans="1:5" ht="18" x14ac:dyDescent="0.25">
      <c r="B394" s="11" t="s">
        <v>143</v>
      </c>
      <c r="D394" s="1806" t="str">
        <f>'Tab.1. bilans_Polska'!$E$59</f>
        <v>Termin: 29 luty 2012 r.</v>
      </c>
      <c r="E394" s="1806"/>
    </row>
    <row r="395" spans="1:5" ht="18" x14ac:dyDescent="0.25">
      <c r="B395" s="11"/>
    </row>
    <row r="396" spans="1:5" ht="18" x14ac:dyDescent="0.25">
      <c r="B396" s="11" t="s">
        <v>130</v>
      </c>
    </row>
    <row r="397" spans="1:5" ht="15.75" x14ac:dyDescent="0.25">
      <c r="B397" s="1" t="s">
        <v>131</v>
      </c>
    </row>
    <row r="398" spans="1:5" ht="26.25" x14ac:dyDescent="0.4">
      <c r="B398" s="1601" t="str">
        <f>$B$8</f>
        <v>MIESZKANIA  CHRONIONE  W 2011 r.</v>
      </c>
      <c r="C398" s="1601"/>
      <c r="D398" s="1601"/>
      <c r="E398" s="1601"/>
    </row>
    <row r="399" spans="1:5" ht="23.25" x14ac:dyDescent="0.35">
      <c r="B399" s="30"/>
      <c r="C399" s="30"/>
      <c r="D399" s="30"/>
      <c r="E399" s="30"/>
    </row>
    <row r="400" spans="1:5" ht="18.75" thickBot="1" x14ac:dyDescent="0.3">
      <c r="B400" s="11"/>
    </row>
    <row r="401" spans="2:5" ht="19.5" thickTop="1" thickBot="1" x14ac:dyDescent="0.25">
      <c r="B401" s="116"/>
      <c r="C401" s="1863" t="s">
        <v>4</v>
      </c>
      <c r="D401" s="1864"/>
      <c r="E401" s="1865"/>
    </row>
    <row r="402" spans="2:5" ht="20.25" x14ac:dyDescent="0.2">
      <c r="B402" s="117" t="s">
        <v>21</v>
      </c>
      <c r="C402" s="118" t="s">
        <v>99</v>
      </c>
      <c r="D402" s="119" t="s">
        <v>13</v>
      </c>
      <c r="E402" s="120" t="s">
        <v>100</v>
      </c>
    </row>
    <row r="403" spans="2:5" ht="18.75" thickBot="1" x14ac:dyDescent="0.25">
      <c r="B403" s="121"/>
      <c r="C403" s="122"/>
      <c r="D403" s="123"/>
      <c r="E403" s="124" t="s">
        <v>101</v>
      </c>
    </row>
    <row r="404" spans="2:5" ht="15.75" thickBot="1" x14ac:dyDescent="0.25">
      <c r="B404" s="125">
        <v>0</v>
      </c>
      <c r="C404" s="126">
        <v>1</v>
      </c>
      <c r="D404" s="127">
        <v>2</v>
      </c>
      <c r="E404" s="128">
        <v>3</v>
      </c>
    </row>
    <row r="405" spans="2:5" ht="20.25" thickTop="1" thickBot="1" x14ac:dyDescent="0.25">
      <c r="B405" s="1133" t="str">
        <f>$B$15</f>
        <v>1. Stan na dzień 31. XII. 2010 r.</v>
      </c>
      <c r="C405" s="1398">
        <v>0</v>
      </c>
      <c r="D405" s="1399">
        <v>0</v>
      </c>
      <c r="E405" s="1400">
        <v>0</v>
      </c>
    </row>
    <row r="406" spans="2:5" ht="19.5" thickBot="1" x14ac:dyDescent="0.25">
      <c r="B406" s="1134" t="str">
        <f>$B$16</f>
        <v>2. Przybyło w 2011 r.</v>
      </c>
      <c r="C406" s="1393">
        <v>0</v>
      </c>
      <c r="D406" s="1361">
        <v>0</v>
      </c>
      <c r="E406" s="1394">
        <v>0</v>
      </c>
    </row>
    <row r="407" spans="2:5" ht="19.5" thickBot="1" x14ac:dyDescent="0.25">
      <c r="B407" s="1134" t="str">
        <f>$B$17</f>
        <v>3. Ubyło w 2011 r.</v>
      </c>
      <c r="C407" s="1393">
        <v>0</v>
      </c>
      <c r="D407" s="1361">
        <v>0</v>
      </c>
      <c r="E407" s="1394">
        <v>0</v>
      </c>
    </row>
    <row r="408" spans="2:5" ht="18.75" thickBot="1" x14ac:dyDescent="0.25">
      <c r="B408" s="1134" t="str">
        <f>$B$18</f>
        <v>4. Stan na dzień 31. XII. 2011 r. (w.1+w.2-w.3)</v>
      </c>
      <c r="C408" s="367">
        <f>(C405+C406)-C407</f>
        <v>0</v>
      </c>
      <c r="D408" s="368">
        <f>(D405+D406)-D407</f>
        <v>0</v>
      </c>
      <c r="E408" s="369">
        <f>(E405+E406)-E407</f>
        <v>0</v>
      </c>
    </row>
    <row r="409" spans="2:5" ht="19.5" thickBot="1" x14ac:dyDescent="0.25">
      <c r="B409" s="1135" t="str">
        <f>$B$19</f>
        <v>5. Planowane zwiększenie w 2012 r.</v>
      </c>
      <c r="C409" s="1395">
        <v>0</v>
      </c>
      <c r="D409" s="1365">
        <v>0</v>
      </c>
      <c r="E409" s="180" t="s">
        <v>51</v>
      </c>
    </row>
    <row r="410" spans="2:5" ht="14.25" thickTop="1" thickBot="1" x14ac:dyDescent="0.25"/>
    <row r="411" spans="2:5" ht="20.25" thickTop="1" thickBot="1" x14ac:dyDescent="0.35">
      <c r="B411" s="1136" t="str">
        <f>$B$21</f>
        <v>I.  Liczba osób umieszczonych w mieszkaniach chronionych w 2011 r.</v>
      </c>
      <c r="C411" s="129"/>
      <c r="D411" s="129"/>
      <c r="E411" s="1396">
        <v>0</v>
      </c>
    </row>
    <row r="412" spans="2:5" ht="18" x14ac:dyDescent="0.2">
      <c r="B412" s="130" t="s">
        <v>102</v>
      </c>
      <c r="C412" s="131"/>
      <c r="D412" s="131"/>
      <c r="E412" s="1390" t="s">
        <v>447</v>
      </c>
    </row>
    <row r="413" spans="2:5" ht="19.5" thickBot="1" x14ac:dyDescent="0.35">
      <c r="B413" s="1137" t="str">
        <f>$B$23</f>
        <v xml:space="preserve">     nionych wg stanu na dzień 31. XII. 2011 r.</v>
      </c>
      <c r="C413" s="19"/>
      <c r="D413" s="19"/>
      <c r="E413" s="1397">
        <v>0</v>
      </c>
    </row>
    <row r="414" spans="2:5" ht="18" x14ac:dyDescent="0.25">
      <c r="B414" s="132" t="s">
        <v>103</v>
      </c>
      <c r="C414" s="21"/>
      <c r="D414" s="21"/>
      <c r="E414" s="181"/>
    </row>
    <row r="415" spans="2:5" ht="18.75" thickBot="1" x14ac:dyDescent="0.3">
      <c r="B415" s="133" t="s">
        <v>114</v>
      </c>
      <c r="C415" s="24"/>
      <c r="D415" s="24"/>
      <c r="E415" s="371">
        <f>IF(E411=0, 0, (E411*100)/(E413+E411)*0.01)</f>
        <v>0</v>
      </c>
    </row>
    <row r="416" spans="2:5" ht="13.5" thickTop="1" x14ac:dyDescent="0.2"/>
    <row r="417" spans="1:5" ht="15.75" x14ac:dyDescent="0.25">
      <c r="B417" s="1" t="s">
        <v>123</v>
      </c>
      <c r="C417" s="12"/>
    </row>
    <row r="418" spans="1:5" ht="18" x14ac:dyDescent="0.25">
      <c r="B418" s="1" t="s">
        <v>132</v>
      </c>
      <c r="C418" s="12"/>
      <c r="D418" s="25"/>
    </row>
    <row r="419" spans="1:5" ht="15.75" x14ac:dyDescent="0.25">
      <c r="B419" s="1"/>
      <c r="D419" s="1604" t="s">
        <v>141</v>
      </c>
      <c r="E419" s="1604"/>
    </row>
    <row r="420" spans="1:5" ht="15.75" x14ac:dyDescent="0.25">
      <c r="B420" s="1" t="s">
        <v>137</v>
      </c>
      <c r="D420" s="1718" t="s">
        <v>126</v>
      </c>
      <c r="E420" s="1718"/>
    </row>
    <row r="422" spans="1:5" ht="20.25" x14ac:dyDescent="0.25">
      <c r="A422" s="358" t="s">
        <v>206</v>
      </c>
      <c r="B422" s="11" t="s">
        <v>116</v>
      </c>
      <c r="D422" s="1824" t="s">
        <v>98</v>
      </c>
      <c r="E422" s="1824"/>
    </row>
    <row r="423" spans="1:5" ht="18" x14ac:dyDescent="0.25">
      <c r="B423" s="14" t="s">
        <v>129</v>
      </c>
      <c r="C423" s="11"/>
      <c r="D423" s="11"/>
    </row>
    <row r="424" spans="1:5" ht="18" x14ac:dyDescent="0.25">
      <c r="B424" s="11" t="s">
        <v>143</v>
      </c>
      <c r="D424" s="1806" t="str">
        <f>'Tab.1. bilans_Polska'!$E$59</f>
        <v>Termin: 29 luty 2012 r.</v>
      </c>
      <c r="E424" s="1806"/>
    </row>
    <row r="425" spans="1:5" ht="18" x14ac:dyDescent="0.25">
      <c r="B425" s="11"/>
    </row>
    <row r="426" spans="1:5" ht="18" x14ac:dyDescent="0.25">
      <c r="B426" s="11" t="s">
        <v>130</v>
      </c>
    </row>
    <row r="427" spans="1:5" ht="15.75" x14ac:dyDescent="0.25">
      <c r="B427" s="1" t="s">
        <v>131</v>
      </c>
    </row>
    <row r="428" spans="1:5" ht="26.25" x14ac:dyDescent="0.4">
      <c r="B428" s="1601" t="str">
        <f>$B$8</f>
        <v>MIESZKANIA  CHRONIONE  W 2011 r.</v>
      </c>
      <c r="C428" s="1601"/>
      <c r="D428" s="1601"/>
      <c r="E428" s="1601"/>
    </row>
    <row r="429" spans="1:5" ht="23.25" x14ac:dyDescent="0.35">
      <c r="B429" s="30"/>
      <c r="C429" s="30"/>
      <c r="D429" s="30"/>
      <c r="E429" s="30"/>
    </row>
    <row r="430" spans="1:5" ht="18.75" thickBot="1" x14ac:dyDescent="0.3">
      <c r="B430" s="11"/>
    </row>
    <row r="431" spans="1:5" ht="19.5" thickTop="1" thickBot="1" x14ac:dyDescent="0.25">
      <c r="B431" s="116"/>
      <c r="C431" s="1863" t="s">
        <v>4</v>
      </c>
      <c r="D431" s="1864"/>
      <c r="E431" s="1865"/>
    </row>
    <row r="432" spans="1:5" ht="20.25" x14ac:dyDescent="0.2">
      <c r="B432" s="117" t="s">
        <v>21</v>
      </c>
      <c r="C432" s="118" t="s">
        <v>99</v>
      </c>
      <c r="D432" s="119" t="s">
        <v>13</v>
      </c>
      <c r="E432" s="120" t="s">
        <v>100</v>
      </c>
    </row>
    <row r="433" spans="2:5" ht="18.75" thickBot="1" x14ac:dyDescent="0.25">
      <c r="B433" s="121"/>
      <c r="C433" s="122"/>
      <c r="D433" s="123"/>
      <c r="E433" s="124" t="s">
        <v>101</v>
      </c>
    </row>
    <row r="434" spans="2:5" ht="15.75" thickBot="1" x14ac:dyDescent="0.25">
      <c r="B434" s="125">
        <v>0</v>
      </c>
      <c r="C434" s="126">
        <v>1</v>
      </c>
      <c r="D434" s="127">
        <v>2</v>
      </c>
      <c r="E434" s="128">
        <v>3</v>
      </c>
    </row>
    <row r="435" spans="2:5" ht="20.25" thickTop="1" thickBot="1" x14ac:dyDescent="0.25">
      <c r="B435" s="1133" t="str">
        <f>$B$15</f>
        <v>1. Stan na dzień 31. XII. 2010 r.</v>
      </c>
      <c r="C435" s="1583">
        <v>0</v>
      </c>
      <c r="D435" s="1584">
        <v>0</v>
      </c>
      <c r="E435" s="1585">
        <v>0</v>
      </c>
    </row>
    <row r="436" spans="2:5" ht="19.5" thickBot="1" x14ac:dyDescent="0.25">
      <c r="B436" s="1134" t="str">
        <f>$B$16</f>
        <v>2. Przybyło w 2011 r.</v>
      </c>
      <c r="C436" s="1586">
        <v>0</v>
      </c>
      <c r="D436" s="1587">
        <v>0</v>
      </c>
      <c r="E436" s="1588">
        <v>0</v>
      </c>
    </row>
    <row r="437" spans="2:5" ht="19.5" thickBot="1" x14ac:dyDescent="0.25">
      <c r="B437" s="1134" t="str">
        <f>$B$17</f>
        <v>3. Ubyło w 2011 r.</v>
      </c>
      <c r="C437" s="1586">
        <v>0</v>
      </c>
      <c r="D437" s="1587">
        <v>0</v>
      </c>
      <c r="E437" s="1588">
        <v>0</v>
      </c>
    </row>
    <row r="438" spans="2:5" ht="18.75" thickBot="1" x14ac:dyDescent="0.25">
      <c r="B438" s="1134" t="str">
        <f>$B$18</f>
        <v>4. Stan na dzień 31. XII. 2011 r. (w.1+w.2-w.3)</v>
      </c>
      <c r="C438" s="367">
        <f>(C435+C436)-C437</f>
        <v>0</v>
      </c>
      <c r="D438" s="368">
        <f>(D435+D436)-D437</f>
        <v>0</v>
      </c>
      <c r="E438" s="369">
        <f>(E435+E436)-E437</f>
        <v>0</v>
      </c>
    </row>
    <row r="439" spans="2:5" ht="19.5" thickBot="1" x14ac:dyDescent="0.25">
      <c r="B439" s="1135" t="str">
        <f>$B$19</f>
        <v>5. Planowane zwiększenie w 2012 r.</v>
      </c>
      <c r="C439" s="1589">
        <v>0</v>
      </c>
      <c r="D439" s="1590">
        <v>0</v>
      </c>
      <c r="E439" s="180" t="s">
        <v>51</v>
      </c>
    </row>
    <row r="440" spans="2:5" ht="14.25" thickTop="1" thickBot="1" x14ac:dyDescent="0.25"/>
    <row r="441" spans="2:5" ht="20.25" thickTop="1" thickBot="1" x14ac:dyDescent="0.35">
      <c r="B441" s="1136" t="str">
        <f>$B$21</f>
        <v>I.  Liczba osób umieszczonych w mieszkaniach chronionych w 2011 r.</v>
      </c>
      <c r="C441" s="129"/>
      <c r="D441" s="129"/>
      <c r="E441" s="1591">
        <v>0</v>
      </c>
    </row>
    <row r="442" spans="2:5" ht="18" x14ac:dyDescent="0.2">
      <c r="B442" s="130" t="s">
        <v>102</v>
      </c>
      <c r="C442" s="131"/>
      <c r="D442" s="131"/>
      <c r="E442" s="1390" t="s">
        <v>447</v>
      </c>
    </row>
    <row r="443" spans="2:5" ht="19.5" thickBot="1" x14ac:dyDescent="0.35">
      <c r="B443" s="1137" t="str">
        <f>$B$23</f>
        <v xml:space="preserve">     nionych wg stanu na dzień 31. XII. 2011 r.</v>
      </c>
      <c r="C443" s="19"/>
      <c r="D443" s="19"/>
      <c r="E443" s="1592">
        <v>0</v>
      </c>
    </row>
    <row r="444" spans="2:5" ht="18" x14ac:dyDescent="0.25">
      <c r="B444" s="132" t="s">
        <v>103</v>
      </c>
      <c r="C444" s="21"/>
      <c r="D444" s="21"/>
      <c r="E444" s="181"/>
    </row>
    <row r="445" spans="2:5" ht="18.75" thickBot="1" x14ac:dyDescent="0.3">
      <c r="B445" s="133" t="s">
        <v>114</v>
      </c>
      <c r="C445" s="24"/>
      <c r="D445" s="24"/>
      <c r="E445" s="935">
        <f>IF(E441=0, 0, (E441*100)/(E443+E441)*0.01)</f>
        <v>0</v>
      </c>
    </row>
    <row r="446" spans="2:5" ht="13.5" thickTop="1" x14ac:dyDescent="0.2"/>
    <row r="447" spans="2:5" ht="15.75" x14ac:dyDescent="0.25">
      <c r="B447" s="1" t="s">
        <v>123</v>
      </c>
      <c r="C447" s="12"/>
    </row>
    <row r="448" spans="2:5" ht="18" x14ac:dyDescent="0.25">
      <c r="B448" s="1" t="s">
        <v>132</v>
      </c>
      <c r="C448" s="12"/>
      <c r="D448" s="25"/>
    </row>
    <row r="449" spans="1:5" ht="15.75" x14ac:dyDescent="0.25">
      <c r="B449" s="1"/>
      <c r="D449" s="1604" t="s">
        <v>141</v>
      </c>
      <c r="E449" s="1604"/>
    </row>
    <row r="450" spans="1:5" ht="15.75" x14ac:dyDescent="0.25">
      <c r="B450" s="1" t="s">
        <v>137</v>
      </c>
      <c r="D450" s="1718" t="s">
        <v>126</v>
      </c>
      <c r="E450" s="1718"/>
    </row>
    <row r="452" spans="1:5" ht="20.25" x14ac:dyDescent="0.25">
      <c r="A452" s="358" t="s">
        <v>207</v>
      </c>
      <c r="B452" s="11" t="s">
        <v>116</v>
      </c>
      <c r="D452" s="1824" t="s">
        <v>98</v>
      </c>
      <c r="E452" s="1824"/>
    </row>
    <row r="453" spans="1:5" ht="18" x14ac:dyDescent="0.25">
      <c r="B453" s="14" t="s">
        <v>129</v>
      </c>
      <c r="C453" s="11"/>
      <c r="D453" s="11"/>
    </row>
    <row r="454" spans="1:5" ht="18" x14ac:dyDescent="0.25">
      <c r="B454" s="11" t="s">
        <v>143</v>
      </c>
      <c r="D454" s="1806" t="str">
        <f>'Tab.1. bilans_Polska'!$E$59</f>
        <v>Termin: 29 luty 2012 r.</v>
      </c>
      <c r="E454" s="1806"/>
    </row>
    <row r="455" spans="1:5" ht="18" x14ac:dyDescent="0.25">
      <c r="B455" s="11"/>
    </row>
    <row r="456" spans="1:5" ht="18" x14ac:dyDescent="0.25">
      <c r="B456" s="11" t="s">
        <v>130</v>
      </c>
    </row>
    <row r="457" spans="1:5" ht="15.75" x14ac:dyDescent="0.25">
      <c r="B457" s="1" t="s">
        <v>131</v>
      </c>
    </row>
    <row r="458" spans="1:5" ht="26.25" x14ac:dyDescent="0.4">
      <c r="B458" s="1601" t="str">
        <f>$B$8</f>
        <v>MIESZKANIA  CHRONIONE  W 2011 r.</v>
      </c>
      <c r="C458" s="1601"/>
      <c r="D458" s="1601"/>
      <c r="E458" s="1601"/>
    </row>
    <row r="459" spans="1:5" ht="23.25" x14ac:dyDescent="0.35">
      <c r="B459" s="30"/>
      <c r="C459" s="30"/>
      <c r="D459" s="30"/>
      <c r="E459" s="30"/>
    </row>
    <row r="460" spans="1:5" ht="18.75" thickBot="1" x14ac:dyDescent="0.3">
      <c r="B460" s="11"/>
    </row>
    <row r="461" spans="1:5" ht="19.5" thickTop="1" thickBot="1" x14ac:dyDescent="0.25">
      <c r="B461" s="116"/>
      <c r="C461" s="1863" t="s">
        <v>4</v>
      </c>
      <c r="D461" s="1864"/>
      <c r="E461" s="1865"/>
    </row>
    <row r="462" spans="1:5" ht="20.25" x14ac:dyDescent="0.2">
      <c r="B462" s="117" t="s">
        <v>21</v>
      </c>
      <c r="C462" s="118" t="s">
        <v>99</v>
      </c>
      <c r="D462" s="119" t="s">
        <v>13</v>
      </c>
      <c r="E462" s="120" t="s">
        <v>100</v>
      </c>
    </row>
    <row r="463" spans="1:5" ht="18.75" thickBot="1" x14ac:dyDescent="0.25">
      <c r="B463" s="121"/>
      <c r="C463" s="122"/>
      <c r="D463" s="123"/>
      <c r="E463" s="124" t="s">
        <v>101</v>
      </c>
    </row>
    <row r="464" spans="1:5" ht="15.75" thickBot="1" x14ac:dyDescent="0.25">
      <c r="B464" s="125">
        <v>0</v>
      </c>
      <c r="C464" s="126">
        <v>1</v>
      </c>
      <c r="D464" s="127">
        <v>2</v>
      </c>
      <c r="E464" s="128">
        <v>3</v>
      </c>
    </row>
    <row r="465" spans="2:5" ht="20.25" thickTop="1" thickBot="1" x14ac:dyDescent="0.25">
      <c r="B465" s="1133" t="str">
        <f>$B$15</f>
        <v>1. Stan na dzień 31. XII. 2010 r.</v>
      </c>
      <c r="C465" s="1398">
        <v>0</v>
      </c>
      <c r="D465" s="1399">
        <v>0</v>
      </c>
      <c r="E465" s="1400">
        <v>0</v>
      </c>
    </row>
    <row r="466" spans="2:5" ht="19.5" thickBot="1" x14ac:dyDescent="0.25">
      <c r="B466" s="1134" t="str">
        <f>$B$16</f>
        <v>2. Przybyło w 2011 r.</v>
      </c>
      <c r="C466" s="1393">
        <v>0</v>
      </c>
      <c r="D466" s="1361">
        <v>0</v>
      </c>
      <c r="E466" s="1394">
        <v>0</v>
      </c>
    </row>
    <row r="467" spans="2:5" ht="19.5" thickBot="1" x14ac:dyDescent="0.25">
      <c r="B467" s="1134" t="str">
        <f>$B$17</f>
        <v>3. Ubyło w 2011 r.</v>
      </c>
      <c r="C467" s="1393">
        <v>0</v>
      </c>
      <c r="D467" s="1361">
        <v>0</v>
      </c>
      <c r="E467" s="1394">
        <v>0</v>
      </c>
    </row>
    <row r="468" spans="2:5" ht="18.75" thickBot="1" x14ac:dyDescent="0.25">
      <c r="B468" s="1134" t="str">
        <f>$B$18</f>
        <v>4. Stan na dzień 31. XII. 2011 r. (w.1+w.2-w.3)</v>
      </c>
      <c r="C468" s="367">
        <f>(C465+C466)-C467</f>
        <v>0</v>
      </c>
      <c r="D468" s="368">
        <f>(D465+D466)-D467</f>
        <v>0</v>
      </c>
      <c r="E468" s="369">
        <f>(E465+E466)-E467</f>
        <v>0</v>
      </c>
    </row>
    <row r="469" spans="2:5" ht="19.5" thickBot="1" x14ac:dyDescent="0.25">
      <c r="B469" s="1135" t="str">
        <f>$B$19</f>
        <v>5. Planowane zwiększenie w 2012 r.</v>
      </c>
      <c r="C469" s="1395">
        <v>0</v>
      </c>
      <c r="D469" s="1365">
        <v>0</v>
      </c>
      <c r="E469" s="180" t="s">
        <v>51</v>
      </c>
    </row>
    <row r="470" spans="2:5" ht="14.25" thickTop="1" thickBot="1" x14ac:dyDescent="0.25"/>
    <row r="471" spans="2:5" ht="20.25" thickTop="1" thickBot="1" x14ac:dyDescent="0.35">
      <c r="B471" s="1136" t="str">
        <f>$B$21</f>
        <v>I.  Liczba osób umieszczonych w mieszkaniach chronionych w 2011 r.</v>
      </c>
      <c r="C471" s="129"/>
      <c r="D471" s="129"/>
      <c r="E471" s="1396">
        <v>0</v>
      </c>
    </row>
    <row r="472" spans="2:5" ht="18" x14ac:dyDescent="0.2">
      <c r="B472" s="130" t="s">
        <v>102</v>
      </c>
      <c r="C472" s="131"/>
      <c r="D472" s="131"/>
      <c r="E472" s="1390" t="s">
        <v>447</v>
      </c>
    </row>
    <row r="473" spans="2:5" ht="19.5" thickBot="1" x14ac:dyDescent="0.35">
      <c r="B473" s="1137" t="str">
        <f>$B$23</f>
        <v xml:space="preserve">     nionych wg stanu na dzień 31. XII. 2011 r.</v>
      </c>
      <c r="C473" s="19"/>
      <c r="D473" s="19"/>
      <c r="E473" s="1397">
        <v>0</v>
      </c>
    </row>
    <row r="474" spans="2:5" ht="18" x14ac:dyDescent="0.25">
      <c r="B474" s="132" t="s">
        <v>103</v>
      </c>
      <c r="C474" s="21"/>
      <c r="D474" s="21"/>
      <c r="E474" s="181"/>
    </row>
    <row r="475" spans="2:5" ht="18.75" thickBot="1" x14ac:dyDescent="0.3">
      <c r="B475" s="133" t="s">
        <v>114</v>
      </c>
      <c r="C475" s="24"/>
      <c r="D475" s="24"/>
      <c r="E475" s="371">
        <f>IF(E471=0, 0, (E471*100)/(E473+E471)*0.01)</f>
        <v>0</v>
      </c>
    </row>
    <row r="476" spans="2:5" ht="13.5" thickTop="1" x14ac:dyDescent="0.2"/>
    <row r="477" spans="2:5" ht="15.75" x14ac:dyDescent="0.25">
      <c r="B477" s="1" t="s">
        <v>123</v>
      </c>
      <c r="C477" s="12"/>
    </row>
    <row r="478" spans="2:5" ht="18" x14ac:dyDescent="0.25">
      <c r="B478" s="1" t="s">
        <v>132</v>
      </c>
      <c r="C478" s="12"/>
      <c r="D478" s="25"/>
    </row>
    <row r="479" spans="2:5" ht="15.75" x14ac:dyDescent="0.25">
      <c r="B479" s="1"/>
      <c r="D479" s="1604" t="s">
        <v>141</v>
      </c>
      <c r="E479" s="1604"/>
    </row>
    <row r="480" spans="2:5" ht="15.75" x14ac:dyDescent="0.25">
      <c r="B480" s="1" t="s">
        <v>137</v>
      </c>
      <c r="D480" s="1718" t="s">
        <v>126</v>
      </c>
      <c r="E480" s="1718"/>
    </row>
    <row r="482" spans="1:5" ht="20.25" x14ac:dyDescent="0.25">
      <c r="A482" s="358" t="s">
        <v>208</v>
      </c>
      <c r="B482" s="11" t="s">
        <v>116</v>
      </c>
      <c r="D482" s="1824" t="s">
        <v>98</v>
      </c>
      <c r="E482" s="1824"/>
    </row>
    <row r="483" spans="1:5" ht="18" x14ac:dyDescent="0.25">
      <c r="B483" s="14" t="s">
        <v>129</v>
      </c>
      <c r="C483" s="11"/>
      <c r="D483" s="11"/>
    </row>
    <row r="484" spans="1:5" ht="18" x14ac:dyDescent="0.25">
      <c r="B484" s="11" t="s">
        <v>143</v>
      </c>
      <c r="D484" s="1806" t="str">
        <f>'Tab.1. bilans_Polska'!$E$59</f>
        <v>Termin: 29 luty 2012 r.</v>
      </c>
      <c r="E484" s="1806"/>
    </row>
    <row r="485" spans="1:5" ht="18" x14ac:dyDescent="0.25">
      <c r="B485" s="11"/>
    </row>
    <row r="486" spans="1:5" ht="18" x14ac:dyDescent="0.25">
      <c r="B486" s="11" t="s">
        <v>130</v>
      </c>
    </row>
    <row r="487" spans="1:5" ht="15.75" x14ac:dyDescent="0.25">
      <c r="B487" s="1" t="s">
        <v>131</v>
      </c>
    </row>
    <row r="488" spans="1:5" ht="26.25" x14ac:dyDescent="0.4">
      <c r="B488" s="1601" t="str">
        <f>$B$8</f>
        <v>MIESZKANIA  CHRONIONE  W 2011 r.</v>
      </c>
      <c r="C488" s="1601"/>
      <c r="D488" s="1601"/>
      <c r="E488" s="1601"/>
    </row>
    <row r="489" spans="1:5" ht="23.25" x14ac:dyDescent="0.35">
      <c r="B489" s="30"/>
      <c r="C489" s="30"/>
      <c r="D489" s="30"/>
      <c r="E489" s="30"/>
    </row>
    <row r="490" spans="1:5" ht="18.75" thickBot="1" x14ac:dyDescent="0.3">
      <c r="B490" s="11"/>
    </row>
    <row r="491" spans="1:5" ht="19.5" thickTop="1" thickBot="1" x14ac:dyDescent="0.25">
      <c r="B491" s="116"/>
      <c r="C491" s="1863" t="s">
        <v>4</v>
      </c>
      <c r="D491" s="1864"/>
      <c r="E491" s="1865"/>
    </row>
    <row r="492" spans="1:5" ht="20.25" x14ac:dyDescent="0.2">
      <c r="B492" s="117" t="s">
        <v>21</v>
      </c>
      <c r="C492" s="118" t="s">
        <v>99</v>
      </c>
      <c r="D492" s="119" t="s">
        <v>13</v>
      </c>
      <c r="E492" s="120" t="s">
        <v>100</v>
      </c>
    </row>
    <row r="493" spans="1:5" ht="18.75" thickBot="1" x14ac:dyDescent="0.25">
      <c r="B493" s="121"/>
      <c r="C493" s="122"/>
      <c r="D493" s="123"/>
      <c r="E493" s="124" t="s">
        <v>101</v>
      </c>
    </row>
    <row r="494" spans="1:5" ht="15.75" thickBot="1" x14ac:dyDescent="0.25">
      <c r="B494" s="125">
        <v>0</v>
      </c>
      <c r="C494" s="126">
        <v>1</v>
      </c>
      <c r="D494" s="127">
        <v>2</v>
      </c>
      <c r="E494" s="128">
        <v>3</v>
      </c>
    </row>
    <row r="495" spans="1:5" ht="20.25" thickTop="1" thickBot="1" x14ac:dyDescent="0.25">
      <c r="B495" s="1133" t="str">
        <f>$B$15</f>
        <v>1. Stan na dzień 31. XII. 2010 r.</v>
      </c>
      <c r="C495" s="1391">
        <v>0</v>
      </c>
      <c r="D495" s="1357">
        <v>0</v>
      </c>
      <c r="E495" s="1392">
        <v>0</v>
      </c>
    </row>
    <row r="496" spans="1:5" ht="19.5" thickBot="1" x14ac:dyDescent="0.25">
      <c r="B496" s="1134" t="str">
        <f>$B$16</f>
        <v>2. Przybyło w 2011 r.</v>
      </c>
      <c r="C496" s="1393">
        <v>0</v>
      </c>
      <c r="D496" s="1361">
        <v>0</v>
      </c>
      <c r="E496" s="1394">
        <v>0</v>
      </c>
    </row>
    <row r="497" spans="2:5" ht="19.5" thickBot="1" x14ac:dyDescent="0.25">
      <c r="B497" s="1134" t="str">
        <f>$B$17</f>
        <v>3. Ubyło w 2011 r.</v>
      </c>
      <c r="C497" s="1393">
        <v>0</v>
      </c>
      <c r="D497" s="1361">
        <v>0</v>
      </c>
      <c r="E497" s="1394">
        <v>0</v>
      </c>
    </row>
    <row r="498" spans="2:5" ht="18.75" thickBot="1" x14ac:dyDescent="0.25">
      <c r="B498" s="1134" t="str">
        <f>$B$18</f>
        <v>4. Stan na dzień 31. XII. 2011 r. (w.1+w.2-w.3)</v>
      </c>
      <c r="C498" s="367">
        <f>(C495+C496)-C497</f>
        <v>0</v>
      </c>
      <c r="D498" s="368">
        <f>(D495+D496)-D497</f>
        <v>0</v>
      </c>
      <c r="E498" s="369">
        <f>(E495+E496)-E497</f>
        <v>0</v>
      </c>
    </row>
    <row r="499" spans="2:5" ht="19.5" thickBot="1" x14ac:dyDescent="0.25">
      <c r="B499" s="1135" t="str">
        <f>$B$19</f>
        <v>5. Planowane zwiększenie w 2012 r.</v>
      </c>
      <c r="C499" s="1395">
        <v>0</v>
      </c>
      <c r="D499" s="1365">
        <v>0</v>
      </c>
      <c r="E499" s="180" t="s">
        <v>51</v>
      </c>
    </row>
    <row r="500" spans="2:5" ht="14.25" thickTop="1" thickBot="1" x14ac:dyDescent="0.25"/>
    <row r="501" spans="2:5" ht="20.25" thickTop="1" thickBot="1" x14ac:dyDescent="0.35">
      <c r="B501" s="1136" t="str">
        <f>$B$21</f>
        <v>I.  Liczba osób umieszczonych w mieszkaniach chronionych w 2011 r.</v>
      </c>
      <c r="C501" s="129"/>
      <c r="D501" s="129"/>
      <c r="E501" s="1396">
        <v>0</v>
      </c>
    </row>
    <row r="502" spans="2:5" ht="18" x14ac:dyDescent="0.2">
      <c r="B502" s="130" t="s">
        <v>102</v>
      </c>
      <c r="C502" s="131"/>
      <c r="D502" s="131"/>
      <c r="E502" s="1390" t="s">
        <v>447</v>
      </c>
    </row>
    <row r="503" spans="2:5" ht="19.5" thickBot="1" x14ac:dyDescent="0.35">
      <c r="B503" s="1137" t="str">
        <f>$B$23</f>
        <v xml:space="preserve">     nionych wg stanu na dzień 31. XII. 2011 r.</v>
      </c>
      <c r="C503" s="19"/>
      <c r="D503" s="19"/>
      <c r="E503" s="1397">
        <v>0</v>
      </c>
    </row>
    <row r="504" spans="2:5" ht="18" x14ac:dyDescent="0.25">
      <c r="B504" s="132" t="s">
        <v>103</v>
      </c>
      <c r="C504" s="21"/>
      <c r="D504" s="21"/>
      <c r="E504" s="181"/>
    </row>
    <row r="505" spans="2:5" ht="18.75" thickBot="1" x14ac:dyDescent="0.3">
      <c r="B505" s="133" t="s">
        <v>114</v>
      </c>
      <c r="C505" s="24"/>
      <c r="D505" s="24"/>
      <c r="E505" s="371">
        <f>IF(E501=0, 0, (E501*100)/(E503+E501)*0.01)</f>
        <v>0</v>
      </c>
    </row>
    <row r="506" spans="2:5" ht="13.5" thickTop="1" x14ac:dyDescent="0.2"/>
    <row r="507" spans="2:5" ht="15.75" x14ac:dyDescent="0.25">
      <c r="B507" s="1" t="s">
        <v>123</v>
      </c>
      <c r="C507" s="12"/>
    </row>
    <row r="508" spans="2:5" ht="18" x14ac:dyDescent="0.25">
      <c r="B508" s="1" t="s">
        <v>132</v>
      </c>
      <c r="C508" s="12"/>
      <c r="D508" s="25"/>
    </row>
    <row r="509" spans="2:5" ht="18" x14ac:dyDescent="0.25">
      <c r="B509" s="1"/>
      <c r="D509" s="1" t="s">
        <v>141</v>
      </c>
      <c r="E509" s="11"/>
    </row>
    <row r="510" spans="2:5" ht="18" x14ac:dyDescent="0.25">
      <c r="B510" s="1" t="s">
        <v>137</v>
      </c>
      <c r="D510" s="4" t="s">
        <v>140</v>
      </c>
      <c r="E510" s="11"/>
    </row>
  </sheetData>
  <mergeCells count="99">
    <mergeCell ref="D304:E304"/>
    <mergeCell ref="C491:E491"/>
    <mergeCell ref="B428:E428"/>
    <mergeCell ref="C431:E431"/>
    <mergeCell ref="B458:E458"/>
    <mergeCell ref="C461:E461"/>
    <mergeCell ref="D484:E484"/>
    <mergeCell ref="D454:E454"/>
    <mergeCell ref="D452:E452"/>
    <mergeCell ref="D482:E482"/>
    <mergeCell ref="B308:E308"/>
    <mergeCell ref="C311:E311"/>
    <mergeCell ref="B338:E338"/>
    <mergeCell ref="D332:E332"/>
    <mergeCell ref="D330:E330"/>
    <mergeCell ref="D329:E329"/>
    <mergeCell ref="D334:E334"/>
    <mergeCell ref="B488:E488"/>
    <mergeCell ref="B368:E368"/>
    <mergeCell ref="C371:E371"/>
    <mergeCell ref="B398:E398"/>
    <mergeCell ref="D449:E449"/>
    <mergeCell ref="D422:E422"/>
    <mergeCell ref="D419:E419"/>
    <mergeCell ref="D450:E450"/>
    <mergeCell ref="D479:E479"/>
    <mergeCell ref="D480:E480"/>
    <mergeCell ref="B188:E188"/>
    <mergeCell ref="C191:E191"/>
    <mergeCell ref="D242:E242"/>
    <mergeCell ref="D244:E244"/>
    <mergeCell ref="D302:E302"/>
    <mergeCell ref="D269:E269"/>
    <mergeCell ref="D270:E270"/>
    <mergeCell ref="D299:E299"/>
    <mergeCell ref="D300:E300"/>
    <mergeCell ref="D274:E274"/>
    <mergeCell ref="B278:E278"/>
    <mergeCell ref="C281:E281"/>
    <mergeCell ref="D30:E30"/>
    <mergeCell ref="D59:E59"/>
    <mergeCell ref="D2:E2"/>
    <mergeCell ref="D34:E34"/>
    <mergeCell ref="B8:E8"/>
    <mergeCell ref="C11:E11"/>
    <mergeCell ref="B38:E38"/>
    <mergeCell ref="C41:E41"/>
    <mergeCell ref="D29:E29"/>
    <mergeCell ref="D32:E32"/>
    <mergeCell ref="D62:E62"/>
    <mergeCell ref="D92:E92"/>
    <mergeCell ref="D60:E60"/>
    <mergeCell ref="C71:E71"/>
    <mergeCell ref="D89:E89"/>
    <mergeCell ref="D90:E90"/>
    <mergeCell ref="B68:E68"/>
    <mergeCell ref="D362:E362"/>
    <mergeCell ref="D364:E364"/>
    <mergeCell ref="D64:E64"/>
    <mergeCell ref="D94:E94"/>
    <mergeCell ref="D214:E214"/>
    <mergeCell ref="B248:E248"/>
    <mergeCell ref="D272:E272"/>
    <mergeCell ref="D212:E212"/>
    <mergeCell ref="D184:E184"/>
    <mergeCell ref="C251:E251"/>
    <mergeCell ref="C341:E341"/>
    <mergeCell ref="D424:E424"/>
    <mergeCell ref="D394:E394"/>
    <mergeCell ref="D420:E420"/>
    <mergeCell ref="C401:E401"/>
    <mergeCell ref="D392:E392"/>
    <mergeCell ref="D359:E359"/>
    <mergeCell ref="D360:E360"/>
    <mergeCell ref="D389:E389"/>
    <mergeCell ref="D390:E390"/>
    <mergeCell ref="D154:E154"/>
    <mergeCell ref="B128:E128"/>
    <mergeCell ref="C131:E131"/>
    <mergeCell ref="B158:E158"/>
    <mergeCell ref="D149:E149"/>
    <mergeCell ref="D150:E150"/>
    <mergeCell ref="D122:E122"/>
    <mergeCell ref="D152:E152"/>
    <mergeCell ref="B98:E98"/>
    <mergeCell ref="C101:E101"/>
    <mergeCell ref="D124:E124"/>
    <mergeCell ref="D119:E119"/>
    <mergeCell ref="D120:E120"/>
    <mergeCell ref="C161:E161"/>
    <mergeCell ref="D239:E239"/>
    <mergeCell ref="D240:E240"/>
    <mergeCell ref="D180:E180"/>
    <mergeCell ref="D209:E209"/>
    <mergeCell ref="D210:E210"/>
    <mergeCell ref="D182:E182"/>
    <mergeCell ref="B218:E218"/>
    <mergeCell ref="C221:E221"/>
    <mergeCell ref="D179:E179"/>
  </mergeCells>
  <phoneticPr fontId="82" type="noConversion"/>
  <printOptions horizontalCentered="1"/>
  <pageMargins left="1.1023622047244095" right="0.78740157480314965" top="1.7716535433070868" bottom="0.98425196850393704" header="0.51181102362204722" footer="0.51181102362204722"/>
  <pageSetup paperSize="9" scale="73" orientation="portrait" r:id="rId1"/>
  <headerFooter alignWithMargins="0"/>
  <ignoredErrors>
    <ignoredError sqref="A272 A392 A362 A92 A482 A332 A302 A422 A152 A1 A452 A242 A212 A182 A122 A62 A32" numberStoredAsText="1"/>
    <ignoredError sqref="C18:D18" formula="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I25" sqref="I25"/>
    </sheetView>
  </sheetViews>
  <sheetFormatPr defaultRowHeight="12.75" x14ac:dyDescent="0.2"/>
  <cols>
    <col min="1" max="1" width="3.7109375" customWidth="1"/>
    <col min="2" max="2" width="24.5703125" bestFit="1" customWidth="1"/>
    <col min="3" max="11" width="12.7109375" customWidth="1"/>
  </cols>
  <sheetData>
    <row r="1" spans="1:11" ht="15.75" x14ac:dyDescent="0.25">
      <c r="A1" s="1" t="s">
        <v>195</v>
      </c>
      <c r="B1" s="3"/>
      <c r="C1" s="4"/>
      <c r="D1" s="3"/>
      <c r="E1" s="3"/>
      <c r="F1" s="3"/>
      <c r="G1" s="413"/>
      <c r="H1" s="413"/>
      <c r="J1" s="1603" t="s">
        <v>388</v>
      </c>
      <c r="K1" s="1603"/>
    </row>
    <row r="2" spans="1:11" x14ac:dyDescent="0.2">
      <c r="A2" s="3" t="s">
        <v>214</v>
      </c>
      <c r="B2" s="3"/>
    </row>
    <row r="3" spans="1:11" x14ac:dyDescent="0.2">
      <c r="A3" s="3" t="s">
        <v>216</v>
      </c>
      <c r="B3" s="3"/>
      <c r="C3" s="3"/>
      <c r="D3" s="3"/>
      <c r="E3" s="3"/>
      <c r="F3" s="3"/>
      <c r="G3" s="3"/>
      <c r="H3" s="3"/>
      <c r="I3" s="3"/>
    </row>
    <row r="4" spans="1:11" x14ac:dyDescent="0.2">
      <c r="A4" s="3" t="s">
        <v>128</v>
      </c>
      <c r="B4" s="3"/>
      <c r="C4" s="3"/>
      <c r="D4" s="3"/>
      <c r="E4" s="3"/>
      <c r="F4" s="3"/>
      <c r="G4" s="3"/>
      <c r="H4" s="3"/>
      <c r="I4" s="3"/>
    </row>
    <row r="5" spans="1:11" x14ac:dyDescent="0.2">
      <c r="A5" s="3"/>
      <c r="B5" s="3"/>
      <c r="C5" s="3"/>
      <c r="D5" s="3"/>
      <c r="E5" s="3"/>
      <c r="F5" s="3"/>
      <c r="G5" s="3"/>
      <c r="H5" s="3"/>
      <c r="I5" s="3"/>
    </row>
    <row r="6" spans="1:11" ht="15.75" x14ac:dyDescent="0.25">
      <c r="A6" s="8"/>
      <c r="B6" s="8"/>
      <c r="C6" s="8"/>
      <c r="D6" s="8"/>
      <c r="E6" s="8"/>
      <c r="F6" s="8"/>
      <c r="G6" s="8"/>
      <c r="H6" s="8"/>
      <c r="I6" s="8"/>
      <c r="J6" s="8"/>
      <c r="K6" s="8"/>
    </row>
    <row r="7" spans="1:11" ht="15.75" x14ac:dyDescent="0.25">
      <c r="A7" s="1691" t="str">
        <f>"MIESZKANIA CHRONIONE W "&amp;'Tab.1. bilans_Polska'!A2&amp;" r."</f>
        <v>MIESZKANIA CHRONIONE W 2011 r.</v>
      </c>
      <c r="B7" s="1690"/>
      <c r="C7" s="1690"/>
      <c r="D7" s="1690"/>
      <c r="E7" s="1690"/>
      <c r="F7" s="1690"/>
      <c r="G7" s="1690"/>
      <c r="H7" s="1690"/>
      <c r="I7" s="1690"/>
      <c r="J7" s="1690"/>
      <c r="K7" s="1690"/>
    </row>
    <row r="8" spans="1:11" ht="15.75" x14ac:dyDescent="0.25">
      <c r="A8" s="8"/>
      <c r="B8" s="8"/>
      <c r="C8" s="8"/>
      <c r="D8" s="8"/>
      <c r="E8" s="8"/>
      <c r="F8" s="8"/>
      <c r="G8" s="8"/>
      <c r="H8" s="8"/>
      <c r="I8" s="8"/>
      <c r="J8" s="8"/>
      <c r="K8" s="8"/>
    </row>
    <row r="9" spans="1:11" ht="13.5" thickBot="1" x14ac:dyDescent="0.25">
      <c r="A9" s="3"/>
      <c r="B9" s="3"/>
      <c r="C9" s="3"/>
      <c r="D9" s="3"/>
      <c r="E9" s="3"/>
      <c r="F9" s="3"/>
      <c r="G9" s="3"/>
      <c r="H9" s="3"/>
      <c r="I9" s="3"/>
    </row>
    <row r="10" spans="1:11" ht="12.75" customHeight="1" thickTop="1" x14ac:dyDescent="0.2">
      <c r="A10" s="1692" t="s">
        <v>226</v>
      </c>
      <c r="B10" s="1695" t="s">
        <v>256</v>
      </c>
      <c r="C10" s="1912" t="str">
        <f>"STAN NA DZIEŃ 31.XII."&amp;'Tab.1. bilans_Polska'!A2-1&amp;" r."</f>
        <v>STAN NA DZIEŃ 31.XII.2010 r.</v>
      </c>
      <c r="D10" s="1913"/>
      <c r="E10" s="1914"/>
      <c r="F10" s="1915" t="str">
        <f>"PRZYBYŁO W "&amp;'Tab.1. bilans_Polska'!A2&amp;" r."</f>
        <v>PRZYBYŁO W 2011 r.</v>
      </c>
      <c r="G10" s="1916"/>
      <c r="H10" s="1917"/>
      <c r="I10" s="1915" t="str">
        <f>"UBYŁO W "&amp;'Tab.1. bilans_Polska'!A2&amp;" r."</f>
        <v>UBYŁO W 2011 r.</v>
      </c>
      <c r="J10" s="1918"/>
      <c r="K10" s="1919"/>
    </row>
    <row r="11" spans="1:11" ht="12.75" customHeight="1" x14ac:dyDescent="0.2">
      <c r="A11" s="1693"/>
      <c r="B11" s="1696"/>
      <c r="C11" s="1920" t="s">
        <v>260</v>
      </c>
      <c r="D11" s="1923" t="s">
        <v>234</v>
      </c>
      <c r="E11" s="1926" t="s">
        <v>389</v>
      </c>
      <c r="F11" s="1920" t="s">
        <v>260</v>
      </c>
      <c r="G11" s="1923" t="s">
        <v>234</v>
      </c>
      <c r="H11" s="1926" t="s">
        <v>389</v>
      </c>
      <c r="I11" s="1920" t="s">
        <v>260</v>
      </c>
      <c r="J11" s="1923" t="s">
        <v>234</v>
      </c>
      <c r="K11" s="1909" t="s">
        <v>389</v>
      </c>
    </row>
    <row r="12" spans="1:11" ht="12.75" customHeight="1" x14ac:dyDescent="0.2">
      <c r="A12" s="1693"/>
      <c r="B12" s="1696"/>
      <c r="C12" s="1921"/>
      <c r="D12" s="1924"/>
      <c r="E12" s="1927"/>
      <c r="F12" s="1921"/>
      <c r="G12" s="1924"/>
      <c r="H12" s="1927"/>
      <c r="I12" s="1921"/>
      <c r="J12" s="1924"/>
      <c r="K12" s="1910"/>
    </row>
    <row r="13" spans="1:11" ht="12.75" customHeight="1" x14ac:dyDescent="0.2">
      <c r="A13" s="1694"/>
      <c r="B13" s="1697"/>
      <c r="C13" s="1922"/>
      <c r="D13" s="1925"/>
      <c r="E13" s="1928"/>
      <c r="F13" s="1922"/>
      <c r="G13" s="1925"/>
      <c r="H13" s="1928"/>
      <c r="I13" s="1922"/>
      <c r="J13" s="1925"/>
      <c r="K13" s="1911"/>
    </row>
    <row r="14" spans="1:11" ht="13.5" thickBot="1" x14ac:dyDescent="0.25">
      <c r="A14" s="425"/>
      <c r="B14" s="429">
        <v>0</v>
      </c>
      <c r="C14" s="427">
        <v>1</v>
      </c>
      <c r="D14" s="490">
        <v>2</v>
      </c>
      <c r="E14" s="468">
        <v>3</v>
      </c>
      <c r="F14" s="496">
        <v>4</v>
      </c>
      <c r="G14" s="466">
        <v>5</v>
      </c>
      <c r="H14" s="468">
        <v>6</v>
      </c>
      <c r="I14" s="427">
        <v>7</v>
      </c>
      <c r="J14" s="428">
        <v>8</v>
      </c>
      <c r="K14" s="431">
        <v>9</v>
      </c>
    </row>
    <row r="15" spans="1:11" ht="13.5" thickTop="1" x14ac:dyDescent="0.2">
      <c r="A15" s="461">
        <v>1</v>
      </c>
      <c r="B15" s="508" t="s">
        <v>236</v>
      </c>
      <c r="C15" s="629">
        <f>'Tab.10. Mieszk.chron_Polska'!C45</f>
        <v>0</v>
      </c>
      <c r="D15" s="651">
        <f>'Tab.10. Mieszk.chron_Polska'!D45</f>
        <v>0</v>
      </c>
      <c r="E15" s="653">
        <f>'Tab.10. Mieszk.chron_Polska'!E45</f>
        <v>0</v>
      </c>
      <c r="F15" s="629">
        <f>'Tab.10. Mieszk.chron_Polska'!C46</f>
        <v>0</v>
      </c>
      <c r="G15" s="598">
        <f>'Tab.10. Mieszk.chron_Polska'!D46</f>
        <v>0</v>
      </c>
      <c r="H15" s="653">
        <f>'Tab.10. Mieszk.chron_Polska'!E46</f>
        <v>0</v>
      </c>
      <c r="I15" s="656">
        <f>'Tab.10. Mieszk.chron_Polska'!C47</f>
        <v>0</v>
      </c>
      <c r="J15" s="600">
        <f>'Tab.10. Mieszk.chron_Polska'!D47</f>
        <v>0</v>
      </c>
      <c r="K15" s="657">
        <f>'Tab.10. Mieszk.chron_Polska'!E47</f>
        <v>0</v>
      </c>
    </row>
    <row r="16" spans="1:11" x14ac:dyDescent="0.2">
      <c r="A16" s="462">
        <v>2</v>
      </c>
      <c r="B16" s="509" t="s">
        <v>237</v>
      </c>
      <c r="C16" s="630">
        <f>'Tab.10. Mieszk.chron_Polska'!C75</f>
        <v>0</v>
      </c>
      <c r="D16" s="622">
        <f>'Tab.10. Mieszk.chron_Polska'!D75</f>
        <v>0</v>
      </c>
      <c r="E16" s="654">
        <f>'Tab.10. Mieszk.chron_Polska'!E75</f>
        <v>0</v>
      </c>
      <c r="F16" s="630">
        <f>'Tab.10. Mieszk.chron_Polska'!C76</f>
        <v>0</v>
      </c>
      <c r="G16" s="602">
        <f>'Tab.10. Mieszk.chron_Polska'!D76</f>
        <v>0</v>
      </c>
      <c r="H16" s="654">
        <f>'Tab.10. Mieszk.chron_Polska'!E76</f>
        <v>0</v>
      </c>
      <c r="I16" s="630">
        <f>'Tab.10. Mieszk.chron_Polska'!C77</f>
        <v>0</v>
      </c>
      <c r="J16" s="602">
        <f>'Tab.10. Mieszk.chron_Polska'!D77</f>
        <v>0</v>
      </c>
      <c r="K16" s="658">
        <f>'Tab.10. Mieszk.chron_Polska'!E77</f>
        <v>0</v>
      </c>
    </row>
    <row r="17" spans="1:11" x14ac:dyDescent="0.2">
      <c r="A17" s="462">
        <v>3</v>
      </c>
      <c r="B17" s="509" t="s">
        <v>238</v>
      </c>
      <c r="C17" s="630">
        <f>'Tab.10. Mieszk.chron_Polska'!C105</f>
        <v>0</v>
      </c>
      <c r="D17" s="622">
        <f>'Tab.10. Mieszk.chron_Polska'!D105</f>
        <v>0</v>
      </c>
      <c r="E17" s="654">
        <f>'Tab.10. Mieszk.chron_Polska'!E105</f>
        <v>0</v>
      </c>
      <c r="F17" s="630">
        <f>'Tab.10. Mieszk.chron_Polska'!C106</f>
        <v>0</v>
      </c>
      <c r="G17" s="602">
        <f>'Tab.10. Mieszk.chron_Polska'!D106</f>
        <v>0</v>
      </c>
      <c r="H17" s="654">
        <f>'Tab.10. Mieszk.chron_Polska'!E106</f>
        <v>0</v>
      </c>
      <c r="I17" s="630">
        <f>'Tab.10. Mieszk.chron_Polska'!C107</f>
        <v>0</v>
      </c>
      <c r="J17" s="602">
        <f>'Tab.10. Mieszk.chron_Polska'!D107</f>
        <v>0</v>
      </c>
      <c r="K17" s="658">
        <f>'Tab.10. Mieszk.chron_Polska'!E107</f>
        <v>0</v>
      </c>
    </row>
    <row r="18" spans="1:11" x14ac:dyDescent="0.2">
      <c r="A18" s="462">
        <v>4</v>
      </c>
      <c r="B18" s="509" t="s">
        <v>239</v>
      </c>
      <c r="C18" s="630">
        <f>'Tab.10. Mieszk.chron_Polska'!C135</f>
        <v>0</v>
      </c>
      <c r="D18" s="622">
        <f>'Tab.10. Mieszk.chron_Polska'!D135</f>
        <v>0</v>
      </c>
      <c r="E18" s="654">
        <f>'Tab.10. Mieszk.chron_Polska'!E135</f>
        <v>0</v>
      </c>
      <c r="F18" s="630">
        <f>'Tab.10. Mieszk.chron_Polska'!C136</f>
        <v>1</v>
      </c>
      <c r="G18" s="602">
        <f>'Tab.10. Mieszk.chron_Polska'!D136</f>
        <v>9</v>
      </c>
      <c r="H18" s="654">
        <f>'Tab.10. Mieszk.chron_Polska'!E136</f>
        <v>7</v>
      </c>
      <c r="I18" s="630">
        <f>'Tab.10. Mieszk.chron_Polska'!C137</f>
        <v>0</v>
      </c>
      <c r="J18" s="602">
        <f>'Tab.10. Mieszk.chron_Polska'!D137</f>
        <v>0</v>
      </c>
      <c r="K18" s="658">
        <f>'Tab.10. Mieszk.chron_Polska'!E137</f>
        <v>0</v>
      </c>
    </row>
    <row r="19" spans="1:11" x14ac:dyDescent="0.2">
      <c r="A19" s="462">
        <v>5</v>
      </c>
      <c r="B19" s="509" t="s">
        <v>240</v>
      </c>
      <c r="C19" s="630">
        <f>'Tab.10. Mieszk.chron_Polska'!C165</f>
        <v>0</v>
      </c>
      <c r="D19" s="622">
        <f>'Tab.10. Mieszk.chron_Polska'!D165</f>
        <v>0</v>
      </c>
      <c r="E19" s="654">
        <f>'Tab.10. Mieszk.chron_Polska'!E165</f>
        <v>0</v>
      </c>
      <c r="F19" s="630">
        <f>'Tab.10. Mieszk.chron_Polska'!C166</f>
        <v>0</v>
      </c>
      <c r="G19" s="602">
        <f>'Tab.10. Mieszk.chron_Polska'!D166</f>
        <v>0</v>
      </c>
      <c r="H19" s="654">
        <f>'Tab.10. Mieszk.chron_Polska'!E166</f>
        <v>0</v>
      </c>
      <c r="I19" s="630">
        <f>'Tab.10. Mieszk.chron_Polska'!C167</f>
        <v>0</v>
      </c>
      <c r="J19" s="602">
        <f>'Tab.10. Mieszk.chron_Polska'!D167</f>
        <v>0</v>
      </c>
      <c r="K19" s="658">
        <f>'Tab.10. Mieszk.chron_Polska'!E167</f>
        <v>0</v>
      </c>
    </row>
    <row r="20" spans="1:11" x14ac:dyDescent="0.2">
      <c r="A20" s="462">
        <v>6</v>
      </c>
      <c r="B20" s="509" t="s">
        <v>241</v>
      </c>
      <c r="C20" s="630">
        <f>'Tab.10. Mieszk.chron_Polska'!C195</f>
        <v>0</v>
      </c>
      <c r="D20" s="622">
        <f>'Tab.10. Mieszk.chron_Polska'!D195</f>
        <v>0</v>
      </c>
      <c r="E20" s="654">
        <f>'Tab.10. Mieszk.chron_Polska'!E195</f>
        <v>0</v>
      </c>
      <c r="F20" s="630">
        <f>'Tab.10. Mieszk.chron_Polska'!C196</f>
        <v>0</v>
      </c>
      <c r="G20" s="602">
        <f>'Tab.10. Mieszk.chron_Polska'!D196</f>
        <v>0</v>
      </c>
      <c r="H20" s="654">
        <f>'Tab.10. Mieszk.chron_Polska'!E196</f>
        <v>0</v>
      </c>
      <c r="I20" s="630">
        <f>'Tab.10. Mieszk.chron_Polska'!C197</f>
        <v>0</v>
      </c>
      <c r="J20" s="602">
        <f>'Tab.10. Mieszk.chron_Polska'!D197</f>
        <v>0</v>
      </c>
      <c r="K20" s="658">
        <f>'Tab.10. Mieszk.chron_Polska'!E197</f>
        <v>0</v>
      </c>
    </row>
    <row r="21" spans="1:11" x14ac:dyDescent="0.2">
      <c r="A21" s="462">
        <v>7</v>
      </c>
      <c r="B21" s="509" t="s">
        <v>242</v>
      </c>
      <c r="C21" s="630">
        <f>'Tab.10. Mieszk.chron_Polska'!C225</f>
        <v>0</v>
      </c>
      <c r="D21" s="622">
        <f>'Tab.10. Mieszk.chron_Polska'!D225</f>
        <v>0</v>
      </c>
      <c r="E21" s="654">
        <f>'Tab.10. Mieszk.chron_Polska'!E225</f>
        <v>0</v>
      </c>
      <c r="F21" s="630">
        <f>'Tab.10. Mieszk.chron_Polska'!C226</f>
        <v>0</v>
      </c>
      <c r="G21" s="602">
        <f>'Tab.10. Mieszk.chron_Polska'!D226</f>
        <v>0</v>
      </c>
      <c r="H21" s="654">
        <f>'Tab.10. Mieszk.chron_Polska'!E226</f>
        <v>0</v>
      </c>
      <c r="I21" s="630">
        <f>'Tab.10. Mieszk.chron_Polska'!C227</f>
        <v>0</v>
      </c>
      <c r="J21" s="602">
        <f>'Tab.10. Mieszk.chron_Polska'!D227</f>
        <v>0</v>
      </c>
      <c r="K21" s="658">
        <f>'Tab.10. Mieszk.chron_Polska'!E227</f>
        <v>0</v>
      </c>
    </row>
    <row r="22" spans="1:11" x14ac:dyDescent="0.2">
      <c r="A22" s="462">
        <v>8</v>
      </c>
      <c r="B22" s="509" t="s">
        <v>243</v>
      </c>
      <c r="C22" s="630">
        <f>'Tab.10. Mieszk.chron_Polska'!C255</f>
        <v>0</v>
      </c>
      <c r="D22" s="622">
        <f>'Tab.10. Mieszk.chron_Polska'!D255</f>
        <v>0</v>
      </c>
      <c r="E22" s="654">
        <f>'Tab.10. Mieszk.chron_Polska'!E255</f>
        <v>0</v>
      </c>
      <c r="F22" s="630">
        <f>'Tab.10. Mieszk.chron_Polska'!C256</f>
        <v>0</v>
      </c>
      <c r="G22" s="602">
        <f>'Tab.10. Mieszk.chron_Polska'!D256</f>
        <v>0</v>
      </c>
      <c r="H22" s="654">
        <f>'Tab.10. Mieszk.chron_Polska'!E256</f>
        <v>0</v>
      </c>
      <c r="I22" s="630">
        <f>'Tab.10. Mieszk.chron_Polska'!C257</f>
        <v>0</v>
      </c>
      <c r="J22" s="602">
        <f>'Tab.10. Mieszk.chron_Polska'!D257</f>
        <v>0</v>
      </c>
      <c r="K22" s="658">
        <f>'Tab.10. Mieszk.chron_Polska'!E257</f>
        <v>0</v>
      </c>
    </row>
    <row r="23" spans="1:11" x14ac:dyDescent="0.2">
      <c r="A23" s="462">
        <v>9</v>
      </c>
      <c r="B23" s="509" t="s">
        <v>244</v>
      </c>
      <c r="C23" s="630">
        <f>'Tab.10. Mieszk.chron_Polska'!C285</f>
        <v>0</v>
      </c>
      <c r="D23" s="622">
        <f>'Tab.10. Mieszk.chron_Polska'!D285</f>
        <v>0</v>
      </c>
      <c r="E23" s="654">
        <f>'Tab.10. Mieszk.chron_Polska'!E285</f>
        <v>0</v>
      </c>
      <c r="F23" s="630">
        <f>'Tab.10. Mieszk.chron_Polska'!C286</f>
        <v>0</v>
      </c>
      <c r="G23" s="602">
        <f>'Tab.10. Mieszk.chron_Polska'!D286</f>
        <v>0</v>
      </c>
      <c r="H23" s="654">
        <f>'Tab.10. Mieszk.chron_Polska'!E286</f>
        <v>0</v>
      </c>
      <c r="I23" s="630">
        <f>'Tab.10. Mieszk.chron_Polska'!C287</f>
        <v>0</v>
      </c>
      <c r="J23" s="602">
        <f>'Tab.10. Mieszk.chron_Polska'!D287</f>
        <v>0</v>
      </c>
      <c r="K23" s="658">
        <f>'Tab.10. Mieszk.chron_Polska'!E287</f>
        <v>0</v>
      </c>
    </row>
    <row r="24" spans="1:11" x14ac:dyDescent="0.2">
      <c r="A24" s="463">
        <v>10</v>
      </c>
      <c r="B24" s="509" t="s">
        <v>245</v>
      </c>
      <c r="C24" s="630">
        <f>'Tab.10. Mieszk.chron_Polska'!C315</f>
        <v>0</v>
      </c>
      <c r="D24" s="622">
        <f>'Tab.10. Mieszk.chron_Polska'!D315</f>
        <v>0</v>
      </c>
      <c r="E24" s="654">
        <f>'Tab.10. Mieszk.chron_Polska'!E315</f>
        <v>0</v>
      </c>
      <c r="F24" s="630">
        <f>'Tab.10. Mieszk.chron_Polska'!C316</f>
        <v>0</v>
      </c>
      <c r="G24" s="602">
        <f>'Tab.10. Mieszk.chron_Polska'!D316</f>
        <v>0</v>
      </c>
      <c r="H24" s="654">
        <f>'Tab.10. Mieszk.chron_Polska'!E316</f>
        <v>0</v>
      </c>
      <c r="I24" s="630">
        <f>'Tab.10. Mieszk.chron_Polska'!C317</f>
        <v>0</v>
      </c>
      <c r="J24" s="602">
        <f>'Tab.10. Mieszk.chron_Polska'!D317</f>
        <v>0</v>
      </c>
      <c r="K24" s="658">
        <f>'Tab.10. Mieszk.chron_Polska'!E317</f>
        <v>0</v>
      </c>
    </row>
    <row r="25" spans="1:11" x14ac:dyDescent="0.2">
      <c r="A25" s="463">
        <v>11</v>
      </c>
      <c r="B25" s="509" t="s">
        <v>246</v>
      </c>
      <c r="C25" s="630">
        <f>'Tab.10. Mieszk.chron_Polska'!C345</f>
        <v>23</v>
      </c>
      <c r="D25" s="622">
        <f>'Tab.10. Mieszk.chron_Polska'!D345</f>
        <v>61</v>
      </c>
      <c r="E25" s="654">
        <f>'Tab.10. Mieszk.chron_Polska'!E345</f>
        <v>63</v>
      </c>
      <c r="F25" s="630">
        <f>'Tab.10. Mieszk.chron_Polska'!C346</f>
        <v>0</v>
      </c>
      <c r="G25" s="602">
        <f>'Tab.10. Mieszk.chron_Polska'!D346</f>
        <v>0</v>
      </c>
      <c r="H25" s="654">
        <f>'Tab.10. Mieszk.chron_Polska'!E346</f>
        <v>0</v>
      </c>
      <c r="I25" s="630">
        <f>'Tab.10. Mieszk.chron_Polska'!C347</f>
        <v>23</v>
      </c>
      <c r="J25" s="602">
        <f>'Tab.10. Mieszk.chron_Polska'!D347</f>
        <v>61</v>
      </c>
      <c r="K25" s="658">
        <f>'Tab.10. Mieszk.chron_Polska'!E347</f>
        <v>63</v>
      </c>
    </row>
    <row r="26" spans="1:11" x14ac:dyDescent="0.2">
      <c r="A26" s="463">
        <v>12</v>
      </c>
      <c r="B26" s="509" t="s">
        <v>247</v>
      </c>
      <c r="C26" s="630">
        <f>'Tab.10. Mieszk.chron_Polska'!C375</f>
        <v>0</v>
      </c>
      <c r="D26" s="622">
        <f>'Tab.10. Mieszk.chron_Polska'!D375</f>
        <v>0</v>
      </c>
      <c r="E26" s="654">
        <f>'Tab.10. Mieszk.chron_Polska'!E375</f>
        <v>0</v>
      </c>
      <c r="F26" s="630">
        <f>'Tab.10. Mieszk.chron_Polska'!C376</f>
        <v>0</v>
      </c>
      <c r="G26" s="602">
        <f>'Tab.10. Mieszk.chron_Polska'!D376</f>
        <v>0</v>
      </c>
      <c r="H26" s="654">
        <f>'Tab.10. Mieszk.chron_Polska'!E376</f>
        <v>0</v>
      </c>
      <c r="I26" s="630">
        <f>'Tab.10. Mieszk.chron_Polska'!C377</f>
        <v>0</v>
      </c>
      <c r="J26" s="602">
        <f>'Tab.10. Mieszk.chron_Polska'!D377</f>
        <v>0</v>
      </c>
      <c r="K26" s="658">
        <f>'Tab.10. Mieszk.chron_Polska'!E377</f>
        <v>0</v>
      </c>
    </row>
    <row r="27" spans="1:11" x14ac:dyDescent="0.2">
      <c r="A27" s="463">
        <v>13</v>
      </c>
      <c r="B27" s="509" t="s">
        <v>248</v>
      </c>
      <c r="C27" s="630">
        <f>'Tab.10. Mieszk.chron_Polska'!C405</f>
        <v>0</v>
      </c>
      <c r="D27" s="622">
        <f>'Tab.10. Mieszk.chron_Polska'!D405</f>
        <v>0</v>
      </c>
      <c r="E27" s="654">
        <f>'Tab.10. Mieszk.chron_Polska'!E405</f>
        <v>0</v>
      </c>
      <c r="F27" s="630">
        <f>'Tab.10. Mieszk.chron_Polska'!C406</f>
        <v>0</v>
      </c>
      <c r="G27" s="602">
        <f>'Tab.10. Mieszk.chron_Polska'!D406</f>
        <v>0</v>
      </c>
      <c r="H27" s="654">
        <f>'Tab.10. Mieszk.chron_Polska'!E406</f>
        <v>0</v>
      </c>
      <c r="I27" s="630">
        <f>'Tab.10. Mieszk.chron_Polska'!C407</f>
        <v>0</v>
      </c>
      <c r="J27" s="602">
        <f>'Tab.10. Mieszk.chron_Polska'!D407</f>
        <v>0</v>
      </c>
      <c r="K27" s="658">
        <f>'Tab.10. Mieszk.chron_Polska'!E407</f>
        <v>0</v>
      </c>
    </row>
    <row r="28" spans="1:11" x14ac:dyDescent="0.2">
      <c r="A28" s="463">
        <v>14</v>
      </c>
      <c r="B28" s="509" t="s">
        <v>249</v>
      </c>
      <c r="C28" s="630">
        <f>'Tab.10. Mieszk.chron_Polska'!C435</f>
        <v>0</v>
      </c>
      <c r="D28" s="622">
        <f>'Tab.10. Mieszk.chron_Polska'!D435</f>
        <v>0</v>
      </c>
      <c r="E28" s="654">
        <f>'Tab.10. Mieszk.chron_Polska'!E435</f>
        <v>0</v>
      </c>
      <c r="F28" s="630">
        <f>'Tab.10. Mieszk.chron_Polska'!C436</f>
        <v>0</v>
      </c>
      <c r="G28" s="602">
        <f>'Tab.10. Mieszk.chron_Polska'!D436</f>
        <v>0</v>
      </c>
      <c r="H28" s="654">
        <f>'Tab.10. Mieszk.chron_Polska'!E436</f>
        <v>0</v>
      </c>
      <c r="I28" s="630">
        <f>'Tab.10. Mieszk.chron_Polska'!C437</f>
        <v>0</v>
      </c>
      <c r="J28" s="602">
        <f>'Tab.10. Mieszk.chron_Polska'!D437</f>
        <v>0</v>
      </c>
      <c r="K28" s="658">
        <f>'Tab.10. Mieszk.chron_Polska'!E437</f>
        <v>0</v>
      </c>
    </row>
    <row r="29" spans="1:11" x14ac:dyDescent="0.2">
      <c r="A29" s="463">
        <v>15</v>
      </c>
      <c r="B29" s="509" t="s">
        <v>250</v>
      </c>
      <c r="C29" s="630">
        <f>'Tab.10. Mieszk.chron_Polska'!C465</f>
        <v>0</v>
      </c>
      <c r="D29" s="622">
        <f>'Tab.10. Mieszk.chron_Polska'!D465</f>
        <v>0</v>
      </c>
      <c r="E29" s="654">
        <f>'Tab.10. Mieszk.chron_Polska'!E465</f>
        <v>0</v>
      </c>
      <c r="F29" s="630">
        <f>'Tab.10. Mieszk.chron_Polska'!C466</f>
        <v>0</v>
      </c>
      <c r="G29" s="602">
        <f>'Tab.10. Mieszk.chron_Polska'!D466</f>
        <v>0</v>
      </c>
      <c r="H29" s="654">
        <f>'Tab.10. Mieszk.chron_Polska'!E466</f>
        <v>0</v>
      </c>
      <c r="I29" s="630">
        <f>'Tab.10. Mieszk.chron_Polska'!C467</f>
        <v>0</v>
      </c>
      <c r="J29" s="602">
        <f>'Tab.10. Mieszk.chron_Polska'!D467</f>
        <v>0</v>
      </c>
      <c r="K29" s="658">
        <f>'Tab.10. Mieszk.chron_Polska'!E467</f>
        <v>0</v>
      </c>
    </row>
    <row r="30" spans="1:11" ht="13.5" thickBot="1" x14ac:dyDescent="0.25">
      <c r="A30" s="463">
        <v>16</v>
      </c>
      <c r="B30" s="510" t="s">
        <v>251</v>
      </c>
      <c r="C30" s="630">
        <f>'Tab.10. Mieszk.chron_Polska'!C495</f>
        <v>0</v>
      </c>
      <c r="D30" s="623">
        <f>'Tab.10. Mieszk.chron_Polska'!D495</f>
        <v>0</v>
      </c>
      <c r="E30" s="655">
        <f>'Tab.10. Mieszk.chron_Polska'!E495</f>
        <v>0</v>
      </c>
      <c r="F30" s="631">
        <f>'Tab.10. Mieszk.chron_Polska'!C496</f>
        <v>0</v>
      </c>
      <c r="G30" s="604">
        <f>'Tab.10. Mieszk.chron_Polska'!D496</f>
        <v>0</v>
      </c>
      <c r="H30" s="655">
        <f>'Tab.10. Mieszk.chron_Polska'!E496</f>
        <v>0</v>
      </c>
      <c r="I30" s="631">
        <f>'Tab.10. Mieszk.chron_Polska'!C497</f>
        <v>0</v>
      </c>
      <c r="J30" s="604">
        <f>'Tab.10. Mieszk.chron_Polska'!D497</f>
        <v>0</v>
      </c>
      <c r="K30" s="659">
        <f>'Tab.10. Mieszk.chron_Polska'!E497</f>
        <v>0</v>
      </c>
    </row>
    <row r="31" spans="1:11" ht="16.5" thickBot="1" x14ac:dyDescent="0.3">
      <c r="A31" s="445" t="s">
        <v>252</v>
      </c>
      <c r="B31" s="446"/>
      <c r="C31" s="652">
        <f>SUM(C15:C30)</f>
        <v>23</v>
      </c>
      <c r="D31" s="549">
        <f>SUM(D15:D30)</f>
        <v>61</v>
      </c>
      <c r="E31" s="550">
        <f t="shared" ref="E31:K31" si="0">SUM(E15:E30)</f>
        <v>63</v>
      </c>
      <c r="F31" s="545">
        <f t="shared" si="0"/>
        <v>1</v>
      </c>
      <c r="G31" s="546">
        <f t="shared" si="0"/>
        <v>9</v>
      </c>
      <c r="H31" s="550">
        <f t="shared" si="0"/>
        <v>7</v>
      </c>
      <c r="I31" s="652">
        <f t="shared" si="0"/>
        <v>23</v>
      </c>
      <c r="J31" s="595">
        <f t="shared" si="0"/>
        <v>61</v>
      </c>
      <c r="K31" s="547">
        <f t="shared" si="0"/>
        <v>63</v>
      </c>
    </row>
    <row r="32" spans="1:11" ht="13.5" thickTop="1" x14ac:dyDescent="0.2"/>
  </sheetData>
  <mergeCells count="16">
    <mergeCell ref="J1:K1"/>
    <mergeCell ref="B10:B13"/>
    <mergeCell ref="C11:C13"/>
    <mergeCell ref="D11:D13"/>
    <mergeCell ref="E11:E13"/>
    <mergeCell ref="F11:F13"/>
    <mergeCell ref="G11:G13"/>
    <mergeCell ref="H11:H13"/>
    <mergeCell ref="I11:I13"/>
    <mergeCell ref="J11:J13"/>
    <mergeCell ref="K11:K13"/>
    <mergeCell ref="A7:K7"/>
    <mergeCell ref="C10:E10"/>
    <mergeCell ref="F10:H10"/>
    <mergeCell ref="I10:K10"/>
    <mergeCell ref="A10:A13"/>
  </mergeCells>
  <phoneticPr fontId="82" type="noConversion"/>
  <conditionalFormatting sqref="C15:K31">
    <cfRule type="cellIs" dxfId="6" priority="1" stopIfTrue="1" operator="equal">
      <formula>0</formula>
    </cfRule>
  </conditionalFormatting>
  <printOptions horizontalCentered="1" verticalCentered="1"/>
  <pageMargins left="0.39370078740157483" right="0.56000000000000005" top="0.98425196850393704" bottom="0.98425196850393704" header="0.51181102362204722" footer="0.51181102362204722"/>
  <pageSetup paperSize="9" scale="98"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opLeftCell="A6" workbookViewId="0">
      <selection activeCell="H18" sqref="H18"/>
    </sheetView>
  </sheetViews>
  <sheetFormatPr defaultRowHeight="12.75" x14ac:dyDescent="0.2"/>
  <cols>
    <col min="1" max="1" width="3.7109375" customWidth="1"/>
    <col min="2" max="2" width="24.5703125" bestFit="1" customWidth="1"/>
    <col min="3" max="10" width="12.7109375" customWidth="1"/>
  </cols>
  <sheetData>
    <row r="1" spans="1:11" ht="15.75" x14ac:dyDescent="0.25">
      <c r="A1" s="1" t="s">
        <v>195</v>
      </c>
      <c r="B1" s="3"/>
      <c r="C1" s="4"/>
      <c r="D1" s="3"/>
      <c r="E1" s="3"/>
      <c r="F1" s="3"/>
      <c r="G1" s="413"/>
      <c r="I1" s="1603" t="s">
        <v>390</v>
      </c>
      <c r="J1" s="1603"/>
    </row>
    <row r="2" spans="1:11" x14ac:dyDescent="0.2">
      <c r="A2" s="3" t="s">
        <v>214</v>
      </c>
      <c r="B2" s="3"/>
    </row>
    <row r="3" spans="1:11" x14ac:dyDescent="0.2">
      <c r="A3" s="3" t="s">
        <v>216</v>
      </c>
      <c r="B3" s="3"/>
      <c r="C3" s="3"/>
      <c r="D3" s="3"/>
      <c r="E3" s="3"/>
      <c r="F3" s="3"/>
      <c r="G3" s="3"/>
      <c r="H3" s="3"/>
    </row>
    <row r="4" spans="1:11" x14ac:dyDescent="0.2">
      <c r="A4" s="3" t="s">
        <v>128</v>
      </c>
      <c r="B4" s="3"/>
      <c r="C4" s="3"/>
      <c r="D4" s="3"/>
      <c r="E4" s="3"/>
      <c r="F4" s="3"/>
      <c r="G4" s="3"/>
      <c r="H4" s="3"/>
    </row>
    <row r="5" spans="1:11" x14ac:dyDescent="0.2">
      <c r="A5" s="3"/>
      <c r="B5" s="3"/>
      <c r="C5" s="3"/>
      <c r="D5" s="3"/>
      <c r="E5" s="3"/>
      <c r="F5" s="3"/>
      <c r="G5" s="3"/>
      <c r="H5" s="3"/>
    </row>
    <row r="6" spans="1:11" ht="15.75" x14ac:dyDescent="0.25">
      <c r="A6" s="8"/>
      <c r="B6" s="8"/>
      <c r="C6" s="8"/>
      <c r="D6" s="8"/>
      <c r="E6" s="8"/>
      <c r="F6" s="8"/>
      <c r="G6" s="8"/>
      <c r="H6" s="8"/>
      <c r="I6" s="8"/>
      <c r="J6" s="8"/>
    </row>
    <row r="7" spans="1:11" ht="15.75" x14ac:dyDescent="0.25">
      <c r="A7" s="1691" t="str">
        <f>"'MIESZKANIA CHRONIONE W "&amp;'Tab.1. bilans_Polska'!A2&amp;" r. cd."</f>
        <v>'MIESZKANIA CHRONIONE W 2011 r. cd.</v>
      </c>
      <c r="B7" s="1690"/>
      <c r="C7" s="1690"/>
      <c r="D7" s="1690"/>
      <c r="E7" s="1690"/>
      <c r="F7" s="1690"/>
      <c r="G7" s="1690"/>
      <c r="H7" s="1690"/>
      <c r="I7" s="1690"/>
      <c r="J7" s="1690"/>
    </row>
    <row r="8" spans="1:11" ht="15.75" x14ac:dyDescent="0.25">
      <c r="A8" s="8"/>
      <c r="B8" s="8"/>
      <c r="C8" s="8"/>
      <c r="D8" s="8"/>
      <c r="E8" s="8"/>
      <c r="F8" s="8"/>
      <c r="G8" s="8"/>
      <c r="H8" s="8"/>
      <c r="I8" s="8"/>
      <c r="J8" s="8"/>
    </row>
    <row r="9" spans="1:11" ht="13.5" thickBot="1" x14ac:dyDescent="0.25">
      <c r="A9" s="3"/>
      <c r="B9" s="3"/>
      <c r="C9" s="3"/>
      <c r="D9" s="3"/>
      <c r="E9" s="3"/>
      <c r="F9" s="3"/>
      <c r="G9" s="3"/>
      <c r="H9" s="3"/>
    </row>
    <row r="10" spans="1:11" ht="12.75" customHeight="1" thickTop="1" x14ac:dyDescent="0.2">
      <c r="A10" s="1692" t="s">
        <v>226</v>
      </c>
      <c r="B10" s="1695" t="s">
        <v>256</v>
      </c>
      <c r="C10" s="1912" t="str">
        <f>"STAN NA DZIEŃ 31.XII."&amp;'Tab.1. bilans_Polska'!A2&amp;" r."</f>
        <v>STAN NA DZIEŃ 31.XII.2011 r.</v>
      </c>
      <c r="D10" s="1913"/>
      <c r="E10" s="1914"/>
      <c r="F10" s="1882" t="str">
        <f>"PLANOWANE ZWIĘKSZENIE W "&amp;'Tab.1. bilans_Polska'!A2+1&amp;" r."</f>
        <v>PLANOWANE ZWIĘKSZENIE W 2012 r.</v>
      </c>
      <c r="G10" s="1883"/>
      <c r="H10" s="1935" t="s">
        <v>2</v>
      </c>
      <c r="I10" s="1936"/>
      <c r="J10" s="1937" t="s">
        <v>391</v>
      </c>
    </row>
    <row r="11" spans="1:11" ht="12.75" customHeight="1" x14ac:dyDescent="0.2">
      <c r="A11" s="1693"/>
      <c r="B11" s="1696"/>
      <c r="C11" s="1920" t="s">
        <v>260</v>
      </c>
      <c r="D11" s="1923" t="s">
        <v>234</v>
      </c>
      <c r="E11" s="1926" t="s">
        <v>389</v>
      </c>
      <c r="F11" s="1884"/>
      <c r="G11" s="1885"/>
      <c r="H11" s="1929" t="str">
        <f>"umieszczo-
nych w "&amp;'Tab.1. bilans_Polska'!A2&amp;" r."</f>
        <v>umieszczo-
nych w 2011 r.</v>
      </c>
      <c r="I11" s="1932" t="str">
        <f>"oczekujących
na umieszcz. 
stan 31.XII."&amp;'Tab.1. bilans_Polska'!A2</f>
        <v>oczekujących
na umieszcz. 
stan 31.XII.2011</v>
      </c>
      <c r="J11" s="1938"/>
    </row>
    <row r="12" spans="1:11" ht="12.75" customHeight="1" x14ac:dyDescent="0.2">
      <c r="A12" s="1693"/>
      <c r="B12" s="1696"/>
      <c r="C12" s="1921"/>
      <c r="D12" s="1924"/>
      <c r="E12" s="1927"/>
      <c r="F12" s="1940" t="s">
        <v>392</v>
      </c>
      <c r="G12" s="1927" t="s">
        <v>393</v>
      </c>
      <c r="H12" s="1930"/>
      <c r="I12" s="1933"/>
      <c r="J12" s="1938"/>
    </row>
    <row r="13" spans="1:11" ht="12.75" customHeight="1" x14ac:dyDescent="0.2">
      <c r="A13" s="1694"/>
      <c r="B13" s="1697"/>
      <c r="C13" s="1922"/>
      <c r="D13" s="1925"/>
      <c r="E13" s="1928"/>
      <c r="F13" s="1941"/>
      <c r="G13" s="1928"/>
      <c r="H13" s="1931"/>
      <c r="I13" s="1934"/>
      <c r="J13" s="1939"/>
    </row>
    <row r="14" spans="1:11" ht="13.5" thickBot="1" x14ac:dyDescent="0.25">
      <c r="A14" s="425"/>
      <c r="B14" s="429">
        <v>0</v>
      </c>
      <c r="C14" s="427">
        <v>10</v>
      </c>
      <c r="D14" s="490">
        <v>11</v>
      </c>
      <c r="E14" s="468">
        <v>12</v>
      </c>
      <c r="F14" s="496">
        <v>13</v>
      </c>
      <c r="G14" s="466">
        <v>14</v>
      </c>
      <c r="H14" s="427">
        <v>15</v>
      </c>
      <c r="I14" s="429">
        <v>16</v>
      </c>
      <c r="J14" s="432">
        <v>17</v>
      </c>
    </row>
    <row r="15" spans="1:11" ht="13.5" thickTop="1" x14ac:dyDescent="0.2">
      <c r="A15" s="461">
        <v>1</v>
      </c>
      <c r="B15" s="508" t="s">
        <v>236</v>
      </c>
      <c r="C15" s="629">
        <f>'Tab.10. Mieszk.chron_Polska'!C48</f>
        <v>0</v>
      </c>
      <c r="D15" s="651">
        <f>'Tab.10. Mieszk.chron_Polska'!D48</f>
        <v>0</v>
      </c>
      <c r="E15" s="653">
        <f>'Tab.10. Mieszk.chron_Polska'!E48</f>
        <v>0</v>
      </c>
      <c r="F15" s="629">
        <f>'Tab.10. Mieszk.chron_Polska'!C49</f>
        <v>0</v>
      </c>
      <c r="G15" s="598">
        <f>'Tab.10. Mieszk.chron_Polska'!D49</f>
        <v>0</v>
      </c>
      <c r="H15" s="656">
        <f>'Tab.10. Mieszk.chron_Polska'!E51</f>
        <v>0</v>
      </c>
      <c r="I15" s="660">
        <f>'Tab.10. Mieszk.chron_Polska'!E53</f>
        <v>0</v>
      </c>
      <c r="J15" s="503" t="str">
        <f t="shared" ref="J15:J30" si="0">IF(K15&gt;0, ROUND(H15*100/(H15+I15), 1), "")</f>
        <v/>
      </c>
      <c r="K15" s="806">
        <f t="shared" ref="K15:K28" si="1">SUM(C15:I15)</f>
        <v>0</v>
      </c>
    </row>
    <row r="16" spans="1:11" x14ac:dyDescent="0.2">
      <c r="A16" s="462">
        <v>2</v>
      </c>
      <c r="B16" s="509" t="s">
        <v>237</v>
      </c>
      <c r="C16" s="630">
        <f>'Tab.10. Mieszk.chron_Polska'!C78</f>
        <v>0</v>
      </c>
      <c r="D16" s="622">
        <f>'Tab.10. Mieszk.chron_Polska'!D78</f>
        <v>0</v>
      </c>
      <c r="E16" s="654">
        <f>'Tab.10. Mieszk.chron_Polska'!E78</f>
        <v>0</v>
      </c>
      <c r="F16" s="630">
        <f>'Tab.10. Mieszk.chron_Polska'!C79</f>
        <v>0</v>
      </c>
      <c r="G16" s="602">
        <f>'Tab.10. Mieszk.chron_Polska'!D79</f>
        <v>0</v>
      </c>
      <c r="H16" s="630">
        <f>'Tab.10. Mieszk.chron_Polska'!E81</f>
        <v>0</v>
      </c>
      <c r="I16" s="654">
        <f>'Tab.10. Mieszk.chron_Polska'!E83</f>
        <v>0</v>
      </c>
      <c r="J16" s="503" t="str">
        <f t="shared" si="0"/>
        <v/>
      </c>
      <c r="K16" s="806">
        <f t="shared" si="1"/>
        <v>0</v>
      </c>
    </row>
    <row r="17" spans="1:11" x14ac:dyDescent="0.2">
      <c r="A17" s="462">
        <v>3</v>
      </c>
      <c r="B17" s="509" t="s">
        <v>238</v>
      </c>
      <c r="C17" s="630">
        <f>'Tab.10. Mieszk.chron_Polska'!C108</f>
        <v>0</v>
      </c>
      <c r="D17" s="622">
        <f>'Tab.10. Mieszk.chron_Polska'!D108</f>
        <v>0</v>
      </c>
      <c r="E17" s="654">
        <f>'Tab.10. Mieszk.chron_Polska'!E108</f>
        <v>0</v>
      </c>
      <c r="F17" s="630">
        <f>'Tab.10. Mieszk.chron_Polska'!C109</f>
        <v>0</v>
      </c>
      <c r="G17" s="602">
        <f>'Tab.10. Mieszk.chron_Polska'!D109</f>
        <v>0</v>
      </c>
      <c r="H17" s="630">
        <f>'Tab.10. Mieszk.chron_Polska'!E111</f>
        <v>0</v>
      </c>
      <c r="I17" s="654">
        <f>'Tab.10. Mieszk.chron_Polska'!E113</f>
        <v>0</v>
      </c>
      <c r="J17" s="503" t="str">
        <f t="shared" si="0"/>
        <v/>
      </c>
      <c r="K17" s="806">
        <f t="shared" si="1"/>
        <v>0</v>
      </c>
    </row>
    <row r="18" spans="1:11" x14ac:dyDescent="0.2">
      <c r="A18" s="462">
        <v>4</v>
      </c>
      <c r="B18" s="509" t="s">
        <v>239</v>
      </c>
      <c r="C18" s="630">
        <f>'Tab.10. Mieszk.chron_Polska'!C138</f>
        <v>1</v>
      </c>
      <c r="D18" s="622">
        <f>'Tab.10. Mieszk.chron_Polska'!D138</f>
        <v>9</v>
      </c>
      <c r="E18" s="654">
        <f>'Tab.10. Mieszk.chron_Polska'!E138</f>
        <v>7</v>
      </c>
      <c r="F18" s="630">
        <f>'Tab.10. Mieszk.chron_Polska'!C139</f>
        <v>0</v>
      </c>
      <c r="G18" s="602">
        <f>'Tab.10. Mieszk.chron_Polska'!D139</f>
        <v>0</v>
      </c>
      <c r="H18" s="630">
        <f>'Tab.10. Mieszk.chron_Polska'!E141</f>
        <v>7</v>
      </c>
      <c r="I18" s="654">
        <f>'Tab.10. Mieszk.chron_Polska'!E143</f>
        <v>0</v>
      </c>
      <c r="J18" s="503">
        <f t="shared" si="0"/>
        <v>100</v>
      </c>
      <c r="K18" s="806">
        <f t="shared" si="1"/>
        <v>24</v>
      </c>
    </row>
    <row r="19" spans="1:11" x14ac:dyDescent="0.2">
      <c r="A19" s="462">
        <v>5</v>
      </c>
      <c r="B19" s="509" t="s">
        <v>240</v>
      </c>
      <c r="C19" s="630">
        <f>'Tab.10. Mieszk.chron_Polska'!C168</f>
        <v>0</v>
      </c>
      <c r="D19" s="622">
        <f>'Tab.10. Mieszk.chron_Polska'!D168</f>
        <v>0</v>
      </c>
      <c r="E19" s="654">
        <f>'Tab.10. Mieszk.chron_Polska'!E168</f>
        <v>0</v>
      </c>
      <c r="F19" s="630">
        <f>'Tab.10. Mieszk.chron_Polska'!C169</f>
        <v>0</v>
      </c>
      <c r="G19" s="602">
        <f>'Tab.10. Mieszk.chron_Polska'!D169</f>
        <v>0</v>
      </c>
      <c r="H19" s="630">
        <f>'Tab.10. Mieszk.chron_Polska'!E171</f>
        <v>0</v>
      </c>
      <c r="I19" s="654">
        <f>'Tab.10. Mieszk.chron_Polska'!E173</f>
        <v>0</v>
      </c>
      <c r="J19" s="503" t="str">
        <f t="shared" si="0"/>
        <v/>
      </c>
      <c r="K19" s="806">
        <f t="shared" si="1"/>
        <v>0</v>
      </c>
    </row>
    <row r="20" spans="1:11" x14ac:dyDescent="0.2">
      <c r="A20" s="462">
        <v>6</v>
      </c>
      <c r="B20" s="509" t="s">
        <v>241</v>
      </c>
      <c r="C20" s="630">
        <f>'Tab.10. Mieszk.chron_Polska'!C198</f>
        <v>0</v>
      </c>
      <c r="D20" s="622">
        <f>'Tab.10. Mieszk.chron_Polska'!D198</f>
        <v>0</v>
      </c>
      <c r="E20" s="654">
        <f>'Tab.10. Mieszk.chron_Polska'!E198</f>
        <v>0</v>
      </c>
      <c r="F20" s="630">
        <f>'Tab.10. Mieszk.chron_Polska'!C199</f>
        <v>0</v>
      </c>
      <c r="G20" s="602">
        <f>'Tab.10. Mieszk.chron_Polska'!D199</f>
        <v>0</v>
      </c>
      <c r="H20" s="630">
        <f>'Tab.10. Mieszk.chron_Polska'!E201</f>
        <v>0</v>
      </c>
      <c r="I20" s="654">
        <f>'Tab.10. Mieszk.chron_Polska'!E203</f>
        <v>0</v>
      </c>
      <c r="J20" s="503" t="str">
        <f t="shared" si="0"/>
        <v/>
      </c>
      <c r="K20" s="806">
        <f t="shared" si="1"/>
        <v>0</v>
      </c>
    </row>
    <row r="21" spans="1:11" x14ac:dyDescent="0.2">
      <c r="A21" s="462">
        <v>7</v>
      </c>
      <c r="B21" s="509" t="s">
        <v>242</v>
      </c>
      <c r="C21" s="630">
        <f>'Tab.10. Mieszk.chron_Polska'!C228</f>
        <v>0</v>
      </c>
      <c r="D21" s="622">
        <f>'Tab.10. Mieszk.chron_Polska'!D228</f>
        <v>0</v>
      </c>
      <c r="E21" s="654">
        <f>'Tab.10. Mieszk.chron_Polska'!E228</f>
        <v>0</v>
      </c>
      <c r="F21" s="630">
        <f>'Tab.10. Mieszk.chron_Polska'!C229</f>
        <v>0</v>
      </c>
      <c r="G21" s="602">
        <f>'Tab.10. Mieszk.chron_Polska'!D229</f>
        <v>0</v>
      </c>
      <c r="H21" s="630">
        <f>'Tab.10. Mieszk.chron_Polska'!E231</f>
        <v>0</v>
      </c>
      <c r="I21" s="654">
        <f>'Tab.10. Mieszk.chron_Polska'!E233</f>
        <v>0</v>
      </c>
      <c r="J21" s="503" t="str">
        <f t="shared" si="0"/>
        <v/>
      </c>
      <c r="K21" s="806">
        <f t="shared" si="1"/>
        <v>0</v>
      </c>
    </row>
    <row r="22" spans="1:11" x14ac:dyDescent="0.2">
      <c r="A22" s="462">
        <v>8</v>
      </c>
      <c r="B22" s="509" t="s">
        <v>243</v>
      </c>
      <c r="C22" s="630">
        <f>'Tab.10. Mieszk.chron_Polska'!C258</f>
        <v>0</v>
      </c>
      <c r="D22" s="622">
        <f>'Tab.10. Mieszk.chron_Polska'!D258</f>
        <v>0</v>
      </c>
      <c r="E22" s="654">
        <f>'Tab.10. Mieszk.chron_Polska'!E258</f>
        <v>0</v>
      </c>
      <c r="F22" s="630">
        <f>'Tab.10. Mieszk.chron_Polska'!C259</f>
        <v>0</v>
      </c>
      <c r="G22" s="602">
        <f>'Tab.10. Mieszk.chron_Polska'!D259</f>
        <v>0</v>
      </c>
      <c r="H22" s="630">
        <f>'Tab.10. Mieszk.chron_Polska'!E261</f>
        <v>0</v>
      </c>
      <c r="I22" s="654">
        <f>'Tab.10. Mieszk.chron_Polska'!E263</f>
        <v>0</v>
      </c>
      <c r="J22" s="503" t="str">
        <f t="shared" si="0"/>
        <v/>
      </c>
      <c r="K22" s="806">
        <f t="shared" si="1"/>
        <v>0</v>
      </c>
    </row>
    <row r="23" spans="1:11" x14ac:dyDescent="0.2">
      <c r="A23" s="462">
        <v>9</v>
      </c>
      <c r="B23" s="509" t="s">
        <v>244</v>
      </c>
      <c r="C23" s="630">
        <f>'Tab.10. Mieszk.chron_Polska'!C288</f>
        <v>0</v>
      </c>
      <c r="D23" s="622">
        <f>'Tab.10. Mieszk.chron_Polska'!D288</f>
        <v>0</v>
      </c>
      <c r="E23" s="654">
        <f>'Tab.10. Mieszk.chron_Polska'!E288</f>
        <v>0</v>
      </c>
      <c r="F23" s="630">
        <f>'Tab.10. Mieszk.chron_Polska'!C289</f>
        <v>0</v>
      </c>
      <c r="G23" s="602">
        <f>'Tab.10. Mieszk.chron_Polska'!D289</f>
        <v>0</v>
      </c>
      <c r="H23" s="630">
        <f>'Tab.10. Mieszk.chron_Polska'!E291</f>
        <v>0</v>
      </c>
      <c r="I23" s="654">
        <f>'Tab.10. Mieszk.chron_Polska'!E293</f>
        <v>0</v>
      </c>
      <c r="J23" s="503" t="str">
        <f t="shared" si="0"/>
        <v/>
      </c>
      <c r="K23" s="806">
        <f t="shared" si="1"/>
        <v>0</v>
      </c>
    </row>
    <row r="24" spans="1:11" x14ac:dyDescent="0.2">
      <c r="A24" s="463">
        <v>10</v>
      </c>
      <c r="B24" s="509" t="s">
        <v>245</v>
      </c>
      <c r="C24" s="630">
        <f>'Tab.10. Mieszk.chron_Polska'!C318</f>
        <v>0</v>
      </c>
      <c r="D24" s="622">
        <f>'Tab.10. Mieszk.chron_Polska'!D318</f>
        <v>0</v>
      </c>
      <c r="E24" s="654">
        <f>'Tab.10. Mieszk.chron_Polska'!E318</f>
        <v>0</v>
      </c>
      <c r="F24" s="630">
        <f>'Tab.10. Mieszk.chron_Polska'!C319</f>
        <v>0</v>
      </c>
      <c r="G24" s="602">
        <f>'Tab.10. Mieszk.chron_Polska'!D319</f>
        <v>0</v>
      </c>
      <c r="H24" s="630">
        <f>'Tab.10. Mieszk.chron_Polska'!E321</f>
        <v>0</v>
      </c>
      <c r="I24" s="654">
        <f>'Tab.10. Mieszk.chron_Polska'!E323</f>
        <v>0</v>
      </c>
      <c r="J24" s="503" t="str">
        <f t="shared" si="0"/>
        <v/>
      </c>
      <c r="K24" s="806">
        <f t="shared" si="1"/>
        <v>0</v>
      </c>
    </row>
    <row r="25" spans="1:11" x14ac:dyDescent="0.2">
      <c r="A25" s="463">
        <v>11</v>
      </c>
      <c r="B25" s="509" t="s">
        <v>246</v>
      </c>
      <c r="C25" s="630">
        <f>'Tab.10. Mieszk.chron_Polska'!C348</f>
        <v>0</v>
      </c>
      <c r="D25" s="622">
        <f>'Tab.10. Mieszk.chron_Polska'!D348</f>
        <v>0</v>
      </c>
      <c r="E25" s="654">
        <f>'Tab.10. Mieszk.chron_Polska'!E348</f>
        <v>0</v>
      </c>
      <c r="F25" s="630">
        <f>'Tab.10. Mieszk.chron_Polska'!C349</f>
        <v>0</v>
      </c>
      <c r="G25" s="602">
        <f>'Tab.10. Mieszk.chron_Polska'!D349</f>
        <v>0</v>
      </c>
      <c r="H25" s="630">
        <f>'Tab.10. Mieszk.chron_Polska'!E351</f>
        <v>0</v>
      </c>
      <c r="I25" s="654">
        <f>'Tab.10. Mieszk.chron_Polska'!E353</f>
        <v>0</v>
      </c>
      <c r="J25" s="503" t="str">
        <f t="shared" si="0"/>
        <v/>
      </c>
      <c r="K25" s="806">
        <f t="shared" si="1"/>
        <v>0</v>
      </c>
    </row>
    <row r="26" spans="1:11" x14ac:dyDescent="0.2">
      <c r="A26" s="463">
        <v>12</v>
      </c>
      <c r="B26" s="509" t="s">
        <v>247</v>
      </c>
      <c r="C26" s="630">
        <f>'Tab.10. Mieszk.chron_Polska'!C378</f>
        <v>0</v>
      </c>
      <c r="D26" s="622">
        <f>'Tab.10. Mieszk.chron_Polska'!D378</f>
        <v>0</v>
      </c>
      <c r="E26" s="654">
        <f>'Tab.10. Mieszk.chron_Polska'!E378</f>
        <v>0</v>
      </c>
      <c r="F26" s="630">
        <f>'Tab.10. Mieszk.chron_Polska'!C379</f>
        <v>0</v>
      </c>
      <c r="G26" s="602">
        <f>'Tab.10. Mieszk.chron_Polska'!D379</f>
        <v>0</v>
      </c>
      <c r="H26" s="630">
        <f>'Tab.10. Mieszk.chron_Polska'!E381</f>
        <v>0</v>
      </c>
      <c r="I26" s="654">
        <f>'Tab.10. Mieszk.chron_Polska'!E383</f>
        <v>0</v>
      </c>
      <c r="J26" s="503" t="str">
        <f t="shared" si="0"/>
        <v/>
      </c>
      <c r="K26" s="806">
        <f t="shared" si="1"/>
        <v>0</v>
      </c>
    </row>
    <row r="27" spans="1:11" x14ac:dyDescent="0.2">
      <c r="A27" s="463">
        <v>13</v>
      </c>
      <c r="B27" s="509" t="s">
        <v>248</v>
      </c>
      <c r="C27" s="630">
        <f>'Tab.10. Mieszk.chron_Polska'!C408</f>
        <v>0</v>
      </c>
      <c r="D27" s="622">
        <f>'Tab.10. Mieszk.chron_Polska'!D408</f>
        <v>0</v>
      </c>
      <c r="E27" s="654">
        <f>'Tab.10. Mieszk.chron_Polska'!E408</f>
        <v>0</v>
      </c>
      <c r="F27" s="630">
        <f>'Tab.10. Mieszk.chron_Polska'!C409</f>
        <v>0</v>
      </c>
      <c r="G27" s="602">
        <f>'Tab.10. Mieszk.chron_Polska'!D409</f>
        <v>0</v>
      </c>
      <c r="H27" s="630">
        <f>'Tab.10. Mieszk.chron_Polska'!E411</f>
        <v>0</v>
      </c>
      <c r="I27" s="654">
        <f>'Tab.10. Mieszk.chron_Polska'!E413</f>
        <v>0</v>
      </c>
      <c r="J27" s="503" t="str">
        <f t="shared" si="0"/>
        <v/>
      </c>
      <c r="K27" s="806">
        <f t="shared" si="1"/>
        <v>0</v>
      </c>
    </row>
    <row r="28" spans="1:11" x14ac:dyDescent="0.2">
      <c r="A28" s="463">
        <v>14</v>
      </c>
      <c r="B28" s="509" t="s">
        <v>249</v>
      </c>
      <c r="C28" s="630">
        <f>'Tab.10. Mieszk.chron_Polska'!C438</f>
        <v>0</v>
      </c>
      <c r="D28" s="622">
        <f>'Tab.10. Mieszk.chron_Polska'!D438</f>
        <v>0</v>
      </c>
      <c r="E28" s="654">
        <f>'Tab.10. Mieszk.chron_Polska'!E438</f>
        <v>0</v>
      </c>
      <c r="F28" s="630">
        <f>'Tab.10. Mieszk.chron_Polska'!C439</f>
        <v>0</v>
      </c>
      <c r="G28" s="602">
        <f>'Tab.10. Mieszk.chron_Polska'!D439</f>
        <v>0</v>
      </c>
      <c r="H28" s="630">
        <f>'Tab.10. Mieszk.chron_Polska'!E441</f>
        <v>0</v>
      </c>
      <c r="I28" s="654">
        <f>'Tab.10. Mieszk.chron_Polska'!E443</f>
        <v>0</v>
      </c>
      <c r="J28" s="503" t="str">
        <f t="shared" si="0"/>
        <v/>
      </c>
      <c r="K28" s="806">
        <f t="shared" si="1"/>
        <v>0</v>
      </c>
    </row>
    <row r="29" spans="1:11" x14ac:dyDescent="0.2">
      <c r="A29" s="463">
        <v>15</v>
      </c>
      <c r="B29" s="509" t="s">
        <v>250</v>
      </c>
      <c r="C29" s="630">
        <f>'Tab.10. Mieszk.chron_Polska'!C468</f>
        <v>0</v>
      </c>
      <c r="D29" s="622">
        <f>'Tab.10. Mieszk.chron_Polska'!D468</f>
        <v>0</v>
      </c>
      <c r="E29" s="654">
        <f>'Tab.10. Mieszk.chron_Polska'!E468</f>
        <v>0</v>
      </c>
      <c r="F29" s="630">
        <f>'Tab.10. Mieszk.chron_Polska'!C469</f>
        <v>0</v>
      </c>
      <c r="G29" s="602">
        <f>'Tab.10. Mieszk.chron_Polska'!D469</f>
        <v>0</v>
      </c>
      <c r="H29" s="630">
        <f>'Tab.10. Mieszk.chron_Polska'!E471</f>
        <v>0</v>
      </c>
      <c r="I29" s="654">
        <f>'Tab.10. Mieszk.chron_Polska'!E473</f>
        <v>0</v>
      </c>
      <c r="J29" s="503" t="str">
        <f t="shared" si="0"/>
        <v/>
      </c>
      <c r="K29" s="806">
        <f>SUM(C29:I29)</f>
        <v>0</v>
      </c>
    </row>
    <row r="30" spans="1:11" ht="13.5" thickBot="1" x14ac:dyDescent="0.25">
      <c r="A30" s="463">
        <v>16</v>
      </c>
      <c r="B30" s="510" t="s">
        <v>251</v>
      </c>
      <c r="C30" s="630">
        <f>'Tab.10. Mieszk.chron_Polska'!C498</f>
        <v>0</v>
      </c>
      <c r="D30" s="623">
        <f>'Tab.10. Mieszk.chron_Polska'!D498</f>
        <v>0</v>
      </c>
      <c r="E30" s="655">
        <f>'Tab.10. Mieszk.chron_Polska'!E498</f>
        <v>0</v>
      </c>
      <c r="F30" s="631">
        <f>'Tab.10. Mieszk.chron_Polska'!C499</f>
        <v>0</v>
      </c>
      <c r="G30" s="604">
        <f>'Tab.10. Mieszk.chron_Polska'!D499</f>
        <v>0</v>
      </c>
      <c r="H30" s="631">
        <f>'Tab.10. Mieszk.chron_Polska'!E501</f>
        <v>0</v>
      </c>
      <c r="I30" s="655">
        <f>'Tab.10. Mieszk.chron_Polska'!E503</f>
        <v>0</v>
      </c>
      <c r="J30" s="503" t="str">
        <f t="shared" si="0"/>
        <v/>
      </c>
      <c r="K30" s="806">
        <f>SUM(C30:I30)</f>
        <v>0</v>
      </c>
    </row>
    <row r="31" spans="1:11" ht="16.5" thickBot="1" x14ac:dyDescent="0.3">
      <c r="A31" s="445" t="s">
        <v>252</v>
      </c>
      <c r="B31" s="446"/>
      <c r="C31" s="652">
        <f t="shared" ref="C31:I31" si="2">SUM(C15:C30)</f>
        <v>1</v>
      </c>
      <c r="D31" s="549">
        <f t="shared" si="2"/>
        <v>9</v>
      </c>
      <c r="E31" s="550">
        <f t="shared" si="2"/>
        <v>7</v>
      </c>
      <c r="F31" s="545">
        <f t="shared" si="2"/>
        <v>0</v>
      </c>
      <c r="G31" s="546">
        <f t="shared" si="2"/>
        <v>0</v>
      </c>
      <c r="H31" s="652">
        <f t="shared" si="2"/>
        <v>7</v>
      </c>
      <c r="I31" s="595">
        <f t="shared" si="2"/>
        <v>0</v>
      </c>
      <c r="J31" s="620">
        <f>AVERAGE(J15:J30)</f>
        <v>100</v>
      </c>
      <c r="K31" s="805"/>
    </row>
    <row r="32" spans="1:11" ht="13.5" thickTop="1" x14ac:dyDescent="0.2"/>
  </sheetData>
  <mergeCells count="15">
    <mergeCell ref="H10:I10"/>
    <mergeCell ref="J10:J13"/>
    <mergeCell ref="F12:F13"/>
    <mergeCell ref="G12:G13"/>
    <mergeCell ref="F10:G11"/>
    <mergeCell ref="I1:J1"/>
    <mergeCell ref="A7:J7"/>
    <mergeCell ref="A10:A13"/>
    <mergeCell ref="B10:B13"/>
    <mergeCell ref="C11:C13"/>
    <mergeCell ref="D11:D13"/>
    <mergeCell ref="E11:E13"/>
    <mergeCell ref="H11:H13"/>
    <mergeCell ref="I11:I13"/>
    <mergeCell ref="C10:E10"/>
  </mergeCells>
  <phoneticPr fontId="82" type="noConversion"/>
  <conditionalFormatting sqref="C15:I30">
    <cfRule type="cellIs" dxfId="5" priority="1" stopIfTrue="1" operator="equal">
      <formula>0</formula>
    </cfRule>
  </conditionalFormatting>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4"/>
  <sheetViews>
    <sheetView zoomScale="65" workbookViewId="0"/>
  </sheetViews>
  <sheetFormatPr defaultRowHeight="12.75" x14ac:dyDescent="0.2"/>
  <cols>
    <col min="2" max="2" width="66.140625" customWidth="1"/>
    <col min="3" max="11" width="21.7109375" customWidth="1"/>
  </cols>
  <sheetData>
    <row r="1" spans="1:11" ht="26.25" x14ac:dyDescent="0.4">
      <c r="A1" s="267" t="s">
        <v>196</v>
      </c>
      <c r="B1" s="266" t="s">
        <v>195</v>
      </c>
    </row>
    <row r="2" spans="1:11" ht="23.25" x14ac:dyDescent="0.35">
      <c r="B2" s="28"/>
      <c r="K2" s="10" t="s">
        <v>398</v>
      </c>
    </row>
    <row r="3" spans="1:11" ht="18" x14ac:dyDescent="0.25">
      <c r="B3" s="11"/>
      <c r="C3" s="3"/>
      <c r="D3" s="3"/>
      <c r="E3" s="3"/>
      <c r="F3" s="3"/>
      <c r="G3" s="3"/>
      <c r="H3" s="3"/>
      <c r="I3" s="11"/>
      <c r="J3" s="3"/>
    </row>
    <row r="4" spans="1:11" ht="18" x14ac:dyDescent="0.25">
      <c r="B4" s="14"/>
      <c r="C4" s="29"/>
      <c r="D4" s="3"/>
      <c r="E4" s="3"/>
      <c r="F4" s="3"/>
      <c r="G4" s="3"/>
      <c r="H4" s="3"/>
    </row>
    <row r="5" spans="1:11" ht="18" x14ac:dyDescent="0.25">
      <c r="B5" s="11"/>
      <c r="C5" s="3"/>
      <c r="D5" s="3"/>
      <c r="E5" s="3"/>
      <c r="F5" s="3"/>
      <c r="G5" s="3"/>
      <c r="H5" s="3"/>
      <c r="I5" s="3"/>
      <c r="J5" s="3"/>
      <c r="K5" s="3"/>
    </row>
    <row r="6" spans="1:11" ht="18" x14ac:dyDescent="0.25">
      <c r="B6" s="11"/>
      <c r="C6" s="3"/>
      <c r="D6" s="3"/>
      <c r="E6" s="3"/>
      <c r="F6" s="3"/>
      <c r="G6" s="3"/>
      <c r="H6" s="3"/>
      <c r="I6" s="3"/>
      <c r="J6" s="3"/>
      <c r="K6" s="3"/>
    </row>
    <row r="7" spans="1:11" ht="18" x14ac:dyDescent="0.25">
      <c r="B7" s="1138" t="s">
        <v>130</v>
      </c>
      <c r="C7" s="3"/>
      <c r="D7" s="3"/>
      <c r="E7" s="3"/>
      <c r="F7" s="3"/>
      <c r="G7" s="3"/>
      <c r="H7" s="3"/>
      <c r="I7" s="3"/>
      <c r="J7" s="3"/>
      <c r="K7" s="3"/>
    </row>
    <row r="8" spans="1:11" ht="15.75" x14ac:dyDescent="0.25">
      <c r="B8" s="1150" t="s">
        <v>131</v>
      </c>
      <c r="C8" s="3"/>
      <c r="D8" s="3"/>
      <c r="E8" s="3"/>
      <c r="F8" s="3"/>
      <c r="G8" s="3"/>
      <c r="H8" s="3"/>
      <c r="I8" s="3"/>
      <c r="J8" s="3"/>
      <c r="K8" s="3"/>
    </row>
    <row r="9" spans="1:11" ht="15.75" x14ac:dyDescent="0.25">
      <c r="B9" s="1"/>
      <c r="C9" s="3"/>
      <c r="D9" s="3"/>
      <c r="E9" s="3"/>
      <c r="F9" s="3"/>
      <c r="G9" s="3"/>
      <c r="H9" s="3"/>
      <c r="I9" s="1"/>
      <c r="J9" s="3"/>
      <c r="K9" s="3"/>
    </row>
    <row r="10" spans="1:11" ht="23.25" x14ac:dyDescent="0.35">
      <c r="B10" s="1655" t="s">
        <v>399</v>
      </c>
      <c r="C10" s="1655"/>
      <c r="D10" s="1655"/>
      <c r="E10" s="1655"/>
      <c r="F10" s="1655"/>
      <c r="G10" s="1655"/>
      <c r="H10" s="1655"/>
      <c r="I10" s="1655"/>
      <c r="J10" s="1655"/>
      <c r="K10" s="1655"/>
    </row>
    <row r="11" spans="1:11" ht="23.25" x14ac:dyDescent="0.35">
      <c r="B11" s="1655" t="s">
        <v>400</v>
      </c>
      <c r="C11" s="1655"/>
      <c r="D11" s="1655"/>
      <c r="E11" s="1655"/>
      <c r="F11" s="1655"/>
      <c r="G11" s="1655"/>
      <c r="H11" s="1655"/>
      <c r="I11" s="1655"/>
      <c r="J11" s="1655"/>
      <c r="K11" s="1655"/>
    </row>
    <row r="12" spans="1:11" ht="23.25" x14ac:dyDescent="0.35">
      <c r="B12" s="1685" t="str">
        <f>"WG  ST.  NA  DZIEŃ  31. XII. "&amp;'Tab.1. bilans_Polska'!A2&amp;" r."</f>
        <v>WG  ST.  NA  DZIEŃ  31. XII. 2011 r.</v>
      </c>
      <c r="C12" s="1810"/>
      <c r="D12" s="1810"/>
      <c r="E12" s="1810"/>
      <c r="F12" s="1810"/>
      <c r="G12" s="1810"/>
      <c r="H12" s="1810"/>
      <c r="I12" s="1810"/>
      <c r="J12" s="1810"/>
      <c r="K12" s="1810"/>
    </row>
    <row r="13" spans="1:11" ht="24" thickBot="1" x14ac:dyDescent="0.4">
      <c r="B13" s="30"/>
      <c r="C13" s="30"/>
      <c r="D13" s="30"/>
      <c r="E13" s="30"/>
      <c r="F13" s="30"/>
      <c r="G13" s="30"/>
      <c r="H13" s="30"/>
      <c r="I13" s="30"/>
      <c r="J13" s="30"/>
      <c r="K13" s="30"/>
    </row>
    <row r="14" spans="1:11" ht="24" thickTop="1" x14ac:dyDescent="0.2">
      <c r="B14" s="31"/>
      <c r="C14" s="1677" t="s">
        <v>3</v>
      </c>
      <c r="D14" s="1678"/>
      <c r="E14" s="1679"/>
      <c r="F14" s="1946" t="s">
        <v>401</v>
      </c>
      <c r="G14" s="1946"/>
      <c r="H14" s="1946"/>
      <c r="I14" s="1946"/>
      <c r="J14" s="1946"/>
      <c r="K14" s="1947"/>
    </row>
    <row r="15" spans="1:11" ht="23.25" x14ac:dyDescent="0.2">
      <c r="B15" s="667" t="s">
        <v>402</v>
      </c>
      <c r="C15" s="34" t="s">
        <v>4</v>
      </c>
      <c r="D15" s="35" t="s">
        <v>39</v>
      </c>
      <c r="E15" s="36" t="s">
        <v>40</v>
      </c>
      <c r="F15" s="1942" t="s">
        <v>403</v>
      </c>
      <c r="G15" s="1943"/>
      <c r="H15" s="1944"/>
      <c r="I15" s="1942" t="s">
        <v>404</v>
      </c>
      <c r="J15" s="1943"/>
      <c r="K15" s="1945"/>
    </row>
    <row r="16" spans="1:11" ht="18" x14ac:dyDescent="0.2">
      <c r="B16" s="37" t="s">
        <v>405</v>
      </c>
      <c r="C16" s="34" t="s">
        <v>406</v>
      </c>
      <c r="D16" s="38" t="s">
        <v>13</v>
      </c>
      <c r="E16" s="36" t="s">
        <v>5</v>
      </c>
      <c r="F16" s="34" t="s">
        <v>0</v>
      </c>
      <c r="G16" s="35" t="s">
        <v>0</v>
      </c>
      <c r="H16" s="36" t="s">
        <v>0</v>
      </c>
      <c r="I16" s="39" t="s">
        <v>0</v>
      </c>
      <c r="J16" s="35" t="s">
        <v>0</v>
      </c>
      <c r="K16" s="40" t="s">
        <v>0</v>
      </c>
    </row>
    <row r="17" spans="1:11" ht="18" x14ac:dyDescent="0.2">
      <c r="B17" s="37"/>
      <c r="C17" s="41" t="s">
        <v>42</v>
      </c>
      <c r="D17" s="42" t="s">
        <v>43</v>
      </c>
      <c r="E17" s="43" t="s">
        <v>44</v>
      </c>
      <c r="F17" s="34" t="s">
        <v>407</v>
      </c>
      <c r="G17" s="38" t="s">
        <v>1</v>
      </c>
      <c r="H17" s="36" t="s">
        <v>45</v>
      </c>
      <c r="I17" s="44" t="s">
        <v>407</v>
      </c>
      <c r="J17" s="45" t="s">
        <v>1</v>
      </c>
      <c r="K17" s="46" t="s">
        <v>45</v>
      </c>
    </row>
    <row r="18" spans="1:11" ht="16.5" thickBot="1" x14ac:dyDescent="0.3">
      <c r="B18" s="47">
        <v>0</v>
      </c>
      <c r="C18" s="48">
        <v>1</v>
      </c>
      <c r="D18" s="49">
        <v>2</v>
      </c>
      <c r="E18" s="50">
        <v>3</v>
      </c>
      <c r="F18" s="48">
        <v>4</v>
      </c>
      <c r="G18" s="49">
        <v>5</v>
      </c>
      <c r="H18" s="50">
        <v>6</v>
      </c>
      <c r="I18" s="48">
        <v>7</v>
      </c>
      <c r="J18" s="49">
        <v>8</v>
      </c>
      <c r="K18" s="51">
        <v>9</v>
      </c>
    </row>
    <row r="19" spans="1:11" ht="27" thickTop="1" x14ac:dyDescent="0.2">
      <c r="B19" s="52" t="s">
        <v>193</v>
      </c>
      <c r="C19" s="711">
        <f>F19+I19</f>
        <v>196</v>
      </c>
      <c r="D19" s="712">
        <f>G19+J19</f>
        <v>5930</v>
      </c>
      <c r="E19" s="713">
        <f>H19+K19</f>
        <v>4904</v>
      </c>
      <c r="F19" s="1593">
        <f t="shared" ref="F19:K19" si="0">F48+F77+F106+F135+F164+F193+F222+F251+F280+F309+F338+F367+F396+F425+F454+F483</f>
        <v>51</v>
      </c>
      <c r="G19" s="1594">
        <f t="shared" si="0"/>
        <v>1760</v>
      </c>
      <c r="H19" s="1595">
        <f t="shared" si="0"/>
        <v>1577</v>
      </c>
      <c r="I19" s="1593">
        <f t="shared" si="0"/>
        <v>145</v>
      </c>
      <c r="J19" s="1594">
        <f t="shared" si="0"/>
        <v>4170</v>
      </c>
      <c r="K19" s="1596">
        <f t="shared" si="0"/>
        <v>3327</v>
      </c>
    </row>
    <row r="20" spans="1:11" ht="13.5" thickBot="1" x14ac:dyDescent="0.25">
      <c r="B20" s="53" t="s">
        <v>46</v>
      </c>
      <c r="C20" s="980"/>
      <c r="D20" s="981"/>
      <c r="E20" s="982"/>
      <c r="F20" s="983"/>
      <c r="G20" s="984"/>
      <c r="H20" s="985"/>
      <c r="I20" s="983"/>
      <c r="J20" s="984"/>
      <c r="K20" s="986"/>
    </row>
    <row r="21" spans="1:11" ht="21" thickTop="1" x14ac:dyDescent="0.2">
      <c r="B21" s="56" t="s">
        <v>192</v>
      </c>
      <c r="C21" s="714">
        <f t="shared" ref="C21:E24" si="1">F21+I21</f>
        <v>109</v>
      </c>
      <c r="D21" s="715">
        <f t="shared" si="1"/>
        <v>2913</v>
      </c>
      <c r="E21" s="716">
        <f t="shared" si="1"/>
        <v>2552</v>
      </c>
      <c r="F21" s="987">
        <f t="shared" ref="F21:K22" si="2">F50+F79+F108+F137+F166+F195+F224+F253+F282+F311+F340+F369+F398+F427+F456+F485</f>
        <v>28</v>
      </c>
      <c r="G21" s="988">
        <f t="shared" si="2"/>
        <v>788</v>
      </c>
      <c r="H21" s="989">
        <f t="shared" si="2"/>
        <v>724</v>
      </c>
      <c r="I21" s="987">
        <f t="shared" si="2"/>
        <v>81</v>
      </c>
      <c r="J21" s="988">
        <f t="shared" si="2"/>
        <v>2125</v>
      </c>
      <c r="K21" s="990">
        <f t="shared" si="2"/>
        <v>1828</v>
      </c>
    </row>
    <row r="22" spans="1:11" ht="20.25" x14ac:dyDescent="0.2">
      <c r="B22" s="57" t="s">
        <v>408</v>
      </c>
      <c r="C22" s="717">
        <f t="shared" si="1"/>
        <v>13</v>
      </c>
      <c r="D22" s="718">
        <f t="shared" si="1"/>
        <v>388</v>
      </c>
      <c r="E22" s="719">
        <f t="shared" si="1"/>
        <v>350</v>
      </c>
      <c r="F22" s="991">
        <f t="shared" si="2"/>
        <v>9</v>
      </c>
      <c r="G22" s="992">
        <f t="shared" si="2"/>
        <v>290</v>
      </c>
      <c r="H22" s="993">
        <f t="shared" si="2"/>
        <v>268</v>
      </c>
      <c r="I22" s="991">
        <f t="shared" si="2"/>
        <v>4</v>
      </c>
      <c r="J22" s="992">
        <f t="shared" si="2"/>
        <v>98</v>
      </c>
      <c r="K22" s="994">
        <f t="shared" si="2"/>
        <v>82</v>
      </c>
    </row>
    <row r="23" spans="1:11" ht="20.25" x14ac:dyDescent="0.2">
      <c r="B23" s="668" t="s">
        <v>409</v>
      </c>
      <c r="C23" s="720">
        <f t="shared" si="1"/>
        <v>1</v>
      </c>
      <c r="D23" s="721">
        <f t="shared" si="1"/>
        <v>82</v>
      </c>
      <c r="E23" s="722">
        <f t="shared" si="1"/>
        <v>82</v>
      </c>
      <c r="F23" s="995">
        <f t="shared" ref="F23:K23" si="3">F52+F81+F110+F139+F168+F197+F226+F255+F284+F313+F342+F371+F400+F429+F458+F487</f>
        <v>1</v>
      </c>
      <c r="G23" s="996">
        <f t="shared" si="3"/>
        <v>38</v>
      </c>
      <c r="H23" s="997">
        <f t="shared" si="3"/>
        <v>38</v>
      </c>
      <c r="I23" s="995">
        <f t="shared" si="3"/>
        <v>0</v>
      </c>
      <c r="J23" s="996">
        <f t="shared" si="3"/>
        <v>44</v>
      </c>
      <c r="K23" s="998">
        <f t="shared" si="3"/>
        <v>44</v>
      </c>
    </row>
    <row r="24" spans="1:11" ht="21" thickBot="1" x14ac:dyDescent="0.25">
      <c r="B24" s="265" t="s">
        <v>410</v>
      </c>
      <c r="C24" s="723">
        <f t="shared" si="1"/>
        <v>73</v>
      </c>
      <c r="D24" s="724">
        <f t="shared" si="1"/>
        <v>2547</v>
      </c>
      <c r="E24" s="725">
        <f t="shared" si="1"/>
        <v>1920</v>
      </c>
      <c r="F24" s="999">
        <f t="shared" ref="F24:K24" si="4">F53+F82+F111+F140+F169+F198+F227+F256+F285+F314+F343+F372+F401+F430+F459+F488</f>
        <v>13</v>
      </c>
      <c r="G24" s="1000">
        <f t="shared" si="4"/>
        <v>644</v>
      </c>
      <c r="H24" s="1001">
        <f t="shared" si="4"/>
        <v>547</v>
      </c>
      <c r="I24" s="999">
        <f t="shared" si="4"/>
        <v>60</v>
      </c>
      <c r="J24" s="1000">
        <f t="shared" si="4"/>
        <v>1903</v>
      </c>
      <c r="K24" s="1002">
        <f t="shared" si="4"/>
        <v>1373</v>
      </c>
    </row>
    <row r="25" spans="1:11" ht="21" thickTop="1" x14ac:dyDescent="0.2">
      <c r="B25" s="264"/>
      <c r="C25" s="186"/>
      <c r="D25" s="186"/>
      <c r="E25" s="186"/>
      <c r="F25" s="186"/>
      <c r="G25" s="186"/>
      <c r="H25" s="186"/>
      <c r="I25" s="186"/>
      <c r="J25" s="186"/>
      <c r="K25" s="186"/>
    </row>
    <row r="26" spans="1:11" ht="20.25" x14ac:dyDescent="0.3">
      <c r="B26" s="183"/>
    </row>
    <row r="27" spans="1:11" ht="15.75" x14ac:dyDescent="0.25">
      <c r="B27" s="1150" t="s">
        <v>123</v>
      </c>
      <c r="C27" s="805"/>
      <c r="D27" s="805"/>
      <c r="E27" s="805"/>
      <c r="F27" s="805"/>
      <c r="G27" s="805"/>
      <c r="H27" s="805"/>
      <c r="I27" s="805"/>
      <c r="J27" s="805"/>
      <c r="K27" s="805"/>
    </row>
    <row r="28" spans="1:11" x14ac:dyDescent="0.2">
      <c r="B28" s="1154" t="s">
        <v>132</v>
      </c>
      <c r="C28" s="805"/>
      <c r="D28" s="805"/>
      <c r="E28" s="805"/>
      <c r="F28" s="805"/>
      <c r="G28" s="805"/>
      <c r="H28" s="805"/>
      <c r="I28" s="1948" t="s">
        <v>133</v>
      </c>
      <c r="J28" s="1948"/>
      <c r="K28" s="1948"/>
    </row>
    <row r="29" spans="1:11" ht="15.75" x14ac:dyDescent="0.25">
      <c r="B29" s="1154" t="s">
        <v>411</v>
      </c>
      <c r="C29" s="805"/>
      <c r="D29" s="805"/>
      <c r="E29" s="805"/>
      <c r="F29" s="805"/>
      <c r="G29" s="805"/>
      <c r="H29" s="805"/>
      <c r="I29" s="1907" t="s">
        <v>126</v>
      </c>
      <c r="J29" s="1907"/>
      <c r="K29" s="1907"/>
    </row>
    <row r="31" spans="1:11" ht="23.25" x14ac:dyDescent="0.35">
      <c r="A31" s="358" t="s">
        <v>166</v>
      </c>
      <c r="B31" s="28"/>
      <c r="K31" s="10" t="s">
        <v>398</v>
      </c>
    </row>
    <row r="32" spans="1:11" ht="18" x14ac:dyDescent="0.25">
      <c r="B32" s="11"/>
      <c r="C32" s="3"/>
      <c r="D32" s="3"/>
      <c r="E32" s="3"/>
      <c r="F32" s="3"/>
      <c r="G32" s="3"/>
      <c r="H32" s="3"/>
      <c r="I32" s="11"/>
      <c r="J32" s="3"/>
    </row>
    <row r="33" spans="2:11" ht="18" x14ac:dyDescent="0.25">
      <c r="B33" s="14"/>
      <c r="C33" s="29"/>
      <c r="D33" s="3"/>
      <c r="E33" s="3"/>
      <c r="F33" s="3"/>
      <c r="G33" s="3"/>
      <c r="H33" s="3"/>
      <c r="J33" s="1676" t="str">
        <f>'Tab.1. bilans_Polska'!$E$59</f>
        <v>Termin: 29 luty 2012 r.</v>
      </c>
      <c r="K33" s="1676"/>
    </row>
    <row r="34" spans="2:11" ht="18" x14ac:dyDescent="0.25">
      <c r="B34" s="11"/>
      <c r="C34" s="3"/>
      <c r="D34" s="3"/>
      <c r="E34" s="3"/>
      <c r="F34" s="3"/>
      <c r="G34" s="3"/>
      <c r="H34" s="3"/>
      <c r="I34" s="3"/>
      <c r="J34" s="3"/>
      <c r="K34" s="3"/>
    </row>
    <row r="35" spans="2:11" ht="18" x14ac:dyDescent="0.25">
      <c r="B35" s="11"/>
      <c r="C35" s="3"/>
      <c r="D35" s="3"/>
      <c r="E35" s="3"/>
      <c r="F35" s="3"/>
      <c r="G35" s="3"/>
      <c r="H35" s="3"/>
      <c r="I35" s="3"/>
      <c r="J35" s="3"/>
      <c r="K35" s="3"/>
    </row>
    <row r="36" spans="2:11" ht="18" x14ac:dyDescent="0.25">
      <c r="B36" s="11" t="s">
        <v>130</v>
      </c>
      <c r="C36" s="3"/>
      <c r="D36" s="3"/>
      <c r="E36" s="3"/>
      <c r="F36" s="3"/>
      <c r="G36" s="3"/>
      <c r="H36" s="3"/>
      <c r="I36" s="3"/>
      <c r="J36" s="3"/>
      <c r="K36" s="3"/>
    </row>
    <row r="37" spans="2:11" ht="15.75" x14ac:dyDescent="0.25">
      <c r="B37" s="1" t="s">
        <v>131</v>
      </c>
      <c r="C37" s="3"/>
      <c r="D37" s="3"/>
      <c r="E37" s="3"/>
      <c r="F37" s="3"/>
      <c r="G37" s="3"/>
      <c r="H37" s="3"/>
      <c r="I37" s="3"/>
      <c r="J37" s="3"/>
      <c r="K37" s="3"/>
    </row>
    <row r="38" spans="2:11" ht="15.75" x14ac:dyDescent="0.25">
      <c r="B38" s="1"/>
      <c r="C38" s="3"/>
      <c r="D38" s="3"/>
      <c r="E38" s="3"/>
      <c r="F38" s="3"/>
      <c r="G38" s="3"/>
      <c r="H38" s="3"/>
      <c r="I38" s="1"/>
      <c r="J38" s="3"/>
      <c r="K38" s="3"/>
    </row>
    <row r="39" spans="2:11" ht="23.25" x14ac:dyDescent="0.35">
      <c r="B39" s="1655" t="s">
        <v>399</v>
      </c>
      <c r="C39" s="1655"/>
      <c r="D39" s="1655"/>
      <c r="E39" s="1655"/>
      <c r="F39" s="1655"/>
      <c r="G39" s="1655"/>
      <c r="H39" s="1655"/>
      <c r="I39" s="1655"/>
      <c r="J39" s="1655"/>
      <c r="K39" s="1655"/>
    </row>
    <row r="40" spans="2:11" ht="23.25" x14ac:dyDescent="0.35">
      <c r="B40" s="1655" t="s">
        <v>400</v>
      </c>
      <c r="C40" s="1655"/>
      <c r="D40" s="1655"/>
      <c r="E40" s="1655"/>
      <c r="F40" s="1655"/>
      <c r="G40" s="1655"/>
      <c r="H40" s="1655"/>
      <c r="I40" s="1655"/>
      <c r="J40" s="1655"/>
      <c r="K40" s="1655"/>
    </row>
    <row r="41" spans="2:11" ht="23.25" x14ac:dyDescent="0.35">
      <c r="B41" s="1810" t="str">
        <f>$B$12</f>
        <v>WG  ST.  NA  DZIEŃ  31. XII. 2011 r.</v>
      </c>
      <c r="C41" s="1810"/>
      <c r="D41" s="1810"/>
      <c r="E41" s="1810"/>
      <c r="F41" s="1810"/>
      <c r="G41" s="1810"/>
      <c r="H41" s="1810"/>
      <c r="I41" s="1810"/>
      <c r="J41" s="1810"/>
      <c r="K41" s="1810"/>
    </row>
    <row r="42" spans="2:11" ht="24" thickBot="1" x14ac:dyDescent="0.4">
      <c r="B42" s="30"/>
      <c r="C42" s="30"/>
      <c r="D42" s="30"/>
      <c r="E42" s="30"/>
      <c r="F42" s="30"/>
      <c r="G42" s="30"/>
      <c r="H42" s="30"/>
      <c r="I42" s="30"/>
      <c r="J42" s="30"/>
      <c r="K42" s="30"/>
    </row>
    <row r="43" spans="2:11" ht="24" thickTop="1" x14ac:dyDescent="0.2">
      <c r="B43" s="31"/>
      <c r="C43" s="1677" t="s">
        <v>3</v>
      </c>
      <c r="D43" s="1678"/>
      <c r="E43" s="1679"/>
      <c r="F43" s="1946" t="s">
        <v>401</v>
      </c>
      <c r="G43" s="1946"/>
      <c r="H43" s="1946"/>
      <c r="I43" s="1946"/>
      <c r="J43" s="1946"/>
      <c r="K43" s="1947"/>
    </row>
    <row r="44" spans="2:11" ht="23.25" x14ac:dyDescent="0.2">
      <c r="B44" s="667" t="s">
        <v>402</v>
      </c>
      <c r="C44" s="34" t="s">
        <v>4</v>
      </c>
      <c r="D44" s="35" t="s">
        <v>39</v>
      </c>
      <c r="E44" s="36" t="s">
        <v>40</v>
      </c>
      <c r="F44" s="1942" t="s">
        <v>403</v>
      </c>
      <c r="G44" s="1943"/>
      <c r="H44" s="1944"/>
      <c r="I44" s="1942" t="s">
        <v>404</v>
      </c>
      <c r="J44" s="1943"/>
      <c r="K44" s="1945"/>
    </row>
    <row r="45" spans="2:11" ht="18" x14ac:dyDescent="0.2">
      <c r="B45" s="37" t="s">
        <v>405</v>
      </c>
      <c r="C45" s="34" t="s">
        <v>406</v>
      </c>
      <c r="D45" s="38" t="s">
        <v>13</v>
      </c>
      <c r="E45" s="36" t="s">
        <v>5</v>
      </c>
      <c r="F45" s="34" t="s">
        <v>0</v>
      </c>
      <c r="G45" s="35" t="s">
        <v>0</v>
      </c>
      <c r="H45" s="36" t="s">
        <v>0</v>
      </c>
      <c r="I45" s="39" t="s">
        <v>0</v>
      </c>
      <c r="J45" s="35" t="s">
        <v>0</v>
      </c>
      <c r="K45" s="40" t="s">
        <v>0</v>
      </c>
    </row>
    <row r="46" spans="2:11" ht="18" x14ac:dyDescent="0.2">
      <c r="B46" s="37"/>
      <c r="C46" s="41" t="s">
        <v>42</v>
      </c>
      <c r="D46" s="42" t="s">
        <v>43</v>
      </c>
      <c r="E46" s="43" t="s">
        <v>44</v>
      </c>
      <c r="F46" s="34" t="s">
        <v>407</v>
      </c>
      <c r="G46" s="38" t="s">
        <v>1</v>
      </c>
      <c r="H46" s="36" t="s">
        <v>45</v>
      </c>
      <c r="I46" s="44" t="s">
        <v>407</v>
      </c>
      <c r="J46" s="45" t="s">
        <v>1</v>
      </c>
      <c r="K46" s="46" t="s">
        <v>45</v>
      </c>
    </row>
    <row r="47" spans="2:11" ht="16.5" thickBot="1" x14ac:dyDescent="0.3">
      <c r="B47" s="47">
        <v>0</v>
      </c>
      <c r="C47" s="48">
        <v>1</v>
      </c>
      <c r="D47" s="49">
        <v>2</v>
      </c>
      <c r="E47" s="50">
        <v>3</v>
      </c>
      <c r="F47" s="48">
        <v>4</v>
      </c>
      <c r="G47" s="49">
        <v>5</v>
      </c>
      <c r="H47" s="50">
        <v>6</v>
      </c>
      <c r="I47" s="48">
        <v>7</v>
      </c>
      <c r="J47" s="49">
        <v>8</v>
      </c>
      <c r="K47" s="51">
        <v>9</v>
      </c>
    </row>
    <row r="48" spans="2:11" ht="27" thickTop="1" x14ac:dyDescent="0.2">
      <c r="B48" s="52" t="s">
        <v>193</v>
      </c>
      <c r="C48" s="711">
        <f>F48+I48</f>
        <v>13</v>
      </c>
      <c r="D48" s="712">
        <f>G48+J48</f>
        <v>314</v>
      </c>
      <c r="E48" s="713">
        <f>H48+K48</f>
        <v>288</v>
      </c>
      <c r="F48" s="711">
        <f t="shared" ref="F48:K48" si="5">SUM(F50:F53)</f>
        <v>4</v>
      </c>
      <c r="G48" s="765">
        <f t="shared" si="5"/>
        <v>71</v>
      </c>
      <c r="H48" s="766">
        <f t="shared" si="5"/>
        <v>67</v>
      </c>
      <c r="I48" s="711">
        <f t="shared" si="5"/>
        <v>9</v>
      </c>
      <c r="J48" s="765">
        <f t="shared" si="5"/>
        <v>243</v>
      </c>
      <c r="K48" s="767">
        <f t="shared" si="5"/>
        <v>221</v>
      </c>
    </row>
    <row r="49" spans="1:11" ht="13.5" thickBot="1" x14ac:dyDescent="0.25">
      <c r="B49" s="53" t="s">
        <v>46</v>
      </c>
      <c r="C49" s="726"/>
      <c r="D49" s="727"/>
      <c r="E49" s="728"/>
      <c r="F49" s="726"/>
      <c r="G49" s="729"/>
      <c r="H49" s="728"/>
      <c r="I49" s="726"/>
      <c r="J49" s="729"/>
      <c r="K49" s="730"/>
    </row>
    <row r="50" spans="1:11" ht="21" thickTop="1" x14ac:dyDescent="0.2">
      <c r="B50" s="56" t="s">
        <v>192</v>
      </c>
      <c r="C50" s="714">
        <f t="shared" ref="C50:E53" si="6">F50+I50</f>
        <v>13</v>
      </c>
      <c r="D50" s="715">
        <f t="shared" si="6"/>
        <v>314</v>
      </c>
      <c r="E50" s="716">
        <f t="shared" si="6"/>
        <v>288</v>
      </c>
      <c r="F50" s="1403">
        <v>4</v>
      </c>
      <c r="G50" s="1404">
        <v>71</v>
      </c>
      <c r="H50" s="1405">
        <v>67</v>
      </c>
      <c r="I50" s="1403">
        <v>9</v>
      </c>
      <c r="J50" s="1404">
        <v>243</v>
      </c>
      <c r="K50" s="1406">
        <v>221</v>
      </c>
    </row>
    <row r="51" spans="1:11" ht="20.25" x14ac:dyDescent="0.2">
      <c r="B51" s="57" t="s">
        <v>408</v>
      </c>
      <c r="C51" s="717">
        <f t="shared" si="6"/>
        <v>0</v>
      </c>
      <c r="D51" s="718">
        <f t="shared" si="6"/>
        <v>0</v>
      </c>
      <c r="E51" s="719">
        <f t="shared" si="6"/>
        <v>0</v>
      </c>
      <c r="F51" s="1407">
        <v>0</v>
      </c>
      <c r="G51" s="1408">
        <v>0</v>
      </c>
      <c r="H51" s="1409">
        <v>0</v>
      </c>
      <c r="I51" s="1407">
        <v>0</v>
      </c>
      <c r="J51" s="1408">
        <v>0</v>
      </c>
      <c r="K51" s="1410">
        <v>0</v>
      </c>
    </row>
    <row r="52" spans="1:11" ht="20.25" x14ac:dyDescent="0.2">
      <c r="B52" s="668" t="s">
        <v>409</v>
      </c>
      <c r="C52" s="720">
        <f t="shared" si="6"/>
        <v>0</v>
      </c>
      <c r="D52" s="721">
        <f t="shared" si="6"/>
        <v>0</v>
      </c>
      <c r="E52" s="722">
        <f t="shared" si="6"/>
        <v>0</v>
      </c>
      <c r="F52" s="1411">
        <v>0</v>
      </c>
      <c r="G52" s="1412">
        <v>0</v>
      </c>
      <c r="H52" s="1413">
        <v>0</v>
      </c>
      <c r="I52" s="1411">
        <v>0</v>
      </c>
      <c r="J52" s="1412">
        <v>0</v>
      </c>
      <c r="K52" s="1414">
        <v>0</v>
      </c>
    </row>
    <row r="53" spans="1:11" ht="21" thickBot="1" x14ac:dyDescent="0.25">
      <c r="B53" s="265" t="s">
        <v>410</v>
      </c>
      <c r="C53" s="723">
        <f t="shared" si="6"/>
        <v>0</v>
      </c>
      <c r="D53" s="724">
        <f t="shared" si="6"/>
        <v>0</v>
      </c>
      <c r="E53" s="725">
        <f t="shared" si="6"/>
        <v>0</v>
      </c>
      <c r="F53" s="1415">
        <v>0</v>
      </c>
      <c r="G53" s="1416">
        <v>0</v>
      </c>
      <c r="H53" s="1417">
        <v>0</v>
      </c>
      <c r="I53" s="1415">
        <v>0</v>
      </c>
      <c r="J53" s="1416">
        <v>0</v>
      </c>
      <c r="K53" s="1418">
        <v>0</v>
      </c>
    </row>
    <row r="54" spans="1:11" ht="21" thickTop="1" x14ac:dyDescent="0.2">
      <c r="B54" s="264"/>
      <c r="C54" s="186"/>
      <c r="D54" s="186"/>
      <c r="E54" s="186"/>
      <c r="F54" s="186"/>
      <c r="G54" s="186"/>
      <c r="H54" s="186"/>
      <c r="I54" s="186"/>
      <c r="J54" s="186"/>
      <c r="K54" s="186"/>
    </row>
    <row r="55" spans="1:11" ht="20.25" x14ac:dyDescent="0.3">
      <c r="B55" s="183"/>
    </row>
    <row r="56" spans="1:11" ht="15.75" x14ac:dyDescent="0.25">
      <c r="B56" s="1" t="s">
        <v>123</v>
      </c>
    </row>
    <row r="57" spans="1:11" x14ac:dyDescent="0.2">
      <c r="B57" s="3" t="s">
        <v>132</v>
      </c>
      <c r="I57" s="1654" t="s">
        <v>133</v>
      </c>
      <c r="J57" s="1654"/>
      <c r="K57" s="1654"/>
    </row>
    <row r="58" spans="1:11" ht="15.75" x14ac:dyDescent="0.25">
      <c r="B58" s="3" t="s">
        <v>411</v>
      </c>
      <c r="I58" s="1604" t="s">
        <v>126</v>
      </c>
      <c r="J58" s="1604"/>
      <c r="K58" s="1604"/>
    </row>
    <row r="60" spans="1:11" ht="23.25" x14ac:dyDescent="0.35">
      <c r="A60" s="358" t="s">
        <v>168</v>
      </c>
      <c r="B60" s="28"/>
      <c r="K60" s="10" t="s">
        <v>398</v>
      </c>
    </row>
    <row r="61" spans="1:11" ht="18" x14ac:dyDescent="0.25">
      <c r="B61" s="11"/>
      <c r="C61" s="3"/>
      <c r="D61" s="3"/>
      <c r="E61" s="3"/>
      <c r="F61" s="3"/>
      <c r="G61" s="3"/>
      <c r="H61" s="3"/>
      <c r="I61" s="11"/>
      <c r="J61" s="3"/>
    </row>
    <row r="62" spans="1:11" ht="18" x14ac:dyDescent="0.25">
      <c r="B62" s="14"/>
      <c r="C62" s="29"/>
      <c r="D62" s="3"/>
      <c r="E62" s="3"/>
      <c r="F62" s="3"/>
      <c r="G62" s="3"/>
      <c r="H62" s="3"/>
      <c r="I62" s="184"/>
      <c r="J62" s="1676" t="str">
        <f>'Tab.1. bilans_Polska'!$E$59</f>
        <v>Termin: 29 luty 2012 r.</v>
      </c>
      <c r="K62" s="1676"/>
    </row>
    <row r="63" spans="1:11" ht="18" x14ac:dyDescent="0.25">
      <c r="B63" s="11"/>
      <c r="C63" s="3"/>
      <c r="D63" s="3"/>
      <c r="E63" s="3"/>
      <c r="F63" s="3"/>
      <c r="G63" s="3"/>
      <c r="H63" s="3"/>
      <c r="I63" s="3"/>
      <c r="J63" s="3"/>
      <c r="K63" s="3"/>
    </row>
    <row r="64" spans="1:11" ht="18" x14ac:dyDescent="0.25">
      <c r="B64" s="11"/>
      <c r="C64" s="3"/>
      <c r="D64" s="3"/>
      <c r="E64" s="3"/>
      <c r="F64" s="3"/>
      <c r="G64" s="3"/>
      <c r="H64" s="3"/>
      <c r="I64" s="3"/>
      <c r="J64" s="3"/>
      <c r="K64" s="3"/>
    </row>
    <row r="65" spans="2:11" ht="18" x14ac:dyDescent="0.25">
      <c r="B65" s="11" t="s">
        <v>130</v>
      </c>
      <c r="C65" s="3"/>
      <c r="D65" s="3"/>
      <c r="E65" s="3"/>
      <c r="F65" s="3"/>
      <c r="G65" s="3"/>
      <c r="H65" s="3"/>
      <c r="I65" s="3"/>
      <c r="J65" s="3"/>
      <c r="K65" s="3"/>
    </row>
    <row r="66" spans="2:11" ht="15.75" x14ac:dyDescent="0.25">
      <c r="B66" s="1" t="s">
        <v>131</v>
      </c>
      <c r="C66" s="3"/>
      <c r="D66" s="3"/>
      <c r="E66" s="3"/>
      <c r="F66" s="3"/>
      <c r="G66" s="3"/>
      <c r="H66" s="3"/>
      <c r="I66" s="3"/>
      <c r="J66" s="3"/>
      <c r="K66" s="3"/>
    </row>
    <row r="67" spans="2:11" ht="15.75" x14ac:dyDescent="0.25">
      <c r="B67" s="1"/>
      <c r="C67" s="3"/>
      <c r="D67" s="3"/>
      <c r="E67" s="3"/>
      <c r="F67" s="3"/>
      <c r="G67" s="3"/>
      <c r="H67" s="3"/>
      <c r="I67" s="1"/>
      <c r="J67" s="3"/>
      <c r="K67" s="3"/>
    </row>
    <row r="68" spans="2:11" ht="23.25" x14ac:dyDescent="0.35">
      <c r="B68" s="1655" t="s">
        <v>399</v>
      </c>
      <c r="C68" s="1655"/>
      <c r="D68" s="1655"/>
      <c r="E68" s="1655"/>
      <c r="F68" s="1655"/>
      <c r="G68" s="1655"/>
      <c r="H68" s="1655"/>
      <c r="I68" s="1655"/>
      <c r="J68" s="1655"/>
      <c r="K68" s="1655"/>
    </row>
    <row r="69" spans="2:11" ht="23.25" x14ac:dyDescent="0.35">
      <c r="B69" s="1655" t="s">
        <v>400</v>
      </c>
      <c r="C69" s="1655"/>
      <c r="D69" s="1655"/>
      <c r="E69" s="1655"/>
      <c r="F69" s="1655"/>
      <c r="G69" s="1655"/>
      <c r="H69" s="1655"/>
      <c r="I69" s="1655"/>
      <c r="J69" s="1655"/>
      <c r="K69" s="1655"/>
    </row>
    <row r="70" spans="2:11" ht="23.25" x14ac:dyDescent="0.35">
      <c r="B70" s="1810" t="str">
        <f>$B$12</f>
        <v>WG  ST.  NA  DZIEŃ  31. XII. 2011 r.</v>
      </c>
      <c r="C70" s="1810"/>
      <c r="D70" s="1810"/>
      <c r="E70" s="1810"/>
      <c r="F70" s="1810"/>
      <c r="G70" s="1810"/>
      <c r="H70" s="1810"/>
      <c r="I70" s="1810"/>
      <c r="J70" s="1810"/>
      <c r="K70" s="1810"/>
    </row>
    <row r="71" spans="2:11" ht="24" thickBot="1" x14ac:dyDescent="0.4">
      <c r="B71" s="30"/>
      <c r="C71" s="30"/>
      <c r="D71" s="30"/>
      <c r="E71" s="30"/>
      <c r="F71" s="30"/>
      <c r="G71" s="30"/>
      <c r="H71" s="30"/>
      <c r="I71" s="30"/>
      <c r="J71" s="30"/>
      <c r="K71" s="30"/>
    </row>
    <row r="72" spans="2:11" ht="24" thickTop="1" x14ac:dyDescent="0.2">
      <c r="B72" s="31"/>
      <c r="C72" s="1677" t="s">
        <v>3</v>
      </c>
      <c r="D72" s="1678"/>
      <c r="E72" s="1679"/>
      <c r="F72" s="1946" t="s">
        <v>401</v>
      </c>
      <c r="G72" s="1946"/>
      <c r="H72" s="1946"/>
      <c r="I72" s="1946"/>
      <c r="J72" s="1946"/>
      <c r="K72" s="1947"/>
    </row>
    <row r="73" spans="2:11" ht="23.25" x14ac:dyDescent="0.2">
      <c r="B73" s="667" t="s">
        <v>402</v>
      </c>
      <c r="C73" s="34" t="s">
        <v>4</v>
      </c>
      <c r="D73" s="35" t="s">
        <v>39</v>
      </c>
      <c r="E73" s="36" t="s">
        <v>40</v>
      </c>
      <c r="F73" s="1942" t="s">
        <v>403</v>
      </c>
      <c r="G73" s="1943"/>
      <c r="H73" s="1944"/>
      <c r="I73" s="1942" t="s">
        <v>404</v>
      </c>
      <c r="J73" s="1943"/>
      <c r="K73" s="1945"/>
    </row>
    <row r="74" spans="2:11" ht="18" x14ac:dyDescent="0.2">
      <c r="B74" s="37" t="s">
        <v>405</v>
      </c>
      <c r="C74" s="34" t="s">
        <v>406</v>
      </c>
      <c r="D74" s="38" t="s">
        <v>13</v>
      </c>
      <c r="E74" s="36" t="s">
        <v>5</v>
      </c>
      <c r="F74" s="34" t="s">
        <v>0</v>
      </c>
      <c r="G74" s="35" t="s">
        <v>0</v>
      </c>
      <c r="H74" s="36" t="s">
        <v>0</v>
      </c>
      <c r="I74" s="39" t="s">
        <v>0</v>
      </c>
      <c r="J74" s="35" t="s">
        <v>0</v>
      </c>
      <c r="K74" s="40" t="s">
        <v>0</v>
      </c>
    </row>
    <row r="75" spans="2:11" ht="18" x14ac:dyDescent="0.2">
      <c r="B75" s="37"/>
      <c r="C75" s="41" t="s">
        <v>42</v>
      </c>
      <c r="D75" s="42" t="s">
        <v>43</v>
      </c>
      <c r="E75" s="43" t="s">
        <v>44</v>
      </c>
      <c r="F75" s="34" t="s">
        <v>407</v>
      </c>
      <c r="G75" s="38" t="s">
        <v>1</v>
      </c>
      <c r="H75" s="36" t="s">
        <v>45</v>
      </c>
      <c r="I75" s="44" t="s">
        <v>407</v>
      </c>
      <c r="J75" s="45" t="s">
        <v>1</v>
      </c>
      <c r="K75" s="46" t="s">
        <v>45</v>
      </c>
    </row>
    <row r="76" spans="2:11" ht="16.5" thickBot="1" x14ac:dyDescent="0.3">
      <c r="B76" s="47">
        <v>0</v>
      </c>
      <c r="C76" s="48">
        <v>1</v>
      </c>
      <c r="D76" s="49">
        <v>2</v>
      </c>
      <c r="E76" s="50">
        <v>3</v>
      </c>
      <c r="F76" s="48">
        <v>4</v>
      </c>
      <c r="G76" s="49">
        <v>5</v>
      </c>
      <c r="H76" s="50">
        <v>6</v>
      </c>
      <c r="I76" s="48">
        <v>7</v>
      </c>
      <c r="J76" s="49">
        <v>8</v>
      </c>
      <c r="K76" s="51">
        <v>9</v>
      </c>
    </row>
    <row r="77" spans="2:11" ht="27" thickTop="1" x14ac:dyDescent="0.2">
      <c r="B77" s="52" t="s">
        <v>193</v>
      </c>
      <c r="C77" s="711">
        <f>F77+I77</f>
        <v>0</v>
      </c>
      <c r="D77" s="712">
        <f>G77+J77</f>
        <v>0</v>
      </c>
      <c r="E77" s="713">
        <f>H77+K77</f>
        <v>0</v>
      </c>
      <c r="F77" s="711">
        <f t="shared" ref="F77:K77" si="7">SUM(F79:F82)</f>
        <v>0</v>
      </c>
      <c r="G77" s="765">
        <f t="shared" si="7"/>
        <v>0</v>
      </c>
      <c r="H77" s="766">
        <f t="shared" si="7"/>
        <v>0</v>
      </c>
      <c r="I77" s="711">
        <f t="shared" si="7"/>
        <v>0</v>
      </c>
      <c r="J77" s="765">
        <f t="shared" si="7"/>
        <v>0</v>
      </c>
      <c r="K77" s="767">
        <f t="shared" si="7"/>
        <v>0</v>
      </c>
    </row>
    <row r="78" spans="2:11" ht="13.5" thickBot="1" x14ac:dyDescent="0.25">
      <c r="B78" s="53" t="s">
        <v>46</v>
      </c>
      <c r="C78" s="726"/>
      <c r="D78" s="727"/>
      <c r="E78" s="728"/>
      <c r="F78" s="726"/>
      <c r="G78" s="729"/>
      <c r="H78" s="728"/>
      <c r="I78" s="726"/>
      <c r="J78" s="729"/>
      <c r="K78" s="730"/>
    </row>
    <row r="79" spans="2:11" ht="21" thickTop="1" x14ac:dyDescent="0.2">
      <c r="B79" s="56" t="s">
        <v>192</v>
      </c>
      <c r="C79" s="714">
        <f t="shared" ref="C79:E82" si="8">F79+I79</f>
        <v>0</v>
      </c>
      <c r="D79" s="715">
        <f t="shared" si="8"/>
        <v>0</v>
      </c>
      <c r="E79" s="716">
        <f t="shared" si="8"/>
        <v>0</v>
      </c>
      <c r="F79" s="1403">
        <v>0</v>
      </c>
      <c r="G79" s="1404">
        <v>0</v>
      </c>
      <c r="H79" s="1405">
        <v>0</v>
      </c>
      <c r="I79" s="1403">
        <v>0</v>
      </c>
      <c r="J79" s="1404">
        <v>0</v>
      </c>
      <c r="K79" s="1406">
        <v>0</v>
      </c>
    </row>
    <row r="80" spans="2:11" ht="20.25" x14ac:dyDescent="0.2">
      <c r="B80" s="57" t="s">
        <v>408</v>
      </c>
      <c r="C80" s="717">
        <f t="shared" si="8"/>
        <v>0</v>
      </c>
      <c r="D80" s="718">
        <f t="shared" si="8"/>
        <v>0</v>
      </c>
      <c r="E80" s="719">
        <f t="shared" si="8"/>
        <v>0</v>
      </c>
      <c r="F80" s="1407">
        <v>0</v>
      </c>
      <c r="G80" s="1408">
        <v>0</v>
      </c>
      <c r="H80" s="1409">
        <v>0</v>
      </c>
      <c r="I80" s="1407">
        <v>0</v>
      </c>
      <c r="J80" s="1408">
        <v>0</v>
      </c>
      <c r="K80" s="1410">
        <v>0</v>
      </c>
    </row>
    <row r="81" spans="1:11" ht="20.25" x14ac:dyDescent="0.2">
      <c r="B81" s="668" t="s">
        <v>409</v>
      </c>
      <c r="C81" s="720">
        <f t="shared" si="8"/>
        <v>0</v>
      </c>
      <c r="D81" s="721">
        <f t="shared" si="8"/>
        <v>0</v>
      </c>
      <c r="E81" s="722">
        <f t="shared" si="8"/>
        <v>0</v>
      </c>
      <c r="F81" s="1411">
        <v>0</v>
      </c>
      <c r="G81" s="1412">
        <v>0</v>
      </c>
      <c r="H81" s="1413">
        <v>0</v>
      </c>
      <c r="I81" s="1411">
        <v>0</v>
      </c>
      <c r="J81" s="1412">
        <v>0</v>
      </c>
      <c r="K81" s="1414">
        <v>0</v>
      </c>
    </row>
    <row r="82" spans="1:11" ht="21" thickBot="1" x14ac:dyDescent="0.25">
      <c r="B82" s="265" t="s">
        <v>410</v>
      </c>
      <c r="C82" s="723">
        <f t="shared" si="8"/>
        <v>0</v>
      </c>
      <c r="D82" s="724">
        <f t="shared" si="8"/>
        <v>0</v>
      </c>
      <c r="E82" s="725">
        <f t="shared" si="8"/>
        <v>0</v>
      </c>
      <c r="F82" s="1415">
        <v>0</v>
      </c>
      <c r="G82" s="1416">
        <v>0</v>
      </c>
      <c r="H82" s="1417">
        <v>0</v>
      </c>
      <c r="I82" s="1415">
        <v>0</v>
      </c>
      <c r="J82" s="1416">
        <v>0</v>
      </c>
      <c r="K82" s="1418">
        <v>0</v>
      </c>
    </row>
    <row r="83" spans="1:11" ht="21" thickTop="1" x14ac:dyDescent="0.2">
      <c r="B83" s="264"/>
      <c r="C83" s="186"/>
      <c r="D83" s="186"/>
      <c r="E83" s="186"/>
      <c r="F83" s="186"/>
      <c r="G83" s="186"/>
      <c r="H83" s="186"/>
      <c r="I83" s="186"/>
      <c r="J83" s="186"/>
      <c r="K83" s="186"/>
    </row>
    <row r="84" spans="1:11" ht="20.25" x14ac:dyDescent="0.3">
      <c r="B84" s="183"/>
    </row>
    <row r="85" spans="1:11" ht="15.75" x14ac:dyDescent="0.25">
      <c r="B85" s="1" t="s">
        <v>123</v>
      </c>
    </row>
    <row r="86" spans="1:11" x14ac:dyDescent="0.2">
      <c r="B86" s="3" t="s">
        <v>132</v>
      </c>
      <c r="I86" s="1654" t="s">
        <v>133</v>
      </c>
      <c r="J86" s="1654"/>
      <c r="K86" s="1654"/>
    </row>
    <row r="87" spans="1:11" ht="15.75" x14ac:dyDescent="0.25">
      <c r="B87" s="3" t="s">
        <v>411</v>
      </c>
      <c r="I87" s="1604" t="s">
        <v>126</v>
      </c>
      <c r="J87" s="1604"/>
      <c r="K87" s="1604"/>
    </row>
    <row r="89" spans="1:11" ht="23.25" x14ac:dyDescent="0.35">
      <c r="A89" s="358" t="s">
        <v>170</v>
      </c>
      <c r="B89" s="28"/>
      <c r="K89" s="10" t="s">
        <v>398</v>
      </c>
    </row>
    <row r="90" spans="1:11" ht="18" x14ac:dyDescent="0.25">
      <c r="B90" s="11"/>
      <c r="C90" s="3"/>
      <c r="D90" s="3"/>
      <c r="E90" s="3"/>
      <c r="F90" s="3"/>
      <c r="G90" s="3"/>
      <c r="H90" s="3"/>
      <c r="I90" s="11"/>
      <c r="J90" s="3"/>
    </row>
    <row r="91" spans="1:11" ht="18" x14ac:dyDescent="0.25">
      <c r="B91" s="14"/>
      <c r="C91" s="29"/>
      <c r="D91" s="3"/>
      <c r="E91" s="3"/>
      <c r="F91" s="3"/>
      <c r="G91" s="3"/>
      <c r="H91" s="3"/>
      <c r="I91" s="184"/>
      <c r="J91" s="1676" t="str">
        <f>'Tab.1. bilans_Polska'!$E$59</f>
        <v>Termin: 29 luty 2012 r.</v>
      </c>
      <c r="K91" s="1676"/>
    </row>
    <row r="92" spans="1:11" ht="18" x14ac:dyDescent="0.25">
      <c r="B92" s="11"/>
      <c r="C92" s="3"/>
      <c r="D92" s="3"/>
      <c r="E92" s="3"/>
      <c r="F92" s="3"/>
      <c r="G92" s="3"/>
      <c r="H92" s="3"/>
      <c r="I92" s="3"/>
      <c r="J92" s="3"/>
      <c r="K92" s="3"/>
    </row>
    <row r="93" spans="1:11" ht="18" x14ac:dyDescent="0.25">
      <c r="B93" s="11"/>
      <c r="C93" s="3"/>
      <c r="D93" s="3"/>
      <c r="E93" s="3"/>
      <c r="F93" s="3"/>
      <c r="G93" s="3"/>
      <c r="H93" s="3"/>
      <c r="I93" s="3"/>
      <c r="J93" s="3"/>
      <c r="K93" s="3"/>
    </row>
    <row r="94" spans="1:11" ht="18" x14ac:dyDescent="0.25">
      <c r="B94" s="11" t="s">
        <v>130</v>
      </c>
      <c r="C94" s="3"/>
      <c r="D94" s="3"/>
      <c r="E94" s="3"/>
      <c r="F94" s="3"/>
      <c r="G94" s="3"/>
      <c r="H94" s="3"/>
      <c r="I94" s="3"/>
      <c r="J94" s="3"/>
      <c r="K94" s="3"/>
    </row>
    <row r="95" spans="1:11" ht="15.75" x14ac:dyDescent="0.25">
      <c r="B95" s="1" t="s">
        <v>131</v>
      </c>
      <c r="C95" s="3"/>
      <c r="D95" s="3"/>
      <c r="E95" s="3"/>
      <c r="F95" s="3"/>
      <c r="G95" s="3"/>
      <c r="H95" s="3"/>
      <c r="I95" s="3"/>
      <c r="J95" s="3"/>
      <c r="K95" s="3"/>
    </row>
    <row r="96" spans="1:11" ht="15.75" x14ac:dyDescent="0.25">
      <c r="B96" s="1"/>
      <c r="C96" s="3"/>
      <c r="D96" s="3"/>
      <c r="E96" s="3"/>
      <c r="F96" s="3"/>
      <c r="G96" s="3"/>
      <c r="H96" s="3"/>
      <c r="I96" s="1"/>
      <c r="J96" s="3"/>
      <c r="K96" s="3"/>
    </row>
    <row r="97" spans="2:11" ht="23.25" x14ac:dyDescent="0.35">
      <c r="B97" s="1655" t="s">
        <v>399</v>
      </c>
      <c r="C97" s="1655"/>
      <c r="D97" s="1655"/>
      <c r="E97" s="1655"/>
      <c r="F97" s="1655"/>
      <c r="G97" s="1655"/>
      <c r="H97" s="1655"/>
      <c r="I97" s="1655"/>
      <c r="J97" s="1655"/>
      <c r="K97" s="1655"/>
    </row>
    <row r="98" spans="2:11" ht="23.25" x14ac:dyDescent="0.35">
      <c r="B98" s="1655" t="s">
        <v>400</v>
      </c>
      <c r="C98" s="1655"/>
      <c r="D98" s="1655"/>
      <c r="E98" s="1655"/>
      <c r="F98" s="1655"/>
      <c r="G98" s="1655"/>
      <c r="H98" s="1655"/>
      <c r="I98" s="1655"/>
      <c r="J98" s="1655"/>
      <c r="K98" s="1655"/>
    </row>
    <row r="99" spans="2:11" ht="23.25" x14ac:dyDescent="0.35">
      <c r="B99" s="1810" t="str">
        <f>$B$12</f>
        <v>WG  ST.  NA  DZIEŃ  31. XII. 2011 r.</v>
      </c>
      <c r="C99" s="1810"/>
      <c r="D99" s="1810"/>
      <c r="E99" s="1810"/>
      <c r="F99" s="1810"/>
      <c r="G99" s="1810"/>
      <c r="H99" s="1810"/>
      <c r="I99" s="1810"/>
      <c r="J99" s="1810"/>
      <c r="K99" s="1810"/>
    </row>
    <row r="100" spans="2:11" ht="24" thickBot="1" x14ac:dyDescent="0.4">
      <c r="B100" s="30"/>
      <c r="C100" s="30"/>
      <c r="D100" s="30"/>
      <c r="E100" s="30"/>
      <c r="F100" s="30"/>
      <c r="G100" s="30"/>
      <c r="H100" s="30"/>
      <c r="I100" s="30"/>
      <c r="J100" s="30"/>
      <c r="K100" s="30"/>
    </row>
    <row r="101" spans="2:11" ht="24" thickTop="1" x14ac:dyDescent="0.2">
      <c r="B101" s="31"/>
      <c r="C101" s="1677" t="s">
        <v>3</v>
      </c>
      <c r="D101" s="1678"/>
      <c r="E101" s="1679"/>
      <c r="F101" s="1946" t="s">
        <v>401</v>
      </c>
      <c r="G101" s="1946"/>
      <c r="H101" s="1946"/>
      <c r="I101" s="1946"/>
      <c r="J101" s="1946"/>
      <c r="K101" s="1947"/>
    </row>
    <row r="102" spans="2:11" ht="23.25" x14ac:dyDescent="0.2">
      <c r="B102" s="667" t="s">
        <v>402</v>
      </c>
      <c r="C102" s="34" t="s">
        <v>4</v>
      </c>
      <c r="D102" s="35" t="s">
        <v>39</v>
      </c>
      <c r="E102" s="36" t="s">
        <v>40</v>
      </c>
      <c r="F102" s="1942" t="s">
        <v>403</v>
      </c>
      <c r="G102" s="1943"/>
      <c r="H102" s="1944"/>
      <c r="I102" s="1942" t="s">
        <v>404</v>
      </c>
      <c r="J102" s="1943"/>
      <c r="K102" s="1945"/>
    </row>
    <row r="103" spans="2:11" ht="18" x14ac:dyDescent="0.2">
      <c r="B103" s="37" t="s">
        <v>405</v>
      </c>
      <c r="C103" s="34" t="s">
        <v>406</v>
      </c>
      <c r="D103" s="38" t="s">
        <v>13</v>
      </c>
      <c r="E103" s="36" t="s">
        <v>5</v>
      </c>
      <c r="F103" s="34" t="s">
        <v>0</v>
      </c>
      <c r="G103" s="35" t="s">
        <v>0</v>
      </c>
      <c r="H103" s="36" t="s">
        <v>0</v>
      </c>
      <c r="I103" s="39" t="s">
        <v>0</v>
      </c>
      <c r="J103" s="35" t="s">
        <v>0</v>
      </c>
      <c r="K103" s="40" t="s">
        <v>0</v>
      </c>
    </row>
    <row r="104" spans="2:11" ht="18" x14ac:dyDescent="0.2">
      <c r="B104" s="37"/>
      <c r="C104" s="41" t="s">
        <v>42</v>
      </c>
      <c r="D104" s="42" t="s">
        <v>43</v>
      </c>
      <c r="E104" s="43" t="s">
        <v>44</v>
      </c>
      <c r="F104" s="34" t="s">
        <v>407</v>
      </c>
      <c r="G104" s="38" t="s">
        <v>1</v>
      </c>
      <c r="H104" s="36" t="s">
        <v>45</v>
      </c>
      <c r="I104" s="44" t="s">
        <v>407</v>
      </c>
      <c r="J104" s="45" t="s">
        <v>1</v>
      </c>
      <c r="K104" s="46" t="s">
        <v>45</v>
      </c>
    </row>
    <row r="105" spans="2:11" ht="16.5" thickBot="1" x14ac:dyDescent="0.3">
      <c r="B105" s="47">
        <v>0</v>
      </c>
      <c r="C105" s="48">
        <v>1</v>
      </c>
      <c r="D105" s="49">
        <v>2</v>
      </c>
      <c r="E105" s="50">
        <v>3</v>
      </c>
      <c r="F105" s="48">
        <v>4</v>
      </c>
      <c r="G105" s="49">
        <v>5</v>
      </c>
      <c r="H105" s="50">
        <v>6</v>
      </c>
      <c r="I105" s="48">
        <v>7</v>
      </c>
      <c r="J105" s="49">
        <v>8</v>
      </c>
      <c r="K105" s="51">
        <v>9</v>
      </c>
    </row>
    <row r="106" spans="2:11" ht="27" thickTop="1" x14ac:dyDescent="0.2">
      <c r="B106" s="52" t="s">
        <v>193</v>
      </c>
      <c r="C106" s="711">
        <f>F106+I106</f>
        <v>7</v>
      </c>
      <c r="D106" s="712">
        <f>G106+J106</f>
        <v>189</v>
      </c>
      <c r="E106" s="713">
        <f>H106+K106</f>
        <v>165</v>
      </c>
      <c r="F106" s="711">
        <f t="shared" ref="F106:K106" si="9">SUM(F108:F111)</f>
        <v>2</v>
      </c>
      <c r="G106" s="765">
        <f t="shared" si="9"/>
        <v>22</v>
      </c>
      <c r="H106" s="766">
        <f t="shared" si="9"/>
        <v>22</v>
      </c>
      <c r="I106" s="711">
        <f t="shared" si="9"/>
        <v>5</v>
      </c>
      <c r="J106" s="765">
        <f t="shared" si="9"/>
        <v>167</v>
      </c>
      <c r="K106" s="767">
        <f t="shared" si="9"/>
        <v>143</v>
      </c>
    </row>
    <row r="107" spans="2:11" ht="13.5" thickBot="1" x14ac:dyDescent="0.25">
      <c r="B107" s="53" t="s">
        <v>46</v>
      </c>
      <c r="C107" s="726"/>
      <c r="D107" s="727"/>
      <c r="E107" s="728"/>
      <c r="F107" s="726"/>
      <c r="G107" s="729"/>
      <c r="H107" s="728"/>
      <c r="I107" s="726"/>
      <c r="J107" s="729"/>
      <c r="K107" s="730"/>
    </row>
    <row r="108" spans="2:11" ht="21" thickTop="1" x14ac:dyDescent="0.2">
      <c r="B108" s="56" t="s">
        <v>192</v>
      </c>
      <c r="C108" s="714">
        <f t="shared" ref="C108:E111" si="10">F108+I108</f>
        <v>7</v>
      </c>
      <c r="D108" s="715">
        <f t="shared" si="10"/>
        <v>189</v>
      </c>
      <c r="E108" s="716">
        <f t="shared" si="10"/>
        <v>165</v>
      </c>
      <c r="F108" s="1419">
        <v>2</v>
      </c>
      <c r="G108" s="1420">
        <v>22</v>
      </c>
      <c r="H108" s="1421">
        <v>22</v>
      </c>
      <c r="I108" s="1419">
        <v>5</v>
      </c>
      <c r="J108" s="1420">
        <v>167</v>
      </c>
      <c r="K108" s="1422">
        <v>143</v>
      </c>
    </row>
    <row r="109" spans="2:11" ht="20.25" x14ac:dyDescent="0.2">
      <c r="B109" s="57" t="s">
        <v>408</v>
      </c>
      <c r="C109" s="717">
        <f t="shared" si="10"/>
        <v>0</v>
      </c>
      <c r="D109" s="718">
        <f t="shared" si="10"/>
        <v>0</v>
      </c>
      <c r="E109" s="719">
        <f t="shared" si="10"/>
        <v>0</v>
      </c>
      <c r="F109" s="1423">
        <v>0</v>
      </c>
      <c r="G109" s="1424">
        <v>0</v>
      </c>
      <c r="H109" s="1425">
        <v>0</v>
      </c>
      <c r="I109" s="1423">
        <v>0</v>
      </c>
      <c r="J109" s="1424">
        <v>0</v>
      </c>
      <c r="K109" s="1580">
        <v>0</v>
      </c>
    </row>
    <row r="110" spans="2:11" ht="20.25" x14ac:dyDescent="0.2">
      <c r="B110" s="668" t="s">
        <v>409</v>
      </c>
      <c r="C110" s="720">
        <f t="shared" si="10"/>
        <v>0</v>
      </c>
      <c r="D110" s="721">
        <f t="shared" si="10"/>
        <v>0</v>
      </c>
      <c r="E110" s="722">
        <f t="shared" si="10"/>
        <v>0</v>
      </c>
      <c r="F110" s="1426">
        <v>0</v>
      </c>
      <c r="G110" s="1427">
        <v>0</v>
      </c>
      <c r="H110" s="1428">
        <v>0</v>
      </c>
      <c r="I110" s="1426">
        <v>0</v>
      </c>
      <c r="J110" s="1427">
        <v>0</v>
      </c>
      <c r="K110" s="1429">
        <v>0</v>
      </c>
    </row>
    <row r="111" spans="2:11" ht="21" thickBot="1" x14ac:dyDescent="0.25">
      <c r="B111" s="265" t="s">
        <v>410</v>
      </c>
      <c r="C111" s="723">
        <f t="shared" si="10"/>
        <v>0</v>
      </c>
      <c r="D111" s="724">
        <f t="shared" si="10"/>
        <v>0</v>
      </c>
      <c r="E111" s="725">
        <f t="shared" si="10"/>
        <v>0</v>
      </c>
      <c r="F111" s="1430">
        <v>0</v>
      </c>
      <c r="G111" s="1431">
        <v>0</v>
      </c>
      <c r="H111" s="1432">
        <v>0</v>
      </c>
      <c r="I111" s="1430">
        <v>0</v>
      </c>
      <c r="J111" s="1431">
        <v>0</v>
      </c>
      <c r="K111" s="1433">
        <v>0</v>
      </c>
    </row>
    <row r="112" spans="2:11" ht="21" thickTop="1" x14ac:dyDescent="0.2">
      <c r="B112" s="264"/>
      <c r="C112" s="186"/>
      <c r="D112" s="186"/>
      <c r="E112" s="186"/>
      <c r="F112" s="186"/>
      <c r="G112" s="186"/>
      <c r="H112" s="186"/>
      <c r="I112" s="186"/>
      <c r="J112" s="186"/>
      <c r="K112" s="186"/>
    </row>
    <row r="113" spans="1:11" ht="20.25" x14ac:dyDescent="0.3">
      <c r="B113" s="183"/>
    </row>
    <row r="114" spans="1:11" ht="15.75" x14ac:dyDescent="0.25">
      <c r="B114" s="1" t="s">
        <v>123</v>
      </c>
    </row>
    <row r="115" spans="1:11" x14ac:dyDescent="0.2">
      <c r="B115" s="3" t="s">
        <v>132</v>
      </c>
      <c r="I115" s="1654" t="s">
        <v>133</v>
      </c>
      <c r="J115" s="1654"/>
      <c r="K115" s="1654"/>
    </row>
    <row r="116" spans="1:11" ht="15.75" x14ac:dyDescent="0.25">
      <c r="B116" s="3" t="s">
        <v>411</v>
      </c>
      <c r="I116" s="1604" t="s">
        <v>126</v>
      </c>
      <c r="J116" s="1604"/>
      <c r="K116" s="1604"/>
    </row>
    <row r="118" spans="1:11" ht="23.25" x14ac:dyDescent="0.35">
      <c r="A118" s="358" t="s">
        <v>172</v>
      </c>
      <c r="B118" s="28"/>
      <c r="K118" s="10" t="s">
        <v>398</v>
      </c>
    </row>
    <row r="119" spans="1:11" ht="18" x14ac:dyDescent="0.25">
      <c r="B119" s="11"/>
      <c r="C119" s="3"/>
      <c r="D119" s="3"/>
      <c r="E119" s="3"/>
      <c r="F119" s="3"/>
      <c r="G119" s="3"/>
      <c r="H119" s="3"/>
      <c r="I119" s="11"/>
      <c r="J119" s="3"/>
    </row>
    <row r="120" spans="1:11" ht="18" x14ac:dyDescent="0.25">
      <c r="B120" s="14"/>
      <c r="C120" s="29"/>
      <c r="D120" s="3"/>
      <c r="E120" s="3"/>
      <c r="F120" s="3"/>
      <c r="G120" s="3"/>
      <c r="H120" s="3"/>
      <c r="I120" s="184"/>
      <c r="J120" s="1676" t="str">
        <f>'Tab.1. bilans_Polska'!$E$59</f>
        <v>Termin: 29 luty 2012 r.</v>
      </c>
      <c r="K120" s="1676"/>
    </row>
    <row r="121" spans="1:11" ht="18" x14ac:dyDescent="0.25">
      <c r="B121" s="11"/>
      <c r="C121" s="3"/>
      <c r="D121" s="3"/>
      <c r="E121" s="3"/>
      <c r="F121" s="3"/>
      <c r="G121" s="3"/>
      <c r="H121" s="3"/>
      <c r="I121" s="3"/>
      <c r="J121" s="3"/>
      <c r="K121" s="3"/>
    </row>
    <row r="122" spans="1:11" ht="18" x14ac:dyDescent="0.25">
      <c r="B122" s="11"/>
      <c r="C122" s="3"/>
      <c r="D122" s="3"/>
      <c r="E122" s="3"/>
      <c r="F122" s="3"/>
      <c r="G122" s="3"/>
      <c r="H122" s="3"/>
      <c r="I122" s="3"/>
      <c r="J122" s="3"/>
      <c r="K122" s="3"/>
    </row>
    <row r="123" spans="1:11" ht="18" x14ac:dyDescent="0.25">
      <c r="B123" s="11" t="s">
        <v>130</v>
      </c>
      <c r="C123" s="3"/>
      <c r="D123" s="3"/>
      <c r="E123" s="3"/>
      <c r="F123" s="3"/>
      <c r="G123" s="3"/>
      <c r="H123" s="3"/>
      <c r="I123" s="3"/>
      <c r="J123" s="3"/>
      <c r="K123" s="3"/>
    </row>
    <row r="124" spans="1:11" ht="15.75" x14ac:dyDescent="0.25">
      <c r="B124" s="1" t="s">
        <v>131</v>
      </c>
      <c r="C124" s="3"/>
      <c r="D124" s="3"/>
      <c r="E124" s="3"/>
      <c r="F124" s="3"/>
      <c r="G124" s="3"/>
      <c r="H124" s="3"/>
      <c r="I124" s="3"/>
      <c r="J124" s="3"/>
      <c r="K124" s="3"/>
    </row>
    <row r="125" spans="1:11" ht="15.75" x14ac:dyDescent="0.25">
      <c r="B125" s="1"/>
      <c r="C125" s="3"/>
      <c r="D125" s="3"/>
      <c r="E125" s="3"/>
      <c r="F125" s="3"/>
      <c r="G125" s="3"/>
      <c r="H125" s="3"/>
      <c r="I125" s="1"/>
      <c r="J125" s="3"/>
      <c r="K125" s="3"/>
    </row>
    <row r="126" spans="1:11" ht="23.25" x14ac:dyDescent="0.35">
      <c r="B126" s="1655" t="s">
        <v>399</v>
      </c>
      <c r="C126" s="1655"/>
      <c r="D126" s="1655"/>
      <c r="E126" s="1655"/>
      <c r="F126" s="1655"/>
      <c r="G126" s="1655"/>
      <c r="H126" s="1655"/>
      <c r="I126" s="1655"/>
      <c r="J126" s="1655"/>
      <c r="K126" s="1655"/>
    </row>
    <row r="127" spans="1:11" ht="23.25" x14ac:dyDescent="0.35">
      <c r="B127" s="1655" t="s">
        <v>400</v>
      </c>
      <c r="C127" s="1655"/>
      <c r="D127" s="1655"/>
      <c r="E127" s="1655"/>
      <c r="F127" s="1655"/>
      <c r="G127" s="1655"/>
      <c r="H127" s="1655"/>
      <c r="I127" s="1655"/>
      <c r="J127" s="1655"/>
      <c r="K127" s="1655"/>
    </row>
    <row r="128" spans="1:11" ht="23.25" x14ac:dyDescent="0.35">
      <c r="B128" s="1810" t="str">
        <f>$B$12</f>
        <v>WG  ST.  NA  DZIEŃ  31. XII. 2011 r.</v>
      </c>
      <c r="C128" s="1810"/>
      <c r="D128" s="1810"/>
      <c r="E128" s="1810"/>
      <c r="F128" s="1810"/>
      <c r="G128" s="1810"/>
      <c r="H128" s="1810"/>
      <c r="I128" s="1810"/>
      <c r="J128" s="1810"/>
      <c r="K128" s="1810"/>
    </row>
    <row r="129" spans="2:11" ht="24" thickBot="1" x14ac:dyDescent="0.4">
      <c r="B129" s="30"/>
      <c r="C129" s="30"/>
      <c r="D129" s="30"/>
      <c r="E129" s="30"/>
      <c r="F129" s="30"/>
      <c r="G129" s="30"/>
      <c r="H129" s="30"/>
      <c r="I129" s="30"/>
      <c r="J129" s="30"/>
      <c r="K129" s="30"/>
    </row>
    <row r="130" spans="2:11" ht="24" thickTop="1" x14ac:dyDescent="0.2">
      <c r="B130" s="31"/>
      <c r="C130" s="1677" t="s">
        <v>3</v>
      </c>
      <c r="D130" s="1678"/>
      <c r="E130" s="1679"/>
      <c r="F130" s="1946" t="s">
        <v>401</v>
      </c>
      <c r="G130" s="1946"/>
      <c r="H130" s="1946"/>
      <c r="I130" s="1946"/>
      <c r="J130" s="1946"/>
      <c r="K130" s="1947"/>
    </row>
    <row r="131" spans="2:11" ht="23.25" x14ac:dyDescent="0.2">
      <c r="B131" s="667" t="s">
        <v>402</v>
      </c>
      <c r="C131" s="34" t="s">
        <v>4</v>
      </c>
      <c r="D131" s="35" t="s">
        <v>39</v>
      </c>
      <c r="E131" s="36" t="s">
        <v>40</v>
      </c>
      <c r="F131" s="1942" t="s">
        <v>403</v>
      </c>
      <c r="G131" s="1943"/>
      <c r="H131" s="1944"/>
      <c r="I131" s="1942" t="s">
        <v>404</v>
      </c>
      <c r="J131" s="1943"/>
      <c r="K131" s="1945"/>
    </row>
    <row r="132" spans="2:11" ht="18" x14ac:dyDescent="0.2">
      <c r="B132" s="37" t="s">
        <v>405</v>
      </c>
      <c r="C132" s="34" t="s">
        <v>406</v>
      </c>
      <c r="D132" s="38" t="s">
        <v>13</v>
      </c>
      <c r="E132" s="36" t="s">
        <v>5</v>
      </c>
      <c r="F132" s="34" t="s">
        <v>0</v>
      </c>
      <c r="G132" s="35" t="s">
        <v>0</v>
      </c>
      <c r="H132" s="36" t="s">
        <v>0</v>
      </c>
      <c r="I132" s="39" t="s">
        <v>0</v>
      </c>
      <c r="J132" s="35" t="s">
        <v>0</v>
      </c>
      <c r="K132" s="40" t="s">
        <v>0</v>
      </c>
    </row>
    <row r="133" spans="2:11" ht="18" x14ac:dyDescent="0.2">
      <c r="B133" s="37"/>
      <c r="C133" s="41" t="s">
        <v>42</v>
      </c>
      <c r="D133" s="42" t="s">
        <v>43</v>
      </c>
      <c r="E133" s="43" t="s">
        <v>44</v>
      </c>
      <c r="F133" s="34" t="s">
        <v>407</v>
      </c>
      <c r="G133" s="38" t="s">
        <v>1</v>
      </c>
      <c r="H133" s="36" t="s">
        <v>45</v>
      </c>
      <c r="I133" s="44" t="s">
        <v>407</v>
      </c>
      <c r="J133" s="45" t="s">
        <v>1</v>
      </c>
      <c r="K133" s="46" t="s">
        <v>45</v>
      </c>
    </row>
    <row r="134" spans="2:11" ht="16.5" thickBot="1" x14ac:dyDescent="0.3">
      <c r="B134" s="47">
        <v>0</v>
      </c>
      <c r="C134" s="48">
        <v>1</v>
      </c>
      <c r="D134" s="49">
        <v>2</v>
      </c>
      <c r="E134" s="50">
        <v>3</v>
      </c>
      <c r="F134" s="48">
        <v>4</v>
      </c>
      <c r="G134" s="49">
        <v>5</v>
      </c>
      <c r="H134" s="50">
        <v>6</v>
      </c>
      <c r="I134" s="48">
        <v>7</v>
      </c>
      <c r="J134" s="49">
        <v>8</v>
      </c>
      <c r="K134" s="51">
        <v>9</v>
      </c>
    </row>
    <row r="135" spans="2:11" ht="27" thickTop="1" x14ac:dyDescent="0.2">
      <c r="B135" s="52" t="s">
        <v>193</v>
      </c>
      <c r="C135" s="711">
        <f>F135+I135</f>
        <v>1</v>
      </c>
      <c r="D135" s="712">
        <f>G135+J135</f>
        <v>63</v>
      </c>
      <c r="E135" s="713">
        <f>H135+K135</f>
        <v>20</v>
      </c>
      <c r="F135" s="711">
        <f t="shared" ref="F135:K135" si="11">SUM(F137:F140)</f>
        <v>0</v>
      </c>
      <c r="G135" s="765">
        <f t="shared" si="11"/>
        <v>0</v>
      </c>
      <c r="H135" s="766">
        <f t="shared" si="11"/>
        <v>0</v>
      </c>
      <c r="I135" s="711">
        <f t="shared" si="11"/>
        <v>1</v>
      </c>
      <c r="J135" s="765">
        <f t="shared" si="11"/>
        <v>63</v>
      </c>
      <c r="K135" s="767">
        <f t="shared" si="11"/>
        <v>20</v>
      </c>
    </row>
    <row r="136" spans="2:11" ht="13.5" thickBot="1" x14ac:dyDescent="0.25">
      <c r="B136" s="53" t="s">
        <v>46</v>
      </c>
      <c r="C136" s="726"/>
      <c r="D136" s="727"/>
      <c r="E136" s="728"/>
      <c r="F136" s="726"/>
      <c r="G136" s="729"/>
      <c r="H136" s="728"/>
      <c r="I136" s="726"/>
      <c r="J136" s="729"/>
      <c r="K136" s="730"/>
    </row>
    <row r="137" spans="2:11" ht="21" thickTop="1" x14ac:dyDescent="0.2">
      <c r="B137" s="56" t="s">
        <v>192</v>
      </c>
      <c r="C137" s="714">
        <f t="shared" ref="C137:E140" si="12">F137+I137</f>
        <v>1</v>
      </c>
      <c r="D137" s="715">
        <f t="shared" si="12"/>
        <v>63</v>
      </c>
      <c r="E137" s="716">
        <f t="shared" si="12"/>
        <v>20</v>
      </c>
      <c r="F137" s="1434">
        <v>0</v>
      </c>
      <c r="G137" s="1435">
        <v>0</v>
      </c>
      <c r="H137" s="1436">
        <v>0</v>
      </c>
      <c r="I137" s="1434">
        <v>1</v>
      </c>
      <c r="J137" s="1435">
        <v>63</v>
      </c>
      <c r="K137" s="1437">
        <v>20</v>
      </c>
    </row>
    <row r="138" spans="2:11" ht="20.25" x14ac:dyDescent="0.2">
      <c r="B138" s="57" t="s">
        <v>408</v>
      </c>
      <c r="C138" s="717">
        <f t="shared" si="12"/>
        <v>0</v>
      </c>
      <c r="D138" s="718">
        <f t="shared" si="12"/>
        <v>0</v>
      </c>
      <c r="E138" s="719">
        <f t="shared" si="12"/>
        <v>0</v>
      </c>
      <c r="F138" s="1438">
        <v>0</v>
      </c>
      <c r="G138" s="1439">
        <v>0</v>
      </c>
      <c r="H138" s="1440">
        <v>0</v>
      </c>
      <c r="I138" s="1438">
        <v>0</v>
      </c>
      <c r="J138" s="1439">
        <v>0</v>
      </c>
      <c r="K138" s="1441">
        <v>0</v>
      </c>
    </row>
    <row r="139" spans="2:11" ht="20.25" x14ac:dyDescent="0.2">
      <c r="B139" s="668" t="s">
        <v>409</v>
      </c>
      <c r="C139" s="720">
        <f t="shared" si="12"/>
        <v>0</v>
      </c>
      <c r="D139" s="721">
        <f t="shared" si="12"/>
        <v>0</v>
      </c>
      <c r="E139" s="722">
        <f t="shared" si="12"/>
        <v>0</v>
      </c>
      <c r="F139" s="1426">
        <v>0</v>
      </c>
      <c r="G139" s="1427">
        <v>0</v>
      </c>
      <c r="H139" s="1428">
        <v>0</v>
      </c>
      <c r="I139" s="1426">
        <v>0</v>
      </c>
      <c r="J139" s="1427">
        <v>0</v>
      </c>
      <c r="K139" s="1429">
        <v>0</v>
      </c>
    </row>
    <row r="140" spans="2:11" ht="21" thickBot="1" x14ac:dyDescent="0.25">
      <c r="B140" s="265" t="s">
        <v>410</v>
      </c>
      <c r="C140" s="723">
        <f t="shared" si="12"/>
        <v>0</v>
      </c>
      <c r="D140" s="724">
        <f t="shared" si="12"/>
        <v>0</v>
      </c>
      <c r="E140" s="725">
        <f t="shared" si="12"/>
        <v>0</v>
      </c>
      <c r="F140" s="1430">
        <v>0</v>
      </c>
      <c r="G140" s="1431">
        <v>0</v>
      </c>
      <c r="H140" s="1432">
        <v>0</v>
      </c>
      <c r="I140" s="1430">
        <v>0</v>
      </c>
      <c r="J140" s="1431">
        <v>0</v>
      </c>
      <c r="K140" s="1433">
        <v>0</v>
      </c>
    </row>
    <row r="141" spans="2:11" ht="21" thickTop="1" x14ac:dyDescent="0.2">
      <c r="B141" s="264"/>
      <c r="C141" s="186"/>
      <c r="D141" s="186"/>
      <c r="E141" s="186"/>
      <c r="F141" s="186"/>
      <c r="G141" s="186"/>
      <c r="H141" s="186"/>
      <c r="I141" s="186"/>
      <c r="J141" s="186"/>
      <c r="K141" s="186"/>
    </row>
    <row r="142" spans="2:11" ht="20.25" x14ac:dyDescent="0.3">
      <c r="B142" s="183"/>
    </row>
    <row r="143" spans="2:11" ht="15.75" x14ac:dyDescent="0.25">
      <c r="B143" s="1" t="s">
        <v>123</v>
      </c>
    </row>
    <row r="144" spans="2:11" x14ac:dyDescent="0.2">
      <c r="B144" s="3" t="s">
        <v>132</v>
      </c>
      <c r="I144" s="1654" t="s">
        <v>133</v>
      </c>
      <c r="J144" s="1654"/>
      <c r="K144" s="1654"/>
    </row>
    <row r="145" spans="1:11" ht="15.75" x14ac:dyDescent="0.25">
      <c r="B145" s="3" t="s">
        <v>411</v>
      </c>
      <c r="I145" s="1604" t="s">
        <v>126</v>
      </c>
      <c r="J145" s="1604"/>
      <c r="K145" s="1604"/>
    </row>
    <row r="147" spans="1:11" ht="23.25" x14ac:dyDescent="0.35">
      <c r="A147" s="358" t="s">
        <v>197</v>
      </c>
      <c r="B147" s="28"/>
      <c r="K147" s="10" t="s">
        <v>398</v>
      </c>
    </row>
    <row r="148" spans="1:11" ht="18" x14ac:dyDescent="0.25">
      <c r="B148" s="11"/>
      <c r="C148" s="3"/>
      <c r="D148" s="3"/>
      <c r="E148" s="3"/>
      <c r="F148" s="3"/>
      <c r="G148" s="3"/>
      <c r="H148" s="3"/>
      <c r="I148" s="11"/>
      <c r="J148" s="3"/>
    </row>
    <row r="149" spans="1:11" ht="18" x14ac:dyDescent="0.25">
      <c r="B149" s="14"/>
      <c r="C149" s="29"/>
      <c r="D149" s="3"/>
      <c r="E149" s="3"/>
      <c r="F149" s="3"/>
      <c r="G149" s="3"/>
      <c r="H149" s="3"/>
      <c r="I149" s="184"/>
      <c r="J149" s="1676" t="str">
        <f>'Tab.1. bilans_Polska'!$E$59</f>
        <v>Termin: 29 luty 2012 r.</v>
      </c>
      <c r="K149" s="1676"/>
    </row>
    <row r="150" spans="1:11" ht="18" x14ac:dyDescent="0.25">
      <c r="B150" s="11"/>
      <c r="C150" s="3"/>
      <c r="D150" s="3"/>
      <c r="E150" s="3"/>
      <c r="F150" s="3"/>
      <c r="G150" s="3"/>
      <c r="H150" s="3"/>
      <c r="I150" s="3"/>
      <c r="J150" s="3"/>
      <c r="K150" s="3"/>
    </row>
    <row r="151" spans="1:11" ht="18" x14ac:dyDescent="0.25">
      <c r="B151" s="11"/>
      <c r="C151" s="3"/>
      <c r="D151" s="3"/>
      <c r="E151" s="3"/>
      <c r="F151" s="3"/>
      <c r="G151" s="3"/>
      <c r="H151" s="3"/>
      <c r="I151" s="3"/>
      <c r="J151" s="3"/>
      <c r="K151" s="3"/>
    </row>
    <row r="152" spans="1:11" ht="18" x14ac:dyDescent="0.25">
      <c r="B152" s="11" t="s">
        <v>130</v>
      </c>
      <c r="C152" s="3"/>
      <c r="D152" s="3"/>
      <c r="E152" s="3"/>
      <c r="F152" s="3"/>
      <c r="G152" s="3"/>
      <c r="H152" s="3"/>
      <c r="I152" s="3"/>
      <c r="J152" s="3"/>
      <c r="K152" s="3"/>
    </row>
    <row r="153" spans="1:11" ht="15.75" x14ac:dyDescent="0.25">
      <c r="B153" s="1" t="s">
        <v>131</v>
      </c>
      <c r="C153" s="3"/>
      <c r="D153" s="3"/>
      <c r="E153" s="3"/>
      <c r="F153" s="3"/>
      <c r="G153" s="3"/>
      <c r="H153" s="3"/>
      <c r="I153" s="3"/>
      <c r="J153" s="3"/>
      <c r="K153" s="3"/>
    </row>
    <row r="154" spans="1:11" ht="15.75" x14ac:dyDescent="0.25">
      <c r="B154" s="1"/>
      <c r="C154" s="3"/>
      <c r="D154" s="3"/>
      <c r="E154" s="3"/>
      <c r="F154" s="3"/>
      <c r="G154" s="3"/>
      <c r="H154" s="3"/>
      <c r="I154" s="1"/>
      <c r="J154" s="3"/>
      <c r="K154" s="3"/>
    </row>
    <row r="155" spans="1:11" ht="23.25" x14ac:dyDescent="0.35">
      <c r="B155" s="1655" t="s">
        <v>399</v>
      </c>
      <c r="C155" s="1655"/>
      <c r="D155" s="1655"/>
      <c r="E155" s="1655"/>
      <c r="F155" s="1655"/>
      <c r="G155" s="1655"/>
      <c r="H155" s="1655"/>
      <c r="I155" s="1655"/>
      <c r="J155" s="1655"/>
      <c r="K155" s="1655"/>
    </row>
    <row r="156" spans="1:11" ht="23.25" x14ac:dyDescent="0.35">
      <c r="B156" s="1655" t="s">
        <v>400</v>
      </c>
      <c r="C156" s="1655"/>
      <c r="D156" s="1655"/>
      <c r="E156" s="1655"/>
      <c r="F156" s="1655"/>
      <c r="G156" s="1655"/>
      <c r="H156" s="1655"/>
      <c r="I156" s="1655"/>
      <c r="J156" s="1655"/>
      <c r="K156" s="1655"/>
    </row>
    <row r="157" spans="1:11" ht="23.25" x14ac:dyDescent="0.35">
      <c r="B157" s="1810" t="str">
        <f>$B$12</f>
        <v>WG  ST.  NA  DZIEŃ  31. XII. 2011 r.</v>
      </c>
      <c r="C157" s="1810"/>
      <c r="D157" s="1810"/>
      <c r="E157" s="1810"/>
      <c r="F157" s="1810"/>
      <c r="G157" s="1810"/>
      <c r="H157" s="1810"/>
      <c r="I157" s="1810"/>
      <c r="J157" s="1810"/>
      <c r="K157" s="1810"/>
    </row>
    <row r="158" spans="1:11" ht="24" thickBot="1" x14ac:dyDescent="0.4">
      <c r="B158" s="30"/>
      <c r="C158" s="30"/>
      <c r="D158" s="30"/>
      <c r="E158" s="30"/>
      <c r="F158" s="30"/>
      <c r="G158" s="30"/>
      <c r="H158" s="30"/>
      <c r="I158" s="30"/>
      <c r="J158" s="30"/>
      <c r="K158" s="30"/>
    </row>
    <row r="159" spans="1:11" ht="24" thickTop="1" x14ac:dyDescent="0.2">
      <c r="B159" s="31"/>
      <c r="C159" s="1677" t="s">
        <v>3</v>
      </c>
      <c r="D159" s="1678"/>
      <c r="E159" s="1679"/>
      <c r="F159" s="1946" t="s">
        <v>401</v>
      </c>
      <c r="G159" s="1946"/>
      <c r="H159" s="1946"/>
      <c r="I159" s="1946"/>
      <c r="J159" s="1946"/>
      <c r="K159" s="1947"/>
    </row>
    <row r="160" spans="1:11" ht="23.25" x14ac:dyDescent="0.2">
      <c r="B160" s="667" t="s">
        <v>402</v>
      </c>
      <c r="C160" s="34" t="s">
        <v>4</v>
      </c>
      <c r="D160" s="35" t="s">
        <v>39</v>
      </c>
      <c r="E160" s="36" t="s">
        <v>40</v>
      </c>
      <c r="F160" s="1942" t="s">
        <v>403</v>
      </c>
      <c r="G160" s="1943"/>
      <c r="H160" s="1944"/>
      <c r="I160" s="1942" t="s">
        <v>404</v>
      </c>
      <c r="J160" s="1943"/>
      <c r="K160" s="1945"/>
    </row>
    <row r="161" spans="1:11" ht="18" x14ac:dyDescent="0.2">
      <c r="B161" s="37" t="s">
        <v>405</v>
      </c>
      <c r="C161" s="34" t="s">
        <v>406</v>
      </c>
      <c r="D161" s="38" t="s">
        <v>13</v>
      </c>
      <c r="E161" s="36" t="s">
        <v>5</v>
      </c>
      <c r="F161" s="34" t="s">
        <v>0</v>
      </c>
      <c r="G161" s="35" t="s">
        <v>0</v>
      </c>
      <c r="H161" s="36" t="s">
        <v>0</v>
      </c>
      <c r="I161" s="39" t="s">
        <v>0</v>
      </c>
      <c r="J161" s="35" t="s">
        <v>0</v>
      </c>
      <c r="K161" s="40" t="s">
        <v>0</v>
      </c>
    </row>
    <row r="162" spans="1:11" ht="18" x14ac:dyDescent="0.2">
      <c r="B162" s="37"/>
      <c r="C162" s="41" t="s">
        <v>42</v>
      </c>
      <c r="D162" s="42" t="s">
        <v>43</v>
      </c>
      <c r="E162" s="43" t="s">
        <v>44</v>
      </c>
      <c r="F162" s="34" t="s">
        <v>407</v>
      </c>
      <c r="G162" s="38" t="s">
        <v>1</v>
      </c>
      <c r="H162" s="36" t="s">
        <v>45</v>
      </c>
      <c r="I162" s="44" t="s">
        <v>407</v>
      </c>
      <c r="J162" s="45" t="s">
        <v>1</v>
      </c>
      <c r="K162" s="46" t="s">
        <v>45</v>
      </c>
    </row>
    <row r="163" spans="1:11" ht="16.5" thickBot="1" x14ac:dyDescent="0.3">
      <c r="B163" s="47">
        <v>0</v>
      </c>
      <c r="C163" s="48">
        <v>1</v>
      </c>
      <c r="D163" s="49">
        <v>2</v>
      </c>
      <c r="E163" s="50">
        <v>3</v>
      </c>
      <c r="F163" s="48">
        <v>4</v>
      </c>
      <c r="G163" s="49">
        <v>5</v>
      </c>
      <c r="H163" s="50">
        <v>6</v>
      </c>
      <c r="I163" s="48">
        <v>7</v>
      </c>
      <c r="J163" s="49">
        <v>8</v>
      </c>
      <c r="K163" s="51">
        <v>9</v>
      </c>
    </row>
    <row r="164" spans="1:11" ht="27" thickTop="1" x14ac:dyDescent="0.2">
      <c r="B164" s="52" t="s">
        <v>193</v>
      </c>
      <c r="C164" s="711">
        <f>F164+I164</f>
        <v>5</v>
      </c>
      <c r="D164" s="712">
        <f>G164+J164</f>
        <v>122</v>
      </c>
      <c r="E164" s="713">
        <f>H164+K164</f>
        <v>104</v>
      </c>
      <c r="F164" s="711">
        <f t="shared" ref="F164:K164" si="13">SUM(F166:F169)</f>
        <v>0</v>
      </c>
      <c r="G164" s="765">
        <f t="shared" si="13"/>
        <v>0</v>
      </c>
      <c r="H164" s="766">
        <f t="shared" si="13"/>
        <v>0</v>
      </c>
      <c r="I164" s="711">
        <f t="shared" si="13"/>
        <v>5</v>
      </c>
      <c r="J164" s="765">
        <f t="shared" si="13"/>
        <v>122</v>
      </c>
      <c r="K164" s="767">
        <f t="shared" si="13"/>
        <v>104</v>
      </c>
    </row>
    <row r="165" spans="1:11" ht="13.5" thickBot="1" x14ac:dyDescent="0.25">
      <c r="B165" s="53" t="s">
        <v>46</v>
      </c>
      <c r="C165" s="726"/>
      <c r="D165" s="727"/>
      <c r="E165" s="728"/>
      <c r="F165" s="726"/>
      <c r="G165" s="729"/>
      <c r="H165" s="728"/>
      <c r="I165" s="726"/>
      <c r="J165" s="729"/>
      <c r="K165" s="730"/>
    </row>
    <row r="166" spans="1:11" ht="21" thickTop="1" x14ac:dyDescent="0.2">
      <c r="B166" s="56" t="s">
        <v>192</v>
      </c>
      <c r="C166" s="714">
        <f t="shared" ref="C166:E169" si="14">F166+I166</f>
        <v>5</v>
      </c>
      <c r="D166" s="715">
        <f t="shared" si="14"/>
        <v>122</v>
      </c>
      <c r="E166" s="716">
        <f t="shared" si="14"/>
        <v>104</v>
      </c>
      <c r="F166" s="1434">
        <v>0</v>
      </c>
      <c r="G166" s="1435">
        <v>0</v>
      </c>
      <c r="H166" s="1436">
        <v>0</v>
      </c>
      <c r="I166" s="1434">
        <v>5</v>
      </c>
      <c r="J166" s="1435">
        <v>122</v>
      </c>
      <c r="K166" s="1437">
        <v>104</v>
      </c>
    </row>
    <row r="167" spans="1:11" ht="20.25" x14ac:dyDescent="0.2">
      <c r="B167" s="57" t="s">
        <v>408</v>
      </c>
      <c r="C167" s="717">
        <f t="shared" si="14"/>
        <v>0</v>
      </c>
      <c r="D167" s="718">
        <f t="shared" si="14"/>
        <v>0</v>
      </c>
      <c r="E167" s="719">
        <f t="shared" si="14"/>
        <v>0</v>
      </c>
      <c r="F167" s="1438">
        <v>0</v>
      </c>
      <c r="G167" s="1439">
        <v>0</v>
      </c>
      <c r="H167" s="1440">
        <v>0</v>
      </c>
      <c r="I167" s="1438">
        <v>0</v>
      </c>
      <c r="J167" s="1439">
        <v>0</v>
      </c>
      <c r="K167" s="1441">
        <v>0</v>
      </c>
    </row>
    <row r="168" spans="1:11" ht="20.25" x14ac:dyDescent="0.2">
      <c r="B168" s="668" t="s">
        <v>409</v>
      </c>
      <c r="C168" s="720">
        <f t="shared" si="14"/>
        <v>0</v>
      </c>
      <c r="D168" s="721">
        <f t="shared" si="14"/>
        <v>0</v>
      </c>
      <c r="E168" s="722">
        <f t="shared" si="14"/>
        <v>0</v>
      </c>
      <c r="F168" s="1426">
        <v>0</v>
      </c>
      <c r="G168" s="1427">
        <v>0</v>
      </c>
      <c r="H168" s="1428">
        <v>0</v>
      </c>
      <c r="I168" s="1426">
        <v>0</v>
      </c>
      <c r="J168" s="1427">
        <v>0</v>
      </c>
      <c r="K168" s="1429">
        <v>0</v>
      </c>
    </row>
    <row r="169" spans="1:11" ht="21" thickBot="1" x14ac:dyDescent="0.25">
      <c r="B169" s="265" t="s">
        <v>410</v>
      </c>
      <c r="C169" s="723">
        <f t="shared" si="14"/>
        <v>0</v>
      </c>
      <c r="D169" s="724">
        <f t="shared" si="14"/>
        <v>0</v>
      </c>
      <c r="E169" s="725">
        <f t="shared" si="14"/>
        <v>0</v>
      </c>
      <c r="F169" s="1430">
        <v>0</v>
      </c>
      <c r="G169" s="1431">
        <v>0</v>
      </c>
      <c r="H169" s="1432">
        <v>0</v>
      </c>
      <c r="I169" s="1430">
        <v>0</v>
      </c>
      <c r="J169" s="1431">
        <v>0</v>
      </c>
      <c r="K169" s="1433">
        <v>0</v>
      </c>
    </row>
    <row r="170" spans="1:11" ht="21" thickTop="1" x14ac:dyDescent="0.2">
      <c r="B170" s="264"/>
      <c r="C170" s="186"/>
      <c r="D170" s="186"/>
      <c r="E170" s="186"/>
      <c r="F170" s="186"/>
      <c r="G170" s="186"/>
      <c r="H170" s="186"/>
      <c r="I170" s="186"/>
      <c r="J170" s="186"/>
      <c r="K170" s="186"/>
    </row>
    <row r="171" spans="1:11" ht="20.25" x14ac:dyDescent="0.3">
      <c r="B171" s="183"/>
    </row>
    <row r="172" spans="1:11" ht="15.75" x14ac:dyDescent="0.25">
      <c r="B172" s="1" t="s">
        <v>123</v>
      </c>
    </row>
    <row r="173" spans="1:11" x14ac:dyDescent="0.2">
      <c r="B173" s="3" t="s">
        <v>132</v>
      </c>
      <c r="I173" s="1654" t="s">
        <v>133</v>
      </c>
      <c r="J173" s="1654"/>
      <c r="K173" s="1654"/>
    </row>
    <row r="174" spans="1:11" ht="15.75" x14ac:dyDescent="0.25">
      <c r="B174" s="3" t="s">
        <v>411</v>
      </c>
      <c r="I174" s="1604" t="s">
        <v>126</v>
      </c>
      <c r="J174" s="1604"/>
      <c r="K174" s="1604"/>
    </row>
    <row r="176" spans="1:11" ht="23.25" x14ac:dyDescent="0.35">
      <c r="A176" s="358" t="s">
        <v>198</v>
      </c>
      <c r="B176" s="28"/>
      <c r="K176" s="10" t="s">
        <v>398</v>
      </c>
    </row>
    <row r="177" spans="2:11" ht="18" x14ac:dyDescent="0.25">
      <c r="B177" s="11"/>
      <c r="C177" s="3"/>
      <c r="D177" s="3"/>
      <c r="E177" s="3"/>
      <c r="F177" s="3"/>
      <c r="G177" s="3"/>
      <c r="H177" s="3"/>
      <c r="I177" s="11"/>
      <c r="J177" s="3"/>
    </row>
    <row r="178" spans="2:11" ht="18" x14ac:dyDescent="0.25">
      <c r="B178" s="14"/>
      <c r="C178" s="29"/>
      <c r="D178" s="3"/>
      <c r="E178" s="3"/>
      <c r="F178" s="3"/>
      <c r="G178" s="3"/>
      <c r="H178" s="3"/>
      <c r="I178" s="184"/>
      <c r="J178" s="1676" t="str">
        <f>'Tab.1. bilans_Polska'!$E$59</f>
        <v>Termin: 29 luty 2012 r.</v>
      </c>
      <c r="K178" s="1676"/>
    </row>
    <row r="179" spans="2:11" ht="18" x14ac:dyDescent="0.25">
      <c r="B179" s="11"/>
      <c r="C179" s="3"/>
      <c r="D179" s="3"/>
      <c r="E179" s="3"/>
      <c r="F179" s="3"/>
      <c r="G179" s="3"/>
      <c r="H179" s="3"/>
      <c r="I179" s="3"/>
      <c r="J179" s="3"/>
      <c r="K179" s="3"/>
    </row>
    <row r="180" spans="2:11" ht="18" x14ac:dyDescent="0.25">
      <c r="B180" s="11"/>
      <c r="C180" s="3"/>
      <c r="D180" s="3"/>
      <c r="E180" s="3"/>
      <c r="F180" s="3"/>
      <c r="G180" s="3"/>
      <c r="H180" s="3"/>
      <c r="I180" s="3"/>
      <c r="J180" s="3"/>
      <c r="K180" s="3"/>
    </row>
    <row r="181" spans="2:11" ht="18" x14ac:dyDescent="0.25">
      <c r="B181" s="11" t="s">
        <v>130</v>
      </c>
      <c r="C181" s="3"/>
      <c r="D181" s="3"/>
      <c r="E181" s="3"/>
      <c r="F181" s="3"/>
      <c r="G181" s="3"/>
      <c r="H181" s="3"/>
      <c r="I181" s="3"/>
      <c r="J181" s="3"/>
      <c r="K181" s="3"/>
    </row>
    <row r="182" spans="2:11" ht="15.75" x14ac:dyDescent="0.25">
      <c r="B182" s="1" t="s">
        <v>131</v>
      </c>
      <c r="C182" s="3"/>
      <c r="D182" s="3"/>
      <c r="E182" s="3"/>
      <c r="F182" s="3"/>
      <c r="G182" s="3"/>
      <c r="H182" s="3"/>
      <c r="I182" s="3"/>
      <c r="J182" s="3"/>
      <c r="K182" s="3"/>
    </row>
    <row r="183" spans="2:11" ht="15.75" x14ac:dyDescent="0.25">
      <c r="B183" s="1"/>
      <c r="C183" s="3"/>
      <c r="D183" s="3"/>
      <c r="E183" s="3"/>
      <c r="F183" s="3"/>
      <c r="G183" s="3"/>
      <c r="H183" s="3"/>
      <c r="I183" s="1"/>
      <c r="J183" s="3"/>
      <c r="K183" s="3"/>
    </row>
    <row r="184" spans="2:11" ht="23.25" x14ac:dyDescent="0.35">
      <c r="B184" s="1655" t="s">
        <v>399</v>
      </c>
      <c r="C184" s="1655"/>
      <c r="D184" s="1655"/>
      <c r="E184" s="1655"/>
      <c r="F184" s="1655"/>
      <c r="G184" s="1655"/>
      <c r="H184" s="1655"/>
      <c r="I184" s="1655"/>
      <c r="J184" s="1655"/>
      <c r="K184" s="1655"/>
    </row>
    <row r="185" spans="2:11" ht="23.25" x14ac:dyDescent="0.35">
      <c r="B185" s="1655" t="s">
        <v>400</v>
      </c>
      <c r="C185" s="1655"/>
      <c r="D185" s="1655"/>
      <c r="E185" s="1655"/>
      <c r="F185" s="1655"/>
      <c r="G185" s="1655"/>
      <c r="H185" s="1655"/>
      <c r="I185" s="1655"/>
      <c r="J185" s="1655"/>
      <c r="K185" s="1655"/>
    </row>
    <row r="186" spans="2:11" ht="23.25" x14ac:dyDescent="0.35">
      <c r="B186" s="1810" t="str">
        <f>$B$12</f>
        <v>WG  ST.  NA  DZIEŃ  31. XII. 2011 r.</v>
      </c>
      <c r="C186" s="1810"/>
      <c r="D186" s="1810"/>
      <c r="E186" s="1810"/>
      <c r="F186" s="1810"/>
      <c r="G186" s="1810"/>
      <c r="H186" s="1810"/>
      <c r="I186" s="1810"/>
      <c r="J186" s="1810"/>
      <c r="K186" s="1810"/>
    </row>
    <row r="187" spans="2:11" ht="24" thickBot="1" x14ac:dyDescent="0.4">
      <c r="B187" s="30"/>
      <c r="C187" s="30"/>
      <c r="D187" s="30"/>
      <c r="E187" s="30"/>
      <c r="F187" s="30"/>
      <c r="G187" s="30"/>
      <c r="H187" s="30"/>
      <c r="I187" s="30"/>
      <c r="J187" s="30"/>
      <c r="K187" s="30"/>
    </row>
    <row r="188" spans="2:11" ht="24" thickTop="1" x14ac:dyDescent="0.2">
      <c r="B188" s="31"/>
      <c r="C188" s="1677" t="s">
        <v>3</v>
      </c>
      <c r="D188" s="1678"/>
      <c r="E188" s="1679"/>
      <c r="F188" s="1946" t="s">
        <v>401</v>
      </c>
      <c r="G188" s="1946"/>
      <c r="H188" s="1946"/>
      <c r="I188" s="1946"/>
      <c r="J188" s="1946"/>
      <c r="K188" s="1947"/>
    </row>
    <row r="189" spans="2:11" ht="23.25" x14ac:dyDescent="0.2">
      <c r="B189" s="667" t="s">
        <v>402</v>
      </c>
      <c r="C189" s="34" t="s">
        <v>4</v>
      </c>
      <c r="D189" s="35" t="s">
        <v>39</v>
      </c>
      <c r="E189" s="36" t="s">
        <v>40</v>
      </c>
      <c r="F189" s="1942" t="s">
        <v>403</v>
      </c>
      <c r="G189" s="1943"/>
      <c r="H189" s="1944"/>
      <c r="I189" s="1942" t="s">
        <v>404</v>
      </c>
      <c r="J189" s="1943"/>
      <c r="K189" s="1945"/>
    </row>
    <row r="190" spans="2:11" ht="18" x14ac:dyDescent="0.2">
      <c r="B190" s="37" t="s">
        <v>405</v>
      </c>
      <c r="C190" s="34" t="s">
        <v>406</v>
      </c>
      <c r="D190" s="38" t="s">
        <v>13</v>
      </c>
      <c r="E190" s="36" t="s">
        <v>5</v>
      </c>
      <c r="F190" s="34" t="s">
        <v>0</v>
      </c>
      <c r="G190" s="35" t="s">
        <v>0</v>
      </c>
      <c r="H190" s="36" t="s">
        <v>0</v>
      </c>
      <c r="I190" s="39" t="s">
        <v>0</v>
      </c>
      <c r="J190" s="35" t="s">
        <v>0</v>
      </c>
      <c r="K190" s="40" t="s">
        <v>0</v>
      </c>
    </row>
    <row r="191" spans="2:11" ht="18" x14ac:dyDescent="0.2">
      <c r="B191" s="37"/>
      <c r="C191" s="41" t="s">
        <v>42</v>
      </c>
      <c r="D191" s="42" t="s">
        <v>43</v>
      </c>
      <c r="E191" s="43" t="s">
        <v>44</v>
      </c>
      <c r="F191" s="34" t="s">
        <v>407</v>
      </c>
      <c r="G191" s="38" t="s">
        <v>1</v>
      </c>
      <c r="H191" s="36" t="s">
        <v>45</v>
      </c>
      <c r="I191" s="44" t="s">
        <v>407</v>
      </c>
      <c r="J191" s="45" t="s">
        <v>1</v>
      </c>
      <c r="K191" s="46" t="s">
        <v>45</v>
      </c>
    </row>
    <row r="192" spans="2:11" ht="16.5" thickBot="1" x14ac:dyDescent="0.3">
      <c r="B192" s="47">
        <v>0</v>
      </c>
      <c r="C192" s="48">
        <v>1</v>
      </c>
      <c r="D192" s="49">
        <v>2</v>
      </c>
      <c r="E192" s="50">
        <v>3</v>
      </c>
      <c r="F192" s="48">
        <v>4</v>
      </c>
      <c r="G192" s="49">
        <v>5</v>
      </c>
      <c r="H192" s="50">
        <v>6</v>
      </c>
      <c r="I192" s="48">
        <v>7</v>
      </c>
      <c r="J192" s="49">
        <v>8</v>
      </c>
      <c r="K192" s="51">
        <v>9</v>
      </c>
    </row>
    <row r="193" spans="1:11" ht="27" thickTop="1" x14ac:dyDescent="0.2">
      <c r="B193" s="52" t="s">
        <v>193</v>
      </c>
      <c r="C193" s="711">
        <f>F193+I193</f>
        <v>25</v>
      </c>
      <c r="D193" s="1206">
        <f>G193+J193</f>
        <v>662</v>
      </c>
      <c r="E193" s="713">
        <f>H193+K193</f>
        <v>568</v>
      </c>
      <c r="F193" s="711">
        <f t="shared" ref="F193:K193" si="15">SUM(F195:F198)</f>
        <v>9</v>
      </c>
      <c r="G193" s="765">
        <f t="shared" si="15"/>
        <v>232</v>
      </c>
      <c r="H193" s="766">
        <f t="shared" si="15"/>
        <v>206</v>
      </c>
      <c r="I193" s="711">
        <f t="shared" si="15"/>
        <v>16</v>
      </c>
      <c r="J193" s="1205">
        <f t="shared" si="15"/>
        <v>430</v>
      </c>
      <c r="K193" s="767">
        <f t="shared" si="15"/>
        <v>362</v>
      </c>
    </row>
    <row r="194" spans="1:11" ht="13.5" thickBot="1" x14ac:dyDescent="0.25">
      <c r="B194" s="53" t="s">
        <v>46</v>
      </c>
      <c r="C194" s="726"/>
      <c r="D194" s="727"/>
      <c r="E194" s="728"/>
      <c r="F194" s="726"/>
      <c r="G194" s="729"/>
      <c r="H194" s="728"/>
      <c r="I194" s="726"/>
      <c r="J194" s="729"/>
      <c r="K194" s="730"/>
    </row>
    <row r="195" spans="1:11" ht="21" thickTop="1" x14ac:dyDescent="0.2">
      <c r="B195" s="56" t="s">
        <v>192</v>
      </c>
      <c r="C195" s="714">
        <f t="shared" ref="C195:E198" si="16">F195+I195</f>
        <v>21</v>
      </c>
      <c r="D195" s="1207">
        <f t="shared" si="16"/>
        <v>557</v>
      </c>
      <c r="E195" s="716">
        <f t="shared" si="16"/>
        <v>491</v>
      </c>
      <c r="F195" s="1403">
        <v>7</v>
      </c>
      <c r="G195" s="1404">
        <v>185</v>
      </c>
      <c r="H195" s="1405">
        <v>172</v>
      </c>
      <c r="I195" s="1403">
        <v>14</v>
      </c>
      <c r="J195" s="1404">
        <v>372</v>
      </c>
      <c r="K195" s="1406">
        <v>319</v>
      </c>
    </row>
    <row r="196" spans="1:11" ht="20.25" x14ac:dyDescent="0.2">
      <c r="B196" s="57" t="s">
        <v>408</v>
      </c>
      <c r="C196" s="717">
        <f t="shared" si="16"/>
        <v>4</v>
      </c>
      <c r="D196" s="718">
        <f t="shared" si="16"/>
        <v>105</v>
      </c>
      <c r="E196" s="719">
        <f t="shared" si="16"/>
        <v>77</v>
      </c>
      <c r="F196" s="1407">
        <v>2</v>
      </c>
      <c r="G196" s="1408">
        <v>47</v>
      </c>
      <c r="H196" s="1409">
        <v>34</v>
      </c>
      <c r="I196" s="1407">
        <v>2</v>
      </c>
      <c r="J196" s="1408">
        <v>58</v>
      </c>
      <c r="K196" s="1410">
        <v>43</v>
      </c>
    </row>
    <row r="197" spans="1:11" ht="20.25" x14ac:dyDescent="0.2">
      <c r="B197" s="668" t="s">
        <v>409</v>
      </c>
      <c r="C197" s="1204">
        <f t="shared" si="16"/>
        <v>0</v>
      </c>
      <c r="D197" s="721">
        <f t="shared" si="16"/>
        <v>0</v>
      </c>
      <c r="E197" s="722">
        <f t="shared" si="16"/>
        <v>0</v>
      </c>
      <c r="F197" s="1442">
        <v>0</v>
      </c>
      <c r="G197" s="1412">
        <v>0</v>
      </c>
      <c r="H197" s="1413">
        <v>0</v>
      </c>
      <c r="I197" s="1442">
        <v>0</v>
      </c>
      <c r="J197" s="1412">
        <v>0</v>
      </c>
      <c r="K197" s="1414">
        <v>0</v>
      </c>
    </row>
    <row r="198" spans="1:11" ht="21" thickBot="1" x14ac:dyDescent="0.25">
      <c r="B198" s="265" t="s">
        <v>410</v>
      </c>
      <c r="C198" s="723">
        <f t="shared" si="16"/>
        <v>0</v>
      </c>
      <c r="D198" s="724">
        <f t="shared" si="16"/>
        <v>0</v>
      </c>
      <c r="E198" s="725">
        <f t="shared" si="16"/>
        <v>0</v>
      </c>
      <c r="F198" s="1415">
        <v>0</v>
      </c>
      <c r="G198" s="1416">
        <v>0</v>
      </c>
      <c r="H198" s="1417">
        <v>0</v>
      </c>
      <c r="I198" s="1415">
        <v>0</v>
      </c>
      <c r="J198" s="1416">
        <v>0</v>
      </c>
      <c r="K198" s="1418">
        <v>0</v>
      </c>
    </row>
    <row r="199" spans="1:11" ht="21" thickTop="1" x14ac:dyDescent="0.2">
      <c r="B199" s="264"/>
      <c r="C199" s="186"/>
      <c r="D199" s="186"/>
      <c r="E199" s="186"/>
      <c r="F199" s="186"/>
      <c r="G199" s="186"/>
      <c r="H199" s="186"/>
      <c r="I199" s="186"/>
      <c r="J199" s="186"/>
      <c r="K199" s="186"/>
    </row>
    <row r="200" spans="1:11" ht="20.25" x14ac:dyDescent="0.3">
      <c r="B200" s="183"/>
    </row>
    <row r="201" spans="1:11" ht="15.75" x14ac:dyDescent="0.25">
      <c r="B201" s="1" t="s">
        <v>123</v>
      </c>
    </row>
    <row r="202" spans="1:11" x14ac:dyDescent="0.2">
      <c r="B202" s="3" t="s">
        <v>132</v>
      </c>
      <c r="I202" s="1654" t="s">
        <v>133</v>
      </c>
      <c r="J202" s="1654"/>
      <c r="K202" s="1654"/>
    </row>
    <row r="203" spans="1:11" ht="15.75" x14ac:dyDescent="0.25">
      <c r="B203" s="3" t="s">
        <v>411</v>
      </c>
      <c r="I203" s="1604" t="s">
        <v>126</v>
      </c>
      <c r="J203" s="1604"/>
      <c r="K203" s="1604"/>
    </row>
    <row r="205" spans="1:11" ht="23.25" x14ac:dyDescent="0.35">
      <c r="A205" s="358" t="s">
        <v>199</v>
      </c>
      <c r="B205" s="28"/>
      <c r="K205" s="10" t="s">
        <v>398</v>
      </c>
    </row>
    <row r="206" spans="1:11" ht="18" x14ac:dyDescent="0.25">
      <c r="B206" s="11"/>
      <c r="C206" s="3"/>
      <c r="D206" s="3"/>
      <c r="E206" s="3"/>
      <c r="F206" s="3"/>
      <c r="G206" s="3"/>
      <c r="H206" s="3"/>
      <c r="I206" s="11"/>
      <c r="J206" s="3"/>
    </row>
    <row r="207" spans="1:11" ht="18" x14ac:dyDescent="0.25">
      <c r="B207" s="14"/>
      <c r="C207" s="29"/>
      <c r="D207" s="3"/>
      <c r="E207" s="3"/>
      <c r="F207" s="3"/>
      <c r="G207" s="3"/>
      <c r="H207" s="3"/>
      <c r="I207" s="184"/>
      <c r="J207" s="1676" t="str">
        <f>'Tab.1. bilans_Polska'!$E$59</f>
        <v>Termin: 29 luty 2012 r.</v>
      </c>
      <c r="K207" s="1676"/>
    </row>
    <row r="208" spans="1:11" ht="18" x14ac:dyDescent="0.25">
      <c r="B208" s="11"/>
      <c r="C208" s="3"/>
      <c r="D208" s="3"/>
      <c r="E208" s="3"/>
      <c r="F208" s="3"/>
      <c r="G208" s="3"/>
      <c r="H208" s="3"/>
      <c r="I208" s="3"/>
      <c r="J208" s="3"/>
      <c r="K208" s="3"/>
    </row>
    <row r="209" spans="2:11" ht="18" x14ac:dyDescent="0.25">
      <c r="B209" s="11"/>
      <c r="C209" s="3"/>
      <c r="D209" s="3"/>
      <c r="E209" s="3"/>
      <c r="F209" s="3"/>
      <c r="G209" s="3"/>
      <c r="H209" s="3"/>
      <c r="I209" s="3"/>
      <c r="J209" s="3"/>
      <c r="K209" s="3"/>
    </row>
    <row r="210" spans="2:11" ht="18" x14ac:dyDescent="0.25">
      <c r="B210" s="11" t="s">
        <v>130</v>
      </c>
      <c r="C210" s="3"/>
      <c r="D210" s="3"/>
      <c r="E210" s="3"/>
      <c r="F210" s="3"/>
      <c r="G210" s="3"/>
      <c r="H210" s="3"/>
      <c r="I210" s="3"/>
      <c r="J210" s="3"/>
      <c r="K210" s="3"/>
    </row>
    <row r="211" spans="2:11" ht="15.75" x14ac:dyDescent="0.25">
      <c r="B211" s="1" t="s">
        <v>131</v>
      </c>
      <c r="C211" s="3"/>
      <c r="D211" s="3"/>
      <c r="E211" s="3"/>
      <c r="F211" s="3"/>
      <c r="G211" s="3"/>
      <c r="H211" s="3"/>
      <c r="I211" s="3"/>
      <c r="J211" s="3"/>
      <c r="K211" s="3"/>
    </row>
    <row r="212" spans="2:11" ht="15.75" x14ac:dyDescent="0.25">
      <c r="B212" s="1"/>
      <c r="C212" s="3"/>
      <c r="D212" s="3"/>
      <c r="E212" s="3"/>
      <c r="F212" s="3"/>
      <c r="G212" s="3"/>
      <c r="H212" s="3"/>
      <c r="I212" s="1"/>
      <c r="J212" s="3"/>
      <c r="K212" s="3"/>
    </row>
    <row r="213" spans="2:11" ht="23.25" x14ac:dyDescent="0.35">
      <c r="B213" s="1655" t="s">
        <v>399</v>
      </c>
      <c r="C213" s="1655"/>
      <c r="D213" s="1655"/>
      <c r="E213" s="1655"/>
      <c r="F213" s="1655"/>
      <c r="G213" s="1655"/>
      <c r="H213" s="1655"/>
      <c r="I213" s="1655"/>
      <c r="J213" s="1655"/>
      <c r="K213" s="1655"/>
    </row>
    <row r="214" spans="2:11" ht="23.25" x14ac:dyDescent="0.35">
      <c r="B214" s="1655" t="s">
        <v>400</v>
      </c>
      <c r="C214" s="1655"/>
      <c r="D214" s="1655"/>
      <c r="E214" s="1655"/>
      <c r="F214" s="1655"/>
      <c r="G214" s="1655"/>
      <c r="H214" s="1655"/>
      <c r="I214" s="1655"/>
      <c r="J214" s="1655"/>
      <c r="K214" s="1655"/>
    </row>
    <row r="215" spans="2:11" ht="23.25" x14ac:dyDescent="0.35">
      <c r="B215" s="1810" t="str">
        <f>$B$12</f>
        <v>WG  ST.  NA  DZIEŃ  31. XII. 2011 r.</v>
      </c>
      <c r="C215" s="1810"/>
      <c r="D215" s="1810"/>
      <c r="E215" s="1810"/>
      <c r="F215" s="1810"/>
      <c r="G215" s="1810"/>
      <c r="H215" s="1810"/>
      <c r="I215" s="1810"/>
      <c r="J215" s="1810"/>
      <c r="K215" s="1810"/>
    </row>
    <row r="216" spans="2:11" ht="24" thickBot="1" x14ac:dyDescent="0.4">
      <c r="B216" s="30"/>
      <c r="C216" s="30"/>
      <c r="D216" s="30"/>
      <c r="E216" s="30"/>
      <c r="F216" s="30"/>
      <c r="G216" s="30"/>
      <c r="H216" s="30"/>
      <c r="I216" s="30"/>
      <c r="J216" s="30"/>
      <c r="K216" s="30"/>
    </row>
    <row r="217" spans="2:11" ht="24" thickTop="1" x14ac:dyDescent="0.2">
      <c r="B217" s="31"/>
      <c r="C217" s="1677" t="s">
        <v>3</v>
      </c>
      <c r="D217" s="1678"/>
      <c r="E217" s="1679"/>
      <c r="F217" s="1946" t="s">
        <v>401</v>
      </c>
      <c r="G217" s="1946"/>
      <c r="H217" s="1946"/>
      <c r="I217" s="1946"/>
      <c r="J217" s="1946"/>
      <c r="K217" s="1947"/>
    </row>
    <row r="218" spans="2:11" ht="23.25" x14ac:dyDescent="0.2">
      <c r="B218" s="667" t="s">
        <v>402</v>
      </c>
      <c r="C218" s="34" t="s">
        <v>4</v>
      </c>
      <c r="D218" s="35" t="s">
        <v>39</v>
      </c>
      <c r="E218" s="36" t="s">
        <v>40</v>
      </c>
      <c r="F218" s="1942" t="s">
        <v>403</v>
      </c>
      <c r="G218" s="1943"/>
      <c r="H218" s="1944"/>
      <c r="I218" s="1942" t="s">
        <v>404</v>
      </c>
      <c r="J218" s="1943"/>
      <c r="K218" s="1945"/>
    </row>
    <row r="219" spans="2:11" ht="18" x14ac:dyDescent="0.2">
      <c r="B219" s="37" t="s">
        <v>405</v>
      </c>
      <c r="C219" s="34" t="s">
        <v>406</v>
      </c>
      <c r="D219" s="38" t="s">
        <v>13</v>
      </c>
      <c r="E219" s="36" t="s">
        <v>5</v>
      </c>
      <c r="F219" s="34" t="s">
        <v>0</v>
      </c>
      <c r="G219" s="35" t="s">
        <v>0</v>
      </c>
      <c r="H219" s="36" t="s">
        <v>0</v>
      </c>
      <c r="I219" s="39" t="s">
        <v>0</v>
      </c>
      <c r="J219" s="35" t="s">
        <v>0</v>
      </c>
      <c r="K219" s="40" t="s">
        <v>0</v>
      </c>
    </row>
    <row r="220" spans="2:11" ht="18" x14ac:dyDescent="0.2">
      <c r="B220" s="37"/>
      <c r="C220" s="41" t="s">
        <v>42</v>
      </c>
      <c r="D220" s="42" t="s">
        <v>43</v>
      </c>
      <c r="E220" s="43" t="s">
        <v>44</v>
      </c>
      <c r="F220" s="34" t="s">
        <v>407</v>
      </c>
      <c r="G220" s="38" t="s">
        <v>1</v>
      </c>
      <c r="H220" s="36" t="s">
        <v>45</v>
      </c>
      <c r="I220" s="44" t="s">
        <v>407</v>
      </c>
      <c r="J220" s="45" t="s">
        <v>1</v>
      </c>
      <c r="K220" s="46" t="s">
        <v>45</v>
      </c>
    </row>
    <row r="221" spans="2:11" ht="16.5" thickBot="1" x14ac:dyDescent="0.3">
      <c r="B221" s="47">
        <v>0</v>
      </c>
      <c r="C221" s="48">
        <v>1</v>
      </c>
      <c r="D221" s="49">
        <v>2</v>
      </c>
      <c r="E221" s="50">
        <v>3</v>
      </c>
      <c r="F221" s="48">
        <v>4</v>
      </c>
      <c r="G221" s="49">
        <v>5</v>
      </c>
      <c r="H221" s="50">
        <v>6</v>
      </c>
      <c r="I221" s="48">
        <v>7</v>
      </c>
      <c r="J221" s="49">
        <v>8</v>
      </c>
      <c r="K221" s="51">
        <v>9</v>
      </c>
    </row>
    <row r="222" spans="2:11" ht="27" thickTop="1" x14ac:dyDescent="0.2">
      <c r="B222" s="52" t="s">
        <v>193</v>
      </c>
      <c r="C222" s="711">
        <f>F222+I222</f>
        <v>43</v>
      </c>
      <c r="D222" s="712">
        <f>G222+J222</f>
        <v>1535</v>
      </c>
      <c r="E222" s="713">
        <f>H222+K222</f>
        <v>1294</v>
      </c>
      <c r="F222" s="711">
        <f t="shared" ref="F222:K222" si="17">SUM(F224:F227)</f>
        <v>9</v>
      </c>
      <c r="G222" s="765">
        <f t="shared" si="17"/>
        <v>554</v>
      </c>
      <c r="H222" s="766">
        <f t="shared" si="17"/>
        <v>487</v>
      </c>
      <c r="I222" s="711">
        <f t="shared" si="17"/>
        <v>34</v>
      </c>
      <c r="J222" s="765">
        <f t="shared" si="17"/>
        <v>981</v>
      </c>
      <c r="K222" s="767">
        <f t="shared" si="17"/>
        <v>807</v>
      </c>
    </row>
    <row r="223" spans="2:11" ht="13.5" thickBot="1" x14ac:dyDescent="0.25">
      <c r="B223" s="53" t="s">
        <v>46</v>
      </c>
      <c r="C223" s="726"/>
      <c r="D223" s="727"/>
      <c r="E223" s="728"/>
      <c r="F223" s="726"/>
      <c r="G223" s="729"/>
      <c r="H223" s="728"/>
      <c r="I223" s="726"/>
      <c r="J223" s="729"/>
      <c r="K223" s="730"/>
    </row>
    <row r="224" spans="2:11" ht="21" thickTop="1" x14ac:dyDescent="0.2">
      <c r="B224" s="56" t="s">
        <v>192</v>
      </c>
      <c r="C224" s="714">
        <f t="shared" ref="C224:E227" si="18">F224+I224</f>
        <v>20</v>
      </c>
      <c r="D224" s="715">
        <f t="shared" si="18"/>
        <v>511</v>
      </c>
      <c r="E224" s="716">
        <f t="shared" si="18"/>
        <v>472</v>
      </c>
      <c r="F224" s="1403">
        <v>3</v>
      </c>
      <c r="G224" s="1404">
        <v>88</v>
      </c>
      <c r="H224" s="1405">
        <v>88</v>
      </c>
      <c r="I224" s="1403">
        <v>17</v>
      </c>
      <c r="J224" s="1404">
        <v>423</v>
      </c>
      <c r="K224" s="1406">
        <v>384</v>
      </c>
    </row>
    <row r="225" spans="1:11" ht="20.25" x14ac:dyDescent="0.2">
      <c r="B225" s="57" t="s">
        <v>408</v>
      </c>
      <c r="C225" s="717">
        <f t="shared" si="18"/>
        <v>1</v>
      </c>
      <c r="D225" s="718">
        <f t="shared" si="18"/>
        <v>94</v>
      </c>
      <c r="E225" s="719">
        <f t="shared" si="18"/>
        <v>90</v>
      </c>
      <c r="F225" s="1407">
        <v>1</v>
      </c>
      <c r="G225" s="1408">
        <v>94</v>
      </c>
      <c r="H225" s="1409">
        <v>90</v>
      </c>
      <c r="I225" s="1407">
        <v>0</v>
      </c>
      <c r="J225" s="1408">
        <v>0</v>
      </c>
      <c r="K225" s="1410">
        <v>0</v>
      </c>
    </row>
    <row r="226" spans="1:11" ht="20.25" x14ac:dyDescent="0.2">
      <c r="B226" s="668" t="s">
        <v>409</v>
      </c>
      <c r="C226" s="720">
        <f t="shared" si="18"/>
        <v>0</v>
      </c>
      <c r="D226" s="721">
        <f t="shared" si="18"/>
        <v>0</v>
      </c>
      <c r="E226" s="722">
        <f t="shared" si="18"/>
        <v>0</v>
      </c>
      <c r="F226" s="1411">
        <v>0</v>
      </c>
      <c r="G226" s="1412">
        <v>0</v>
      </c>
      <c r="H226" s="1413">
        <v>0</v>
      </c>
      <c r="I226" s="1411">
        <v>0</v>
      </c>
      <c r="J226" s="1412">
        <v>0</v>
      </c>
      <c r="K226" s="1414">
        <v>0</v>
      </c>
    </row>
    <row r="227" spans="1:11" ht="21" thickBot="1" x14ac:dyDescent="0.25">
      <c r="B227" s="265" t="s">
        <v>410</v>
      </c>
      <c r="C227" s="723">
        <f t="shared" si="18"/>
        <v>22</v>
      </c>
      <c r="D227" s="724">
        <f t="shared" si="18"/>
        <v>930</v>
      </c>
      <c r="E227" s="725">
        <f t="shared" si="18"/>
        <v>732</v>
      </c>
      <c r="F227" s="1415">
        <v>5</v>
      </c>
      <c r="G227" s="1416">
        <v>372</v>
      </c>
      <c r="H227" s="1417">
        <v>309</v>
      </c>
      <c r="I227" s="1415">
        <v>17</v>
      </c>
      <c r="J227" s="1416">
        <v>558</v>
      </c>
      <c r="K227" s="1418">
        <v>423</v>
      </c>
    </row>
    <row r="228" spans="1:11" ht="21" thickTop="1" x14ac:dyDescent="0.2">
      <c r="B228" s="264"/>
      <c r="C228" s="186"/>
      <c r="D228" s="186"/>
      <c r="E228" s="186"/>
      <c r="F228" s="186"/>
      <c r="G228" s="186"/>
      <c r="H228" s="186"/>
      <c r="I228" s="186"/>
      <c r="J228" s="186"/>
      <c r="K228" s="186"/>
    </row>
    <row r="229" spans="1:11" ht="20.25" x14ac:dyDescent="0.3">
      <c r="B229" s="183"/>
    </row>
    <row r="230" spans="1:11" ht="15.75" x14ac:dyDescent="0.25">
      <c r="B230" s="1" t="s">
        <v>123</v>
      </c>
    </row>
    <row r="231" spans="1:11" x14ac:dyDescent="0.2">
      <c r="B231" s="3" t="s">
        <v>132</v>
      </c>
      <c r="I231" s="1654" t="s">
        <v>133</v>
      </c>
      <c r="J231" s="1654"/>
      <c r="K231" s="1654"/>
    </row>
    <row r="232" spans="1:11" ht="15.75" x14ac:dyDescent="0.25">
      <c r="B232" s="3" t="s">
        <v>411</v>
      </c>
      <c r="I232" s="1604" t="s">
        <v>126</v>
      </c>
      <c r="J232" s="1604"/>
      <c r="K232" s="1604"/>
    </row>
    <row r="234" spans="1:11" ht="23.25" x14ac:dyDescent="0.35">
      <c r="A234" s="358" t="s">
        <v>200</v>
      </c>
      <c r="B234" s="28"/>
      <c r="K234" s="10" t="s">
        <v>398</v>
      </c>
    </row>
    <row r="235" spans="1:11" ht="18" x14ac:dyDescent="0.25">
      <c r="B235" s="11"/>
      <c r="C235" s="3"/>
      <c r="D235" s="3"/>
      <c r="E235" s="3"/>
      <c r="F235" s="3"/>
      <c r="G235" s="3"/>
      <c r="H235" s="3"/>
      <c r="I235" s="11"/>
      <c r="J235" s="3"/>
    </row>
    <row r="236" spans="1:11" ht="18" x14ac:dyDescent="0.25">
      <c r="B236" s="14"/>
      <c r="C236" s="29"/>
      <c r="D236" s="3"/>
      <c r="E236" s="3"/>
      <c r="F236" s="3"/>
      <c r="G236" s="3"/>
      <c r="H236" s="3"/>
      <c r="I236" s="184"/>
      <c r="J236" s="1676" t="str">
        <f>'Tab.1. bilans_Polska'!$E$59</f>
        <v>Termin: 29 luty 2012 r.</v>
      </c>
      <c r="K236" s="1676"/>
    </row>
    <row r="237" spans="1:11" ht="18" x14ac:dyDescent="0.25">
      <c r="B237" s="11"/>
      <c r="C237" s="3"/>
      <c r="D237" s="3"/>
      <c r="E237" s="3"/>
      <c r="F237" s="3"/>
      <c r="G237" s="3"/>
      <c r="H237" s="3"/>
      <c r="I237" s="3"/>
      <c r="J237" s="3"/>
      <c r="K237" s="3"/>
    </row>
    <row r="238" spans="1:11" ht="18" x14ac:dyDescent="0.25">
      <c r="B238" s="11"/>
      <c r="C238" s="3"/>
      <c r="D238" s="3"/>
      <c r="E238" s="3"/>
      <c r="F238" s="3"/>
      <c r="G238" s="3"/>
      <c r="H238" s="3"/>
      <c r="I238" s="3"/>
      <c r="J238" s="3"/>
      <c r="K238" s="3"/>
    </row>
    <row r="239" spans="1:11" ht="18" x14ac:dyDescent="0.25">
      <c r="B239" s="11" t="s">
        <v>130</v>
      </c>
      <c r="C239" s="3"/>
      <c r="D239" s="3"/>
      <c r="E239" s="3"/>
      <c r="F239" s="3"/>
      <c r="G239" s="3"/>
      <c r="H239" s="3"/>
      <c r="I239" s="3"/>
      <c r="J239" s="3"/>
      <c r="K239" s="3"/>
    </row>
    <row r="240" spans="1:11" ht="15.75" x14ac:dyDescent="0.25">
      <c r="B240" s="1" t="s">
        <v>131</v>
      </c>
      <c r="C240" s="3"/>
      <c r="D240" s="3"/>
      <c r="E240" s="3"/>
      <c r="F240" s="3"/>
      <c r="G240" s="3"/>
      <c r="H240" s="3"/>
      <c r="I240" s="3"/>
      <c r="J240" s="3"/>
      <c r="K240" s="3"/>
    </row>
    <row r="241" spans="2:11" ht="15.75" x14ac:dyDescent="0.25">
      <c r="B241" s="1"/>
      <c r="C241" s="3"/>
      <c r="D241" s="3"/>
      <c r="E241" s="3"/>
      <c r="F241" s="3"/>
      <c r="G241" s="3"/>
      <c r="H241" s="3"/>
      <c r="I241" s="1"/>
      <c r="J241" s="3"/>
      <c r="K241" s="3"/>
    </row>
    <row r="242" spans="2:11" ht="23.25" x14ac:dyDescent="0.35">
      <c r="B242" s="1655" t="s">
        <v>399</v>
      </c>
      <c r="C242" s="1655"/>
      <c r="D242" s="1655"/>
      <c r="E242" s="1655"/>
      <c r="F242" s="1655"/>
      <c r="G242" s="1655"/>
      <c r="H242" s="1655"/>
      <c r="I242" s="1655"/>
      <c r="J242" s="1655"/>
      <c r="K242" s="1655"/>
    </row>
    <row r="243" spans="2:11" ht="23.25" x14ac:dyDescent="0.35">
      <c r="B243" s="1655" t="s">
        <v>400</v>
      </c>
      <c r="C243" s="1655"/>
      <c r="D243" s="1655"/>
      <c r="E243" s="1655"/>
      <c r="F243" s="1655"/>
      <c r="G243" s="1655"/>
      <c r="H243" s="1655"/>
      <c r="I243" s="1655"/>
      <c r="J243" s="1655"/>
      <c r="K243" s="1655"/>
    </row>
    <row r="244" spans="2:11" ht="23.25" x14ac:dyDescent="0.35">
      <c r="B244" s="1810" t="str">
        <f>$B$12</f>
        <v>WG  ST.  NA  DZIEŃ  31. XII. 2011 r.</v>
      </c>
      <c r="C244" s="1810"/>
      <c r="D244" s="1810"/>
      <c r="E244" s="1810"/>
      <c r="F244" s="1810"/>
      <c r="G244" s="1810"/>
      <c r="H244" s="1810"/>
      <c r="I244" s="1810"/>
      <c r="J244" s="1810"/>
      <c r="K244" s="1810"/>
    </row>
    <row r="245" spans="2:11" ht="24" thickBot="1" x14ac:dyDescent="0.4">
      <c r="B245" s="30"/>
      <c r="C245" s="30"/>
      <c r="D245" s="30"/>
      <c r="E245" s="30"/>
      <c r="F245" s="30"/>
      <c r="G245" s="30"/>
      <c r="H245" s="30"/>
      <c r="I245" s="30"/>
      <c r="J245" s="30"/>
      <c r="K245" s="30"/>
    </row>
    <row r="246" spans="2:11" ht="24" thickTop="1" x14ac:dyDescent="0.2">
      <c r="B246" s="31"/>
      <c r="C246" s="1677" t="s">
        <v>3</v>
      </c>
      <c r="D246" s="1678"/>
      <c r="E246" s="1679"/>
      <c r="F246" s="1946" t="s">
        <v>401</v>
      </c>
      <c r="G246" s="1946"/>
      <c r="H246" s="1946"/>
      <c r="I246" s="1946"/>
      <c r="J246" s="1946"/>
      <c r="K246" s="1947"/>
    </row>
    <row r="247" spans="2:11" ht="23.25" x14ac:dyDescent="0.2">
      <c r="B247" s="667" t="s">
        <v>402</v>
      </c>
      <c r="C247" s="34" t="s">
        <v>4</v>
      </c>
      <c r="D247" s="35" t="s">
        <v>39</v>
      </c>
      <c r="E247" s="36" t="s">
        <v>40</v>
      </c>
      <c r="F247" s="1942" t="s">
        <v>403</v>
      </c>
      <c r="G247" s="1943"/>
      <c r="H247" s="1944"/>
      <c r="I247" s="1942" t="s">
        <v>404</v>
      </c>
      <c r="J247" s="1943"/>
      <c r="K247" s="1945"/>
    </row>
    <row r="248" spans="2:11" ht="18" x14ac:dyDescent="0.2">
      <c r="B248" s="37" t="s">
        <v>405</v>
      </c>
      <c r="C248" s="34" t="s">
        <v>406</v>
      </c>
      <c r="D248" s="38" t="s">
        <v>13</v>
      </c>
      <c r="E248" s="36" t="s">
        <v>5</v>
      </c>
      <c r="F248" s="34" t="s">
        <v>0</v>
      </c>
      <c r="G248" s="35" t="s">
        <v>0</v>
      </c>
      <c r="H248" s="36" t="s">
        <v>0</v>
      </c>
      <c r="I248" s="39" t="s">
        <v>0</v>
      </c>
      <c r="J248" s="35" t="s">
        <v>0</v>
      </c>
      <c r="K248" s="40" t="s">
        <v>0</v>
      </c>
    </row>
    <row r="249" spans="2:11" ht="18" x14ac:dyDescent="0.2">
      <c r="B249" s="37"/>
      <c r="C249" s="41" t="s">
        <v>42</v>
      </c>
      <c r="D249" s="42" t="s">
        <v>43</v>
      </c>
      <c r="E249" s="43" t="s">
        <v>44</v>
      </c>
      <c r="F249" s="34" t="s">
        <v>407</v>
      </c>
      <c r="G249" s="38" t="s">
        <v>1</v>
      </c>
      <c r="H249" s="36" t="s">
        <v>45</v>
      </c>
      <c r="I249" s="44" t="s">
        <v>407</v>
      </c>
      <c r="J249" s="45" t="s">
        <v>1</v>
      </c>
      <c r="K249" s="46" t="s">
        <v>45</v>
      </c>
    </row>
    <row r="250" spans="2:11" ht="16.5" thickBot="1" x14ac:dyDescent="0.3">
      <c r="B250" s="47">
        <v>0</v>
      </c>
      <c r="C250" s="48">
        <v>1</v>
      </c>
      <c r="D250" s="49">
        <v>2</v>
      </c>
      <c r="E250" s="50">
        <v>3</v>
      </c>
      <c r="F250" s="48">
        <v>4</v>
      </c>
      <c r="G250" s="49">
        <v>5</v>
      </c>
      <c r="H250" s="50">
        <v>6</v>
      </c>
      <c r="I250" s="48">
        <v>7</v>
      </c>
      <c r="J250" s="49">
        <v>8</v>
      </c>
      <c r="K250" s="51">
        <v>9</v>
      </c>
    </row>
    <row r="251" spans="2:11" ht="27" thickTop="1" x14ac:dyDescent="0.2">
      <c r="B251" s="52" t="s">
        <v>193</v>
      </c>
      <c r="C251" s="711">
        <f>F251+I251</f>
        <v>4</v>
      </c>
      <c r="D251" s="712">
        <f>G251+J251</f>
        <v>113</v>
      </c>
      <c r="E251" s="713">
        <f>H251+K251</f>
        <v>103</v>
      </c>
      <c r="F251" s="711">
        <f t="shared" ref="F251:K251" si="19">SUM(F253:F256)</f>
        <v>4</v>
      </c>
      <c r="G251" s="765">
        <f t="shared" si="19"/>
        <v>113</v>
      </c>
      <c r="H251" s="766">
        <f t="shared" si="19"/>
        <v>103</v>
      </c>
      <c r="I251" s="711">
        <f t="shared" si="19"/>
        <v>0</v>
      </c>
      <c r="J251" s="765">
        <f t="shared" si="19"/>
        <v>0</v>
      </c>
      <c r="K251" s="767">
        <f t="shared" si="19"/>
        <v>0</v>
      </c>
    </row>
    <row r="252" spans="2:11" ht="13.5" thickBot="1" x14ac:dyDescent="0.25">
      <c r="B252" s="53" t="s">
        <v>46</v>
      </c>
      <c r="C252" s="726"/>
      <c r="D252" s="727"/>
      <c r="E252" s="728"/>
      <c r="F252" s="726"/>
      <c r="G252" s="729"/>
      <c r="H252" s="728"/>
      <c r="I252" s="726"/>
      <c r="J252" s="729"/>
      <c r="K252" s="730"/>
    </row>
    <row r="253" spans="2:11" ht="21" thickTop="1" x14ac:dyDescent="0.2">
      <c r="B253" s="56" t="s">
        <v>192</v>
      </c>
      <c r="C253" s="714">
        <f t="shared" ref="C253:E256" si="20">F253+I253</f>
        <v>2</v>
      </c>
      <c r="D253" s="715">
        <f t="shared" si="20"/>
        <v>33</v>
      </c>
      <c r="E253" s="716">
        <f t="shared" si="20"/>
        <v>31</v>
      </c>
      <c r="F253" s="1403">
        <v>2</v>
      </c>
      <c r="G253" s="1404">
        <v>33</v>
      </c>
      <c r="H253" s="1405">
        <v>31</v>
      </c>
      <c r="I253" s="1403">
        <v>0</v>
      </c>
      <c r="J253" s="1404">
        <v>0</v>
      </c>
      <c r="K253" s="1406">
        <v>0</v>
      </c>
    </row>
    <row r="254" spans="2:11" ht="20.25" x14ac:dyDescent="0.2">
      <c r="B254" s="57" t="s">
        <v>408</v>
      </c>
      <c r="C254" s="717">
        <f t="shared" si="20"/>
        <v>2</v>
      </c>
      <c r="D254" s="718">
        <f t="shared" si="20"/>
        <v>80</v>
      </c>
      <c r="E254" s="719">
        <f t="shared" si="20"/>
        <v>72</v>
      </c>
      <c r="F254" s="1407">
        <v>2</v>
      </c>
      <c r="G254" s="1408">
        <v>80</v>
      </c>
      <c r="H254" s="1409">
        <v>72</v>
      </c>
      <c r="I254" s="1407">
        <v>0</v>
      </c>
      <c r="J254" s="1408">
        <v>0</v>
      </c>
      <c r="K254" s="1410">
        <v>0</v>
      </c>
    </row>
    <row r="255" spans="2:11" ht="20.25" x14ac:dyDescent="0.2">
      <c r="B255" s="668" t="s">
        <v>409</v>
      </c>
      <c r="C255" s="1204">
        <f t="shared" si="20"/>
        <v>0</v>
      </c>
      <c r="D255" s="721">
        <f t="shared" si="20"/>
        <v>0</v>
      </c>
      <c r="E255" s="722">
        <f t="shared" si="20"/>
        <v>0</v>
      </c>
      <c r="F255" s="1411">
        <v>0</v>
      </c>
      <c r="G255" s="1412">
        <v>0</v>
      </c>
      <c r="H255" s="1413">
        <v>0</v>
      </c>
      <c r="I255" s="1411">
        <v>0</v>
      </c>
      <c r="J255" s="1412">
        <v>0</v>
      </c>
      <c r="K255" s="1414">
        <v>0</v>
      </c>
    </row>
    <row r="256" spans="2:11" ht="21" thickBot="1" x14ac:dyDescent="0.25">
      <c r="B256" s="265" t="s">
        <v>410</v>
      </c>
      <c r="C256" s="723">
        <f t="shared" si="20"/>
        <v>0</v>
      </c>
      <c r="D256" s="724">
        <f t="shared" si="20"/>
        <v>0</v>
      </c>
      <c r="E256" s="725">
        <f t="shared" si="20"/>
        <v>0</v>
      </c>
      <c r="F256" s="1415">
        <v>0</v>
      </c>
      <c r="G256" s="1416">
        <v>0</v>
      </c>
      <c r="H256" s="1417">
        <v>0</v>
      </c>
      <c r="I256" s="1415">
        <v>0</v>
      </c>
      <c r="J256" s="1416">
        <v>0</v>
      </c>
      <c r="K256" s="1418">
        <v>0</v>
      </c>
    </row>
    <row r="257" spans="1:11" ht="21" thickTop="1" x14ac:dyDescent="0.2">
      <c r="B257" s="264"/>
      <c r="C257" s="186"/>
      <c r="D257" s="186"/>
      <c r="E257" s="186"/>
      <c r="F257" s="186"/>
      <c r="G257" s="186"/>
      <c r="H257" s="186"/>
      <c r="I257" s="186"/>
      <c r="J257" s="186"/>
      <c r="K257" s="186"/>
    </row>
    <row r="258" spans="1:11" ht="20.25" x14ac:dyDescent="0.3">
      <c r="B258" s="183"/>
    </row>
    <row r="259" spans="1:11" ht="15.75" x14ac:dyDescent="0.25">
      <c r="B259" s="1" t="s">
        <v>123</v>
      </c>
    </row>
    <row r="260" spans="1:11" x14ac:dyDescent="0.2">
      <c r="B260" s="3" t="s">
        <v>132</v>
      </c>
      <c r="I260" s="1654" t="s">
        <v>133</v>
      </c>
      <c r="J260" s="1654"/>
      <c r="K260" s="1654"/>
    </row>
    <row r="261" spans="1:11" ht="15.75" x14ac:dyDescent="0.25">
      <c r="B261" s="3" t="s">
        <v>411</v>
      </c>
      <c r="I261" s="1604" t="s">
        <v>126</v>
      </c>
      <c r="J261" s="1604"/>
      <c r="K261" s="1604"/>
    </row>
    <row r="263" spans="1:11" ht="23.25" x14ac:dyDescent="0.35">
      <c r="A263" s="358" t="s">
        <v>201</v>
      </c>
      <c r="B263" s="28"/>
      <c r="K263" s="10" t="s">
        <v>398</v>
      </c>
    </row>
    <row r="264" spans="1:11" ht="18" x14ac:dyDescent="0.25">
      <c r="B264" s="11"/>
      <c r="C264" s="3"/>
      <c r="D264" s="3"/>
      <c r="E264" s="3"/>
      <c r="F264" s="3"/>
      <c r="G264" s="3"/>
      <c r="H264" s="3"/>
      <c r="I264" s="11"/>
      <c r="J264" s="3"/>
    </row>
    <row r="265" spans="1:11" ht="18" x14ac:dyDescent="0.25">
      <c r="B265" s="14"/>
      <c r="C265" s="29"/>
      <c r="D265" s="3"/>
      <c r="E265" s="3"/>
      <c r="F265" s="3"/>
      <c r="G265" s="3"/>
      <c r="H265" s="3"/>
      <c r="I265" s="184"/>
      <c r="J265" s="1676" t="str">
        <f>'Tab.1. bilans_Polska'!$E$59</f>
        <v>Termin: 29 luty 2012 r.</v>
      </c>
      <c r="K265" s="1676"/>
    </row>
    <row r="266" spans="1:11" ht="18" x14ac:dyDescent="0.25">
      <c r="B266" s="11"/>
      <c r="C266" s="3"/>
      <c r="D266" s="3"/>
      <c r="E266" s="3"/>
      <c r="F266" s="3"/>
      <c r="G266" s="3"/>
      <c r="H266" s="3"/>
      <c r="I266" s="3"/>
      <c r="J266" s="3"/>
      <c r="K266" s="3"/>
    </row>
    <row r="267" spans="1:11" ht="18" x14ac:dyDescent="0.25">
      <c r="B267" s="11"/>
      <c r="C267" s="3"/>
      <c r="D267" s="3"/>
      <c r="E267" s="3"/>
      <c r="F267" s="3"/>
      <c r="G267" s="3"/>
      <c r="H267" s="3"/>
      <c r="I267" s="3"/>
      <c r="J267" s="3"/>
      <c r="K267" s="3"/>
    </row>
    <row r="268" spans="1:11" ht="18" x14ac:dyDescent="0.25">
      <c r="B268" s="11" t="s">
        <v>130</v>
      </c>
      <c r="C268" s="3"/>
      <c r="D268" s="3"/>
      <c r="E268" s="3"/>
      <c r="F268" s="3"/>
      <c r="G268" s="3"/>
      <c r="H268" s="3"/>
      <c r="I268" s="3"/>
      <c r="J268" s="3"/>
      <c r="K268" s="3"/>
    </row>
    <row r="269" spans="1:11" ht="15.75" x14ac:dyDescent="0.25">
      <c r="B269" s="1" t="s">
        <v>131</v>
      </c>
      <c r="C269" s="3"/>
      <c r="D269" s="3"/>
      <c r="E269" s="3"/>
      <c r="F269" s="3"/>
      <c r="G269" s="3"/>
      <c r="H269" s="3"/>
      <c r="I269" s="3"/>
      <c r="J269" s="3"/>
      <c r="K269" s="3"/>
    </row>
    <row r="270" spans="1:11" ht="15.75" x14ac:dyDescent="0.25">
      <c r="B270" s="1"/>
      <c r="C270" s="3"/>
      <c r="D270" s="3"/>
      <c r="E270" s="3"/>
      <c r="F270" s="3"/>
      <c r="G270" s="3"/>
      <c r="H270" s="3"/>
      <c r="I270" s="1"/>
      <c r="J270" s="3"/>
      <c r="K270" s="3"/>
    </row>
    <row r="271" spans="1:11" ht="23.25" x14ac:dyDescent="0.35">
      <c r="B271" s="1655" t="s">
        <v>399</v>
      </c>
      <c r="C271" s="1655"/>
      <c r="D271" s="1655"/>
      <c r="E271" s="1655"/>
      <c r="F271" s="1655"/>
      <c r="G271" s="1655"/>
      <c r="H271" s="1655"/>
      <c r="I271" s="1655"/>
      <c r="J271" s="1655"/>
      <c r="K271" s="1655"/>
    </row>
    <row r="272" spans="1:11" ht="23.25" x14ac:dyDescent="0.35">
      <c r="B272" s="1655" t="s">
        <v>400</v>
      </c>
      <c r="C272" s="1655"/>
      <c r="D272" s="1655"/>
      <c r="E272" s="1655"/>
      <c r="F272" s="1655"/>
      <c r="G272" s="1655"/>
      <c r="H272" s="1655"/>
      <c r="I272" s="1655"/>
      <c r="J272" s="1655"/>
      <c r="K272" s="1655"/>
    </row>
    <row r="273" spans="2:11" ht="23.25" x14ac:dyDescent="0.35">
      <c r="B273" s="1810" t="str">
        <f>$B$12</f>
        <v>WG  ST.  NA  DZIEŃ  31. XII. 2011 r.</v>
      </c>
      <c r="C273" s="1810"/>
      <c r="D273" s="1810"/>
      <c r="E273" s="1810"/>
      <c r="F273" s="1810"/>
      <c r="G273" s="1810"/>
      <c r="H273" s="1810"/>
      <c r="I273" s="1810"/>
      <c r="J273" s="1810"/>
      <c r="K273" s="1810"/>
    </row>
    <row r="274" spans="2:11" ht="24" thickBot="1" x14ac:dyDescent="0.4">
      <c r="B274" s="30"/>
      <c r="C274" s="30"/>
      <c r="D274" s="30"/>
      <c r="E274" s="30"/>
      <c r="F274" s="30"/>
      <c r="G274" s="30"/>
      <c r="H274" s="30"/>
      <c r="I274" s="30"/>
      <c r="J274" s="30"/>
      <c r="K274" s="30"/>
    </row>
    <row r="275" spans="2:11" ht="24" thickTop="1" x14ac:dyDescent="0.2">
      <c r="B275" s="31"/>
      <c r="C275" s="1677" t="s">
        <v>3</v>
      </c>
      <c r="D275" s="1678"/>
      <c r="E275" s="1679"/>
      <c r="F275" s="1946" t="s">
        <v>401</v>
      </c>
      <c r="G275" s="1946"/>
      <c r="H275" s="1946"/>
      <c r="I275" s="1946"/>
      <c r="J275" s="1946"/>
      <c r="K275" s="1947"/>
    </row>
    <row r="276" spans="2:11" ht="23.25" x14ac:dyDescent="0.2">
      <c r="B276" s="667" t="s">
        <v>402</v>
      </c>
      <c r="C276" s="34" t="s">
        <v>4</v>
      </c>
      <c r="D276" s="35" t="s">
        <v>39</v>
      </c>
      <c r="E276" s="36" t="s">
        <v>40</v>
      </c>
      <c r="F276" s="1942" t="s">
        <v>403</v>
      </c>
      <c r="G276" s="1943"/>
      <c r="H276" s="1944"/>
      <c r="I276" s="1942" t="s">
        <v>404</v>
      </c>
      <c r="J276" s="1943"/>
      <c r="K276" s="1945"/>
    </row>
    <row r="277" spans="2:11" ht="18" x14ac:dyDescent="0.2">
      <c r="B277" s="37" t="s">
        <v>405</v>
      </c>
      <c r="C277" s="34" t="s">
        <v>406</v>
      </c>
      <c r="D277" s="38" t="s">
        <v>13</v>
      </c>
      <c r="E277" s="36" t="s">
        <v>5</v>
      </c>
      <c r="F277" s="34" t="s">
        <v>0</v>
      </c>
      <c r="G277" s="35" t="s">
        <v>0</v>
      </c>
      <c r="H277" s="36" t="s">
        <v>0</v>
      </c>
      <c r="I277" s="39" t="s">
        <v>0</v>
      </c>
      <c r="J277" s="35" t="s">
        <v>0</v>
      </c>
      <c r="K277" s="40" t="s">
        <v>0</v>
      </c>
    </row>
    <row r="278" spans="2:11" ht="18" x14ac:dyDescent="0.2">
      <c r="B278" s="37"/>
      <c r="C278" s="41" t="s">
        <v>42</v>
      </c>
      <c r="D278" s="42" t="s">
        <v>43</v>
      </c>
      <c r="E278" s="43" t="s">
        <v>44</v>
      </c>
      <c r="F278" s="34" t="s">
        <v>407</v>
      </c>
      <c r="G278" s="38" t="s">
        <v>1</v>
      </c>
      <c r="H278" s="36" t="s">
        <v>45</v>
      </c>
      <c r="I278" s="44" t="s">
        <v>407</v>
      </c>
      <c r="J278" s="45" t="s">
        <v>1</v>
      </c>
      <c r="K278" s="46" t="s">
        <v>45</v>
      </c>
    </row>
    <row r="279" spans="2:11" ht="16.5" thickBot="1" x14ac:dyDescent="0.3">
      <c r="B279" s="47">
        <v>0</v>
      </c>
      <c r="C279" s="48">
        <v>1</v>
      </c>
      <c r="D279" s="49">
        <v>2</v>
      </c>
      <c r="E279" s="50">
        <v>3</v>
      </c>
      <c r="F279" s="48">
        <v>4</v>
      </c>
      <c r="G279" s="49">
        <v>5</v>
      </c>
      <c r="H279" s="50">
        <v>6</v>
      </c>
      <c r="I279" s="48">
        <v>7</v>
      </c>
      <c r="J279" s="49">
        <v>8</v>
      </c>
      <c r="K279" s="51">
        <v>9</v>
      </c>
    </row>
    <row r="280" spans="2:11" ht="27" thickTop="1" x14ac:dyDescent="0.2">
      <c r="B280" s="52" t="s">
        <v>193</v>
      </c>
      <c r="C280" s="711">
        <f>F280+I280</f>
        <v>1</v>
      </c>
      <c r="D280" s="712">
        <f>G280+J280</f>
        <v>23</v>
      </c>
      <c r="E280" s="713">
        <f>H280+K280</f>
        <v>23</v>
      </c>
      <c r="F280" s="933">
        <f t="shared" ref="F280:K280" si="21">SUM(F282:F285)</f>
        <v>1</v>
      </c>
      <c r="G280" s="765">
        <f t="shared" si="21"/>
        <v>23</v>
      </c>
      <c r="H280" s="766">
        <f t="shared" si="21"/>
        <v>23</v>
      </c>
      <c r="I280" s="711">
        <f t="shared" si="21"/>
        <v>0</v>
      </c>
      <c r="J280" s="765">
        <f t="shared" si="21"/>
        <v>0</v>
      </c>
      <c r="K280" s="767">
        <f t="shared" si="21"/>
        <v>0</v>
      </c>
    </row>
    <row r="281" spans="2:11" ht="13.5" thickBot="1" x14ac:dyDescent="0.25">
      <c r="B281" s="53" t="s">
        <v>46</v>
      </c>
      <c r="C281" s="726"/>
      <c r="D281" s="727"/>
      <c r="E281" s="728"/>
      <c r="F281" s="726"/>
      <c r="G281" s="729"/>
      <c r="H281" s="728"/>
      <c r="I281" s="726"/>
      <c r="J281" s="729"/>
      <c r="K281" s="730"/>
    </row>
    <row r="282" spans="2:11" ht="21" thickTop="1" x14ac:dyDescent="0.2">
      <c r="B282" s="56" t="s">
        <v>192</v>
      </c>
      <c r="C282" s="714">
        <f t="shared" ref="C282:E285" si="22">F282+I282</f>
        <v>0</v>
      </c>
      <c r="D282" s="715">
        <f t="shared" si="22"/>
        <v>0</v>
      </c>
      <c r="E282" s="716">
        <f t="shared" si="22"/>
        <v>0</v>
      </c>
      <c r="F282" s="1403">
        <v>0</v>
      </c>
      <c r="G282" s="1404">
        <v>0</v>
      </c>
      <c r="H282" s="1405">
        <v>0</v>
      </c>
      <c r="I282" s="1403">
        <v>0</v>
      </c>
      <c r="J282" s="1404">
        <v>0</v>
      </c>
      <c r="K282" s="1406">
        <v>0</v>
      </c>
    </row>
    <row r="283" spans="2:11" ht="20.25" x14ac:dyDescent="0.2">
      <c r="B283" s="57" t="s">
        <v>408</v>
      </c>
      <c r="C283" s="717">
        <f t="shared" si="22"/>
        <v>0</v>
      </c>
      <c r="D283" s="718">
        <f t="shared" si="22"/>
        <v>0</v>
      </c>
      <c r="E283" s="719">
        <f t="shared" si="22"/>
        <v>0</v>
      </c>
      <c r="F283" s="1407">
        <v>0</v>
      </c>
      <c r="G283" s="1408">
        <v>0</v>
      </c>
      <c r="H283" s="1409">
        <v>0</v>
      </c>
      <c r="I283" s="1407">
        <v>0</v>
      </c>
      <c r="J283" s="1408">
        <v>0</v>
      </c>
      <c r="K283" s="1410">
        <v>0</v>
      </c>
    </row>
    <row r="284" spans="2:11" ht="20.25" x14ac:dyDescent="0.2">
      <c r="B284" s="668" t="s">
        <v>409</v>
      </c>
      <c r="C284" s="720">
        <f t="shared" si="22"/>
        <v>0</v>
      </c>
      <c r="D284" s="721">
        <f t="shared" si="22"/>
        <v>0</v>
      </c>
      <c r="E284" s="722">
        <f t="shared" si="22"/>
        <v>0</v>
      </c>
      <c r="F284" s="1411">
        <v>0</v>
      </c>
      <c r="G284" s="1412">
        <v>0</v>
      </c>
      <c r="H284" s="1413">
        <v>0</v>
      </c>
      <c r="I284" s="1411">
        <v>0</v>
      </c>
      <c r="J284" s="1412">
        <v>0</v>
      </c>
      <c r="K284" s="1414">
        <v>0</v>
      </c>
    </row>
    <row r="285" spans="2:11" ht="21" thickBot="1" x14ac:dyDescent="0.25">
      <c r="B285" s="265" t="s">
        <v>410</v>
      </c>
      <c r="C285" s="932">
        <f t="shared" si="22"/>
        <v>1</v>
      </c>
      <c r="D285" s="724">
        <f t="shared" si="22"/>
        <v>23</v>
      </c>
      <c r="E285" s="725">
        <f t="shared" si="22"/>
        <v>23</v>
      </c>
      <c r="F285" s="1415">
        <v>1</v>
      </c>
      <c r="G285" s="1416">
        <v>23</v>
      </c>
      <c r="H285" s="1417">
        <v>23</v>
      </c>
      <c r="I285" s="1415">
        <v>0</v>
      </c>
      <c r="J285" s="1416">
        <v>0</v>
      </c>
      <c r="K285" s="1418">
        <v>0</v>
      </c>
    </row>
    <row r="286" spans="2:11" ht="21" thickTop="1" x14ac:dyDescent="0.2">
      <c r="B286" s="264"/>
      <c r="C286" s="186"/>
      <c r="D286" s="186"/>
      <c r="E286" s="186"/>
      <c r="F286" s="186"/>
      <c r="G286" s="186"/>
      <c r="H286" s="186"/>
      <c r="I286" s="186"/>
      <c r="J286" s="186"/>
      <c r="K286" s="186"/>
    </row>
    <row r="287" spans="2:11" ht="20.25" x14ac:dyDescent="0.3">
      <c r="B287" s="183"/>
    </row>
    <row r="288" spans="2:11" ht="15.75" x14ac:dyDescent="0.25">
      <c r="B288" s="1" t="s">
        <v>123</v>
      </c>
    </row>
    <row r="289" spans="1:11" x14ac:dyDescent="0.2">
      <c r="B289" s="3" t="s">
        <v>132</v>
      </c>
      <c r="I289" s="1654" t="s">
        <v>133</v>
      </c>
      <c r="J289" s="1654"/>
      <c r="K289" s="1654"/>
    </row>
    <row r="290" spans="1:11" ht="15.75" x14ac:dyDescent="0.25">
      <c r="B290" s="3" t="s">
        <v>411</v>
      </c>
      <c r="I290" s="1604" t="s">
        <v>126</v>
      </c>
      <c r="J290" s="1604"/>
      <c r="K290" s="1604"/>
    </row>
    <row r="292" spans="1:11" ht="23.25" x14ac:dyDescent="0.35">
      <c r="A292" s="358" t="s">
        <v>202</v>
      </c>
      <c r="B292" s="28"/>
      <c r="K292" s="10" t="s">
        <v>398</v>
      </c>
    </row>
    <row r="293" spans="1:11" ht="18" x14ac:dyDescent="0.25">
      <c r="B293" s="11"/>
      <c r="C293" s="3"/>
      <c r="D293" s="3"/>
      <c r="E293" s="3"/>
      <c r="F293" s="3"/>
      <c r="G293" s="3"/>
      <c r="H293" s="3"/>
      <c r="I293" s="11"/>
      <c r="J293" s="3"/>
    </row>
    <row r="294" spans="1:11" ht="18" x14ac:dyDescent="0.25">
      <c r="B294" s="14"/>
      <c r="C294" s="29"/>
      <c r="D294" s="3"/>
      <c r="E294" s="3"/>
      <c r="F294" s="3"/>
      <c r="G294" s="3"/>
      <c r="H294" s="3"/>
      <c r="I294" s="184"/>
      <c r="J294" s="1676" t="str">
        <f>'Tab.1. bilans_Polska'!$E$59</f>
        <v>Termin: 29 luty 2012 r.</v>
      </c>
      <c r="K294" s="1676"/>
    </row>
    <row r="295" spans="1:11" ht="18" x14ac:dyDescent="0.25">
      <c r="B295" s="11"/>
      <c r="C295" s="3"/>
      <c r="D295" s="3"/>
      <c r="E295" s="3"/>
      <c r="F295" s="3"/>
      <c r="G295" s="3"/>
      <c r="H295" s="3"/>
      <c r="I295" s="3"/>
      <c r="J295" s="3"/>
      <c r="K295" s="3"/>
    </row>
    <row r="296" spans="1:11" ht="18" x14ac:dyDescent="0.25">
      <c r="B296" s="11"/>
      <c r="C296" s="3"/>
      <c r="D296" s="3"/>
      <c r="E296" s="3"/>
      <c r="F296" s="3"/>
      <c r="G296" s="3"/>
      <c r="H296" s="3"/>
      <c r="I296" s="3"/>
      <c r="J296" s="3"/>
      <c r="K296" s="3"/>
    </row>
    <row r="297" spans="1:11" ht="18" x14ac:dyDescent="0.25">
      <c r="B297" s="11" t="s">
        <v>130</v>
      </c>
      <c r="C297" s="3"/>
      <c r="D297" s="3"/>
      <c r="E297" s="3"/>
      <c r="F297" s="3"/>
      <c r="G297" s="3"/>
      <c r="H297" s="3"/>
      <c r="I297" s="3"/>
      <c r="J297" s="3"/>
      <c r="K297" s="3"/>
    </row>
    <row r="298" spans="1:11" ht="15.75" x14ac:dyDescent="0.25">
      <c r="B298" s="1" t="s">
        <v>131</v>
      </c>
      <c r="C298" s="3"/>
      <c r="D298" s="3"/>
      <c r="E298" s="3"/>
      <c r="F298" s="3"/>
      <c r="G298" s="3"/>
      <c r="H298" s="3"/>
      <c r="I298" s="3"/>
      <c r="J298" s="3"/>
      <c r="K298" s="3"/>
    </row>
    <row r="299" spans="1:11" ht="15.75" x14ac:dyDescent="0.25">
      <c r="B299" s="1"/>
      <c r="C299" s="3"/>
      <c r="D299" s="3"/>
      <c r="E299" s="3"/>
      <c r="F299" s="3"/>
      <c r="G299" s="3"/>
      <c r="H299" s="3"/>
      <c r="I299" s="1"/>
      <c r="J299" s="3"/>
      <c r="K299" s="3"/>
    </row>
    <row r="300" spans="1:11" ht="23.25" x14ac:dyDescent="0.35">
      <c r="B300" s="1655" t="s">
        <v>399</v>
      </c>
      <c r="C300" s="1655"/>
      <c r="D300" s="1655"/>
      <c r="E300" s="1655"/>
      <c r="F300" s="1655"/>
      <c r="G300" s="1655"/>
      <c r="H300" s="1655"/>
      <c r="I300" s="1655"/>
      <c r="J300" s="1655"/>
      <c r="K300" s="1655"/>
    </row>
    <row r="301" spans="1:11" ht="23.25" x14ac:dyDescent="0.35">
      <c r="B301" s="1655" t="s">
        <v>400</v>
      </c>
      <c r="C301" s="1655"/>
      <c r="D301" s="1655"/>
      <c r="E301" s="1655"/>
      <c r="F301" s="1655"/>
      <c r="G301" s="1655"/>
      <c r="H301" s="1655"/>
      <c r="I301" s="1655"/>
      <c r="J301" s="1655"/>
      <c r="K301" s="1655"/>
    </row>
    <row r="302" spans="1:11" ht="23.25" x14ac:dyDescent="0.35">
      <c r="B302" s="1810" t="str">
        <f>$B$12</f>
        <v>WG  ST.  NA  DZIEŃ  31. XII. 2011 r.</v>
      </c>
      <c r="C302" s="1810"/>
      <c r="D302" s="1810"/>
      <c r="E302" s="1810"/>
      <c r="F302" s="1810"/>
      <c r="G302" s="1810"/>
      <c r="H302" s="1810"/>
      <c r="I302" s="1810"/>
      <c r="J302" s="1810"/>
      <c r="K302" s="1810"/>
    </row>
    <row r="303" spans="1:11" ht="24" thickBot="1" x14ac:dyDescent="0.4">
      <c r="B303" s="30"/>
      <c r="C303" s="30"/>
      <c r="D303" s="30"/>
      <c r="E303" s="30"/>
      <c r="F303" s="30"/>
      <c r="G303" s="30"/>
      <c r="H303" s="30"/>
      <c r="I303" s="30"/>
      <c r="J303" s="30"/>
      <c r="K303" s="30"/>
    </row>
    <row r="304" spans="1:11" ht="24" thickTop="1" x14ac:dyDescent="0.2">
      <c r="B304" s="31"/>
      <c r="C304" s="1677" t="s">
        <v>3</v>
      </c>
      <c r="D304" s="1678"/>
      <c r="E304" s="1679"/>
      <c r="F304" s="1946" t="s">
        <v>401</v>
      </c>
      <c r="G304" s="1946"/>
      <c r="H304" s="1946"/>
      <c r="I304" s="1946"/>
      <c r="J304" s="1946"/>
      <c r="K304" s="1947"/>
    </row>
    <row r="305" spans="2:11" ht="23.25" x14ac:dyDescent="0.2">
      <c r="B305" s="667" t="s">
        <v>402</v>
      </c>
      <c r="C305" s="34" t="s">
        <v>4</v>
      </c>
      <c r="D305" s="35" t="s">
        <v>39</v>
      </c>
      <c r="E305" s="36" t="s">
        <v>40</v>
      </c>
      <c r="F305" s="1942" t="s">
        <v>403</v>
      </c>
      <c r="G305" s="1943"/>
      <c r="H305" s="1944"/>
      <c r="I305" s="1942" t="s">
        <v>404</v>
      </c>
      <c r="J305" s="1943"/>
      <c r="K305" s="1945"/>
    </row>
    <row r="306" spans="2:11" ht="18" x14ac:dyDescent="0.2">
      <c r="B306" s="37" t="s">
        <v>405</v>
      </c>
      <c r="C306" s="34" t="s">
        <v>406</v>
      </c>
      <c r="D306" s="38" t="s">
        <v>13</v>
      </c>
      <c r="E306" s="36" t="s">
        <v>5</v>
      </c>
      <c r="F306" s="34" t="s">
        <v>0</v>
      </c>
      <c r="G306" s="35" t="s">
        <v>0</v>
      </c>
      <c r="H306" s="36" t="s">
        <v>0</v>
      </c>
      <c r="I306" s="39" t="s">
        <v>0</v>
      </c>
      <c r="J306" s="35" t="s">
        <v>0</v>
      </c>
      <c r="K306" s="40" t="s">
        <v>0</v>
      </c>
    </row>
    <row r="307" spans="2:11" ht="18" x14ac:dyDescent="0.2">
      <c r="B307" s="37"/>
      <c r="C307" s="41" t="s">
        <v>42</v>
      </c>
      <c r="D307" s="42" t="s">
        <v>43</v>
      </c>
      <c r="E307" s="43" t="s">
        <v>44</v>
      </c>
      <c r="F307" s="34" t="s">
        <v>407</v>
      </c>
      <c r="G307" s="38" t="s">
        <v>1</v>
      </c>
      <c r="H307" s="36" t="s">
        <v>45</v>
      </c>
      <c r="I307" s="44" t="s">
        <v>407</v>
      </c>
      <c r="J307" s="45" t="s">
        <v>1</v>
      </c>
      <c r="K307" s="46" t="s">
        <v>45</v>
      </c>
    </row>
    <row r="308" spans="2:11" ht="16.5" thickBot="1" x14ac:dyDescent="0.3">
      <c r="B308" s="47">
        <v>0</v>
      </c>
      <c r="C308" s="48">
        <v>1</v>
      </c>
      <c r="D308" s="49">
        <v>2</v>
      </c>
      <c r="E308" s="50">
        <v>3</v>
      </c>
      <c r="F308" s="48">
        <v>4</v>
      </c>
      <c r="G308" s="49">
        <v>5</v>
      </c>
      <c r="H308" s="50">
        <v>6</v>
      </c>
      <c r="I308" s="48">
        <v>7</v>
      </c>
      <c r="J308" s="49">
        <v>8</v>
      </c>
      <c r="K308" s="51">
        <v>9</v>
      </c>
    </row>
    <row r="309" spans="2:11" ht="27" thickTop="1" x14ac:dyDescent="0.2">
      <c r="B309" s="52" t="s">
        <v>193</v>
      </c>
      <c r="C309" s="711">
        <f>F309+I309</f>
        <v>12</v>
      </c>
      <c r="D309" s="712">
        <f>G309+J309</f>
        <v>457</v>
      </c>
      <c r="E309" s="713">
        <f>H309+K309</f>
        <v>425</v>
      </c>
      <c r="F309" s="711">
        <f t="shared" ref="F309:K309" si="23">SUM(F311:F314)</f>
        <v>8</v>
      </c>
      <c r="G309" s="765">
        <f t="shared" si="23"/>
        <v>297</v>
      </c>
      <c r="H309" s="766">
        <f t="shared" si="23"/>
        <v>279</v>
      </c>
      <c r="I309" s="711">
        <f t="shared" si="23"/>
        <v>4</v>
      </c>
      <c r="J309" s="765">
        <f t="shared" si="23"/>
        <v>160</v>
      </c>
      <c r="K309" s="767">
        <f t="shared" si="23"/>
        <v>146</v>
      </c>
    </row>
    <row r="310" spans="2:11" ht="13.5" thickBot="1" x14ac:dyDescent="0.25">
      <c r="B310" s="53" t="s">
        <v>46</v>
      </c>
      <c r="C310" s="726"/>
      <c r="D310" s="727"/>
      <c r="E310" s="728"/>
      <c r="F310" s="726"/>
      <c r="G310" s="729"/>
      <c r="H310" s="728"/>
      <c r="I310" s="726"/>
      <c r="J310" s="729"/>
      <c r="K310" s="730"/>
    </row>
    <row r="311" spans="2:11" ht="21" thickTop="1" x14ac:dyDescent="0.2">
      <c r="B311" s="56" t="s">
        <v>192</v>
      </c>
      <c r="C311" s="714">
        <f t="shared" ref="C311:E314" si="24">F311+I311</f>
        <v>9</v>
      </c>
      <c r="D311" s="715">
        <f t="shared" si="24"/>
        <v>315</v>
      </c>
      <c r="E311" s="716">
        <f t="shared" si="24"/>
        <v>283</v>
      </c>
      <c r="F311" s="1403">
        <v>6</v>
      </c>
      <c r="G311" s="1404">
        <v>235</v>
      </c>
      <c r="H311" s="1405">
        <v>217</v>
      </c>
      <c r="I311" s="1403">
        <v>3</v>
      </c>
      <c r="J311" s="1404">
        <v>80</v>
      </c>
      <c r="K311" s="1406">
        <v>66</v>
      </c>
    </row>
    <row r="312" spans="2:11" ht="20.25" x14ac:dyDescent="0.2">
      <c r="B312" s="57" t="s">
        <v>408</v>
      </c>
      <c r="C312" s="717">
        <f t="shared" si="24"/>
        <v>3</v>
      </c>
      <c r="D312" s="718">
        <f t="shared" si="24"/>
        <v>64</v>
      </c>
      <c r="E312" s="719">
        <f t="shared" si="24"/>
        <v>64</v>
      </c>
      <c r="F312" s="1407">
        <v>2</v>
      </c>
      <c r="G312" s="1408">
        <v>34</v>
      </c>
      <c r="H312" s="1409">
        <v>34</v>
      </c>
      <c r="I312" s="1407">
        <v>1</v>
      </c>
      <c r="J312" s="1408">
        <v>30</v>
      </c>
      <c r="K312" s="1410">
        <v>30</v>
      </c>
    </row>
    <row r="313" spans="2:11" ht="20.25" x14ac:dyDescent="0.2">
      <c r="B313" s="668" t="s">
        <v>409</v>
      </c>
      <c r="C313" s="720">
        <f t="shared" si="24"/>
        <v>0</v>
      </c>
      <c r="D313" s="721">
        <f t="shared" si="24"/>
        <v>70</v>
      </c>
      <c r="E313" s="722">
        <f t="shared" si="24"/>
        <v>70</v>
      </c>
      <c r="F313" s="1411">
        <v>0</v>
      </c>
      <c r="G313" s="1412">
        <v>26</v>
      </c>
      <c r="H313" s="1413">
        <v>26</v>
      </c>
      <c r="I313" s="1411">
        <v>0</v>
      </c>
      <c r="J313" s="1412">
        <v>44</v>
      </c>
      <c r="K313" s="1414">
        <v>44</v>
      </c>
    </row>
    <row r="314" spans="2:11" ht="21" thickBot="1" x14ac:dyDescent="0.25">
      <c r="B314" s="265" t="s">
        <v>410</v>
      </c>
      <c r="C314" s="723">
        <f t="shared" si="24"/>
        <v>0</v>
      </c>
      <c r="D314" s="724">
        <f t="shared" si="24"/>
        <v>8</v>
      </c>
      <c r="E314" s="725">
        <f t="shared" si="24"/>
        <v>8</v>
      </c>
      <c r="F314" s="1415">
        <v>0</v>
      </c>
      <c r="G314" s="1416">
        <v>2</v>
      </c>
      <c r="H314" s="1417">
        <v>2</v>
      </c>
      <c r="I314" s="1415">
        <v>0</v>
      </c>
      <c r="J314" s="1416">
        <v>6</v>
      </c>
      <c r="K314" s="1418">
        <v>6</v>
      </c>
    </row>
    <row r="315" spans="2:11" ht="21" thickTop="1" x14ac:dyDescent="0.2">
      <c r="B315" s="264"/>
      <c r="C315" s="186"/>
      <c r="D315" s="186"/>
      <c r="E315" s="186"/>
      <c r="F315" s="186"/>
      <c r="G315" s="186"/>
      <c r="H315" s="186"/>
      <c r="I315" s="186"/>
      <c r="J315" s="186"/>
      <c r="K315" s="186"/>
    </row>
    <row r="316" spans="2:11" ht="20.25" x14ac:dyDescent="0.3">
      <c r="B316" s="183"/>
    </row>
    <row r="317" spans="2:11" ht="15.75" x14ac:dyDescent="0.25">
      <c r="B317" s="1" t="s">
        <v>123</v>
      </c>
    </row>
    <row r="318" spans="2:11" x14ac:dyDescent="0.2">
      <c r="B318" s="3" t="s">
        <v>132</v>
      </c>
      <c r="I318" s="1654" t="s">
        <v>133</v>
      </c>
      <c r="J318" s="1654"/>
      <c r="K318" s="1654"/>
    </row>
    <row r="319" spans="2:11" ht="15.75" x14ac:dyDescent="0.25">
      <c r="B319" s="3" t="s">
        <v>411</v>
      </c>
      <c r="I319" s="1604" t="s">
        <v>126</v>
      </c>
      <c r="J319" s="1604"/>
      <c r="K319" s="1604"/>
    </row>
    <row r="321" spans="1:11" ht="23.25" x14ac:dyDescent="0.35">
      <c r="A321" s="358" t="s">
        <v>203</v>
      </c>
      <c r="B321" s="28"/>
      <c r="K321" s="10" t="s">
        <v>398</v>
      </c>
    </row>
    <row r="322" spans="1:11" ht="18" x14ac:dyDescent="0.25">
      <c r="B322" s="11"/>
      <c r="C322" s="3"/>
      <c r="D322" s="3"/>
      <c r="E322" s="3"/>
      <c r="F322" s="3"/>
      <c r="G322" s="3"/>
      <c r="H322" s="3"/>
      <c r="I322" s="11"/>
      <c r="J322" s="3"/>
    </row>
    <row r="323" spans="1:11" ht="18" x14ac:dyDescent="0.25">
      <c r="B323" s="14"/>
      <c r="C323" s="29"/>
      <c r="D323" s="3"/>
      <c r="E323" s="3"/>
      <c r="F323" s="3"/>
      <c r="G323" s="3"/>
      <c r="H323" s="3"/>
      <c r="I323" s="184"/>
      <c r="J323" s="1676" t="str">
        <f>'Tab.1. bilans_Polska'!$E$59</f>
        <v>Termin: 29 luty 2012 r.</v>
      </c>
      <c r="K323" s="1676"/>
    </row>
    <row r="324" spans="1:11" ht="18" x14ac:dyDescent="0.25">
      <c r="B324" s="11"/>
      <c r="C324" s="3"/>
      <c r="D324" s="3"/>
      <c r="E324" s="3"/>
      <c r="F324" s="3"/>
      <c r="G324" s="3"/>
      <c r="H324" s="3"/>
      <c r="I324" s="3"/>
      <c r="J324" s="3"/>
      <c r="K324" s="3"/>
    </row>
    <row r="325" spans="1:11" ht="18" x14ac:dyDescent="0.25">
      <c r="B325" s="11"/>
      <c r="C325" s="3"/>
      <c r="D325" s="3"/>
      <c r="E325" s="3"/>
      <c r="F325" s="3"/>
      <c r="G325" s="3"/>
      <c r="H325" s="3"/>
      <c r="I325" s="3"/>
      <c r="J325" s="3"/>
      <c r="K325" s="3"/>
    </row>
    <row r="326" spans="1:11" ht="18" x14ac:dyDescent="0.25">
      <c r="B326" s="11" t="s">
        <v>130</v>
      </c>
      <c r="C326" s="3"/>
      <c r="D326" s="3"/>
      <c r="E326" s="3"/>
      <c r="F326" s="3"/>
      <c r="G326" s="3"/>
      <c r="H326" s="3"/>
      <c r="I326" s="3"/>
      <c r="J326" s="3"/>
      <c r="K326" s="3"/>
    </row>
    <row r="327" spans="1:11" ht="15.75" x14ac:dyDescent="0.25">
      <c r="B327" s="1" t="s">
        <v>131</v>
      </c>
      <c r="C327" s="3"/>
      <c r="D327" s="3"/>
      <c r="E327" s="3"/>
      <c r="F327" s="3"/>
      <c r="G327" s="3"/>
      <c r="H327" s="3"/>
      <c r="I327" s="3"/>
      <c r="J327" s="3"/>
      <c r="K327" s="3"/>
    </row>
    <row r="328" spans="1:11" ht="15.75" x14ac:dyDescent="0.25">
      <c r="B328" s="1"/>
      <c r="C328" s="3"/>
      <c r="D328" s="3"/>
      <c r="E328" s="3"/>
      <c r="F328" s="3"/>
      <c r="G328" s="3"/>
      <c r="H328" s="3"/>
      <c r="I328" s="1"/>
      <c r="J328" s="3"/>
      <c r="K328" s="3"/>
    </row>
    <row r="329" spans="1:11" ht="23.25" x14ac:dyDescent="0.35">
      <c r="B329" s="1655" t="s">
        <v>399</v>
      </c>
      <c r="C329" s="1655"/>
      <c r="D329" s="1655"/>
      <c r="E329" s="1655"/>
      <c r="F329" s="1655"/>
      <c r="G329" s="1655"/>
      <c r="H329" s="1655"/>
      <c r="I329" s="1655"/>
      <c r="J329" s="1655"/>
      <c r="K329" s="1655"/>
    </row>
    <row r="330" spans="1:11" ht="23.25" x14ac:dyDescent="0.35">
      <c r="B330" s="1655" t="s">
        <v>400</v>
      </c>
      <c r="C330" s="1655"/>
      <c r="D330" s="1655"/>
      <c r="E330" s="1655"/>
      <c r="F330" s="1655"/>
      <c r="G330" s="1655"/>
      <c r="H330" s="1655"/>
      <c r="I330" s="1655"/>
      <c r="J330" s="1655"/>
      <c r="K330" s="1655"/>
    </row>
    <row r="331" spans="1:11" ht="23.25" x14ac:dyDescent="0.35">
      <c r="B331" s="1810" t="str">
        <f>$B$12</f>
        <v>WG  ST.  NA  DZIEŃ  31. XII. 2011 r.</v>
      </c>
      <c r="C331" s="1810"/>
      <c r="D331" s="1810"/>
      <c r="E331" s="1810"/>
      <c r="F331" s="1810"/>
      <c r="G331" s="1810"/>
      <c r="H331" s="1810"/>
      <c r="I331" s="1810"/>
      <c r="J331" s="1810"/>
      <c r="K331" s="1810"/>
    </row>
    <row r="332" spans="1:11" ht="24" thickBot="1" x14ac:dyDescent="0.4">
      <c r="B332" s="30"/>
      <c r="C332" s="30"/>
      <c r="D332" s="30"/>
      <c r="E332" s="30"/>
      <c r="F332" s="30"/>
      <c r="G332" s="30"/>
      <c r="H332" s="30"/>
      <c r="I332" s="30"/>
      <c r="J332" s="30"/>
      <c r="K332" s="30"/>
    </row>
    <row r="333" spans="1:11" ht="24" thickTop="1" x14ac:dyDescent="0.2">
      <c r="B333" s="31"/>
      <c r="C333" s="1677" t="s">
        <v>3</v>
      </c>
      <c r="D333" s="1678"/>
      <c r="E333" s="1679"/>
      <c r="F333" s="1946" t="s">
        <v>401</v>
      </c>
      <c r="G333" s="1946"/>
      <c r="H333" s="1946"/>
      <c r="I333" s="1946"/>
      <c r="J333" s="1946"/>
      <c r="K333" s="1947"/>
    </row>
    <row r="334" spans="1:11" ht="23.25" x14ac:dyDescent="0.2">
      <c r="B334" s="667" t="s">
        <v>402</v>
      </c>
      <c r="C334" s="34" t="s">
        <v>4</v>
      </c>
      <c r="D334" s="35" t="s">
        <v>39</v>
      </c>
      <c r="E334" s="36" t="s">
        <v>40</v>
      </c>
      <c r="F334" s="1942" t="s">
        <v>403</v>
      </c>
      <c r="G334" s="1943"/>
      <c r="H334" s="1944"/>
      <c r="I334" s="1942" t="s">
        <v>404</v>
      </c>
      <c r="J334" s="1943"/>
      <c r="K334" s="1945"/>
    </row>
    <row r="335" spans="1:11" ht="18" x14ac:dyDescent="0.2">
      <c r="B335" s="37" t="s">
        <v>405</v>
      </c>
      <c r="C335" s="34" t="s">
        <v>406</v>
      </c>
      <c r="D335" s="38" t="s">
        <v>13</v>
      </c>
      <c r="E335" s="36" t="s">
        <v>5</v>
      </c>
      <c r="F335" s="34" t="s">
        <v>0</v>
      </c>
      <c r="G335" s="35" t="s">
        <v>0</v>
      </c>
      <c r="H335" s="36" t="s">
        <v>0</v>
      </c>
      <c r="I335" s="39" t="s">
        <v>0</v>
      </c>
      <c r="J335" s="35" t="s">
        <v>0</v>
      </c>
      <c r="K335" s="40" t="s">
        <v>0</v>
      </c>
    </row>
    <row r="336" spans="1:11" ht="18" x14ac:dyDescent="0.2">
      <c r="B336" s="37"/>
      <c r="C336" s="41" t="s">
        <v>42</v>
      </c>
      <c r="D336" s="42" t="s">
        <v>43</v>
      </c>
      <c r="E336" s="43" t="s">
        <v>44</v>
      </c>
      <c r="F336" s="34" t="s">
        <v>407</v>
      </c>
      <c r="G336" s="38" t="s">
        <v>1</v>
      </c>
      <c r="H336" s="36" t="s">
        <v>45</v>
      </c>
      <c r="I336" s="44" t="s">
        <v>407</v>
      </c>
      <c r="J336" s="45" t="s">
        <v>1</v>
      </c>
      <c r="K336" s="46" t="s">
        <v>45</v>
      </c>
    </row>
    <row r="337" spans="1:11" ht="16.5" thickBot="1" x14ac:dyDescent="0.3">
      <c r="B337" s="47">
        <v>0</v>
      </c>
      <c r="C337" s="48">
        <v>1</v>
      </c>
      <c r="D337" s="49">
        <v>2</v>
      </c>
      <c r="E337" s="50">
        <v>3</v>
      </c>
      <c r="F337" s="48">
        <v>4</v>
      </c>
      <c r="G337" s="49">
        <v>5</v>
      </c>
      <c r="H337" s="50">
        <v>6</v>
      </c>
      <c r="I337" s="48">
        <v>7</v>
      </c>
      <c r="J337" s="49">
        <v>8</v>
      </c>
      <c r="K337" s="51">
        <v>9</v>
      </c>
    </row>
    <row r="338" spans="1:11" ht="27" thickTop="1" x14ac:dyDescent="0.2">
      <c r="B338" s="52" t="s">
        <v>193</v>
      </c>
      <c r="C338" s="711">
        <f>F338+I338</f>
        <v>23</v>
      </c>
      <c r="D338" s="712">
        <f>G338+J338</f>
        <v>758</v>
      </c>
      <c r="E338" s="713">
        <f>H338+K338</f>
        <v>598</v>
      </c>
      <c r="F338" s="711">
        <f t="shared" ref="F338:K338" si="25">SUM(F340:F343)</f>
        <v>2</v>
      </c>
      <c r="G338" s="765">
        <f t="shared" si="25"/>
        <v>109</v>
      </c>
      <c r="H338" s="766">
        <f t="shared" si="25"/>
        <v>75</v>
      </c>
      <c r="I338" s="711">
        <f t="shared" si="25"/>
        <v>21</v>
      </c>
      <c r="J338" s="765">
        <f t="shared" si="25"/>
        <v>649</v>
      </c>
      <c r="K338" s="767">
        <f t="shared" si="25"/>
        <v>523</v>
      </c>
    </row>
    <row r="339" spans="1:11" ht="13.5" thickBot="1" x14ac:dyDescent="0.25">
      <c r="B339" s="53" t="s">
        <v>46</v>
      </c>
      <c r="C339" s="726"/>
      <c r="D339" s="727"/>
      <c r="E339" s="728"/>
      <c r="F339" s="726"/>
      <c r="G339" s="729"/>
      <c r="H339" s="728"/>
      <c r="I339" s="726"/>
      <c r="J339" s="729"/>
      <c r="K339" s="730"/>
    </row>
    <row r="340" spans="1:11" ht="21" thickTop="1" x14ac:dyDescent="0.2">
      <c r="B340" s="56" t="s">
        <v>192</v>
      </c>
      <c r="C340" s="714">
        <f t="shared" ref="C340:E343" si="26">F340+I340</f>
        <v>2</v>
      </c>
      <c r="D340" s="715">
        <f t="shared" si="26"/>
        <v>56</v>
      </c>
      <c r="E340" s="716">
        <f t="shared" si="26"/>
        <v>56</v>
      </c>
      <c r="F340" s="1403">
        <v>0</v>
      </c>
      <c r="G340" s="1404">
        <v>0</v>
      </c>
      <c r="H340" s="1405">
        <v>0</v>
      </c>
      <c r="I340" s="1403">
        <v>2</v>
      </c>
      <c r="J340" s="1404">
        <v>56</v>
      </c>
      <c r="K340" s="1406">
        <v>56</v>
      </c>
    </row>
    <row r="341" spans="1:11" ht="20.25" x14ac:dyDescent="0.2">
      <c r="B341" s="57" t="s">
        <v>408</v>
      </c>
      <c r="C341" s="717">
        <f t="shared" si="26"/>
        <v>0</v>
      </c>
      <c r="D341" s="718">
        <f t="shared" si="26"/>
        <v>0</v>
      </c>
      <c r="E341" s="719">
        <f t="shared" si="26"/>
        <v>0</v>
      </c>
      <c r="F341" s="1407">
        <v>0</v>
      </c>
      <c r="G341" s="1408">
        <v>0</v>
      </c>
      <c r="H341" s="1409">
        <v>0</v>
      </c>
      <c r="I341" s="1407">
        <v>0</v>
      </c>
      <c r="J341" s="1408">
        <v>0</v>
      </c>
      <c r="K341" s="1410">
        <v>0</v>
      </c>
    </row>
    <row r="342" spans="1:11" ht="20.25" x14ac:dyDescent="0.2">
      <c r="B342" s="668" t="s">
        <v>409</v>
      </c>
      <c r="C342" s="720">
        <f t="shared" si="26"/>
        <v>0</v>
      </c>
      <c r="D342" s="721">
        <f t="shared" si="26"/>
        <v>0</v>
      </c>
      <c r="E342" s="722">
        <f t="shared" si="26"/>
        <v>0</v>
      </c>
      <c r="F342" s="1411">
        <v>0</v>
      </c>
      <c r="G342" s="1412">
        <v>0</v>
      </c>
      <c r="H342" s="1413">
        <v>0</v>
      </c>
      <c r="I342" s="1411">
        <v>0</v>
      </c>
      <c r="J342" s="1412">
        <v>0</v>
      </c>
      <c r="K342" s="1410">
        <v>0</v>
      </c>
    </row>
    <row r="343" spans="1:11" ht="21" thickBot="1" x14ac:dyDescent="0.25">
      <c r="B343" s="265" t="s">
        <v>410</v>
      </c>
      <c r="C343" s="723">
        <f t="shared" si="26"/>
        <v>21</v>
      </c>
      <c r="D343" s="724">
        <f t="shared" si="26"/>
        <v>702</v>
      </c>
      <c r="E343" s="725">
        <f t="shared" si="26"/>
        <v>542</v>
      </c>
      <c r="F343" s="1415">
        <v>2</v>
      </c>
      <c r="G343" s="1416">
        <v>109</v>
      </c>
      <c r="H343" s="1417">
        <v>75</v>
      </c>
      <c r="I343" s="1415">
        <v>19</v>
      </c>
      <c r="J343" s="1416">
        <v>593</v>
      </c>
      <c r="K343" s="1418">
        <v>467</v>
      </c>
    </row>
    <row r="344" spans="1:11" ht="21" thickTop="1" x14ac:dyDescent="0.2">
      <c r="B344" s="264"/>
      <c r="C344" s="186"/>
      <c r="D344" s="186"/>
      <c r="E344" s="186"/>
      <c r="F344" s="186"/>
      <c r="G344" s="186"/>
      <c r="H344" s="186"/>
      <c r="I344" s="186"/>
      <c r="J344" s="186"/>
      <c r="K344" s="186"/>
    </row>
    <row r="345" spans="1:11" ht="20.25" x14ac:dyDescent="0.3">
      <c r="B345" s="183"/>
    </row>
    <row r="346" spans="1:11" ht="15.75" x14ac:dyDescent="0.25">
      <c r="B346" s="1" t="s">
        <v>123</v>
      </c>
    </row>
    <row r="347" spans="1:11" x14ac:dyDescent="0.2">
      <c r="B347" s="3" t="s">
        <v>132</v>
      </c>
      <c r="I347" s="1654" t="s">
        <v>133</v>
      </c>
      <c r="J347" s="1654"/>
      <c r="K347" s="1654"/>
    </row>
    <row r="348" spans="1:11" ht="15.75" x14ac:dyDescent="0.25">
      <c r="B348" s="3" t="s">
        <v>411</v>
      </c>
      <c r="I348" s="1604" t="s">
        <v>126</v>
      </c>
      <c r="J348" s="1604"/>
      <c r="K348" s="1604"/>
    </row>
    <row r="350" spans="1:11" ht="23.25" x14ac:dyDescent="0.35">
      <c r="A350" s="358" t="s">
        <v>204</v>
      </c>
      <c r="B350" s="28"/>
      <c r="K350" s="10" t="s">
        <v>398</v>
      </c>
    </row>
    <row r="351" spans="1:11" ht="18" x14ac:dyDescent="0.25">
      <c r="B351" s="11"/>
      <c r="C351" s="3"/>
      <c r="D351" s="3"/>
      <c r="E351" s="3"/>
      <c r="F351" s="3"/>
      <c r="G351" s="3"/>
      <c r="H351" s="3"/>
      <c r="I351" s="11"/>
      <c r="J351" s="3"/>
    </row>
    <row r="352" spans="1:11" ht="18" x14ac:dyDescent="0.25">
      <c r="B352" s="14"/>
      <c r="C352" s="29"/>
      <c r="D352" s="3"/>
      <c r="E352" s="3"/>
      <c r="F352" s="3"/>
      <c r="G352" s="3"/>
      <c r="H352" s="3"/>
      <c r="I352" s="184"/>
      <c r="J352" s="1676" t="str">
        <f>'Tab.1. bilans_Polska'!$E$59</f>
        <v>Termin: 29 luty 2012 r.</v>
      </c>
      <c r="K352" s="1676"/>
    </row>
    <row r="353" spans="2:11" ht="18" x14ac:dyDescent="0.25">
      <c r="B353" s="11"/>
      <c r="C353" s="3"/>
      <c r="D353" s="3"/>
      <c r="E353" s="3"/>
      <c r="F353" s="3"/>
      <c r="G353" s="3"/>
      <c r="H353" s="3"/>
      <c r="I353" s="3"/>
      <c r="J353" s="3"/>
      <c r="K353" s="3"/>
    </row>
    <row r="354" spans="2:11" ht="18" x14ac:dyDescent="0.25">
      <c r="B354" s="11"/>
      <c r="C354" s="3"/>
      <c r="D354" s="3"/>
      <c r="E354" s="3"/>
      <c r="F354" s="3"/>
      <c r="G354" s="3"/>
      <c r="H354" s="3"/>
      <c r="I354" s="3"/>
      <c r="J354" s="3"/>
      <c r="K354" s="3"/>
    </row>
    <row r="355" spans="2:11" ht="18" x14ac:dyDescent="0.25">
      <c r="B355" s="11" t="s">
        <v>130</v>
      </c>
      <c r="C355" s="3"/>
      <c r="D355" s="3"/>
      <c r="E355" s="3"/>
      <c r="F355" s="3"/>
      <c r="G355" s="3"/>
      <c r="H355" s="3"/>
      <c r="I355" s="3"/>
      <c r="J355" s="3"/>
      <c r="K355" s="3"/>
    </row>
    <row r="356" spans="2:11" ht="15.75" x14ac:dyDescent="0.25">
      <c r="B356" s="1" t="s">
        <v>131</v>
      </c>
      <c r="C356" s="3"/>
      <c r="D356" s="3"/>
      <c r="E356" s="3"/>
      <c r="F356" s="3"/>
      <c r="G356" s="3"/>
      <c r="H356" s="3"/>
      <c r="I356" s="3"/>
      <c r="J356" s="3"/>
      <c r="K356" s="3"/>
    </row>
    <row r="357" spans="2:11" ht="15.75" x14ac:dyDescent="0.25">
      <c r="B357" s="1"/>
      <c r="C357" s="3"/>
      <c r="D357" s="3"/>
      <c r="E357" s="3"/>
      <c r="F357" s="3"/>
      <c r="G357" s="3"/>
      <c r="H357" s="3"/>
      <c r="I357" s="1"/>
      <c r="J357" s="3"/>
      <c r="K357" s="3"/>
    </row>
    <row r="358" spans="2:11" ht="23.25" x14ac:dyDescent="0.35">
      <c r="B358" s="1655" t="s">
        <v>399</v>
      </c>
      <c r="C358" s="1655"/>
      <c r="D358" s="1655"/>
      <c r="E358" s="1655"/>
      <c r="F358" s="1655"/>
      <c r="G358" s="1655"/>
      <c r="H358" s="1655"/>
      <c r="I358" s="1655"/>
      <c r="J358" s="1655"/>
      <c r="K358" s="1655"/>
    </row>
    <row r="359" spans="2:11" ht="23.25" x14ac:dyDescent="0.35">
      <c r="B359" s="1655" t="s">
        <v>400</v>
      </c>
      <c r="C359" s="1655"/>
      <c r="D359" s="1655"/>
      <c r="E359" s="1655"/>
      <c r="F359" s="1655"/>
      <c r="G359" s="1655"/>
      <c r="H359" s="1655"/>
      <c r="I359" s="1655"/>
      <c r="J359" s="1655"/>
      <c r="K359" s="1655"/>
    </row>
    <row r="360" spans="2:11" ht="23.25" x14ac:dyDescent="0.35">
      <c r="B360" s="1810" t="str">
        <f>$B$12</f>
        <v>WG  ST.  NA  DZIEŃ  31. XII. 2011 r.</v>
      </c>
      <c r="C360" s="1810"/>
      <c r="D360" s="1810"/>
      <c r="E360" s="1810"/>
      <c r="F360" s="1810"/>
      <c r="G360" s="1810"/>
      <c r="H360" s="1810"/>
      <c r="I360" s="1810"/>
      <c r="J360" s="1810"/>
      <c r="K360" s="1810"/>
    </row>
    <row r="361" spans="2:11" ht="24" thickBot="1" x14ac:dyDescent="0.4">
      <c r="B361" s="30"/>
      <c r="C361" s="30"/>
      <c r="D361" s="30"/>
      <c r="E361" s="30"/>
      <c r="F361" s="30"/>
      <c r="G361" s="30"/>
      <c r="H361" s="30"/>
      <c r="I361" s="30"/>
      <c r="J361" s="30"/>
      <c r="K361" s="30"/>
    </row>
    <row r="362" spans="2:11" ht="24" thickTop="1" x14ac:dyDescent="0.2">
      <c r="B362" s="31"/>
      <c r="C362" s="1677" t="s">
        <v>3</v>
      </c>
      <c r="D362" s="1678"/>
      <c r="E362" s="1679"/>
      <c r="F362" s="1946" t="s">
        <v>401</v>
      </c>
      <c r="G362" s="1946"/>
      <c r="H362" s="1946"/>
      <c r="I362" s="1946"/>
      <c r="J362" s="1946"/>
      <c r="K362" s="1947"/>
    </row>
    <row r="363" spans="2:11" ht="23.25" x14ac:dyDescent="0.2">
      <c r="B363" s="667" t="s">
        <v>402</v>
      </c>
      <c r="C363" s="34" t="s">
        <v>4</v>
      </c>
      <c r="D363" s="35" t="s">
        <v>39</v>
      </c>
      <c r="E363" s="36" t="s">
        <v>40</v>
      </c>
      <c r="F363" s="1942" t="s">
        <v>403</v>
      </c>
      <c r="G363" s="1943"/>
      <c r="H363" s="1944"/>
      <c r="I363" s="1942" t="s">
        <v>404</v>
      </c>
      <c r="J363" s="1943"/>
      <c r="K363" s="1945"/>
    </row>
    <row r="364" spans="2:11" ht="18" x14ac:dyDescent="0.2">
      <c r="B364" s="37" t="s">
        <v>405</v>
      </c>
      <c r="C364" s="34" t="s">
        <v>406</v>
      </c>
      <c r="D364" s="38" t="s">
        <v>13</v>
      </c>
      <c r="E364" s="36" t="s">
        <v>5</v>
      </c>
      <c r="F364" s="34" t="s">
        <v>0</v>
      </c>
      <c r="G364" s="35" t="s">
        <v>0</v>
      </c>
      <c r="H364" s="36" t="s">
        <v>0</v>
      </c>
      <c r="I364" s="39" t="s">
        <v>0</v>
      </c>
      <c r="J364" s="35" t="s">
        <v>0</v>
      </c>
      <c r="K364" s="40" t="s">
        <v>0</v>
      </c>
    </row>
    <row r="365" spans="2:11" ht="18" x14ac:dyDescent="0.2">
      <c r="B365" s="37"/>
      <c r="C365" s="41" t="s">
        <v>42</v>
      </c>
      <c r="D365" s="42" t="s">
        <v>43</v>
      </c>
      <c r="E365" s="43" t="s">
        <v>44</v>
      </c>
      <c r="F365" s="34" t="s">
        <v>407</v>
      </c>
      <c r="G365" s="38" t="s">
        <v>1</v>
      </c>
      <c r="H365" s="36" t="s">
        <v>45</v>
      </c>
      <c r="I365" s="44" t="s">
        <v>407</v>
      </c>
      <c r="J365" s="45" t="s">
        <v>1</v>
      </c>
      <c r="K365" s="46" t="s">
        <v>45</v>
      </c>
    </row>
    <row r="366" spans="2:11" ht="16.5" thickBot="1" x14ac:dyDescent="0.3">
      <c r="B366" s="47">
        <v>0</v>
      </c>
      <c r="C366" s="48">
        <v>1</v>
      </c>
      <c r="D366" s="49">
        <v>2</v>
      </c>
      <c r="E366" s="50">
        <v>3</v>
      </c>
      <c r="F366" s="48">
        <v>4</v>
      </c>
      <c r="G366" s="49">
        <v>5</v>
      </c>
      <c r="H366" s="50">
        <v>6</v>
      </c>
      <c r="I366" s="48">
        <v>7</v>
      </c>
      <c r="J366" s="49">
        <v>8</v>
      </c>
      <c r="K366" s="51">
        <v>9</v>
      </c>
    </row>
    <row r="367" spans="2:11" ht="27" thickTop="1" x14ac:dyDescent="0.2">
      <c r="B367" s="52" t="s">
        <v>193</v>
      </c>
      <c r="C367" s="711">
        <f>F367+I367</f>
        <v>28</v>
      </c>
      <c r="D367" s="712">
        <f>G367+J367</f>
        <v>797</v>
      </c>
      <c r="E367" s="713">
        <f>H367+K367</f>
        <v>643</v>
      </c>
      <c r="F367" s="711">
        <f t="shared" ref="F367:K367" si="27">SUM(F369:F372)</f>
        <v>6</v>
      </c>
      <c r="G367" s="765">
        <f t="shared" si="27"/>
        <v>168</v>
      </c>
      <c r="H367" s="766">
        <f t="shared" si="27"/>
        <v>168</v>
      </c>
      <c r="I367" s="711">
        <f t="shared" si="27"/>
        <v>22</v>
      </c>
      <c r="J367" s="765">
        <f t="shared" si="27"/>
        <v>629</v>
      </c>
      <c r="K367" s="767">
        <f t="shared" si="27"/>
        <v>475</v>
      </c>
    </row>
    <row r="368" spans="2:11" ht="13.5" thickBot="1" x14ac:dyDescent="0.25">
      <c r="B368" s="53" t="s">
        <v>46</v>
      </c>
      <c r="C368" s="726"/>
      <c r="D368" s="727"/>
      <c r="E368" s="728"/>
      <c r="F368" s="726"/>
      <c r="G368" s="729"/>
      <c r="H368" s="728"/>
      <c r="I368" s="726"/>
      <c r="J368" s="729"/>
      <c r="K368" s="730"/>
    </row>
    <row r="369" spans="1:11" ht="21" thickTop="1" x14ac:dyDescent="0.2">
      <c r="B369" s="56" t="s">
        <v>192</v>
      </c>
      <c r="C369" s="714">
        <f t="shared" ref="C369:E372" si="28">F369+I369</f>
        <v>2</v>
      </c>
      <c r="D369" s="715">
        <f t="shared" si="28"/>
        <v>47</v>
      </c>
      <c r="E369" s="716">
        <f t="shared" si="28"/>
        <v>47</v>
      </c>
      <c r="F369" s="1403">
        <v>1</v>
      </c>
      <c r="G369" s="1404">
        <v>30</v>
      </c>
      <c r="H369" s="1405">
        <v>30</v>
      </c>
      <c r="I369" s="1403">
        <v>1</v>
      </c>
      <c r="J369" s="1404">
        <v>17</v>
      </c>
      <c r="K369" s="1406">
        <v>17</v>
      </c>
    </row>
    <row r="370" spans="1:11" ht="20.25" x14ac:dyDescent="0.2">
      <c r="B370" s="57" t="s">
        <v>408</v>
      </c>
      <c r="C370" s="717">
        <f t="shared" si="28"/>
        <v>0</v>
      </c>
      <c r="D370" s="718">
        <f t="shared" si="28"/>
        <v>0</v>
      </c>
      <c r="E370" s="719">
        <f t="shared" si="28"/>
        <v>0</v>
      </c>
      <c r="F370" s="1407">
        <v>0</v>
      </c>
      <c r="G370" s="1408">
        <v>0</v>
      </c>
      <c r="H370" s="1409">
        <v>0</v>
      </c>
      <c r="I370" s="1407">
        <v>0</v>
      </c>
      <c r="J370" s="1408">
        <v>0</v>
      </c>
      <c r="K370" s="1410">
        <v>0</v>
      </c>
    </row>
    <row r="371" spans="1:11" ht="20.25" x14ac:dyDescent="0.2">
      <c r="B371" s="668" t="s">
        <v>409</v>
      </c>
      <c r="C371" s="720">
        <f t="shared" si="28"/>
        <v>0</v>
      </c>
      <c r="D371" s="721">
        <f t="shared" si="28"/>
        <v>0</v>
      </c>
      <c r="E371" s="722">
        <f t="shared" si="28"/>
        <v>0</v>
      </c>
      <c r="F371" s="1411">
        <v>0</v>
      </c>
      <c r="G371" s="1412">
        <v>0</v>
      </c>
      <c r="H371" s="1413">
        <v>0</v>
      </c>
      <c r="I371" s="1411">
        <v>0</v>
      </c>
      <c r="J371" s="1412">
        <v>0</v>
      </c>
      <c r="K371" s="1414">
        <v>0</v>
      </c>
    </row>
    <row r="372" spans="1:11" ht="21" thickBot="1" x14ac:dyDescent="0.25">
      <c r="B372" s="265" t="s">
        <v>410</v>
      </c>
      <c r="C372" s="723">
        <f t="shared" si="28"/>
        <v>26</v>
      </c>
      <c r="D372" s="724">
        <f t="shared" si="28"/>
        <v>750</v>
      </c>
      <c r="E372" s="725">
        <f t="shared" si="28"/>
        <v>596</v>
      </c>
      <c r="F372" s="1415">
        <v>5</v>
      </c>
      <c r="G372" s="1416">
        <v>138</v>
      </c>
      <c r="H372" s="1417">
        <v>138</v>
      </c>
      <c r="I372" s="1415">
        <v>21</v>
      </c>
      <c r="J372" s="1416">
        <v>612</v>
      </c>
      <c r="K372" s="1418">
        <v>458</v>
      </c>
    </row>
    <row r="373" spans="1:11" ht="21" thickTop="1" x14ac:dyDescent="0.2">
      <c r="B373" s="264"/>
      <c r="C373" s="186"/>
      <c r="D373" s="186"/>
      <c r="E373" s="186"/>
      <c r="F373" s="186"/>
      <c r="G373" s="186"/>
      <c r="H373" s="186"/>
      <c r="I373" s="186"/>
      <c r="J373" s="186"/>
      <c r="K373" s="186"/>
    </row>
    <row r="374" spans="1:11" ht="20.25" x14ac:dyDescent="0.3">
      <c r="B374" s="183"/>
    </row>
    <row r="375" spans="1:11" ht="15.75" x14ac:dyDescent="0.25">
      <c r="B375" s="1" t="s">
        <v>123</v>
      </c>
    </row>
    <row r="376" spans="1:11" x14ac:dyDescent="0.2">
      <c r="B376" s="3" t="s">
        <v>132</v>
      </c>
      <c r="I376" s="1654" t="s">
        <v>133</v>
      </c>
      <c r="J376" s="1654"/>
      <c r="K376" s="1654"/>
    </row>
    <row r="377" spans="1:11" ht="15.75" x14ac:dyDescent="0.25">
      <c r="B377" s="3" t="s">
        <v>411</v>
      </c>
      <c r="I377" s="1604" t="s">
        <v>126</v>
      </c>
      <c r="J377" s="1604"/>
      <c r="K377" s="1604"/>
    </row>
    <row r="379" spans="1:11" ht="23.25" x14ac:dyDescent="0.35">
      <c r="A379" s="358" t="s">
        <v>205</v>
      </c>
      <c r="B379" s="28"/>
      <c r="K379" s="10" t="s">
        <v>398</v>
      </c>
    </row>
    <row r="380" spans="1:11" ht="18" x14ac:dyDescent="0.25">
      <c r="B380" s="11"/>
      <c r="C380" s="3"/>
      <c r="D380" s="3"/>
      <c r="E380" s="3"/>
      <c r="F380" s="3"/>
      <c r="G380" s="3"/>
      <c r="H380" s="3"/>
      <c r="I380" s="11"/>
      <c r="J380" s="3"/>
    </row>
    <row r="381" spans="1:11" ht="18" x14ac:dyDescent="0.25">
      <c r="B381" s="14"/>
      <c r="C381" s="29"/>
      <c r="D381" s="3"/>
      <c r="E381" s="3"/>
      <c r="F381" s="3"/>
      <c r="G381" s="3"/>
      <c r="H381" s="3"/>
      <c r="I381" s="184"/>
      <c r="J381" s="1676" t="str">
        <f>'Tab.1. bilans_Polska'!$E$59</f>
        <v>Termin: 29 luty 2012 r.</v>
      </c>
      <c r="K381" s="1676"/>
    </row>
    <row r="382" spans="1:11" ht="18" x14ac:dyDescent="0.25">
      <c r="B382" s="11"/>
      <c r="C382" s="3"/>
      <c r="D382" s="3"/>
      <c r="E382" s="3"/>
      <c r="F382" s="3"/>
      <c r="G382" s="3"/>
      <c r="H382" s="3"/>
      <c r="I382" s="3"/>
      <c r="J382" s="3"/>
      <c r="K382" s="3"/>
    </row>
    <row r="383" spans="1:11" ht="18" x14ac:dyDescent="0.25">
      <c r="B383" s="11"/>
      <c r="C383" s="3"/>
      <c r="D383" s="3"/>
      <c r="E383" s="3"/>
      <c r="F383" s="3"/>
      <c r="G383" s="3"/>
      <c r="H383" s="3"/>
      <c r="I383" s="3"/>
      <c r="J383" s="3"/>
      <c r="K383" s="3"/>
    </row>
    <row r="384" spans="1:11" ht="18" x14ac:dyDescent="0.25">
      <c r="B384" s="11" t="s">
        <v>130</v>
      </c>
      <c r="C384" s="3"/>
      <c r="D384" s="3"/>
      <c r="E384" s="3"/>
      <c r="F384" s="3"/>
      <c r="G384" s="3"/>
      <c r="H384" s="3"/>
      <c r="I384" s="3"/>
      <c r="J384" s="3"/>
      <c r="K384" s="3"/>
    </row>
    <row r="385" spans="2:11" ht="15.75" x14ac:dyDescent="0.25">
      <c r="B385" s="1" t="s">
        <v>131</v>
      </c>
      <c r="C385" s="3"/>
      <c r="D385" s="3"/>
      <c r="E385" s="3"/>
      <c r="F385" s="3"/>
      <c r="G385" s="3"/>
      <c r="H385" s="3"/>
      <c r="I385" s="3"/>
      <c r="J385" s="3"/>
      <c r="K385" s="3"/>
    </row>
    <row r="386" spans="2:11" ht="15.75" x14ac:dyDescent="0.25">
      <c r="B386" s="1"/>
      <c r="C386" s="3"/>
      <c r="D386" s="3"/>
      <c r="E386" s="3"/>
      <c r="F386" s="3"/>
      <c r="G386" s="3"/>
      <c r="H386" s="3"/>
      <c r="I386" s="1"/>
      <c r="J386" s="3"/>
      <c r="K386" s="3"/>
    </row>
    <row r="387" spans="2:11" ht="23.25" x14ac:dyDescent="0.35">
      <c r="B387" s="1655" t="s">
        <v>399</v>
      </c>
      <c r="C387" s="1655"/>
      <c r="D387" s="1655"/>
      <c r="E387" s="1655"/>
      <c r="F387" s="1655"/>
      <c r="G387" s="1655"/>
      <c r="H387" s="1655"/>
      <c r="I387" s="1655"/>
      <c r="J387" s="1655"/>
      <c r="K387" s="1655"/>
    </row>
    <row r="388" spans="2:11" ht="23.25" x14ac:dyDescent="0.35">
      <c r="B388" s="1655" t="s">
        <v>400</v>
      </c>
      <c r="C388" s="1655"/>
      <c r="D388" s="1655"/>
      <c r="E388" s="1655"/>
      <c r="F388" s="1655"/>
      <c r="G388" s="1655"/>
      <c r="H388" s="1655"/>
      <c r="I388" s="1655"/>
      <c r="J388" s="1655"/>
      <c r="K388" s="1655"/>
    </row>
    <row r="389" spans="2:11" ht="23.25" x14ac:dyDescent="0.35">
      <c r="B389" s="1810" t="str">
        <f>$B$12</f>
        <v>WG  ST.  NA  DZIEŃ  31. XII. 2011 r.</v>
      </c>
      <c r="C389" s="1810"/>
      <c r="D389" s="1810"/>
      <c r="E389" s="1810"/>
      <c r="F389" s="1810"/>
      <c r="G389" s="1810"/>
      <c r="H389" s="1810"/>
      <c r="I389" s="1810"/>
      <c r="J389" s="1810"/>
      <c r="K389" s="1810"/>
    </row>
    <row r="390" spans="2:11" ht="24" thickBot="1" x14ac:dyDescent="0.4">
      <c r="B390" s="30"/>
      <c r="C390" s="30"/>
      <c r="D390" s="30"/>
      <c r="E390" s="30"/>
      <c r="F390" s="30"/>
      <c r="G390" s="30"/>
      <c r="H390" s="30"/>
      <c r="I390" s="30"/>
      <c r="J390" s="30"/>
      <c r="K390" s="30"/>
    </row>
    <row r="391" spans="2:11" ht="24" thickTop="1" x14ac:dyDescent="0.2">
      <c r="B391" s="31"/>
      <c r="C391" s="1677" t="s">
        <v>3</v>
      </c>
      <c r="D391" s="1678"/>
      <c r="E391" s="1679"/>
      <c r="F391" s="1946" t="s">
        <v>401</v>
      </c>
      <c r="G391" s="1946"/>
      <c r="H391" s="1946"/>
      <c r="I391" s="1946"/>
      <c r="J391" s="1946"/>
      <c r="K391" s="1947"/>
    </row>
    <row r="392" spans="2:11" ht="23.25" x14ac:dyDescent="0.2">
      <c r="B392" s="667" t="s">
        <v>402</v>
      </c>
      <c r="C392" s="34" t="s">
        <v>4</v>
      </c>
      <c r="D392" s="35" t="s">
        <v>39</v>
      </c>
      <c r="E392" s="36" t="s">
        <v>40</v>
      </c>
      <c r="F392" s="1942" t="s">
        <v>403</v>
      </c>
      <c r="G392" s="1943"/>
      <c r="H392" s="1944"/>
      <c r="I392" s="1942" t="s">
        <v>404</v>
      </c>
      <c r="J392" s="1943"/>
      <c r="K392" s="1945"/>
    </row>
    <row r="393" spans="2:11" ht="18" x14ac:dyDescent="0.2">
      <c r="B393" s="37" t="s">
        <v>405</v>
      </c>
      <c r="C393" s="34" t="s">
        <v>406</v>
      </c>
      <c r="D393" s="38" t="s">
        <v>13</v>
      </c>
      <c r="E393" s="36" t="s">
        <v>5</v>
      </c>
      <c r="F393" s="34" t="s">
        <v>0</v>
      </c>
      <c r="G393" s="35" t="s">
        <v>0</v>
      </c>
      <c r="H393" s="36" t="s">
        <v>0</v>
      </c>
      <c r="I393" s="39" t="s">
        <v>0</v>
      </c>
      <c r="J393" s="35" t="s">
        <v>0</v>
      </c>
      <c r="K393" s="40" t="s">
        <v>0</v>
      </c>
    </row>
    <row r="394" spans="2:11" ht="18" x14ac:dyDescent="0.2">
      <c r="B394" s="37"/>
      <c r="C394" s="41" t="s">
        <v>42</v>
      </c>
      <c r="D394" s="42" t="s">
        <v>43</v>
      </c>
      <c r="E394" s="43" t="s">
        <v>44</v>
      </c>
      <c r="F394" s="34" t="s">
        <v>407</v>
      </c>
      <c r="G394" s="38" t="s">
        <v>1</v>
      </c>
      <c r="H394" s="36" t="s">
        <v>45</v>
      </c>
      <c r="I394" s="44" t="s">
        <v>407</v>
      </c>
      <c r="J394" s="45" t="s">
        <v>1</v>
      </c>
      <c r="K394" s="46" t="s">
        <v>45</v>
      </c>
    </row>
    <row r="395" spans="2:11" ht="16.5" thickBot="1" x14ac:dyDescent="0.3">
      <c r="B395" s="47">
        <v>0</v>
      </c>
      <c r="C395" s="48">
        <v>1</v>
      </c>
      <c r="D395" s="49">
        <v>2</v>
      </c>
      <c r="E395" s="50">
        <v>3</v>
      </c>
      <c r="F395" s="48">
        <v>4</v>
      </c>
      <c r="G395" s="49">
        <v>5</v>
      </c>
      <c r="H395" s="50">
        <v>6</v>
      </c>
      <c r="I395" s="48">
        <v>7</v>
      </c>
      <c r="J395" s="49">
        <v>8</v>
      </c>
      <c r="K395" s="51">
        <v>9</v>
      </c>
    </row>
    <row r="396" spans="2:11" ht="27" thickTop="1" x14ac:dyDescent="0.2">
      <c r="B396" s="52" t="s">
        <v>193</v>
      </c>
      <c r="C396" s="711">
        <f>F396+I396</f>
        <v>8</v>
      </c>
      <c r="D396" s="712">
        <f>G396+J396</f>
        <v>301</v>
      </c>
      <c r="E396" s="713">
        <f>H396+K396</f>
        <v>179</v>
      </c>
      <c r="F396" s="711">
        <f t="shared" ref="F396:K396" si="29">SUM(F398:F401)</f>
        <v>1</v>
      </c>
      <c r="G396" s="765">
        <f t="shared" si="29"/>
        <v>24</v>
      </c>
      <c r="H396" s="766">
        <f t="shared" si="29"/>
        <v>21</v>
      </c>
      <c r="I396" s="711">
        <f t="shared" si="29"/>
        <v>7</v>
      </c>
      <c r="J396" s="765">
        <f t="shared" si="29"/>
        <v>277</v>
      </c>
      <c r="K396" s="767">
        <f t="shared" si="29"/>
        <v>158</v>
      </c>
    </row>
    <row r="397" spans="2:11" ht="13.5" thickBot="1" x14ac:dyDescent="0.25">
      <c r="B397" s="53" t="s">
        <v>46</v>
      </c>
      <c r="C397" s="726"/>
      <c r="D397" s="727"/>
      <c r="E397" s="728"/>
      <c r="F397" s="726"/>
      <c r="G397" s="729"/>
      <c r="H397" s="728"/>
      <c r="I397" s="726"/>
      <c r="J397" s="729"/>
      <c r="K397" s="730"/>
    </row>
    <row r="398" spans="2:11" ht="21" thickTop="1" x14ac:dyDescent="0.2">
      <c r="B398" s="56" t="s">
        <v>192</v>
      </c>
      <c r="C398" s="714">
        <f t="shared" ref="C398:E401" si="30">F398+I398</f>
        <v>5</v>
      </c>
      <c r="D398" s="715">
        <f t="shared" si="30"/>
        <v>167</v>
      </c>
      <c r="E398" s="716">
        <f t="shared" si="30"/>
        <v>160</v>
      </c>
      <c r="F398" s="1403">
        <v>1</v>
      </c>
      <c r="G398" s="1404">
        <v>24</v>
      </c>
      <c r="H398" s="1405">
        <v>21</v>
      </c>
      <c r="I398" s="1403">
        <v>4</v>
      </c>
      <c r="J398" s="1404">
        <v>143</v>
      </c>
      <c r="K398" s="1406">
        <v>139</v>
      </c>
    </row>
    <row r="399" spans="2:11" ht="20.25" x14ac:dyDescent="0.2">
      <c r="B399" s="57" t="s">
        <v>408</v>
      </c>
      <c r="C399" s="717">
        <f t="shared" si="30"/>
        <v>0</v>
      </c>
      <c r="D399" s="718">
        <f t="shared" si="30"/>
        <v>0</v>
      </c>
      <c r="E399" s="719">
        <f t="shared" si="30"/>
        <v>0</v>
      </c>
      <c r="F399" s="1407">
        <v>0</v>
      </c>
      <c r="G399" s="1408">
        <v>0</v>
      </c>
      <c r="H399" s="1409">
        <v>0</v>
      </c>
      <c r="I399" s="1407">
        <v>0</v>
      </c>
      <c r="J399" s="1408">
        <v>0</v>
      </c>
      <c r="K399" s="1410">
        <v>0</v>
      </c>
    </row>
    <row r="400" spans="2:11" ht="20.25" x14ac:dyDescent="0.2">
      <c r="B400" s="668" t="s">
        <v>409</v>
      </c>
      <c r="C400" s="720">
        <f t="shared" si="30"/>
        <v>0</v>
      </c>
      <c r="D400" s="721">
        <f t="shared" si="30"/>
        <v>0</v>
      </c>
      <c r="E400" s="722">
        <f t="shared" si="30"/>
        <v>0</v>
      </c>
      <c r="F400" s="1411">
        <v>0</v>
      </c>
      <c r="G400" s="1412">
        <v>0</v>
      </c>
      <c r="H400" s="1413">
        <v>0</v>
      </c>
      <c r="I400" s="1411">
        <v>0</v>
      </c>
      <c r="J400" s="1412">
        <v>0</v>
      </c>
      <c r="K400" s="1414">
        <v>0</v>
      </c>
    </row>
    <row r="401" spans="1:11" ht="21" thickBot="1" x14ac:dyDescent="0.25">
      <c r="B401" s="265" t="s">
        <v>410</v>
      </c>
      <c r="C401" s="723">
        <f t="shared" si="30"/>
        <v>3</v>
      </c>
      <c r="D401" s="724">
        <f t="shared" si="30"/>
        <v>134</v>
      </c>
      <c r="E401" s="725">
        <f t="shared" si="30"/>
        <v>19</v>
      </c>
      <c r="F401" s="1415">
        <v>0</v>
      </c>
      <c r="G401" s="1416">
        <v>0</v>
      </c>
      <c r="H401" s="1417">
        <v>0</v>
      </c>
      <c r="I401" s="1415">
        <v>3</v>
      </c>
      <c r="J401" s="1416">
        <v>134</v>
      </c>
      <c r="K401" s="1418">
        <v>19</v>
      </c>
    </row>
    <row r="402" spans="1:11" ht="21" thickTop="1" x14ac:dyDescent="0.2">
      <c r="B402" s="264"/>
      <c r="C402" s="186"/>
      <c r="D402" s="186"/>
      <c r="E402" s="186"/>
      <c r="F402" s="186"/>
      <c r="G402" s="186"/>
      <c r="H402" s="186"/>
      <c r="I402" s="186"/>
      <c r="J402" s="186"/>
      <c r="K402" s="186"/>
    </row>
    <row r="403" spans="1:11" ht="20.25" x14ac:dyDescent="0.3">
      <c r="B403" s="183"/>
    </row>
    <row r="404" spans="1:11" ht="15.75" x14ac:dyDescent="0.25">
      <c r="B404" s="1" t="s">
        <v>123</v>
      </c>
    </row>
    <row r="405" spans="1:11" x14ac:dyDescent="0.2">
      <c r="B405" s="3" t="s">
        <v>132</v>
      </c>
      <c r="I405" s="1654" t="s">
        <v>133</v>
      </c>
      <c r="J405" s="1654"/>
      <c r="K405" s="1654"/>
    </row>
    <row r="406" spans="1:11" ht="15.75" x14ac:dyDescent="0.25">
      <c r="B406" s="3" t="s">
        <v>411</v>
      </c>
      <c r="I406" s="1604" t="s">
        <v>126</v>
      </c>
      <c r="J406" s="1604"/>
      <c r="K406" s="1604"/>
    </row>
    <row r="407" spans="1:11" ht="20.25" x14ac:dyDescent="0.2">
      <c r="A407" s="358" t="s">
        <v>206</v>
      </c>
    </row>
    <row r="408" spans="1:11" ht="23.25" x14ac:dyDescent="0.35">
      <c r="B408" s="28"/>
      <c r="K408" s="10" t="s">
        <v>398</v>
      </c>
    </row>
    <row r="409" spans="1:11" ht="18" x14ac:dyDescent="0.25">
      <c r="B409" s="11"/>
      <c r="C409" s="3"/>
      <c r="D409" s="3"/>
      <c r="E409" s="3"/>
      <c r="F409" s="3"/>
      <c r="G409" s="3"/>
      <c r="H409" s="3"/>
      <c r="I409" s="11"/>
      <c r="J409" s="3"/>
    </row>
    <row r="410" spans="1:11" ht="18" x14ac:dyDescent="0.25">
      <c r="B410" s="14"/>
      <c r="C410" s="29"/>
      <c r="D410" s="3"/>
      <c r="E410" s="3"/>
      <c r="F410" s="3"/>
      <c r="G410" s="3"/>
      <c r="H410" s="3"/>
      <c r="I410" s="184"/>
      <c r="J410" s="1676" t="str">
        <f>'Tab.1. bilans_Polska'!$E$59</f>
        <v>Termin: 29 luty 2012 r.</v>
      </c>
      <c r="K410" s="1676"/>
    </row>
    <row r="411" spans="1:11" ht="18" x14ac:dyDescent="0.25">
      <c r="B411" s="11"/>
      <c r="C411" s="3"/>
      <c r="D411" s="3"/>
      <c r="E411" s="3"/>
      <c r="F411" s="3"/>
      <c r="G411" s="3"/>
      <c r="H411" s="3"/>
      <c r="I411" s="3"/>
      <c r="J411" s="3"/>
      <c r="K411" s="3"/>
    </row>
    <row r="412" spans="1:11" ht="18" x14ac:dyDescent="0.25">
      <c r="B412" s="11"/>
      <c r="C412" s="3"/>
      <c r="D412" s="3"/>
      <c r="E412" s="3"/>
      <c r="F412" s="3"/>
      <c r="G412" s="3"/>
      <c r="H412" s="3"/>
      <c r="I412" s="3"/>
      <c r="J412" s="3"/>
      <c r="K412" s="3"/>
    </row>
    <row r="413" spans="1:11" ht="18" x14ac:dyDescent="0.25">
      <c r="B413" s="11" t="s">
        <v>130</v>
      </c>
      <c r="C413" s="3"/>
      <c r="D413" s="3"/>
      <c r="E413" s="3"/>
      <c r="F413" s="3"/>
      <c r="G413" s="3"/>
      <c r="H413" s="3"/>
      <c r="I413" s="3"/>
      <c r="J413" s="3"/>
      <c r="K413" s="3"/>
    </row>
    <row r="414" spans="1:11" ht="15.75" x14ac:dyDescent="0.25">
      <c r="B414" s="1" t="s">
        <v>131</v>
      </c>
      <c r="C414" s="3"/>
      <c r="D414" s="3"/>
      <c r="E414" s="3"/>
      <c r="F414" s="3"/>
      <c r="G414" s="3"/>
      <c r="H414" s="3"/>
      <c r="I414" s="3"/>
      <c r="J414" s="3"/>
      <c r="K414" s="3"/>
    </row>
    <row r="415" spans="1:11" ht="15.75" x14ac:dyDescent="0.25">
      <c r="B415" s="1"/>
      <c r="C415" s="3"/>
      <c r="D415" s="3"/>
      <c r="E415" s="3"/>
      <c r="F415" s="3"/>
      <c r="G415" s="3"/>
      <c r="H415" s="3"/>
      <c r="I415" s="1"/>
      <c r="J415" s="3"/>
      <c r="K415" s="3"/>
    </row>
    <row r="416" spans="1:11" ht="23.25" x14ac:dyDescent="0.35">
      <c r="B416" s="1655" t="s">
        <v>399</v>
      </c>
      <c r="C416" s="1655"/>
      <c r="D416" s="1655"/>
      <c r="E416" s="1655"/>
      <c r="F416" s="1655"/>
      <c r="G416" s="1655"/>
      <c r="H416" s="1655"/>
      <c r="I416" s="1655"/>
      <c r="J416" s="1655"/>
      <c r="K416" s="1655"/>
    </row>
    <row r="417" spans="2:11" ht="23.25" x14ac:dyDescent="0.35">
      <c r="B417" s="1655" t="s">
        <v>400</v>
      </c>
      <c r="C417" s="1655"/>
      <c r="D417" s="1655"/>
      <c r="E417" s="1655"/>
      <c r="F417" s="1655"/>
      <c r="G417" s="1655"/>
      <c r="H417" s="1655"/>
      <c r="I417" s="1655"/>
      <c r="J417" s="1655"/>
      <c r="K417" s="1655"/>
    </row>
    <row r="418" spans="2:11" ht="23.25" x14ac:dyDescent="0.35">
      <c r="B418" s="1810" t="str">
        <f>$B$12</f>
        <v>WG  ST.  NA  DZIEŃ  31. XII. 2011 r.</v>
      </c>
      <c r="C418" s="1810"/>
      <c r="D418" s="1810"/>
      <c r="E418" s="1810"/>
      <c r="F418" s="1810"/>
      <c r="G418" s="1810"/>
      <c r="H418" s="1810"/>
      <c r="I418" s="1810"/>
      <c r="J418" s="1810"/>
      <c r="K418" s="1810"/>
    </row>
    <row r="419" spans="2:11" ht="24" thickBot="1" x14ac:dyDescent="0.4">
      <c r="B419" s="30"/>
      <c r="C419" s="30"/>
      <c r="D419" s="30"/>
      <c r="E419" s="30"/>
      <c r="F419" s="30"/>
      <c r="G419" s="30"/>
      <c r="H419" s="30"/>
      <c r="I419" s="30"/>
      <c r="J419" s="30"/>
      <c r="K419" s="30"/>
    </row>
    <row r="420" spans="2:11" ht="24" thickTop="1" x14ac:dyDescent="0.2">
      <c r="B420" s="31"/>
      <c r="C420" s="1677" t="s">
        <v>3</v>
      </c>
      <c r="D420" s="1678"/>
      <c r="E420" s="1679"/>
      <c r="F420" s="1946" t="s">
        <v>401</v>
      </c>
      <c r="G420" s="1946"/>
      <c r="H420" s="1946"/>
      <c r="I420" s="1946"/>
      <c r="J420" s="1946"/>
      <c r="K420" s="1947"/>
    </row>
    <row r="421" spans="2:11" ht="23.25" x14ac:dyDescent="0.2">
      <c r="B421" s="667" t="s">
        <v>402</v>
      </c>
      <c r="C421" s="34" t="s">
        <v>4</v>
      </c>
      <c r="D421" s="35" t="s">
        <v>39</v>
      </c>
      <c r="E421" s="36" t="s">
        <v>40</v>
      </c>
      <c r="F421" s="1942" t="s">
        <v>403</v>
      </c>
      <c r="G421" s="1943"/>
      <c r="H421" s="1944"/>
      <c r="I421" s="1942" t="s">
        <v>404</v>
      </c>
      <c r="J421" s="1943"/>
      <c r="K421" s="1945"/>
    </row>
    <row r="422" spans="2:11" ht="18" x14ac:dyDescent="0.2">
      <c r="B422" s="37" t="s">
        <v>405</v>
      </c>
      <c r="C422" s="34" t="s">
        <v>406</v>
      </c>
      <c r="D422" s="38" t="s">
        <v>13</v>
      </c>
      <c r="E422" s="36" t="s">
        <v>5</v>
      </c>
      <c r="F422" s="34" t="s">
        <v>0</v>
      </c>
      <c r="G422" s="35" t="s">
        <v>0</v>
      </c>
      <c r="H422" s="36" t="s">
        <v>0</v>
      </c>
      <c r="I422" s="39" t="s">
        <v>0</v>
      </c>
      <c r="J422" s="35" t="s">
        <v>0</v>
      </c>
      <c r="K422" s="40" t="s">
        <v>0</v>
      </c>
    </row>
    <row r="423" spans="2:11" ht="18" x14ac:dyDescent="0.2">
      <c r="B423" s="37"/>
      <c r="C423" s="41" t="s">
        <v>42</v>
      </c>
      <c r="D423" s="42" t="s">
        <v>43</v>
      </c>
      <c r="E423" s="43" t="s">
        <v>44</v>
      </c>
      <c r="F423" s="34" t="s">
        <v>407</v>
      </c>
      <c r="G423" s="38" t="s">
        <v>1</v>
      </c>
      <c r="H423" s="36" t="s">
        <v>45</v>
      </c>
      <c r="I423" s="44" t="s">
        <v>407</v>
      </c>
      <c r="J423" s="45" t="s">
        <v>1</v>
      </c>
      <c r="K423" s="46" t="s">
        <v>45</v>
      </c>
    </row>
    <row r="424" spans="2:11" ht="16.5" thickBot="1" x14ac:dyDescent="0.3">
      <c r="B424" s="47">
        <v>0</v>
      </c>
      <c r="C424" s="48">
        <v>1</v>
      </c>
      <c r="D424" s="49">
        <v>2</v>
      </c>
      <c r="E424" s="50">
        <v>3</v>
      </c>
      <c r="F424" s="48">
        <v>4</v>
      </c>
      <c r="G424" s="49">
        <v>5</v>
      </c>
      <c r="H424" s="50">
        <v>6</v>
      </c>
      <c r="I424" s="48">
        <v>7</v>
      </c>
      <c r="J424" s="49">
        <v>8</v>
      </c>
      <c r="K424" s="51">
        <v>9</v>
      </c>
    </row>
    <row r="425" spans="2:11" ht="27" thickTop="1" x14ac:dyDescent="0.2">
      <c r="B425" s="52" t="s">
        <v>193</v>
      </c>
      <c r="C425" s="711">
        <f>F425+I425</f>
        <v>8</v>
      </c>
      <c r="D425" s="712">
        <f>G425+J425</f>
        <v>215</v>
      </c>
      <c r="E425" s="713">
        <f>H425+K425</f>
        <v>170</v>
      </c>
      <c r="F425" s="711">
        <f t="shared" ref="F425:K425" si="31">SUM(F427:F430)</f>
        <v>3</v>
      </c>
      <c r="G425" s="765">
        <f t="shared" si="31"/>
        <v>115</v>
      </c>
      <c r="H425" s="766">
        <f t="shared" si="31"/>
        <v>94</v>
      </c>
      <c r="I425" s="711">
        <f t="shared" si="31"/>
        <v>5</v>
      </c>
      <c r="J425" s="765">
        <f t="shared" si="31"/>
        <v>100</v>
      </c>
      <c r="K425" s="767">
        <f t="shared" si="31"/>
        <v>76</v>
      </c>
    </row>
    <row r="426" spans="2:11" ht="13.5" thickBot="1" x14ac:dyDescent="0.25">
      <c r="B426" s="53" t="s">
        <v>46</v>
      </c>
      <c r="C426" s="726"/>
      <c r="D426" s="727"/>
      <c r="E426" s="728"/>
      <c r="F426" s="726"/>
      <c r="G426" s="729"/>
      <c r="H426" s="728"/>
      <c r="I426" s="726"/>
      <c r="J426" s="729"/>
      <c r="K426" s="730"/>
    </row>
    <row r="427" spans="2:11" ht="21" thickTop="1" x14ac:dyDescent="0.2">
      <c r="B427" s="56" t="s">
        <v>192</v>
      </c>
      <c r="C427" s="714">
        <f t="shared" ref="C427:E430" si="32">F427+I427</f>
        <v>7</v>
      </c>
      <c r="D427" s="715">
        <f t="shared" si="32"/>
        <v>200</v>
      </c>
      <c r="E427" s="716">
        <f t="shared" si="32"/>
        <v>152</v>
      </c>
      <c r="F427" s="1403">
        <v>2</v>
      </c>
      <c r="G427" s="1404">
        <v>100</v>
      </c>
      <c r="H427" s="1405">
        <v>76</v>
      </c>
      <c r="I427" s="1403">
        <v>5</v>
      </c>
      <c r="J427" s="1404">
        <v>100</v>
      </c>
      <c r="K427" s="1406">
        <v>76</v>
      </c>
    </row>
    <row r="428" spans="2:11" ht="20.25" x14ac:dyDescent="0.2">
      <c r="B428" s="57" t="s">
        <v>408</v>
      </c>
      <c r="C428" s="717">
        <f t="shared" si="32"/>
        <v>1</v>
      </c>
      <c r="D428" s="718">
        <f t="shared" si="32"/>
        <v>15</v>
      </c>
      <c r="E428" s="719">
        <f t="shared" si="32"/>
        <v>18</v>
      </c>
      <c r="F428" s="1407">
        <v>1</v>
      </c>
      <c r="G428" s="1408">
        <v>15</v>
      </c>
      <c r="H428" s="1409">
        <v>18</v>
      </c>
      <c r="I428" s="1407">
        <v>0</v>
      </c>
      <c r="J428" s="1408">
        <v>0</v>
      </c>
      <c r="K428" s="1410">
        <v>0</v>
      </c>
    </row>
    <row r="429" spans="2:11" ht="20.25" x14ac:dyDescent="0.2">
      <c r="B429" s="668" t="s">
        <v>409</v>
      </c>
      <c r="C429" s="720">
        <f t="shared" si="32"/>
        <v>0</v>
      </c>
      <c r="D429" s="721">
        <f t="shared" si="32"/>
        <v>0</v>
      </c>
      <c r="E429" s="722">
        <f t="shared" si="32"/>
        <v>0</v>
      </c>
      <c r="F429" s="1411">
        <v>0</v>
      </c>
      <c r="G429" s="1412">
        <v>0</v>
      </c>
      <c r="H429" s="1413">
        <v>0</v>
      </c>
      <c r="I429" s="1411">
        <v>0</v>
      </c>
      <c r="J429" s="1412">
        <v>0</v>
      </c>
      <c r="K429" s="1414">
        <v>0</v>
      </c>
    </row>
    <row r="430" spans="2:11" ht="21" thickBot="1" x14ac:dyDescent="0.25">
      <c r="B430" s="265" t="s">
        <v>410</v>
      </c>
      <c r="C430" s="723">
        <f t="shared" si="32"/>
        <v>0</v>
      </c>
      <c r="D430" s="724">
        <f t="shared" si="32"/>
        <v>0</v>
      </c>
      <c r="E430" s="725">
        <f t="shared" si="32"/>
        <v>0</v>
      </c>
      <c r="F430" s="1415">
        <v>0</v>
      </c>
      <c r="G430" s="1416">
        <v>0</v>
      </c>
      <c r="H430" s="1417">
        <v>0</v>
      </c>
      <c r="I430" s="1415">
        <v>0</v>
      </c>
      <c r="J430" s="1416">
        <v>0</v>
      </c>
      <c r="K430" s="1418">
        <v>0</v>
      </c>
    </row>
    <row r="431" spans="2:11" ht="21" thickTop="1" x14ac:dyDescent="0.2">
      <c r="B431" s="264"/>
      <c r="C431" s="186"/>
      <c r="D431" s="186"/>
      <c r="E431" s="186"/>
      <c r="F431" s="186"/>
      <c r="G431" s="186"/>
      <c r="H431" s="186"/>
      <c r="I431" s="186"/>
      <c r="J431" s="186"/>
      <c r="K431" s="186"/>
    </row>
    <row r="432" spans="2:11" ht="20.25" x14ac:dyDescent="0.3">
      <c r="B432" s="183"/>
    </row>
    <row r="433" spans="1:11" ht="15.75" x14ac:dyDescent="0.25">
      <c r="B433" s="1" t="s">
        <v>123</v>
      </c>
    </row>
    <row r="434" spans="1:11" x14ac:dyDescent="0.2">
      <c r="B434" s="3" t="s">
        <v>132</v>
      </c>
      <c r="I434" s="1654" t="s">
        <v>133</v>
      </c>
      <c r="J434" s="1654"/>
      <c r="K434" s="1654"/>
    </row>
    <row r="435" spans="1:11" ht="15.75" x14ac:dyDescent="0.25">
      <c r="B435" s="3" t="s">
        <v>411</v>
      </c>
      <c r="I435" s="1604" t="s">
        <v>126</v>
      </c>
      <c r="J435" s="1604"/>
      <c r="K435" s="1604"/>
    </row>
    <row r="437" spans="1:11" ht="23.25" x14ac:dyDescent="0.35">
      <c r="A437" s="358" t="s">
        <v>207</v>
      </c>
      <c r="B437" s="28"/>
      <c r="K437" s="10" t="s">
        <v>398</v>
      </c>
    </row>
    <row r="438" spans="1:11" ht="18" x14ac:dyDescent="0.25">
      <c r="B438" s="11"/>
      <c r="C438" s="3"/>
      <c r="D438" s="3"/>
      <c r="E438" s="3"/>
      <c r="F438" s="3"/>
      <c r="G438" s="3"/>
      <c r="H438" s="3"/>
      <c r="I438" s="11"/>
      <c r="J438" s="3"/>
    </row>
    <row r="439" spans="1:11" ht="18" x14ac:dyDescent="0.25">
      <c r="B439" s="14"/>
      <c r="C439" s="29"/>
      <c r="D439" s="3"/>
      <c r="E439" s="3"/>
      <c r="F439" s="3"/>
      <c r="G439" s="3"/>
      <c r="H439" s="3"/>
      <c r="I439" s="184"/>
      <c r="J439" s="1676" t="str">
        <f>'Tab.1. bilans_Polska'!$E$59</f>
        <v>Termin: 29 luty 2012 r.</v>
      </c>
      <c r="K439" s="1676"/>
    </row>
    <row r="440" spans="1:11" ht="18" x14ac:dyDescent="0.25">
      <c r="B440" s="11"/>
      <c r="C440" s="3"/>
      <c r="D440" s="3"/>
      <c r="E440" s="3"/>
      <c r="F440" s="3"/>
      <c r="G440" s="3"/>
      <c r="H440" s="3"/>
      <c r="I440" s="3"/>
      <c r="J440" s="3"/>
      <c r="K440" s="3"/>
    </row>
    <row r="441" spans="1:11" ht="18" x14ac:dyDescent="0.25">
      <c r="B441" s="11"/>
      <c r="C441" s="3"/>
      <c r="D441" s="3"/>
      <c r="E441" s="3"/>
      <c r="F441" s="3"/>
      <c r="G441" s="3"/>
      <c r="H441" s="3"/>
      <c r="I441" s="3"/>
      <c r="J441" s="3"/>
      <c r="K441" s="3"/>
    </row>
    <row r="442" spans="1:11" ht="18" x14ac:dyDescent="0.25">
      <c r="B442" s="11" t="s">
        <v>130</v>
      </c>
      <c r="C442" s="3"/>
      <c r="D442" s="3"/>
      <c r="E442" s="3"/>
      <c r="F442" s="3"/>
      <c r="G442" s="3"/>
      <c r="H442" s="3"/>
      <c r="I442" s="3"/>
      <c r="J442" s="3"/>
      <c r="K442" s="3"/>
    </row>
    <row r="443" spans="1:11" ht="15.75" x14ac:dyDescent="0.25">
      <c r="B443" s="1" t="s">
        <v>131</v>
      </c>
      <c r="C443" s="3"/>
      <c r="D443" s="3"/>
      <c r="E443" s="3"/>
      <c r="F443" s="3"/>
      <c r="G443" s="3"/>
      <c r="H443" s="3"/>
      <c r="I443" s="3"/>
      <c r="J443" s="3"/>
      <c r="K443" s="3"/>
    </row>
    <row r="444" spans="1:11" ht="15.75" x14ac:dyDescent="0.25">
      <c r="B444" s="1"/>
      <c r="C444" s="3"/>
      <c r="D444" s="3"/>
      <c r="E444" s="3"/>
      <c r="F444" s="3"/>
      <c r="G444" s="3"/>
      <c r="H444" s="3"/>
      <c r="I444" s="1"/>
      <c r="J444" s="3"/>
      <c r="K444" s="3"/>
    </row>
    <row r="445" spans="1:11" ht="23.25" x14ac:dyDescent="0.35">
      <c r="B445" s="1655" t="s">
        <v>399</v>
      </c>
      <c r="C445" s="1655"/>
      <c r="D445" s="1655"/>
      <c r="E445" s="1655"/>
      <c r="F445" s="1655"/>
      <c r="G445" s="1655"/>
      <c r="H445" s="1655"/>
      <c r="I445" s="1655"/>
      <c r="J445" s="1655"/>
      <c r="K445" s="1655"/>
    </row>
    <row r="446" spans="1:11" ht="23.25" x14ac:dyDescent="0.35">
      <c r="B446" s="1655" t="s">
        <v>400</v>
      </c>
      <c r="C446" s="1655"/>
      <c r="D446" s="1655"/>
      <c r="E446" s="1655"/>
      <c r="F446" s="1655"/>
      <c r="G446" s="1655"/>
      <c r="H446" s="1655"/>
      <c r="I446" s="1655"/>
      <c r="J446" s="1655"/>
      <c r="K446" s="1655"/>
    </row>
    <row r="447" spans="1:11" ht="23.25" x14ac:dyDescent="0.35">
      <c r="B447" s="1810" t="str">
        <f>$B$12</f>
        <v>WG  ST.  NA  DZIEŃ  31. XII. 2011 r.</v>
      </c>
      <c r="C447" s="1810"/>
      <c r="D447" s="1810"/>
      <c r="E447" s="1810"/>
      <c r="F447" s="1810"/>
      <c r="G447" s="1810"/>
      <c r="H447" s="1810"/>
      <c r="I447" s="1810"/>
      <c r="J447" s="1810"/>
      <c r="K447" s="1810"/>
    </row>
    <row r="448" spans="1:11" ht="24" thickBot="1" x14ac:dyDescent="0.4">
      <c r="B448" s="30"/>
      <c r="C448" s="30"/>
      <c r="D448" s="30"/>
      <c r="E448" s="30"/>
      <c r="F448" s="30"/>
      <c r="G448" s="30"/>
      <c r="H448" s="30"/>
      <c r="I448" s="30"/>
      <c r="J448" s="30"/>
      <c r="K448" s="30"/>
    </row>
    <row r="449" spans="2:11" ht="24" thickTop="1" x14ac:dyDescent="0.2">
      <c r="B449" s="31"/>
      <c r="C449" s="1677" t="s">
        <v>3</v>
      </c>
      <c r="D449" s="1678"/>
      <c r="E449" s="1679"/>
      <c r="F449" s="1946" t="s">
        <v>401</v>
      </c>
      <c r="G449" s="1946"/>
      <c r="H449" s="1946"/>
      <c r="I449" s="1946"/>
      <c r="J449" s="1946"/>
      <c r="K449" s="1947"/>
    </row>
    <row r="450" spans="2:11" ht="23.25" x14ac:dyDescent="0.2">
      <c r="B450" s="667" t="s">
        <v>402</v>
      </c>
      <c r="C450" s="34" t="s">
        <v>4</v>
      </c>
      <c r="D450" s="35" t="s">
        <v>39</v>
      </c>
      <c r="E450" s="36" t="s">
        <v>40</v>
      </c>
      <c r="F450" s="1942" t="s">
        <v>403</v>
      </c>
      <c r="G450" s="1943"/>
      <c r="H450" s="1944"/>
      <c r="I450" s="1942" t="s">
        <v>404</v>
      </c>
      <c r="J450" s="1943"/>
      <c r="K450" s="1945"/>
    </row>
    <row r="451" spans="2:11" ht="18" x14ac:dyDescent="0.2">
      <c r="B451" s="37" t="s">
        <v>405</v>
      </c>
      <c r="C451" s="34" t="s">
        <v>406</v>
      </c>
      <c r="D451" s="38" t="s">
        <v>13</v>
      </c>
      <c r="E451" s="36" t="s">
        <v>5</v>
      </c>
      <c r="F451" s="34" t="s">
        <v>0</v>
      </c>
      <c r="G451" s="35" t="s">
        <v>0</v>
      </c>
      <c r="H451" s="36" t="s">
        <v>0</v>
      </c>
      <c r="I451" s="39" t="s">
        <v>0</v>
      </c>
      <c r="J451" s="35" t="s">
        <v>0</v>
      </c>
      <c r="K451" s="40" t="s">
        <v>0</v>
      </c>
    </row>
    <row r="452" spans="2:11" ht="18" x14ac:dyDescent="0.2">
      <c r="B452" s="37"/>
      <c r="C452" s="41" t="s">
        <v>42</v>
      </c>
      <c r="D452" s="42" t="s">
        <v>43</v>
      </c>
      <c r="E452" s="43" t="s">
        <v>44</v>
      </c>
      <c r="F452" s="34" t="s">
        <v>407</v>
      </c>
      <c r="G452" s="38" t="s">
        <v>1</v>
      </c>
      <c r="H452" s="36" t="s">
        <v>45</v>
      </c>
      <c r="I452" s="44" t="s">
        <v>407</v>
      </c>
      <c r="J452" s="45" t="s">
        <v>1</v>
      </c>
      <c r="K452" s="46" t="s">
        <v>45</v>
      </c>
    </row>
    <row r="453" spans="2:11" ht="16.5" thickBot="1" x14ac:dyDescent="0.3">
      <c r="B453" s="47">
        <v>0</v>
      </c>
      <c r="C453" s="48">
        <v>1</v>
      </c>
      <c r="D453" s="49">
        <v>2</v>
      </c>
      <c r="E453" s="50">
        <v>3</v>
      </c>
      <c r="F453" s="48">
        <v>4</v>
      </c>
      <c r="G453" s="49">
        <v>5</v>
      </c>
      <c r="H453" s="50">
        <v>6</v>
      </c>
      <c r="I453" s="48">
        <v>7</v>
      </c>
      <c r="J453" s="49">
        <v>8</v>
      </c>
      <c r="K453" s="51">
        <v>9</v>
      </c>
    </row>
    <row r="454" spans="2:11" ht="27" thickTop="1" x14ac:dyDescent="0.2">
      <c r="B454" s="52" t="s">
        <v>193</v>
      </c>
      <c r="C454" s="711">
        <f>F454+I454</f>
        <v>11</v>
      </c>
      <c r="D454" s="712">
        <f>G454+J454</f>
        <v>203</v>
      </c>
      <c r="E454" s="713">
        <f>H454+K454</f>
        <v>199</v>
      </c>
      <c r="F454" s="711">
        <f t="shared" ref="F454:K454" si="33">SUM(F456:F459)</f>
        <v>2</v>
      </c>
      <c r="G454" s="765">
        <f t="shared" si="33"/>
        <v>32</v>
      </c>
      <c r="H454" s="766">
        <f t="shared" si="33"/>
        <v>32</v>
      </c>
      <c r="I454" s="711">
        <f t="shared" si="33"/>
        <v>9</v>
      </c>
      <c r="J454" s="765">
        <f t="shared" si="33"/>
        <v>171</v>
      </c>
      <c r="K454" s="767">
        <f t="shared" si="33"/>
        <v>167</v>
      </c>
    </row>
    <row r="455" spans="2:11" ht="13.5" thickBot="1" x14ac:dyDescent="0.25">
      <c r="B455" s="53" t="s">
        <v>46</v>
      </c>
      <c r="C455" s="726"/>
      <c r="D455" s="727"/>
      <c r="E455" s="728"/>
      <c r="F455" s="726"/>
      <c r="G455" s="729"/>
      <c r="H455" s="728"/>
      <c r="I455" s="726"/>
      <c r="J455" s="729"/>
      <c r="K455" s="730"/>
    </row>
    <row r="456" spans="2:11" ht="21" thickTop="1" x14ac:dyDescent="0.2">
      <c r="B456" s="56" t="s">
        <v>192</v>
      </c>
      <c r="C456" s="714">
        <f t="shared" ref="C456:E459" si="34">F456+I456</f>
        <v>8</v>
      </c>
      <c r="D456" s="715">
        <f t="shared" si="34"/>
        <v>161</v>
      </c>
      <c r="E456" s="716">
        <f t="shared" si="34"/>
        <v>158</v>
      </c>
      <c r="F456" s="1403">
        <v>0</v>
      </c>
      <c r="G456" s="1404">
        <v>0</v>
      </c>
      <c r="H456" s="1405">
        <v>0</v>
      </c>
      <c r="I456" s="1403">
        <v>8</v>
      </c>
      <c r="J456" s="1404">
        <v>161</v>
      </c>
      <c r="K456" s="1406">
        <v>158</v>
      </c>
    </row>
    <row r="457" spans="2:11" ht="20.25" x14ac:dyDescent="0.2">
      <c r="B457" s="57" t="s">
        <v>408</v>
      </c>
      <c r="C457" s="717">
        <f t="shared" si="34"/>
        <v>2</v>
      </c>
      <c r="D457" s="718">
        <f t="shared" si="34"/>
        <v>30</v>
      </c>
      <c r="E457" s="719">
        <f t="shared" si="34"/>
        <v>29</v>
      </c>
      <c r="F457" s="1407">
        <v>1</v>
      </c>
      <c r="G457" s="1408">
        <v>20</v>
      </c>
      <c r="H457" s="1409">
        <v>20</v>
      </c>
      <c r="I457" s="1407">
        <v>1</v>
      </c>
      <c r="J457" s="1408">
        <v>10</v>
      </c>
      <c r="K457" s="1410">
        <v>9</v>
      </c>
    </row>
    <row r="458" spans="2:11" ht="20.25" x14ac:dyDescent="0.2">
      <c r="B458" s="668" t="s">
        <v>409</v>
      </c>
      <c r="C458" s="720">
        <f t="shared" si="34"/>
        <v>1</v>
      </c>
      <c r="D458" s="721">
        <f t="shared" si="34"/>
        <v>12</v>
      </c>
      <c r="E458" s="722">
        <f t="shared" si="34"/>
        <v>12</v>
      </c>
      <c r="F458" s="1411">
        <v>1</v>
      </c>
      <c r="G458" s="1412">
        <v>12</v>
      </c>
      <c r="H458" s="1413">
        <v>12</v>
      </c>
      <c r="I458" s="1411">
        <v>0</v>
      </c>
      <c r="J458" s="1412">
        <v>0</v>
      </c>
      <c r="K458" s="1414">
        <v>0</v>
      </c>
    </row>
    <row r="459" spans="2:11" ht="21" thickBot="1" x14ac:dyDescent="0.25">
      <c r="B459" s="265" t="s">
        <v>410</v>
      </c>
      <c r="C459" s="723">
        <f t="shared" si="34"/>
        <v>0</v>
      </c>
      <c r="D459" s="724">
        <f t="shared" si="34"/>
        <v>0</v>
      </c>
      <c r="E459" s="725">
        <f t="shared" si="34"/>
        <v>0</v>
      </c>
      <c r="F459" s="1415">
        <v>0</v>
      </c>
      <c r="G459" s="1416">
        <v>0</v>
      </c>
      <c r="H459" s="1417">
        <v>0</v>
      </c>
      <c r="I459" s="1415">
        <v>0</v>
      </c>
      <c r="J459" s="1416">
        <v>0</v>
      </c>
      <c r="K459" s="1418">
        <v>0</v>
      </c>
    </row>
    <row r="460" spans="2:11" ht="21" thickTop="1" x14ac:dyDescent="0.2">
      <c r="B460" s="264"/>
      <c r="C460" s="186"/>
      <c r="D460" s="186"/>
      <c r="E460" s="186"/>
      <c r="F460" s="186"/>
      <c r="G460" s="186"/>
      <c r="H460" s="186"/>
      <c r="I460" s="186"/>
      <c r="J460" s="186"/>
      <c r="K460" s="186"/>
    </row>
    <row r="461" spans="2:11" ht="20.25" x14ac:dyDescent="0.3">
      <c r="B461" s="183"/>
    </row>
    <row r="462" spans="2:11" ht="15.75" x14ac:dyDescent="0.25">
      <c r="B462" s="1" t="s">
        <v>123</v>
      </c>
    </row>
    <row r="463" spans="2:11" x14ac:dyDescent="0.2">
      <c r="B463" s="3" t="s">
        <v>132</v>
      </c>
      <c r="I463" s="1654" t="s">
        <v>133</v>
      </c>
      <c r="J463" s="1654"/>
      <c r="K463" s="1654"/>
    </row>
    <row r="464" spans="2:11" ht="15.75" x14ac:dyDescent="0.25">
      <c r="B464" s="3" t="s">
        <v>411</v>
      </c>
      <c r="I464" s="1604" t="s">
        <v>126</v>
      </c>
      <c r="J464" s="1604"/>
      <c r="K464" s="1604"/>
    </row>
    <row r="466" spans="1:11" ht="23.25" x14ac:dyDescent="0.35">
      <c r="A466" s="358" t="s">
        <v>208</v>
      </c>
      <c r="B466" s="28"/>
      <c r="K466" s="10" t="s">
        <v>398</v>
      </c>
    </row>
    <row r="467" spans="1:11" ht="18" x14ac:dyDescent="0.25">
      <c r="B467" s="11"/>
      <c r="C467" s="3"/>
      <c r="D467" s="3"/>
      <c r="E467" s="3"/>
      <c r="F467" s="3"/>
      <c r="G467" s="3"/>
      <c r="H467" s="3"/>
      <c r="I467" s="11"/>
      <c r="J467" s="3"/>
    </row>
    <row r="468" spans="1:11" ht="18" x14ac:dyDescent="0.25">
      <c r="B468" s="14"/>
      <c r="C468" s="29"/>
      <c r="D468" s="3"/>
      <c r="E468" s="3"/>
      <c r="F468" s="3"/>
      <c r="G468" s="3"/>
      <c r="H468" s="3"/>
      <c r="I468" s="184"/>
      <c r="J468" s="1676" t="str">
        <f>'Tab.1. bilans_Polska'!$E$59</f>
        <v>Termin: 29 luty 2012 r.</v>
      </c>
      <c r="K468" s="1676"/>
    </row>
    <row r="469" spans="1:11" ht="18" x14ac:dyDescent="0.25">
      <c r="B469" s="11"/>
      <c r="C469" s="3"/>
      <c r="D469" s="3"/>
      <c r="E469" s="3"/>
      <c r="F469" s="3"/>
      <c r="G469" s="3"/>
      <c r="H469" s="3"/>
      <c r="I469" s="3"/>
      <c r="J469" s="3"/>
      <c r="K469" s="3"/>
    </row>
    <row r="470" spans="1:11" ht="18" x14ac:dyDescent="0.25">
      <c r="B470" s="11"/>
      <c r="C470" s="3"/>
      <c r="D470" s="3"/>
      <c r="E470" s="3"/>
      <c r="F470" s="3"/>
      <c r="G470" s="3"/>
      <c r="H470" s="3"/>
      <c r="I470" s="3"/>
      <c r="J470" s="3"/>
      <c r="K470" s="3"/>
    </row>
    <row r="471" spans="1:11" ht="18" x14ac:dyDescent="0.25">
      <c r="B471" s="11" t="s">
        <v>130</v>
      </c>
      <c r="C471" s="3"/>
      <c r="D471" s="3"/>
      <c r="E471" s="3"/>
      <c r="F471" s="3"/>
      <c r="G471" s="3"/>
      <c r="H471" s="3"/>
      <c r="I471" s="3"/>
      <c r="J471" s="3"/>
      <c r="K471" s="3"/>
    </row>
    <row r="472" spans="1:11" ht="15.75" x14ac:dyDescent="0.25">
      <c r="B472" s="1" t="s">
        <v>131</v>
      </c>
      <c r="C472" s="3"/>
      <c r="D472" s="3"/>
      <c r="E472" s="3"/>
      <c r="F472" s="3"/>
      <c r="G472" s="3"/>
      <c r="H472" s="3"/>
      <c r="I472" s="3"/>
      <c r="J472" s="3"/>
      <c r="K472" s="3"/>
    </row>
    <row r="473" spans="1:11" ht="15.75" x14ac:dyDescent="0.25">
      <c r="B473" s="1"/>
      <c r="C473" s="3"/>
      <c r="D473" s="3"/>
      <c r="E473" s="3"/>
      <c r="F473" s="3"/>
      <c r="G473" s="3"/>
      <c r="H473" s="3"/>
      <c r="I473" s="1"/>
      <c r="J473" s="3"/>
      <c r="K473" s="3"/>
    </row>
    <row r="474" spans="1:11" ht="23.25" x14ac:dyDescent="0.35">
      <c r="B474" s="1655" t="s">
        <v>399</v>
      </c>
      <c r="C474" s="1655"/>
      <c r="D474" s="1655"/>
      <c r="E474" s="1655"/>
      <c r="F474" s="1655"/>
      <c r="G474" s="1655"/>
      <c r="H474" s="1655"/>
      <c r="I474" s="1655"/>
      <c r="J474" s="1655"/>
      <c r="K474" s="1655"/>
    </row>
    <row r="475" spans="1:11" ht="23.25" x14ac:dyDescent="0.35">
      <c r="B475" s="1655" t="s">
        <v>400</v>
      </c>
      <c r="C475" s="1655"/>
      <c r="D475" s="1655"/>
      <c r="E475" s="1655"/>
      <c r="F475" s="1655"/>
      <c r="G475" s="1655"/>
      <c r="H475" s="1655"/>
      <c r="I475" s="1655"/>
      <c r="J475" s="1655"/>
      <c r="K475" s="1655"/>
    </row>
    <row r="476" spans="1:11" ht="23.25" x14ac:dyDescent="0.35">
      <c r="B476" s="1810" t="str">
        <f>$B$12</f>
        <v>WG  ST.  NA  DZIEŃ  31. XII. 2011 r.</v>
      </c>
      <c r="C476" s="1810"/>
      <c r="D476" s="1810"/>
      <c r="E476" s="1810"/>
      <c r="F476" s="1810"/>
      <c r="G476" s="1810"/>
      <c r="H476" s="1810"/>
      <c r="I476" s="1810"/>
      <c r="J476" s="1810"/>
      <c r="K476" s="1810"/>
    </row>
    <row r="477" spans="1:11" ht="24" thickBot="1" x14ac:dyDescent="0.4">
      <c r="B477" s="30"/>
      <c r="C477" s="30"/>
      <c r="D477" s="30"/>
      <c r="E477" s="30"/>
      <c r="F477" s="30"/>
      <c r="G477" s="30"/>
      <c r="H477" s="30"/>
      <c r="I477" s="30"/>
      <c r="J477" s="30"/>
      <c r="K477" s="30"/>
    </row>
    <row r="478" spans="1:11" ht="24" thickTop="1" x14ac:dyDescent="0.2">
      <c r="B478" s="31"/>
      <c r="C478" s="1677" t="s">
        <v>3</v>
      </c>
      <c r="D478" s="1678"/>
      <c r="E478" s="1679"/>
      <c r="F478" s="1946" t="s">
        <v>401</v>
      </c>
      <c r="G478" s="1946"/>
      <c r="H478" s="1946"/>
      <c r="I478" s="1946"/>
      <c r="J478" s="1946"/>
      <c r="K478" s="1947"/>
    </row>
    <row r="479" spans="1:11" ht="23.25" x14ac:dyDescent="0.2">
      <c r="B479" s="667" t="s">
        <v>402</v>
      </c>
      <c r="C479" s="34" t="s">
        <v>4</v>
      </c>
      <c r="D479" s="35" t="s">
        <v>39</v>
      </c>
      <c r="E479" s="36" t="s">
        <v>40</v>
      </c>
      <c r="F479" s="1942" t="s">
        <v>403</v>
      </c>
      <c r="G479" s="1943"/>
      <c r="H479" s="1944"/>
      <c r="I479" s="1942" t="s">
        <v>404</v>
      </c>
      <c r="J479" s="1943"/>
      <c r="K479" s="1945"/>
    </row>
    <row r="480" spans="1:11" ht="18" x14ac:dyDescent="0.2">
      <c r="B480" s="37" t="s">
        <v>405</v>
      </c>
      <c r="C480" s="34" t="s">
        <v>406</v>
      </c>
      <c r="D480" s="38" t="s">
        <v>13</v>
      </c>
      <c r="E480" s="36" t="s">
        <v>5</v>
      </c>
      <c r="F480" s="34" t="s">
        <v>0</v>
      </c>
      <c r="G480" s="35" t="s">
        <v>0</v>
      </c>
      <c r="H480" s="36" t="s">
        <v>0</v>
      </c>
      <c r="I480" s="39" t="s">
        <v>0</v>
      </c>
      <c r="J480" s="35" t="s">
        <v>0</v>
      </c>
      <c r="K480" s="40" t="s">
        <v>0</v>
      </c>
    </row>
    <row r="481" spans="1:11" ht="18" x14ac:dyDescent="0.2">
      <c r="B481" s="37"/>
      <c r="C481" s="41" t="s">
        <v>42</v>
      </c>
      <c r="D481" s="42" t="s">
        <v>43</v>
      </c>
      <c r="E481" s="43" t="s">
        <v>44</v>
      </c>
      <c r="F481" s="34" t="s">
        <v>407</v>
      </c>
      <c r="G481" s="38" t="s">
        <v>1</v>
      </c>
      <c r="H481" s="36" t="s">
        <v>45</v>
      </c>
      <c r="I481" s="44" t="s">
        <v>407</v>
      </c>
      <c r="J481" s="45" t="s">
        <v>1</v>
      </c>
      <c r="K481" s="46" t="s">
        <v>45</v>
      </c>
    </row>
    <row r="482" spans="1:11" ht="16.5" thickBot="1" x14ac:dyDescent="0.3">
      <c r="B482" s="47">
        <v>0</v>
      </c>
      <c r="C482" s="48">
        <v>1</v>
      </c>
      <c r="D482" s="49">
        <v>2</v>
      </c>
      <c r="E482" s="50">
        <v>3</v>
      </c>
      <c r="F482" s="48">
        <v>4</v>
      </c>
      <c r="G482" s="49">
        <v>5</v>
      </c>
      <c r="H482" s="50">
        <v>6</v>
      </c>
      <c r="I482" s="48">
        <v>7</v>
      </c>
      <c r="J482" s="49">
        <v>8</v>
      </c>
      <c r="K482" s="51">
        <v>9</v>
      </c>
    </row>
    <row r="483" spans="1:11" ht="27" thickTop="1" x14ac:dyDescent="0.2">
      <c r="B483" s="52" t="s">
        <v>193</v>
      </c>
      <c r="C483" s="711">
        <f>F483+I483</f>
        <v>7</v>
      </c>
      <c r="D483" s="712">
        <f>G483+J483</f>
        <v>178</v>
      </c>
      <c r="E483" s="713">
        <f>H483+K483</f>
        <v>125</v>
      </c>
      <c r="F483" s="711">
        <f t="shared" ref="F483:K483" si="35">SUM(F485:F488)</f>
        <v>0</v>
      </c>
      <c r="G483" s="765">
        <f t="shared" si="35"/>
        <v>0</v>
      </c>
      <c r="H483" s="766">
        <f t="shared" si="35"/>
        <v>0</v>
      </c>
      <c r="I483" s="711">
        <f t="shared" si="35"/>
        <v>7</v>
      </c>
      <c r="J483" s="765">
        <f t="shared" si="35"/>
        <v>178</v>
      </c>
      <c r="K483" s="767">
        <f t="shared" si="35"/>
        <v>125</v>
      </c>
    </row>
    <row r="484" spans="1:11" ht="13.5" thickBot="1" x14ac:dyDescent="0.25">
      <c r="B484" s="53" t="s">
        <v>46</v>
      </c>
      <c r="C484" s="726"/>
      <c r="D484" s="727"/>
      <c r="E484" s="728"/>
      <c r="F484" s="726"/>
      <c r="G484" s="729"/>
      <c r="H484" s="728"/>
      <c r="I484" s="726"/>
      <c r="J484" s="729"/>
      <c r="K484" s="730"/>
    </row>
    <row r="485" spans="1:11" ht="21" thickTop="1" x14ac:dyDescent="0.2">
      <c r="B485" s="56" t="s">
        <v>192</v>
      </c>
      <c r="C485" s="714">
        <f t="shared" ref="C485:E488" si="36">F485+I485</f>
        <v>7</v>
      </c>
      <c r="D485" s="715">
        <f t="shared" si="36"/>
        <v>178</v>
      </c>
      <c r="E485" s="716">
        <f t="shared" si="36"/>
        <v>125</v>
      </c>
      <c r="F485" s="1403">
        <v>0</v>
      </c>
      <c r="G485" s="1404">
        <v>0</v>
      </c>
      <c r="H485" s="1405">
        <v>0</v>
      </c>
      <c r="I485" s="1403">
        <v>7</v>
      </c>
      <c r="J485" s="1404">
        <v>178</v>
      </c>
      <c r="K485" s="1406">
        <v>125</v>
      </c>
    </row>
    <row r="486" spans="1:11" ht="20.25" x14ac:dyDescent="0.2">
      <c r="B486" s="57" t="s">
        <v>408</v>
      </c>
      <c r="C486" s="717">
        <f t="shared" si="36"/>
        <v>0</v>
      </c>
      <c r="D486" s="718">
        <f t="shared" si="36"/>
        <v>0</v>
      </c>
      <c r="E486" s="719">
        <f t="shared" si="36"/>
        <v>0</v>
      </c>
      <c r="F486" s="1447">
        <v>0</v>
      </c>
      <c r="G486" s="1443">
        <v>0</v>
      </c>
      <c r="H486" s="1444">
        <v>0</v>
      </c>
      <c r="I486" s="1447">
        <v>0</v>
      </c>
      <c r="J486" s="1443">
        <v>0</v>
      </c>
      <c r="K486" s="1448">
        <v>0</v>
      </c>
    </row>
    <row r="487" spans="1:11" ht="20.25" x14ac:dyDescent="0.2">
      <c r="B487" s="668" t="s">
        <v>409</v>
      </c>
      <c r="C487" s="720">
        <f t="shared" si="36"/>
        <v>0</v>
      </c>
      <c r="D487" s="721">
        <f t="shared" si="36"/>
        <v>0</v>
      </c>
      <c r="E487" s="722">
        <f t="shared" si="36"/>
        <v>0</v>
      </c>
      <c r="F487" s="1442">
        <v>0</v>
      </c>
      <c r="G487" s="1445">
        <v>0</v>
      </c>
      <c r="H487" s="1446">
        <v>0</v>
      </c>
      <c r="I487" s="1442">
        <v>0</v>
      </c>
      <c r="J487" s="1445">
        <v>0</v>
      </c>
      <c r="K487" s="1449">
        <v>0</v>
      </c>
    </row>
    <row r="488" spans="1:11" ht="21" thickBot="1" x14ac:dyDescent="0.25">
      <c r="B488" s="265" t="s">
        <v>410</v>
      </c>
      <c r="C488" s="723">
        <f t="shared" si="36"/>
        <v>0</v>
      </c>
      <c r="D488" s="724">
        <f t="shared" si="36"/>
        <v>0</v>
      </c>
      <c r="E488" s="725">
        <f t="shared" si="36"/>
        <v>0</v>
      </c>
      <c r="F488" s="1450">
        <v>0</v>
      </c>
      <c r="G488" s="1451">
        <v>0</v>
      </c>
      <c r="H488" s="1452">
        <v>0</v>
      </c>
      <c r="I488" s="1450">
        <v>0</v>
      </c>
      <c r="J488" s="1451">
        <v>0</v>
      </c>
      <c r="K488" s="1453">
        <v>0</v>
      </c>
    </row>
    <row r="489" spans="1:11" ht="21" thickTop="1" x14ac:dyDescent="0.2">
      <c r="B489" s="264"/>
      <c r="C489" s="186"/>
      <c r="D489" s="186"/>
      <c r="E489" s="186"/>
      <c r="F489" s="186"/>
      <c r="G489" s="186"/>
      <c r="H489" s="186"/>
      <c r="I489" s="186"/>
      <c r="J489" s="186"/>
      <c r="K489" s="186"/>
    </row>
    <row r="490" spans="1:11" ht="20.25" x14ac:dyDescent="0.3">
      <c r="B490" s="183"/>
    </row>
    <row r="491" spans="1:11" ht="15.75" x14ac:dyDescent="0.25">
      <c r="B491" s="1" t="s">
        <v>123</v>
      </c>
    </row>
    <row r="492" spans="1:11" x14ac:dyDescent="0.2">
      <c r="B492" s="3" t="s">
        <v>132</v>
      </c>
      <c r="I492" s="1654" t="s">
        <v>133</v>
      </c>
      <c r="J492" s="1654"/>
      <c r="K492" s="1654"/>
    </row>
    <row r="493" spans="1:11" ht="15.75" x14ac:dyDescent="0.25">
      <c r="B493" s="3" t="s">
        <v>411</v>
      </c>
      <c r="I493" s="1604" t="s">
        <v>126</v>
      </c>
      <c r="J493" s="1604"/>
      <c r="K493" s="1604"/>
    </row>
    <row r="494" spans="1:11" ht="20.25" x14ac:dyDescent="0.2">
      <c r="A494" s="710" t="s">
        <v>412</v>
      </c>
    </row>
  </sheetData>
  <mergeCells count="169">
    <mergeCell ref="J33:K33"/>
    <mergeCell ref="J62:K62"/>
    <mergeCell ref="J91:K91"/>
    <mergeCell ref="J120:K120"/>
    <mergeCell ref="B98:K98"/>
    <mergeCell ref="B99:K99"/>
    <mergeCell ref="C101:E101"/>
    <mergeCell ref="F101:K101"/>
    <mergeCell ref="F73:H73"/>
    <mergeCell ref="I73:K73"/>
    <mergeCell ref="F479:H479"/>
    <mergeCell ref="I479:K479"/>
    <mergeCell ref="I493:K493"/>
    <mergeCell ref="B475:K475"/>
    <mergeCell ref="B476:K476"/>
    <mergeCell ref="C478:E478"/>
    <mergeCell ref="F478:K478"/>
    <mergeCell ref="I492:K492"/>
    <mergeCell ref="I464:K464"/>
    <mergeCell ref="B474:K474"/>
    <mergeCell ref="B446:K446"/>
    <mergeCell ref="B447:K447"/>
    <mergeCell ref="C449:E449"/>
    <mergeCell ref="F449:K449"/>
    <mergeCell ref="I463:K463"/>
    <mergeCell ref="J468:K468"/>
    <mergeCell ref="F450:H450"/>
    <mergeCell ref="I450:K450"/>
    <mergeCell ref="F421:H421"/>
    <mergeCell ref="I421:K421"/>
    <mergeCell ref="I435:K435"/>
    <mergeCell ref="B445:K445"/>
    <mergeCell ref="I434:K434"/>
    <mergeCell ref="J439:K439"/>
    <mergeCell ref="B417:K417"/>
    <mergeCell ref="B418:K418"/>
    <mergeCell ref="C420:E420"/>
    <mergeCell ref="F420:K420"/>
    <mergeCell ref="F392:H392"/>
    <mergeCell ref="I392:K392"/>
    <mergeCell ref="I406:K406"/>
    <mergeCell ref="B416:K416"/>
    <mergeCell ref="I405:K405"/>
    <mergeCell ref="J410:K410"/>
    <mergeCell ref="B388:K388"/>
    <mergeCell ref="B389:K389"/>
    <mergeCell ref="C391:E391"/>
    <mergeCell ref="F391:K391"/>
    <mergeCell ref="F363:H363"/>
    <mergeCell ref="I363:K363"/>
    <mergeCell ref="I377:K377"/>
    <mergeCell ref="B387:K387"/>
    <mergeCell ref="I376:K376"/>
    <mergeCell ref="J381:K381"/>
    <mergeCell ref="B359:K359"/>
    <mergeCell ref="B360:K360"/>
    <mergeCell ref="C362:E362"/>
    <mergeCell ref="F362:K362"/>
    <mergeCell ref="F334:H334"/>
    <mergeCell ref="I334:K334"/>
    <mergeCell ref="I348:K348"/>
    <mergeCell ref="B358:K358"/>
    <mergeCell ref="I347:K347"/>
    <mergeCell ref="J352:K352"/>
    <mergeCell ref="B330:K330"/>
    <mergeCell ref="B331:K331"/>
    <mergeCell ref="C333:E333"/>
    <mergeCell ref="F333:K333"/>
    <mergeCell ref="F305:H305"/>
    <mergeCell ref="I305:K305"/>
    <mergeCell ref="I319:K319"/>
    <mergeCell ref="B329:K329"/>
    <mergeCell ref="I318:K318"/>
    <mergeCell ref="J323:K323"/>
    <mergeCell ref="B301:K301"/>
    <mergeCell ref="B302:K302"/>
    <mergeCell ref="C304:E304"/>
    <mergeCell ref="F304:K304"/>
    <mergeCell ref="F276:H276"/>
    <mergeCell ref="I276:K276"/>
    <mergeCell ref="I290:K290"/>
    <mergeCell ref="B300:K300"/>
    <mergeCell ref="I289:K289"/>
    <mergeCell ref="J294:K294"/>
    <mergeCell ref="B272:K272"/>
    <mergeCell ref="B273:K273"/>
    <mergeCell ref="C275:E275"/>
    <mergeCell ref="F275:K275"/>
    <mergeCell ref="F247:H247"/>
    <mergeCell ref="I247:K247"/>
    <mergeCell ref="I261:K261"/>
    <mergeCell ref="B271:K271"/>
    <mergeCell ref="I260:K260"/>
    <mergeCell ref="J265:K265"/>
    <mergeCell ref="B243:K243"/>
    <mergeCell ref="B244:K244"/>
    <mergeCell ref="C246:E246"/>
    <mergeCell ref="F246:K246"/>
    <mergeCell ref="F218:H218"/>
    <mergeCell ref="I218:K218"/>
    <mergeCell ref="I232:K232"/>
    <mergeCell ref="B242:K242"/>
    <mergeCell ref="I231:K231"/>
    <mergeCell ref="J236:K236"/>
    <mergeCell ref="B214:K214"/>
    <mergeCell ref="B215:K215"/>
    <mergeCell ref="C217:E217"/>
    <mergeCell ref="F217:K217"/>
    <mergeCell ref="F189:H189"/>
    <mergeCell ref="I189:K189"/>
    <mergeCell ref="I203:K203"/>
    <mergeCell ref="B213:K213"/>
    <mergeCell ref="I202:K202"/>
    <mergeCell ref="J207:K207"/>
    <mergeCell ref="B185:K185"/>
    <mergeCell ref="B186:K186"/>
    <mergeCell ref="C188:E188"/>
    <mergeCell ref="F188:K188"/>
    <mergeCell ref="F160:H160"/>
    <mergeCell ref="I160:K160"/>
    <mergeCell ref="I174:K174"/>
    <mergeCell ref="B184:K184"/>
    <mergeCell ref="I173:K173"/>
    <mergeCell ref="J178:K178"/>
    <mergeCell ref="B156:K156"/>
    <mergeCell ref="B157:K157"/>
    <mergeCell ref="C159:E159"/>
    <mergeCell ref="F159:K159"/>
    <mergeCell ref="F131:H131"/>
    <mergeCell ref="I131:K131"/>
    <mergeCell ref="I145:K145"/>
    <mergeCell ref="B155:K155"/>
    <mergeCell ref="I144:K144"/>
    <mergeCell ref="J149:K149"/>
    <mergeCell ref="B127:K127"/>
    <mergeCell ref="B128:K128"/>
    <mergeCell ref="C130:E130"/>
    <mergeCell ref="F130:K130"/>
    <mergeCell ref="F102:H102"/>
    <mergeCell ref="I102:K102"/>
    <mergeCell ref="I116:K116"/>
    <mergeCell ref="B126:K126"/>
    <mergeCell ref="I115:K115"/>
    <mergeCell ref="I87:K87"/>
    <mergeCell ref="B97:K97"/>
    <mergeCell ref="I86:K86"/>
    <mergeCell ref="B68:K68"/>
    <mergeCell ref="B69:K69"/>
    <mergeCell ref="B70:K70"/>
    <mergeCell ref="C72:E72"/>
    <mergeCell ref="F72:K72"/>
    <mergeCell ref="F15:H15"/>
    <mergeCell ref="I15:K15"/>
    <mergeCell ref="I29:K29"/>
    <mergeCell ref="B10:K10"/>
    <mergeCell ref="B11:K11"/>
    <mergeCell ref="B12:K12"/>
    <mergeCell ref="C14:E14"/>
    <mergeCell ref="F14:K14"/>
    <mergeCell ref="I28:K28"/>
    <mergeCell ref="F44:H44"/>
    <mergeCell ref="I44:K44"/>
    <mergeCell ref="I58:K58"/>
    <mergeCell ref="B39:K39"/>
    <mergeCell ref="B40:K40"/>
    <mergeCell ref="B41:K41"/>
    <mergeCell ref="C43:E43"/>
    <mergeCell ref="F43:K43"/>
    <mergeCell ref="I57:K57"/>
  </mergeCells>
  <phoneticPr fontId="82" type="noConversion"/>
  <printOptions horizontalCentered="1"/>
  <pageMargins left="0.78740157480314965" right="0.78740157480314965" top="0.98425196850393704" bottom="0.98425196850393704" header="0.51181102362204722" footer="0.51181102362204722"/>
  <pageSetup paperSize="9" scale="50" orientation="landscape" r:id="rId1"/>
  <headerFooter alignWithMargins="0"/>
  <ignoredErrors>
    <ignoredError sqref="A263 A407 A437 A379 A60 A234 A205 A1 A321 A350 A176 A147 A118 A89 A292 A466 A31"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75" workbookViewId="0"/>
  </sheetViews>
  <sheetFormatPr defaultRowHeight="12.75" x14ac:dyDescent="0.2"/>
  <cols>
    <col min="1" max="1" width="5.42578125" customWidth="1"/>
    <col min="2" max="2" width="26" bestFit="1" customWidth="1"/>
    <col min="3" max="11" width="16.7109375" customWidth="1"/>
  </cols>
  <sheetData>
    <row r="1" spans="1:11" ht="15.75" x14ac:dyDescent="0.25">
      <c r="A1" s="1" t="s">
        <v>195</v>
      </c>
      <c r="B1" s="3"/>
      <c r="C1" s="4"/>
      <c r="D1" s="3"/>
      <c r="E1" s="3"/>
      <c r="F1" s="3"/>
      <c r="G1" s="413"/>
      <c r="H1" s="413"/>
      <c r="J1" s="1603" t="s">
        <v>413</v>
      </c>
      <c r="K1" s="1603"/>
    </row>
    <row r="3" spans="1:11" x14ac:dyDescent="0.2">
      <c r="A3" s="3" t="s">
        <v>405</v>
      </c>
      <c r="B3" s="3"/>
      <c r="C3" s="3"/>
      <c r="D3" s="3"/>
      <c r="E3" s="3"/>
      <c r="F3" s="3"/>
      <c r="G3" s="3"/>
      <c r="H3" s="3"/>
      <c r="I3" s="3"/>
    </row>
    <row r="4" spans="1:11" x14ac:dyDescent="0.2">
      <c r="A4" s="3"/>
      <c r="B4" s="3"/>
      <c r="C4" s="3"/>
      <c r="D4" s="3"/>
      <c r="E4" s="3"/>
      <c r="F4" s="3"/>
      <c r="G4" s="3"/>
      <c r="H4" s="3"/>
      <c r="I4" s="3"/>
    </row>
    <row r="5" spans="1:11" ht="15.75" x14ac:dyDescent="0.25">
      <c r="A5" s="1604" t="s">
        <v>399</v>
      </c>
      <c r="B5" s="1604"/>
      <c r="C5" s="1604"/>
      <c r="D5" s="1604"/>
      <c r="E5" s="1604"/>
      <c r="F5" s="1604"/>
      <c r="G5" s="1604"/>
      <c r="H5" s="1604"/>
      <c r="I5" s="1604"/>
      <c r="J5" s="1604"/>
      <c r="K5" s="1604"/>
    </row>
    <row r="6" spans="1:11" ht="15.75" x14ac:dyDescent="0.25">
      <c r="A6" s="1604" t="s">
        <v>400</v>
      </c>
      <c r="B6" s="1604"/>
      <c r="C6" s="1604"/>
      <c r="D6" s="1604"/>
      <c r="E6" s="1604"/>
      <c r="F6" s="1604"/>
      <c r="G6" s="1604"/>
      <c r="H6" s="1604"/>
      <c r="I6" s="1604"/>
      <c r="J6" s="1604"/>
      <c r="K6" s="1604"/>
    </row>
    <row r="7" spans="1:11" ht="15.75" x14ac:dyDescent="0.25">
      <c r="A7" s="1690" t="str">
        <f>"WG  ST.  NA  DZIEŃ  31. XII.  "&amp;'Tab.1. bilans_Polska'!A2&amp;" r. - OGÓŁEM"</f>
        <v>WG  ST.  NA  DZIEŃ  31. XII.  2011 r. - OGÓŁEM</v>
      </c>
      <c r="B7" s="1690"/>
      <c r="C7" s="1690"/>
      <c r="D7" s="1690"/>
      <c r="E7" s="1690"/>
      <c r="F7" s="1690"/>
      <c r="G7" s="1690"/>
      <c r="H7" s="1690"/>
      <c r="I7" s="1690"/>
      <c r="J7" s="1690"/>
      <c r="K7" s="1690"/>
    </row>
    <row r="8" spans="1:11" ht="15.75" x14ac:dyDescent="0.25">
      <c r="A8" s="1604"/>
      <c r="B8" s="1604"/>
      <c r="C8" s="1604"/>
      <c r="D8" s="1604"/>
      <c r="E8" s="1604"/>
      <c r="F8" s="1604"/>
      <c r="G8" s="1604"/>
      <c r="H8" s="1604"/>
      <c r="I8" s="1604"/>
      <c r="J8" s="1604"/>
      <c r="K8" s="1604"/>
    </row>
    <row r="9" spans="1:11" ht="13.5" thickBot="1" x14ac:dyDescent="0.25">
      <c r="A9" s="3"/>
      <c r="B9" s="3"/>
      <c r="C9" s="3"/>
      <c r="D9" s="3"/>
      <c r="E9" s="3"/>
      <c r="F9" s="3"/>
      <c r="G9" s="3"/>
      <c r="H9" s="3"/>
      <c r="I9" s="3"/>
    </row>
    <row r="10" spans="1:11" ht="17.25" thickTop="1" x14ac:dyDescent="0.2">
      <c r="A10" s="1692" t="s">
        <v>226</v>
      </c>
      <c r="B10" s="1695" t="s">
        <v>256</v>
      </c>
      <c r="C10" s="1954" t="s">
        <v>3</v>
      </c>
      <c r="D10" s="1955"/>
      <c r="E10" s="1956"/>
      <c r="F10" s="1949" t="s">
        <v>401</v>
      </c>
      <c r="G10" s="1906"/>
      <c r="H10" s="1906"/>
      <c r="I10" s="1906"/>
      <c r="J10" s="1906"/>
      <c r="K10" s="1857"/>
    </row>
    <row r="11" spans="1:11" ht="15" x14ac:dyDescent="0.2">
      <c r="A11" s="1693"/>
      <c r="B11" s="1696"/>
      <c r="C11" s="738" t="s">
        <v>4</v>
      </c>
      <c r="D11" s="739" t="s">
        <v>39</v>
      </c>
      <c r="E11" s="740" t="s">
        <v>40</v>
      </c>
      <c r="F11" s="1950" t="s">
        <v>403</v>
      </c>
      <c r="G11" s="1951"/>
      <c r="H11" s="1952"/>
      <c r="I11" s="1950" t="s">
        <v>404</v>
      </c>
      <c r="J11" s="1951"/>
      <c r="K11" s="1953"/>
    </row>
    <row r="12" spans="1:11" ht="15" x14ac:dyDescent="0.2">
      <c r="A12" s="1693"/>
      <c r="B12" s="1696"/>
      <c r="C12" s="738" t="s">
        <v>406</v>
      </c>
      <c r="D12" s="741" t="s">
        <v>13</v>
      </c>
      <c r="E12" s="740" t="s">
        <v>5</v>
      </c>
      <c r="F12" s="670" t="s">
        <v>0</v>
      </c>
      <c r="G12" s="731" t="s">
        <v>0</v>
      </c>
      <c r="H12" s="732" t="s">
        <v>0</v>
      </c>
      <c r="I12" s="735" t="s">
        <v>0</v>
      </c>
      <c r="J12" s="731" t="s">
        <v>0</v>
      </c>
      <c r="K12" s="736" t="s">
        <v>0</v>
      </c>
    </row>
    <row r="13" spans="1:11" ht="15" x14ac:dyDescent="0.2">
      <c r="A13" s="1694"/>
      <c r="B13" s="1697"/>
      <c r="C13" s="742" t="s">
        <v>42</v>
      </c>
      <c r="D13" s="743" t="s">
        <v>43</v>
      </c>
      <c r="E13" s="744" t="s">
        <v>44</v>
      </c>
      <c r="F13" s="671" t="s">
        <v>407</v>
      </c>
      <c r="G13" s="733" t="s">
        <v>1</v>
      </c>
      <c r="H13" s="734" t="s">
        <v>45</v>
      </c>
      <c r="I13" s="669" t="s">
        <v>407</v>
      </c>
      <c r="J13" s="733" t="s">
        <v>1</v>
      </c>
      <c r="K13" s="737" t="s">
        <v>45</v>
      </c>
    </row>
    <row r="14" spans="1:11" ht="13.5" thickBot="1" x14ac:dyDescent="0.25">
      <c r="A14" s="425"/>
      <c r="B14" s="429">
        <v>0</v>
      </c>
      <c r="C14" s="496">
        <v>1</v>
      </c>
      <c r="D14" s="490">
        <v>2</v>
      </c>
      <c r="E14" s="468">
        <v>3</v>
      </c>
      <c r="F14" s="496">
        <v>4</v>
      </c>
      <c r="G14" s="466">
        <v>5</v>
      </c>
      <c r="H14" s="468">
        <v>6</v>
      </c>
      <c r="I14" s="427">
        <v>7</v>
      </c>
      <c r="J14" s="428">
        <v>8</v>
      </c>
      <c r="K14" s="431">
        <v>9</v>
      </c>
    </row>
    <row r="15" spans="1:11" ht="13.5" thickTop="1" x14ac:dyDescent="0.2">
      <c r="A15" s="461">
        <v>1</v>
      </c>
      <c r="B15" s="508" t="s">
        <v>236</v>
      </c>
      <c r="C15" s="597">
        <f t="shared" ref="C15:C30" si="0">F15+I15</f>
        <v>13</v>
      </c>
      <c r="D15" s="745">
        <f t="shared" ref="D15:D30" si="1">G15+J15</f>
        <v>314</v>
      </c>
      <c r="E15" s="746">
        <f t="shared" ref="E15:E30" si="2">H15+K15</f>
        <v>288</v>
      </c>
      <c r="F15" s="751">
        <f>'Tab. 11 dane zrodlowe'!F48</f>
        <v>4</v>
      </c>
      <c r="G15" s="752">
        <f>'Tab. 11 dane zrodlowe'!G48</f>
        <v>71</v>
      </c>
      <c r="H15" s="753">
        <f>'Tab. 11 dane zrodlowe'!H48</f>
        <v>67</v>
      </c>
      <c r="I15" s="754">
        <f>'Tab. 11 dane zrodlowe'!I48</f>
        <v>9</v>
      </c>
      <c r="J15" s="755">
        <f>'Tab. 11 dane zrodlowe'!J48</f>
        <v>243</v>
      </c>
      <c r="K15" s="756">
        <f>'Tab. 11 dane zrodlowe'!K48</f>
        <v>221</v>
      </c>
    </row>
    <row r="16" spans="1:11" x14ac:dyDescent="0.2">
      <c r="A16" s="462">
        <v>2</v>
      </c>
      <c r="B16" s="509" t="s">
        <v>237</v>
      </c>
      <c r="C16" s="601">
        <f t="shared" si="0"/>
        <v>0</v>
      </c>
      <c r="D16" s="747">
        <f t="shared" si="1"/>
        <v>0</v>
      </c>
      <c r="E16" s="748">
        <f t="shared" si="2"/>
        <v>0</v>
      </c>
      <c r="F16" s="757">
        <f>'Tab. 11 dane zrodlowe'!F77</f>
        <v>0</v>
      </c>
      <c r="G16" s="758">
        <f>'Tab. 11 dane zrodlowe'!G77</f>
        <v>0</v>
      </c>
      <c r="H16" s="759">
        <f>'Tab. 11 dane zrodlowe'!H77</f>
        <v>0</v>
      </c>
      <c r="I16" s="757">
        <f>'Tab. 11 dane zrodlowe'!I77</f>
        <v>0</v>
      </c>
      <c r="J16" s="758">
        <f>'Tab. 11 dane zrodlowe'!J77</f>
        <v>0</v>
      </c>
      <c r="K16" s="760">
        <f>'Tab. 11 dane zrodlowe'!K77</f>
        <v>0</v>
      </c>
    </row>
    <row r="17" spans="1:11" x14ac:dyDescent="0.2">
      <c r="A17" s="462">
        <v>3</v>
      </c>
      <c r="B17" s="509" t="s">
        <v>238</v>
      </c>
      <c r="C17" s="601">
        <f t="shared" si="0"/>
        <v>7</v>
      </c>
      <c r="D17" s="747">
        <f t="shared" si="1"/>
        <v>189</v>
      </c>
      <c r="E17" s="748">
        <f t="shared" si="2"/>
        <v>165</v>
      </c>
      <c r="F17" s="757">
        <f>'Tab. 11 dane zrodlowe'!F106</f>
        <v>2</v>
      </c>
      <c r="G17" s="758">
        <f>'Tab. 11 dane zrodlowe'!G106</f>
        <v>22</v>
      </c>
      <c r="H17" s="759">
        <f>'Tab. 11 dane zrodlowe'!H106</f>
        <v>22</v>
      </c>
      <c r="I17" s="757">
        <f>'Tab. 11 dane zrodlowe'!I106</f>
        <v>5</v>
      </c>
      <c r="J17" s="758">
        <f>'Tab. 11 dane zrodlowe'!J106</f>
        <v>167</v>
      </c>
      <c r="K17" s="760">
        <f>'Tab. 11 dane zrodlowe'!K106</f>
        <v>143</v>
      </c>
    </row>
    <row r="18" spans="1:11" x14ac:dyDescent="0.2">
      <c r="A18" s="462">
        <v>4</v>
      </c>
      <c r="B18" s="509" t="s">
        <v>239</v>
      </c>
      <c r="C18" s="601">
        <f t="shared" si="0"/>
        <v>1</v>
      </c>
      <c r="D18" s="747">
        <f t="shared" si="1"/>
        <v>63</v>
      </c>
      <c r="E18" s="748">
        <f t="shared" si="2"/>
        <v>20</v>
      </c>
      <c r="F18" s="757">
        <f>'Tab. 11 dane zrodlowe'!F135</f>
        <v>0</v>
      </c>
      <c r="G18" s="758">
        <f>'Tab. 11 dane zrodlowe'!G135</f>
        <v>0</v>
      </c>
      <c r="H18" s="759">
        <f>'Tab. 11 dane zrodlowe'!H135</f>
        <v>0</v>
      </c>
      <c r="I18" s="757">
        <f>'Tab. 11 dane zrodlowe'!I135</f>
        <v>1</v>
      </c>
      <c r="J18" s="758">
        <f>'Tab. 11 dane zrodlowe'!J135</f>
        <v>63</v>
      </c>
      <c r="K18" s="760">
        <f>'Tab. 11 dane zrodlowe'!K135</f>
        <v>20</v>
      </c>
    </row>
    <row r="19" spans="1:11" x14ac:dyDescent="0.2">
      <c r="A19" s="462">
        <v>5</v>
      </c>
      <c r="B19" s="509" t="s">
        <v>240</v>
      </c>
      <c r="C19" s="601">
        <f t="shared" si="0"/>
        <v>5</v>
      </c>
      <c r="D19" s="747">
        <f t="shared" si="1"/>
        <v>122</v>
      </c>
      <c r="E19" s="748">
        <f t="shared" si="2"/>
        <v>104</v>
      </c>
      <c r="F19" s="757">
        <f>'Tab. 11 dane zrodlowe'!F164</f>
        <v>0</v>
      </c>
      <c r="G19" s="758">
        <f>'Tab. 11 dane zrodlowe'!G164</f>
        <v>0</v>
      </c>
      <c r="H19" s="759">
        <f>'Tab. 11 dane zrodlowe'!H164</f>
        <v>0</v>
      </c>
      <c r="I19" s="757">
        <f>'Tab. 11 dane zrodlowe'!I164</f>
        <v>5</v>
      </c>
      <c r="J19" s="758">
        <f>'Tab. 11 dane zrodlowe'!J164</f>
        <v>122</v>
      </c>
      <c r="K19" s="760">
        <f>'Tab. 11 dane zrodlowe'!K164</f>
        <v>104</v>
      </c>
    </row>
    <row r="20" spans="1:11" x14ac:dyDescent="0.2">
      <c r="A20" s="462">
        <v>6</v>
      </c>
      <c r="B20" s="509" t="s">
        <v>241</v>
      </c>
      <c r="C20" s="601">
        <f t="shared" si="0"/>
        <v>25</v>
      </c>
      <c r="D20" s="747">
        <f t="shared" si="1"/>
        <v>662</v>
      </c>
      <c r="E20" s="748">
        <f t="shared" si="2"/>
        <v>568</v>
      </c>
      <c r="F20" s="757">
        <f>'Tab. 11 dane zrodlowe'!F193</f>
        <v>9</v>
      </c>
      <c r="G20" s="758">
        <f>'Tab. 11 dane zrodlowe'!G193</f>
        <v>232</v>
      </c>
      <c r="H20" s="759">
        <f>'Tab. 11 dane zrodlowe'!H193</f>
        <v>206</v>
      </c>
      <c r="I20" s="757">
        <f>'Tab. 11 dane zrodlowe'!I193</f>
        <v>16</v>
      </c>
      <c r="J20" s="758">
        <f>'Tab. 11 dane zrodlowe'!J193</f>
        <v>430</v>
      </c>
      <c r="K20" s="760">
        <f>'Tab. 11 dane zrodlowe'!K193</f>
        <v>362</v>
      </c>
    </row>
    <row r="21" spans="1:11" x14ac:dyDescent="0.2">
      <c r="A21" s="462">
        <v>7</v>
      </c>
      <c r="B21" s="509" t="s">
        <v>242</v>
      </c>
      <c r="C21" s="601">
        <f t="shared" si="0"/>
        <v>43</v>
      </c>
      <c r="D21" s="747">
        <f t="shared" si="1"/>
        <v>1535</v>
      </c>
      <c r="E21" s="748">
        <f t="shared" si="2"/>
        <v>1294</v>
      </c>
      <c r="F21" s="757">
        <f>'Tab. 11 dane zrodlowe'!F222</f>
        <v>9</v>
      </c>
      <c r="G21" s="758">
        <f>'Tab. 11 dane zrodlowe'!G222</f>
        <v>554</v>
      </c>
      <c r="H21" s="759">
        <f>'Tab. 11 dane zrodlowe'!H222</f>
        <v>487</v>
      </c>
      <c r="I21" s="757">
        <f>'Tab. 11 dane zrodlowe'!I222</f>
        <v>34</v>
      </c>
      <c r="J21" s="758">
        <f>'Tab. 11 dane zrodlowe'!J222</f>
        <v>981</v>
      </c>
      <c r="K21" s="760">
        <f>'Tab. 11 dane zrodlowe'!K222</f>
        <v>807</v>
      </c>
    </row>
    <row r="22" spans="1:11" x14ac:dyDescent="0.2">
      <c r="A22" s="462">
        <v>8</v>
      </c>
      <c r="B22" s="509" t="s">
        <v>243</v>
      </c>
      <c r="C22" s="601">
        <f t="shared" si="0"/>
        <v>4</v>
      </c>
      <c r="D22" s="747">
        <f t="shared" si="1"/>
        <v>113</v>
      </c>
      <c r="E22" s="748">
        <f t="shared" si="2"/>
        <v>103</v>
      </c>
      <c r="F22" s="757">
        <f>'Tab. 11 dane zrodlowe'!F251</f>
        <v>4</v>
      </c>
      <c r="G22" s="758">
        <f>'Tab. 11 dane zrodlowe'!G251</f>
        <v>113</v>
      </c>
      <c r="H22" s="759">
        <f>'Tab. 11 dane zrodlowe'!H251</f>
        <v>103</v>
      </c>
      <c r="I22" s="757">
        <f>'Tab. 11 dane zrodlowe'!I251</f>
        <v>0</v>
      </c>
      <c r="J22" s="758">
        <f>'Tab. 11 dane zrodlowe'!J251</f>
        <v>0</v>
      </c>
      <c r="K22" s="760">
        <f>'Tab. 11 dane zrodlowe'!K251</f>
        <v>0</v>
      </c>
    </row>
    <row r="23" spans="1:11" x14ac:dyDescent="0.2">
      <c r="A23" s="462">
        <v>9</v>
      </c>
      <c r="B23" s="509" t="s">
        <v>244</v>
      </c>
      <c r="C23" s="601">
        <f t="shared" si="0"/>
        <v>1</v>
      </c>
      <c r="D23" s="747">
        <f t="shared" si="1"/>
        <v>23</v>
      </c>
      <c r="E23" s="748">
        <f t="shared" si="2"/>
        <v>23</v>
      </c>
      <c r="F23" s="757">
        <f>'Tab. 11 dane zrodlowe'!F280</f>
        <v>1</v>
      </c>
      <c r="G23" s="758">
        <f>'Tab. 11 dane zrodlowe'!G280</f>
        <v>23</v>
      </c>
      <c r="H23" s="759">
        <f>'Tab. 11 dane zrodlowe'!H280</f>
        <v>23</v>
      </c>
      <c r="I23" s="757">
        <f>'Tab. 11 dane zrodlowe'!I280</f>
        <v>0</v>
      </c>
      <c r="J23" s="758">
        <f>'Tab. 11 dane zrodlowe'!J280</f>
        <v>0</v>
      </c>
      <c r="K23" s="760">
        <f>'Tab. 11 dane zrodlowe'!K280</f>
        <v>0</v>
      </c>
    </row>
    <row r="24" spans="1:11" x14ac:dyDescent="0.2">
      <c r="A24" s="463">
        <v>10</v>
      </c>
      <c r="B24" s="509" t="s">
        <v>245</v>
      </c>
      <c r="C24" s="601">
        <f t="shared" si="0"/>
        <v>12</v>
      </c>
      <c r="D24" s="747">
        <f t="shared" si="1"/>
        <v>457</v>
      </c>
      <c r="E24" s="748">
        <f t="shared" si="2"/>
        <v>425</v>
      </c>
      <c r="F24" s="757">
        <f>'Tab. 11 dane zrodlowe'!F309</f>
        <v>8</v>
      </c>
      <c r="G24" s="758">
        <f>'Tab. 11 dane zrodlowe'!G309</f>
        <v>297</v>
      </c>
      <c r="H24" s="759">
        <f>'Tab. 11 dane zrodlowe'!H309</f>
        <v>279</v>
      </c>
      <c r="I24" s="757">
        <f>'Tab. 11 dane zrodlowe'!I309</f>
        <v>4</v>
      </c>
      <c r="J24" s="758">
        <f>'Tab. 11 dane zrodlowe'!J309</f>
        <v>160</v>
      </c>
      <c r="K24" s="760">
        <f>'Tab. 11 dane zrodlowe'!K309</f>
        <v>146</v>
      </c>
    </row>
    <row r="25" spans="1:11" x14ac:dyDescent="0.2">
      <c r="A25" s="463">
        <v>11</v>
      </c>
      <c r="B25" s="509" t="s">
        <v>246</v>
      </c>
      <c r="C25" s="601">
        <f t="shared" si="0"/>
        <v>23</v>
      </c>
      <c r="D25" s="747">
        <f t="shared" si="1"/>
        <v>758</v>
      </c>
      <c r="E25" s="748">
        <f t="shared" si="2"/>
        <v>598</v>
      </c>
      <c r="F25" s="757">
        <f>'Tab. 11 dane zrodlowe'!F338</f>
        <v>2</v>
      </c>
      <c r="G25" s="758">
        <f>'Tab. 11 dane zrodlowe'!G338</f>
        <v>109</v>
      </c>
      <c r="H25" s="759">
        <f>'Tab. 11 dane zrodlowe'!H338</f>
        <v>75</v>
      </c>
      <c r="I25" s="757">
        <f>'Tab. 11 dane zrodlowe'!I338</f>
        <v>21</v>
      </c>
      <c r="J25" s="758">
        <f>'Tab. 11 dane zrodlowe'!J338</f>
        <v>649</v>
      </c>
      <c r="K25" s="760">
        <f>'Tab. 11 dane zrodlowe'!K338</f>
        <v>523</v>
      </c>
    </row>
    <row r="26" spans="1:11" x14ac:dyDescent="0.2">
      <c r="A26" s="463">
        <v>12</v>
      </c>
      <c r="B26" s="509" t="s">
        <v>247</v>
      </c>
      <c r="C26" s="601">
        <f t="shared" si="0"/>
        <v>28</v>
      </c>
      <c r="D26" s="747">
        <f t="shared" si="1"/>
        <v>797</v>
      </c>
      <c r="E26" s="748">
        <f t="shared" si="2"/>
        <v>643</v>
      </c>
      <c r="F26" s="757">
        <f>'Tab. 11 dane zrodlowe'!F367</f>
        <v>6</v>
      </c>
      <c r="G26" s="758">
        <f>'Tab. 11 dane zrodlowe'!G367</f>
        <v>168</v>
      </c>
      <c r="H26" s="759">
        <f>'Tab. 11 dane zrodlowe'!H367</f>
        <v>168</v>
      </c>
      <c r="I26" s="757">
        <f>'Tab. 11 dane zrodlowe'!I367</f>
        <v>22</v>
      </c>
      <c r="J26" s="758">
        <f>'Tab. 11 dane zrodlowe'!J367</f>
        <v>629</v>
      </c>
      <c r="K26" s="760">
        <f>'Tab. 11 dane zrodlowe'!K367</f>
        <v>475</v>
      </c>
    </row>
    <row r="27" spans="1:11" x14ac:dyDescent="0.2">
      <c r="A27" s="463">
        <v>13</v>
      </c>
      <c r="B27" s="509" t="s">
        <v>248</v>
      </c>
      <c r="C27" s="601">
        <f t="shared" si="0"/>
        <v>8</v>
      </c>
      <c r="D27" s="747">
        <f t="shared" si="1"/>
        <v>301</v>
      </c>
      <c r="E27" s="748">
        <f t="shared" si="2"/>
        <v>179</v>
      </c>
      <c r="F27" s="757">
        <f>'Tab. 11 dane zrodlowe'!F396</f>
        <v>1</v>
      </c>
      <c r="G27" s="758">
        <f>'Tab. 11 dane zrodlowe'!G396</f>
        <v>24</v>
      </c>
      <c r="H27" s="759">
        <f>'Tab. 11 dane zrodlowe'!H396</f>
        <v>21</v>
      </c>
      <c r="I27" s="757">
        <f>'Tab. 11 dane zrodlowe'!I396</f>
        <v>7</v>
      </c>
      <c r="J27" s="758">
        <f>'Tab. 11 dane zrodlowe'!J396</f>
        <v>277</v>
      </c>
      <c r="K27" s="760">
        <f>'Tab. 11 dane zrodlowe'!K396</f>
        <v>158</v>
      </c>
    </row>
    <row r="28" spans="1:11" x14ac:dyDescent="0.2">
      <c r="A28" s="463">
        <v>14</v>
      </c>
      <c r="B28" s="509" t="s">
        <v>249</v>
      </c>
      <c r="C28" s="601">
        <f t="shared" si="0"/>
        <v>8</v>
      </c>
      <c r="D28" s="747">
        <f t="shared" si="1"/>
        <v>215</v>
      </c>
      <c r="E28" s="748">
        <f t="shared" si="2"/>
        <v>170</v>
      </c>
      <c r="F28" s="757">
        <f>'Tab. 11 dane zrodlowe'!F425</f>
        <v>3</v>
      </c>
      <c r="G28" s="758">
        <f>'Tab. 11 dane zrodlowe'!G425</f>
        <v>115</v>
      </c>
      <c r="H28" s="759">
        <f>'Tab. 11 dane zrodlowe'!H425</f>
        <v>94</v>
      </c>
      <c r="I28" s="757">
        <f>'Tab. 11 dane zrodlowe'!I425</f>
        <v>5</v>
      </c>
      <c r="J28" s="758">
        <f>'Tab. 11 dane zrodlowe'!J425</f>
        <v>100</v>
      </c>
      <c r="K28" s="760">
        <f>'Tab. 11 dane zrodlowe'!K425</f>
        <v>76</v>
      </c>
    </row>
    <row r="29" spans="1:11" x14ac:dyDescent="0.2">
      <c r="A29" s="463">
        <v>15</v>
      </c>
      <c r="B29" s="509" t="s">
        <v>250</v>
      </c>
      <c r="C29" s="601">
        <f t="shared" si="0"/>
        <v>11</v>
      </c>
      <c r="D29" s="747">
        <f t="shared" si="1"/>
        <v>203</v>
      </c>
      <c r="E29" s="748">
        <f t="shared" si="2"/>
        <v>199</v>
      </c>
      <c r="F29" s="757">
        <f>'Tab. 11 dane zrodlowe'!F454</f>
        <v>2</v>
      </c>
      <c r="G29" s="758">
        <f>'Tab. 11 dane zrodlowe'!G454</f>
        <v>32</v>
      </c>
      <c r="H29" s="759">
        <f>'Tab. 11 dane zrodlowe'!H454</f>
        <v>32</v>
      </c>
      <c r="I29" s="757">
        <f>'Tab. 11 dane zrodlowe'!I454</f>
        <v>9</v>
      </c>
      <c r="J29" s="758">
        <f>'Tab. 11 dane zrodlowe'!J454</f>
        <v>171</v>
      </c>
      <c r="K29" s="760">
        <f>'Tab. 11 dane zrodlowe'!K454</f>
        <v>167</v>
      </c>
    </row>
    <row r="30" spans="1:11" ht="13.5" thickBot="1" x14ac:dyDescent="0.25">
      <c r="A30" s="463">
        <v>16</v>
      </c>
      <c r="B30" s="510" t="s">
        <v>251</v>
      </c>
      <c r="C30" s="601">
        <f t="shared" si="0"/>
        <v>7</v>
      </c>
      <c r="D30" s="749">
        <f t="shared" si="1"/>
        <v>178</v>
      </c>
      <c r="E30" s="750">
        <f t="shared" si="2"/>
        <v>125</v>
      </c>
      <c r="F30" s="761">
        <f>'Tab. 11 dane zrodlowe'!F483</f>
        <v>0</v>
      </c>
      <c r="G30" s="762">
        <f>'Tab. 11 dane zrodlowe'!G483</f>
        <v>0</v>
      </c>
      <c r="H30" s="763">
        <f>'Tab. 11 dane zrodlowe'!H483</f>
        <v>0</v>
      </c>
      <c r="I30" s="761">
        <f>'Tab. 11 dane zrodlowe'!I483</f>
        <v>7</v>
      </c>
      <c r="J30" s="762">
        <f>'Tab. 11 dane zrodlowe'!J483</f>
        <v>178</v>
      </c>
      <c r="K30" s="764">
        <f>'Tab. 11 dane zrodlowe'!K483</f>
        <v>125</v>
      </c>
    </row>
    <row r="31" spans="1:11" ht="16.5" thickBot="1" x14ac:dyDescent="0.3">
      <c r="A31" s="445" t="s">
        <v>252</v>
      </c>
      <c r="B31" s="446"/>
      <c r="C31" s="652">
        <f t="shared" ref="C31:K31" si="3">SUM(C15:C30)</f>
        <v>196</v>
      </c>
      <c r="D31" s="549">
        <f t="shared" si="3"/>
        <v>5930</v>
      </c>
      <c r="E31" s="550">
        <f t="shared" si="3"/>
        <v>4904</v>
      </c>
      <c r="F31" s="545">
        <f t="shared" si="3"/>
        <v>51</v>
      </c>
      <c r="G31" s="546">
        <f t="shared" si="3"/>
        <v>1760</v>
      </c>
      <c r="H31" s="550">
        <f t="shared" si="3"/>
        <v>1577</v>
      </c>
      <c r="I31" s="652">
        <f t="shared" si="3"/>
        <v>145</v>
      </c>
      <c r="J31" s="595">
        <f t="shared" si="3"/>
        <v>4170</v>
      </c>
      <c r="K31" s="547">
        <f t="shared" si="3"/>
        <v>3327</v>
      </c>
    </row>
    <row r="32" spans="1:11" ht="13.5" thickTop="1" x14ac:dyDescent="0.2"/>
  </sheetData>
  <mergeCells count="11">
    <mergeCell ref="A7:K7"/>
    <mergeCell ref="A8:K8"/>
    <mergeCell ref="F10:K10"/>
    <mergeCell ref="F11:H11"/>
    <mergeCell ref="I11:K11"/>
    <mergeCell ref="J1:K1"/>
    <mergeCell ref="A6:K6"/>
    <mergeCell ref="A10:A13"/>
    <mergeCell ref="B10:B13"/>
    <mergeCell ref="C10:E10"/>
    <mergeCell ref="A5:K5"/>
  </mergeCells>
  <phoneticPr fontId="82" type="noConversion"/>
  <conditionalFormatting sqref="C15:K31">
    <cfRule type="cellIs" dxfId="4" priority="1" stopIfTrue="1" operator="equal">
      <formula>0</formula>
    </cfRule>
  </conditionalFormatting>
  <printOptions horizontalCentered="1" verticalCentered="1"/>
  <pageMargins left="0.31496062992125984" right="0.6692913385826772" top="0.98425196850393704" bottom="0.98425196850393704" header="0.51181102362204722" footer="0.51181102362204722"/>
  <pageSetup paperSize="9" scale="76"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75" workbookViewId="0">
      <selection activeCell="J1" sqref="J1:K1"/>
    </sheetView>
  </sheetViews>
  <sheetFormatPr defaultRowHeight="12.75" x14ac:dyDescent="0.2"/>
  <cols>
    <col min="1" max="1" width="5.42578125" customWidth="1"/>
    <col min="2" max="2" width="26" bestFit="1" customWidth="1"/>
    <col min="3" max="11" width="16.7109375" customWidth="1"/>
  </cols>
  <sheetData>
    <row r="1" spans="1:11" ht="15.75" x14ac:dyDescent="0.25">
      <c r="A1" s="1" t="s">
        <v>195</v>
      </c>
      <c r="B1" s="3"/>
      <c r="C1" s="4"/>
      <c r="D1" s="3"/>
      <c r="E1" s="3"/>
      <c r="F1" s="3"/>
      <c r="G1" s="413"/>
      <c r="H1" s="413"/>
      <c r="J1" s="1603" t="s">
        <v>422</v>
      </c>
      <c r="K1" s="1603"/>
    </row>
    <row r="3" spans="1:11" x14ac:dyDescent="0.2">
      <c r="A3" s="3" t="s">
        <v>405</v>
      </c>
      <c r="B3" s="3"/>
      <c r="C3" s="3"/>
      <c r="D3" s="3"/>
      <c r="E3" s="3"/>
      <c r="F3" s="3"/>
      <c r="G3" s="3"/>
      <c r="H3" s="3"/>
      <c r="I3" s="3"/>
    </row>
    <row r="4" spans="1:11" x14ac:dyDescent="0.2">
      <c r="A4" s="3"/>
      <c r="B4" s="3"/>
      <c r="C4" s="3"/>
      <c r="D4" s="3"/>
      <c r="E4" s="3"/>
      <c r="F4" s="3"/>
      <c r="G4" s="3"/>
      <c r="H4" s="3"/>
      <c r="I4" s="3"/>
    </row>
    <row r="5" spans="1:11" ht="15.75" x14ac:dyDescent="0.25">
      <c r="A5" s="1604" t="s">
        <v>399</v>
      </c>
      <c r="B5" s="1604"/>
      <c r="C5" s="1604"/>
      <c r="D5" s="1604"/>
      <c r="E5" s="1604"/>
      <c r="F5" s="1604"/>
      <c r="G5" s="1604"/>
      <c r="H5" s="1604"/>
      <c r="I5" s="1604"/>
      <c r="J5" s="1604"/>
      <c r="K5" s="1604"/>
    </row>
    <row r="6" spans="1:11" ht="15.75" x14ac:dyDescent="0.25">
      <c r="A6" s="1604" t="s">
        <v>400</v>
      </c>
      <c r="B6" s="1604"/>
      <c r="C6" s="1604"/>
      <c r="D6" s="1604"/>
      <c r="E6" s="1604"/>
      <c r="F6" s="1604"/>
      <c r="G6" s="1604"/>
      <c r="H6" s="1604"/>
      <c r="I6" s="1604"/>
      <c r="J6" s="1604"/>
      <c r="K6" s="1604"/>
    </row>
    <row r="7" spans="1:11" ht="15.75" x14ac:dyDescent="0.25">
      <c r="A7" s="1690" t="str">
        <f>"WG  ST.  NA  DZIEŃ  31. XII.  "&amp;'Tab.1. bilans_Polska'!A2&amp;" r. - OSOBY W PODESZŁYM WIEKU"</f>
        <v>WG  ST.  NA  DZIEŃ  31. XII.  2011 r. - OSOBY W PODESZŁYM WIEKU</v>
      </c>
      <c r="B7" s="1690"/>
      <c r="C7" s="1690"/>
      <c r="D7" s="1690"/>
      <c r="E7" s="1690"/>
      <c r="F7" s="1690"/>
      <c r="G7" s="1690"/>
      <c r="H7" s="1690"/>
      <c r="I7" s="1690"/>
      <c r="J7" s="1690"/>
      <c r="K7" s="1690"/>
    </row>
    <row r="8" spans="1:11" ht="15.75" x14ac:dyDescent="0.25">
      <c r="A8" s="1604"/>
      <c r="B8" s="1604"/>
      <c r="C8" s="1604"/>
      <c r="D8" s="1604"/>
      <c r="E8" s="1604"/>
      <c r="F8" s="1604"/>
      <c r="G8" s="1604"/>
      <c r="H8" s="1604"/>
      <c r="I8" s="1604"/>
      <c r="J8" s="1604"/>
      <c r="K8" s="1604"/>
    </row>
    <row r="9" spans="1:11" ht="13.5" thickBot="1" x14ac:dyDescent="0.25">
      <c r="A9" s="3"/>
      <c r="B9" s="3"/>
      <c r="C9" s="3"/>
      <c r="D9" s="3"/>
      <c r="E9" s="3"/>
      <c r="F9" s="3"/>
      <c r="G9" s="3"/>
      <c r="H9" s="3"/>
      <c r="I9" s="3"/>
    </row>
    <row r="10" spans="1:11" ht="17.25" thickTop="1" x14ac:dyDescent="0.2">
      <c r="A10" s="1692" t="s">
        <v>226</v>
      </c>
      <c r="B10" s="1695" t="s">
        <v>256</v>
      </c>
      <c r="C10" s="1954" t="s">
        <v>3</v>
      </c>
      <c r="D10" s="1955"/>
      <c r="E10" s="1956"/>
      <c r="F10" s="1949" t="s">
        <v>401</v>
      </c>
      <c r="G10" s="1906"/>
      <c r="H10" s="1906"/>
      <c r="I10" s="1906"/>
      <c r="J10" s="1906"/>
      <c r="K10" s="1857"/>
    </row>
    <row r="11" spans="1:11" ht="15" x14ac:dyDescent="0.2">
      <c r="A11" s="1693"/>
      <c r="B11" s="1696"/>
      <c r="C11" s="738" t="s">
        <v>4</v>
      </c>
      <c r="D11" s="739" t="s">
        <v>39</v>
      </c>
      <c r="E11" s="740" t="s">
        <v>40</v>
      </c>
      <c r="F11" s="1950" t="s">
        <v>403</v>
      </c>
      <c r="G11" s="1951"/>
      <c r="H11" s="1952"/>
      <c r="I11" s="1950" t="s">
        <v>404</v>
      </c>
      <c r="J11" s="1951"/>
      <c r="K11" s="1953"/>
    </row>
    <row r="12" spans="1:11" ht="15" x14ac:dyDescent="0.2">
      <c r="A12" s="1693"/>
      <c r="B12" s="1696"/>
      <c r="C12" s="738" t="s">
        <v>406</v>
      </c>
      <c r="D12" s="741" t="s">
        <v>13</v>
      </c>
      <c r="E12" s="740" t="s">
        <v>5</v>
      </c>
      <c r="F12" s="670" t="s">
        <v>0</v>
      </c>
      <c r="G12" s="731" t="s">
        <v>0</v>
      </c>
      <c r="H12" s="732" t="s">
        <v>0</v>
      </c>
      <c r="I12" s="735" t="s">
        <v>0</v>
      </c>
      <c r="J12" s="731" t="s">
        <v>0</v>
      </c>
      <c r="K12" s="736" t="s">
        <v>0</v>
      </c>
    </row>
    <row r="13" spans="1:11" ht="15" x14ac:dyDescent="0.2">
      <c r="A13" s="1694"/>
      <c r="B13" s="1697"/>
      <c r="C13" s="742" t="s">
        <v>42</v>
      </c>
      <c r="D13" s="743" t="s">
        <v>43</v>
      </c>
      <c r="E13" s="744" t="s">
        <v>44</v>
      </c>
      <c r="F13" s="671" t="s">
        <v>407</v>
      </c>
      <c r="G13" s="733" t="s">
        <v>1</v>
      </c>
      <c r="H13" s="734" t="s">
        <v>45</v>
      </c>
      <c r="I13" s="669" t="s">
        <v>407</v>
      </c>
      <c r="J13" s="733" t="s">
        <v>1</v>
      </c>
      <c r="K13" s="737" t="s">
        <v>45</v>
      </c>
    </row>
    <row r="14" spans="1:11" ht="13.5" thickBot="1" x14ac:dyDescent="0.25">
      <c r="A14" s="425"/>
      <c r="B14" s="429">
        <v>0</v>
      </c>
      <c r="C14" s="496">
        <v>1</v>
      </c>
      <c r="D14" s="490">
        <v>2</v>
      </c>
      <c r="E14" s="468">
        <v>3</v>
      </c>
      <c r="F14" s="496">
        <v>4</v>
      </c>
      <c r="G14" s="466">
        <v>5</v>
      </c>
      <c r="H14" s="468">
        <v>6</v>
      </c>
      <c r="I14" s="427">
        <v>7</v>
      </c>
      <c r="J14" s="428">
        <v>8</v>
      </c>
      <c r="K14" s="431">
        <v>9</v>
      </c>
    </row>
    <row r="15" spans="1:11" ht="13.5" thickTop="1" x14ac:dyDescent="0.2">
      <c r="A15" s="461">
        <v>1</v>
      </c>
      <c r="B15" s="508" t="s">
        <v>236</v>
      </c>
      <c r="C15" s="597">
        <f>F15+I15</f>
        <v>13</v>
      </c>
      <c r="D15" s="745">
        <f t="shared" ref="D15:E30" si="0">G15+J15</f>
        <v>314</v>
      </c>
      <c r="E15" s="746">
        <f t="shared" si="0"/>
        <v>288</v>
      </c>
      <c r="F15" s="751">
        <f>'Tab. 11 dane zrodlowe'!F50</f>
        <v>4</v>
      </c>
      <c r="G15" s="752">
        <f>'Tab. 11 dane zrodlowe'!G50</f>
        <v>71</v>
      </c>
      <c r="H15" s="753">
        <f>'Tab. 11 dane zrodlowe'!H50</f>
        <v>67</v>
      </c>
      <c r="I15" s="754">
        <f>'Tab. 11 dane zrodlowe'!I50</f>
        <v>9</v>
      </c>
      <c r="J15" s="755">
        <f>'Tab. 11 dane zrodlowe'!J50</f>
        <v>243</v>
      </c>
      <c r="K15" s="756">
        <f>'Tab. 11 dane zrodlowe'!K50</f>
        <v>221</v>
      </c>
    </row>
    <row r="16" spans="1:11" x14ac:dyDescent="0.2">
      <c r="A16" s="462">
        <v>2</v>
      </c>
      <c r="B16" s="509" t="s">
        <v>237</v>
      </c>
      <c r="C16" s="601">
        <f t="shared" ref="C16:C30" si="1">F16+I16</f>
        <v>0</v>
      </c>
      <c r="D16" s="747">
        <f t="shared" si="0"/>
        <v>0</v>
      </c>
      <c r="E16" s="748">
        <f t="shared" si="0"/>
        <v>0</v>
      </c>
      <c r="F16" s="757">
        <f>'Tab. 11 dane zrodlowe'!F79</f>
        <v>0</v>
      </c>
      <c r="G16" s="758">
        <f>'Tab. 11 dane zrodlowe'!G79</f>
        <v>0</v>
      </c>
      <c r="H16" s="759">
        <f>'Tab. 11 dane zrodlowe'!H79</f>
        <v>0</v>
      </c>
      <c r="I16" s="757">
        <f>'Tab. 11 dane zrodlowe'!I79</f>
        <v>0</v>
      </c>
      <c r="J16" s="758">
        <f>'Tab. 11 dane zrodlowe'!J79</f>
        <v>0</v>
      </c>
      <c r="K16" s="760">
        <f>'Tab. 11 dane zrodlowe'!K79</f>
        <v>0</v>
      </c>
    </row>
    <row r="17" spans="1:11" x14ac:dyDescent="0.2">
      <c r="A17" s="462">
        <v>3</v>
      </c>
      <c r="B17" s="509" t="s">
        <v>238</v>
      </c>
      <c r="C17" s="601">
        <f t="shared" si="1"/>
        <v>7</v>
      </c>
      <c r="D17" s="747">
        <f t="shared" si="0"/>
        <v>189</v>
      </c>
      <c r="E17" s="748">
        <f t="shared" si="0"/>
        <v>165</v>
      </c>
      <c r="F17" s="757">
        <f>'Tab. 11 dane zrodlowe'!F108</f>
        <v>2</v>
      </c>
      <c r="G17" s="758">
        <f>'Tab. 11 dane zrodlowe'!G108</f>
        <v>22</v>
      </c>
      <c r="H17" s="759">
        <f>'Tab. 11 dane zrodlowe'!H108</f>
        <v>22</v>
      </c>
      <c r="I17" s="757">
        <f>'Tab. 11 dane zrodlowe'!I108</f>
        <v>5</v>
      </c>
      <c r="J17" s="758">
        <f>'Tab. 11 dane zrodlowe'!J108</f>
        <v>167</v>
      </c>
      <c r="K17" s="760">
        <f>'Tab. 11 dane zrodlowe'!K108</f>
        <v>143</v>
      </c>
    </row>
    <row r="18" spans="1:11" x14ac:dyDescent="0.2">
      <c r="A18" s="462">
        <v>4</v>
      </c>
      <c r="B18" s="509" t="s">
        <v>239</v>
      </c>
      <c r="C18" s="601">
        <f t="shared" si="1"/>
        <v>1</v>
      </c>
      <c r="D18" s="747">
        <f t="shared" si="0"/>
        <v>63</v>
      </c>
      <c r="E18" s="748">
        <f t="shared" si="0"/>
        <v>20</v>
      </c>
      <c r="F18" s="757">
        <f>'Tab. 11 dane zrodlowe'!F137</f>
        <v>0</v>
      </c>
      <c r="G18" s="758">
        <f>'Tab. 11 dane zrodlowe'!G137</f>
        <v>0</v>
      </c>
      <c r="H18" s="759">
        <f>'Tab. 11 dane zrodlowe'!H137</f>
        <v>0</v>
      </c>
      <c r="I18" s="757">
        <f>'Tab. 11 dane zrodlowe'!I137</f>
        <v>1</v>
      </c>
      <c r="J18" s="758">
        <f>'Tab. 11 dane zrodlowe'!J137</f>
        <v>63</v>
      </c>
      <c r="K18" s="760">
        <f>'Tab. 11 dane zrodlowe'!K137</f>
        <v>20</v>
      </c>
    </row>
    <row r="19" spans="1:11" x14ac:dyDescent="0.2">
      <c r="A19" s="462">
        <v>5</v>
      </c>
      <c r="B19" s="509" t="s">
        <v>240</v>
      </c>
      <c r="C19" s="601">
        <f t="shared" si="1"/>
        <v>5</v>
      </c>
      <c r="D19" s="747">
        <f t="shared" si="0"/>
        <v>122</v>
      </c>
      <c r="E19" s="748">
        <f t="shared" si="0"/>
        <v>104</v>
      </c>
      <c r="F19" s="757">
        <f>'Tab. 11 dane zrodlowe'!F166</f>
        <v>0</v>
      </c>
      <c r="G19" s="758">
        <f>'Tab. 11 dane zrodlowe'!G166</f>
        <v>0</v>
      </c>
      <c r="H19" s="759">
        <f>'Tab. 11 dane zrodlowe'!H166</f>
        <v>0</v>
      </c>
      <c r="I19" s="757">
        <f>'Tab. 11 dane zrodlowe'!I166</f>
        <v>5</v>
      </c>
      <c r="J19" s="758">
        <f>'Tab. 11 dane zrodlowe'!J166</f>
        <v>122</v>
      </c>
      <c r="K19" s="760">
        <f>'Tab. 11 dane zrodlowe'!K166</f>
        <v>104</v>
      </c>
    </row>
    <row r="20" spans="1:11" x14ac:dyDescent="0.2">
      <c r="A20" s="462">
        <v>6</v>
      </c>
      <c r="B20" s="509" t="s">
        <v>241</v>
      </c>
      <c r="C20" s="601">
        <f t="shared" si="1"/>
        <v>21</v>
      </c>
      <c r="D20" s="747">
        <f t="shared" si="0"/>
        <v>557</v>
      </c>
      <c r="E20" s="748">
        <f t="shared" si="0"/>
        <v>491</v>
      </c>
      <c r="F20" s="757">
        <f>'Tab. 11 dane zrodlowe'!F195</f>
        <v>7</v>
      </c>
      <c r="G20" s="758">
        <f>'Tab. 11 dane zrodlowe'!G195</f>
        <v>185</v>
      </c>
      <c r="H20" s="759">
        <f>'Tab. 11 dane zrodlowe'!H195</f>
        <v>172</v>
      </c>
      <c r="I20" s="757">
        <f>'Tab. 11 dane zrodlowe'!I195</f>
        <v>14</v>
      </c>
      <c r="J20" s="758">
        <f>'Tab. 11 dane zrodlowe'!J195</f>
        <v>372</v>
      </c>
      <c r="K20" s="760">
        <f>'Tab. 11 dane zrodlowe'!K195</f>
        <v>319</v>
      </c>
    </row>
    <row r="21" spans="1:11" x14ac:dyDescent="0.2">
      <c r="A21" s="462">
        <v>7</v>
      </c>
      <c r="B21" s="509" t="s">
        <v>242</v>
      </c>
      <c r="C21" s="601">
        <f t="shared" si="1"/>
        <v>20</v>
      </c>
      <c r="D21" s="747">
        <f t="shared" si="0"/>
        <v>511</v>
      </c>
      <c r="E21" s="748">
        <f t="shared" si="0"/>
        <v>472</v>
      </c>
      <c r="F21" s="757">
        <f>'Tab. 11 dane zrodlowe'!F224</f>
        <v>3</v>
      </c>
      <c r="G21" s="758">
        <f>'Tab. 11 dane zrodlowe'!G224</f>
        <v>88</v>
      </c>
      <c r="H21" s="759">
        <f>'Tab. 11 dane zrodlowe'!H224</f>
        <v>88</v>
      </c>
      <c r="I21" s="757">
        <f>'Tab. 11 dane zrodlowe'!I224</f>
        <v>17</v>
      </c>
      <c r="J21" s="758">
        <f>'Tab. 11 dane zrodlowe'!J224</f>
        <v>423</v>
      </c>
      <c r="K21" s="760">
        <f>'Tab. 11 dane zrodlowe'!K224</f>
        <v>384</v>
      </c>
    </row>
    <row r="22" spans="1:11" x14ac:dyDescent="0.2">
      <c r="A22" s="462">
        <v>8</v>
      </c>
      <c r="B22" s="509" t="s">
        <v>243</v>
      </c>
      <c r="C22" s="601">
        <f t="shared" si="1"/>
        <v>2</v>
      </c>
      <c r="D22" s="747">
        <f t="shared" si="0"/>
        <v>33</v>
      </c>
      <c r="E22" s="748">
        <f t="shared" si="0"/>
        <v>31</v>
      </c>
      <c r="F22" s="757">
        <f>'Tab. 11 dane zrodlowe'!F253</f>
        <v>2</v>
      </c>
      <c r="G22" s="758">
        <f>'Tab. 11 dane zrodlowe'!G253</f>
        <v>33</v>
      </c>
      <c r="H22" s="759">
        <f>'Tab. 11 dane zrodlowe'!H253</f>
        <v>31</v>
      </c>
      <c r="I22" s="757">
        <f>'Tab. 11 dane zrodlowe'!I253</f>
        <v>0</v>
      </c>
      <c r="J22" s="758">
        <f>'Tab. 11 dane zrodlowe'!J253</f>
        <v>0</v>
      </c>
      <c r="K22" s="760">
        <f>'Tab. 11 dane zrodlowe'!K253</f>
        <v>0</v>
      </c>
    </row>
    <row r="23" spans="1:11" x14ac:dyDescent="0.2">
      <c r="A23" s="462">
        <v>9</v>
      </c>
      <c r="B23" s="509" t="s">
        <v>244</v>
      </c>
      <c r="C23" s="601">
        <f t="shared" si="1"/>
        <v>0</v>
      </c>
      <c r="D23" s="747">
        <f t="shared" si="0"/>
        <v>0</v>
      </c>
      <c r="E23" s="748">
        <f t="shared" si="0"/>
        <v>0</v>
      </c>
      <c r="F23" s="757">
        <f>'Tab. 11 dane zrodlowe'!F282</f>
        <v>0</v>
      </c>
      <c r="G23" s="758">
        <f>'Tab. 11 dane zrodlowe'!G282</f>
        <v>0</v>
      </c>
      <c r="H23" s="759">
        <f>'Tab. 11 dane zrodlowe'!H282</f>
        <v>0</v>
      </c>
      <c r="I23" s="757">
        <f>'Tab. 11 dane zrodlowe'!I282</f>
        <v>0</v>
      </c>
      <c r="J23" s="758">
        <f>'Tab. 11 dane zrodlowe'!J282</f>
        <v>0</v>
      </c>
      <c r="K23" s="760">
        <f>'Tab. 11 dane zrodlowe'!K282</f>
        <v>0</v>
      </c>
    </row>
    <row r="24" spans="1:11" x14ac:dyDescent="0.2">
      <c r="A24" s="463">
        <v>10</v>
      </c>
      <c r="B24" s="509" t="s">
        <v>245</v>
      </c>
      <c r="C24" s="601">
        <f t="shared" si="1"/>
        <v>9</v>
      </c>
      <c r="D24" s="747">
        <f t="shared" si="0"/>
        <v>315</v>
      </c>
      <c r="E24" s="748">
        <f t="shared" si="0"/>
        <v>283</v>
      </c>
      <c r="F24" s="757">
        <f>'Tab. 11 dane zrodlowe'!F311</f>
        <v>6</v>
      </c>
      <c r="G24" s="758">
        <f>'Tab. 11 dane zrodlowe'!G311</f>
        <v>235</v>
      </c>
      <c r="H24" s="759">
        <f>'Tab. 11 dane zrodlowe'!H311</f>
        <v>217</v>
      </c>
      <c r="I24" s="757">
        <f>'Tab. 11 dane zrodlowe'!I311</f>
        <v>3</v>
      </c>
      <c r="J24" s="758">
        <f>'Tab. 11 dane zrodlowe'!J311</f>
        <v>80</v>
      </c>
      <c r="K24" s="760">
        <f>'Tab. 11 dane zrodlowe'!K311</f>
        <v>66</v>
      </c>
    </row>
    <row r="25" spans="1:11" x14ac:dyDescent="0.2">
      <c r="A25" s="463">
        <v>11</v>
      </c>
      <c r="B25" s="509" t="s">
        <v>246</v>
      </c>
      <c r="C25" s="601">
        <f t="shared" si="1"/>
        <v>2</v>
      </c>
      <c r="D25" s="747">
        <f t="shared" si="0"/>
        <v>56</v>
      </c>
      <c r="E25" s="748">
        <f t="shared" si="0"/>
        <v>56</v>
      </c>
      <c r="F25" s="757">
        <f>'Tab. 11 dane zrodlowe'!F340</f>
        <v>0</v>
      </c>
      <c r="G25" s="758">
        <f>'Tab. 11 dane zrodlowe'!G340</f>
        <v>0</v>
      </c>
      <c r="H25" s="759">
        <f>'Tab. 11 dane zrodlowe'!H340</f>
        <v>0</v>
      </c>
      <c r="I25" s="757">
        <f>'Tab. 11 dane zrodlowe'!I340</f>
        <v>2</v>
      </c>
      <c r="J25" s="758">
        <f>'Tab. 11 dane zrodlowe'!J340</f>
        <v>56</v>
      </c>
      <c r="K25" s="760">
        <f>'Tab. 11 dane zrodlowe'!K340</f>
        <v>56</v>
      </c>
    </row>
    <row r="26" spans="1:11" x14ac:dyDescent="0.2">
      <c r="A26" s="463">
        <v>12</v>
      </c>
      <c r="B26" s="509" t="s">
        <v>247</v>
      </c>
      <c r="C26" s="601">
        <f t="shared" si="1"/>
        <v>2</v>
      </c>
      <c r="D26" s="747">
        <f t="shared" si="0"/>
        <v>47</v>
      </c>
      <c r="E26" s="748">
        <f t="shared" si="0"/>
        <v>47</v>
      </c>
      <c r="F26" s="757">
        <f>'Tab. 11 dane zrodlowe'!F369</f>
        <v>1</v>
      </c>
      <c r="G26" s="758">
        <f>'Tab. 11 dane zrodlowe'!G369</f>
        <v>30</v>
      </c>
      <c r="H26" s="759">
        <f>'Tab. 11 dane zrodlowe'!H369</f>
        <v>30</v>
      </c>
      <c r="I26" s="757">
        <f>'Tab. 11 dane zrodlowe'!I369</f>
        <v>1</v>
      </c>
      <c r="J26" s="758">
        <f>'Tab. 11 dane zrodlowe'!J369</f>
        <v>17</v>
      </c>
      <c r="K26" s="760">
        <f>'Tab. 11 dane zrodlowe'!K369</f>
        <v>17</v>
      </c>
    </row>
    <row r="27" spans="1:11" x14ac:dyDescent="0.2">
      <c r="A27" s="463">
        <v>13</v>
      </c>
      <c r="B27" s="509" t="s">
        <v>248</v>
      </c>
      <c r="C27" s="601">
        <f t="shared" si="1"/>
        <v>5</v>
      </c>
      <c r="D27" s="747">
        <f t="shared" si="0"/>
        <v>167</v>
      </c>
      <c r="E27" s="748">
        <f t="shared" si="0"/>
        <v>160</v>
      </c>
      <c r="F27" s="757">
        <f>'Tab. 11 dane zrodlowe'!F398</f>
        <v>1</v>
      </c>
      <c r="G27" s="758">
        <f>'Tab. 11 dane zrodlowe'!G398</f>
        <v>24</v>
      </c>
      <c r="H27" s="759">
        <f>'Tab. 11 dane zrodlowe'!H398</f>
        <v>21</v>
      </c>
      <c r="I27" s="757">
        <f>'Tab. 11 dane zrodlowe'!I398</f>
        <v>4</v>
      </c>
      <c r="J27" s="758">
        <f>'Tab. 11 dane zrodlowe'!J398</f>
        <v>143</v>
      </c>
      <c r="K27" s="760">
        <f>'Tab. 11 dane zrodlowe'!K398</f>
        <v>139</v>
      </c>
    </row>
    <row r="28" spans="1:11" x14ac:dyDescent="0.2">
      <c r="A28" s="463">
        <v>14</v>
      </c>
      <c r="B28" s="509" t="s">
        <v>249</v>
      </c>
      <c r="C28" s="601">
        <f t="shared" si="1"/>
        <v>7</v>
      </c>
      <c r="D28" s="747">
        <f t="shared" si="0"/>
        <v>200</v>
      </c>
      <c r="E28" s="748">
        <f t="shared" si="0"/>
        <v>152</v>
      </c>
      <c r="F28" s="757">
        <f>'Tab. 11 dane zrodlowe'!F427</f>
        <v>2</v>
      </c>
      <c r="G28" s="758">
        <f>'Tab. 11 dane zrodlowe'!G427</f>
        <v>100</v>
      </c>
      <c r="H28" s="759">
        <f>'Tab. 11 dane zrodlowe'!H427</f>
        <v>76</v>
      </c>
      <c r="I28" s="757">
        <f>'Tab. 11 dane zrodlowe'!I427</f>
        <v>5</v>
      </c>
      <c r="J28" s="758">
        <f>'Tab. 11 dane zrodlowe'!J427</f>
        <v>100</v>
      </c>
      <c r="K28" s="760">
        <f>'Tab. 11 dane zrodlowe'!K427</f>
        <v>76</v>
      </c>
    </row>
    <row r="29" spans="1:11" x14ac:dyDescent="0.2">
      <c r="A29" s="463">
        <v>15</v>
      </c>
      <c r="B29" s="509" t="s">
        <v>250</v>
      </c>
      <c r="C29" s="601">
        <f t="shared" si="1"/>
        <v>8</v>
      </c>
      <c r="D29" s="747">
        <f t="shared" si="0"/>
        <v>161</v>
      </c>
      <c r="E29" s="748">
        <f t="shared" si="0"/>
        <v>158</v>
      </c>
      <c r="F29" s="757">
        <f>'Tab. 11 dane zrodlowe'!F456</f>
        <v>0</v>
      </c>
      <c r="G29" s="758">
        <f>'Tab. 11 dane zrodlowe'!G456</f>
        <v>0</v>
      </c>
      <c r="H29" s="759">
        <f>'Tab. 11 dane zrodlowe'!H456</f>
        <v>0</v>
      </c>
      <c r="I29" s="757">
        <f>'Tab. 11 dane zrodlowe'!I456</f>
        <v>8</v>
      </c>
      <c r="J29" s="758">
        <f>'Tab. 11 dane zrodlowe'!J456</f>
        <v>161</v>
      </c>
      <c r="K29" s="760">
        <f>'Tab. 11 dane zrodlowe'!K456</f>
        <v>158</v>
      </c>
    </row>
    <row r="30" spans="1:11" ht="13.5" thickBot="1" x14ac:dyDescent="0.25">
      <c r="A30" s="463">
        <v>16</v>
      </c>
      <c r="B30" s="510" t="s">
        <v>251</v>
      </c>
      <c r="C30" s="601">
        <f t="shared" si="1"/>
        <v>7</v>
      </c>
      <c r="D30" s="749">
        <f t="shared" si="0"/>
        <v>178</v>
      </c>
      <c r="E30" s="750">
        <f t="shared" si="0"/>
        <v>125</v>
      </c>
      <c r="F30" s="761">
        <f>'Tab. 11 dane zrodlowe'!F485</f>
        <v>0</v>
      </c>
      <c r="G30" s="762">
        <f>'Tab. 11 dane zrodlowe'!G485</f>
        <v>0</v>
      </c>
      <c r="H30" s="763">
        <f>'Tab. 11 dane zrodlowe'!H485</f>
        <v>0</v>
      </c>
      <c r="I30" s="761">
        <f>'Tab. 11 dane zrodlowe'!I485</f>
        <v>7</v>
      </c>
      <c r="J30" s="762">
        <f>'Tab. 11 dane zrodlowe'!J485</f>
        <v>178</v>
      </c>
      <c r="K30" s="764">
        <f>'Tab. 11 dane zrodlowe'!K485</f>
        <v>125</v>
      </c>
    </row>
    <row r="31" spans="1:11" ht="16.5" thickBot="1" x14ac:dyDescent="0.3">
      <c r="A31" s="445" t="s">
        <v>252</v>
      </c>
      <c r="B31" s="446"/>
      <c r="C31" s="652">
        <f>SUM(C15:C30)</f>
        <v>109</v>
      </c>
      <c r="D31" s="549">
        <f>SUM(D15:D30)</f>
        <v>2913</v>
      </c>
      <c r="E31" s="550">
        <f t="shared" ref="E31:K31" si="2">SUM(E15:E30)</f>
        <v>2552</v>
      </c>
      <c r="F31" s="545">
        <f t="shared" si="2"/>
        <v>28</v>
      </c>
      <c r="G31" s="546">
        <f t="shared" si="2"/>
        <v>788</v>
      </c>
      <c r="H31" s="550">
        <f t="shared" si="2"/>
        <v>724</v>
      </c>
      <c r="I31" s="652">
        <f t="shared" si="2"/>
        <v>81</v>
      </c>
      <c r="J31" s="595">
        <f t="shared" si="2"/>
        <v>2125</v>
      </c>
      <c r="K31" s="547">
        <f t="shared" si="2"/>
        <v>1828</v>
      </c>
    </row>
    <row r="32" spans="1:11" ht="13.5" thickTop="1" x14ac:dyDescent="0.2"/>
  </sheetData>
  <mergeCells count="11">
    <mergeCell ref="A8:K8"/>
    <mergeCell ref="F10:K10"/>
    <mergeCell ref="F11:H11"/>
    <mergeCell ref="I11:K11"/>
    <mergeCell ref="J1:K1"/>
    <mergeCell ref="A6:K6"/>
    <mergeCell ref="A10:A13"/>
    <mergeCell ref="B10:B13"/>
    <mergeCell ref="C10:E10"/>
    <mergeCell ref="A5:K5"/>
    <mergeCell ref="A7:K7"/>
  </mergeCells>
  <phoneticPr fontId="82" type="noConversion"/>
  <conditionalFormatting sqref="C15:K31">
    <cfRule type="cellIs" dxfId="3" priority="1" stopIfTrue="1" operator="equal">
      <formula>0</formula>
    </cfRule>
  </conditionalFormatting>
  <printOptions horizontalCentered="1" verticalCentered="1"/>
  <pageMargins left="0.31496062992125984" right="0.6692913385826772" top="0.98425196850393704" bottom="0.98425196850393704" header="0.51181102362204722" footer="0.51181102362204722"/>
  <pageSetup paperSize="9" scale="76"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75" workbookViewId="0">
      <selection activeCell="J1" sqref="J1:K1"/>
    </sheetView>
  </sheetViews>
  <sheetFormatPr defaultRowHeight="12.75" x14ac:dyDescent="0.2"/>
  <cols>
    <col min="1" max="1" width="5.42578125" customWidth="1"/>
    <col min="2" max="2" width="26" bestFit="1" customWidth="1"/>
    <col min="3" max="11" width="16.7109375" customWidth="1"/>
  </cols>
  <sheetData>
    <row r="1" spans="1:11" ht="15.75" x14ac:dyDescent="0.25">
      <c r="A1" s="1" t="s">
        <v>195</v>
      </c>
      <c r="B1" s="3"/>
      <c r="C1" s="4"/>
      <c r="D1" s="3"/>
      <c r="E1" s="3"/>
      <c r="F1" s="3"/>
      <c r="G1" s="413"/>
      <c r="H1" s="413"/>
      <c r="J1" s="1689" t="s">
        <v>420</v>
      </c>
      <c r="K1" s="1603"/>
    </row>
    <row r="3" spans="1:11" x14ac:dyDescent="0.2">
      <c r="A3" s="3" t="s">
        <v>405</v>
      </c>
      <c r="B3" s="3"/>
      <c r="C3" s="3"/>
      <c r="D3" s="3"/>
      <c r="E3" s="3"/>
      <c r="F3" s="3"/>
      <c r="G3" s="3"/>
      <c r="H3" s="3"/>
      <c r="I3" s="3"/>
    </row>
    <row r="4" spans="1:11" x14ac:dyDescent="0.2">
      <c r="A4" s="3"/>
      <c r="B4" s="3"/>
      <c r="C4" s="3"/>
      <c r="D4" s="3"/>
      <c r="E4" s="3"/>
      <c r="F4" s="3"/>
      <c r="G4" s="3"/>
      <c r="H4" s="3"/>
      <c r="I4" s="3"/>
    </row>
    <row r="5" spans="1:11" ht="15.75" x14ac:dyDescent="0.25">
      <c r="A5" s="1604" t="s">
        <v>399</v>
      </c>
      <c r="B5" s="1604"/>
      <c r="C5" s="1604"/>
      <c r="D5" s="1604"/>
      <c r="E5" s="1604"/>
      <c r="F5" s="1604"/>
      <c r="G5" s="1604"/>
      <c r="H5" s="1604"/>
      <c r="I5" s="1604"/>
      <c r="J5" s="1604"/>
      <c r="K5" s="1604"/>
    </row>
    <row r="6" spans="1:11" ht="15.75" x14ac:dyDescent="0.25">
      <c r="A6" s="1604" t="s">
        <v>400</v>
      </c>
      <c r="B6" s="1604"/>
      <c r="C6" s="1604"/>
      <c r="D6" s="1604"/>
      <c r="E6" s="1604"/>
      <c r="F6" s="1604"/>
      <c r="G6" s="1604"/>
      <c r="H6" s="1604"/>
      <c r="I6" s="1604"/>
      <c r="J6" s="1604"/>
      <c r="K6" s="1604"/>
    </row>
    <row r="7" spans="1:11" ht="15.75" x14ac:dyDescent="0.25">
      <c r="A7" s="1690" t="str">
        <f>"WG  ST.  NA  DZIEŃ  31. XII.  "&amp;'Tab.1. bilans_Polska'!A2&amp;" r. - OSOBY PRZEWLEKLE CHORE"</f>
        <v>WG  ST.  NA  DZIEŃ  31. XII.  2011 r. - OSOBY PRZEWLEKLE CHORE</v>
      </c>
      <c r="B7" s="1690"/>
      <c r="C7" s="1690"/>
      <c r="D7" s="1690"/>
      <c r="E7" s="1690"/>
      <c r="F7" s="1690"/>
      <c r="G7" s="1690"/>
      <c r="H7" s="1690"/>
      <c r="I7" s="1690"/>
      <c r="J7" s="1690"/>
      <c r="K7" s="1690"/>
    </row>
    <row r="8" spans="1:11" ht="15.75" x14ac:dyDescent="0.25">
      <c r="A8" s="1604"/>
      <c r="B8" s="1604"/>
      <c r="C8" s="1604"/>
      <c r="D8" s="1604"/>
      <c r="E8" s="1604"/>
      <c r="F8" s="1604"/>
      <c r="G8" s="1604"/>
      <c r="H8" s="1604"/>
      <c r="I8" s="1604"/>
      <c r="J8" s="1604"/>
      <c r="K8" s="1604"/>
    </row>
    <row r="9" spans="1:11" ht="13.5" thickBot="1" x14ac:dyDescent="0.25">
      <c r="A9" s="3"/>
      <c r="B9" s="3"/>
      <c r="C9" s="3"/>
      <c r="D9" s="3"/>
      <c r="E9" s="3"/>
      <c r="F9" s="3"/>
      <c r="G9" s="3"/>
      <c r="H9" s="3"/>
      <c r="I9" s="3"/>
    </row>
    <row r="10" spans="1:11" ht="17.25" thickTop="1" x14ac:dyDescent="0.2">
      <c r="A10" s="1692" t="s">
        <v>226</v>
      </c>
      <c r="B10" s="1695" t="s">
        <v>256</v>
      </c>
      <c r="C10" s="1954" t="s">
        <v>3</v>
      </c>
      <c r="D10" s="1955"/>
      <c r="E10" s="1956"/>
      <c r="F10" s="1949" t="s">
        <v>401</v>
      </c>
      <c r="G10" s="1906"/>
      <c r="H10" s="1906"/>
      <c r="I10" s="1906"/>
      <c r="J10" s="1906"/>
      <c r="K10" s="1857"/>
    </row>
    <row r="11" spans="1:11" ht="15" x14ac:dyDescent="0.2">
      <c r="A11" s="1693"/>
      <c r="B11" s="1696"/>
      <c r="C11" s="738" t="s">
        <v>4</v>
      </c>
      <c r="D11" s="739" t="s">
        <v>39</v>
      </c>
      <c r="E11" s="740" t="s">
        <v>40</v>
      </c>
      <c r="F11" s="1950" t="s">
        <v>403</v>
      </c>
      <c r="G11" s="1951"/>
      <c r="H11" s="1952"/>
      <c r="I11" s="1950" t="s">
        <v>404</v>
      </c>
      <c r="J11" s="1951"/>
      <c r="K11" s="1953"/>
    </row>
    <row r="12" spans="1:11" ht="15" x14ac:dyDescent="0.2">
      <c r="A12" s="1693"/>
      <c r="B12" s="1696"/>
      <c r="C12" s="738" t="s">
        <v>406</v>
      </c>
      <c r="D12" s="741" t="s">
        <v>13</v>
      </c>
      <c r="E12" s="740" t="s">
        <v>5</v>
      </c>
      <c r="F12" s="670" t="s">
        <v>0</v>
      </c>
      <c r="G12" s="731" t="s">
        <v>0</v>
      </c>
      <c r="H12" s="732" t="s">
        <v>0</v>
      </c>
      <c r="I12" s="735" t="s">
        <v>0</v>
      </c>
      <c r="J12" s="731" t="s">
        <v>0</v>
      </c>
      <c r="K12" s="736" t="s">
        <v>0</v>
      </c>
    </row>
    <row r="13" spans="1:11" ht="15" x14ac:dyDescent="0.2">
      <c r="A13" s="1694"/>
      <c r="B13" s="1697"/>
      <c r="C13" s="742" t="s">
        <v>42</v>
      </c>
      <c r="D13" s="743" t="s">
        <v>43</v>
      </c>
      <c r="E13" s="744" t="s">
        <v>44</v>
      </c>
      <c r="F13" s="671" t="s">
        <v>407</v>
      </c>
      <c r="G13" s="733" t="s">
        <v>1</v>
      </c>
      <c r="H13" s="734" t="s">
        <v>45</v>
      </c>
      <c r="I13" s="669" t="s">
        <v>407</v>
      </c>
      <c r="J13" s="733" t="s">
        <v>1</v>
      </c>
      <c r="K13" s="737" t="s">
        <v>45</v>
      </c>
    </row>
    <row r="14" spans="1:11" ht="13.5" thickBot="1" x14ac:dyDescent="0.25">
      <c r="A14" s="425"/>
      <c r="B14" s="429">
        <v>0</v>
      </c>
      <c r="C14" s="496">
        <v>1</v>
      </c>
      <c r="D14" s="490">
        <v>2</v>
      </c>
      <c r="E14" s="468">
        <v>3</v>
      </c>
      <c r="F14" s="496">
        <v>4</v>
      </c>
      <c r="G14" s="466">
        <v>5</v>
      </c>
      <c r="H14" s="468">
        <v>6</v>
      </c>
      <c r="I14" s="427">
        <v>7</v>
      </c>
      <c r="J14" s="428">
        <v>8</v>
      </c>
      <c r="K14" s="431">
        <v>9</v>
      </c>
    </row>
    <row r="15" spans="1:11" ht="13.5" thickTop="1" x14ac:dyDescent="0.2">
      <c r="A15" s="461">
        <v>1</v>
      </c>
      <c r="B15" s="508" t="s">
        <v>236</v>
      </c>
      <c r="C15" s="597">
        <f t="shared" ref="C15:C30" si="0">F15+I15</f>
        <v>0</v>
      </c>
      <c r="D15" s="745">
        <f t="shared" ref="D15:D30" si="1">G15+J15</f>
        <v>0</v>
      </c>
      <c r="E15" s="746">
        <f t="shared" ref="E15:E30" si="2">H15+K15</f>
        <v>0</v>
      </c>
      <c r="F15" s="751">
        <f>'Tab. 11 dane zrodlowe'!F51</f>
        <v>0</v>
      </c>
      <c r="G15" s="752">
        <f>'Tab. 11 dane zrodlowe'!G51</f>
        <v>0</v>
      </c>
      <c r="H15" s="753">
        <f>'Tab. 11 dane zrodlowe'!H51</f>
        <v>0</v>
      </c>
      <c r="I15" s="754">
        <f>'Tab. 11 dane zrodlowe'!I51</f>
        <v>0</v>
      </c>
      <c r="J15" s="755">
        <f>'Tab. 11 dane zrodlowe'!J51</f>
        <v>0</v>
      </c>
      <c r="K15" s="756">
        <f>'Tab. 11 dane zrodlowe'!K51</f>
        <v>0</v>
      </c>
    </row>
    <row r="16" spans="1:11" x14ac:dyDescent="0.2">
      <c r="A16" s="462">
        <v>2</v>
      </c>
      <c r="B16" s="509" t="s">
        <v>237</v>
      </c>
      <c r="C16" s="601">
        <f t="shared" si="0"/>
        <v>0</v>
      </c>
      <c r="D16" s="747">
        <f t="shared" si="1"/>
        <v>0</v>
      </c>
      <c r="E16" s="748">
        <f t="shared" si="2"/>
        <v>0</v>
      </c>
      <c r="F16" s="757">
        <f>'Tab. 11 dane zrodlowe'!F80</f>
        <v>0</v>
      </c>
      <c r="G16" s="758">
        <f>'Tab. 11 dane zrodlowe'!G80</f>
        <v>0</v>
      </c>
      <c r="H16" s="759">
        <f>'Tab. 11 dane zrodlowe'!H80</f>
        <v>0</v>
      </c>
      <c r="I16" s="757">
        <f>'Tab. 11 dane zrodlowe'!I80</f>
        <v>0</v>
      </c>
      <c r="J16" s="758">
        <f>'Tab. 11 dane zrodlowe'!J80</f>
        <v>0</v>
      </c>
      <c r="K16" s="760">
        <f>'Tab. 11 dane zrodlowe'!K80</f>
        <v>0</v>
      </c>
    </row>
    <row r="17" spans="1:11" x14ac:dyDescent="0.2">
      <c r="A17" s="462">
        <v>3</v>
      </c>
      <c r="B17" s="509" t="s">
        <v>238</v>
      </c>
      <c r="C17" s="601">
        <f t="shared" si="0"/>
        <v>0</v>
      </c>
      <c r="D17" s="747">
        <f t="shared" si="1"/>
        <v>0</v>
      </c>
      <c r="E17" s="748">
        <f t="shared" si="2"/>
        <v>0</v>
      </c>
      <c r="F17" s="757">
        <f>'Tab. 11 dane zrodlowe'!F109</f>
        <v>0</v>
      </c>
      <c r="G17" s="758">
        <f>'Tab. 11 dane zrodlowe'!G109</f>
        <v>0</v>
      </c>
      <c r="H17" s="759">
        <f>'Tab. 11 dane zrodlowe'!H109</f>
        <v>0</v>
      </c>
      <c r="I17" s="757">
        <f>'Tab. 11 dane zrodlowe'!I109</f>
        <v>0</v>
      </c>
      <c r="J17" s="758">
        <f>'Tab. 11 dane zrodlowe'!J109</f>
        <v>0</v>
      </c>
      <c r="K17" s="760">
        <f>'Tab. 11 dane zrodlowe'!K109</f>
        <v>0</v>
      </c>
    </row>
    <row r="18" spans="1:11" x14ac:dyDescent="0.2">
      <c r="A18" s="462">
        <v>4</v>
      </c>
      <c r="B18" s="509" t="s">
        <v>239</v>
      </c>
      <c r="C18" s="601">
        <f t="shared" si="0"/>
        <v>0</v>
      </c>
      <c r="D18" s="747">
        <f t="shared" si="1"/>
        <v>0</v>
      </c>
      <c r="E18" s="748">
        <f t="shared" si="2"/>
        <v>0</v>
      </c>
      <c r="F18" s="757">
        <f>'Tab. 11 dane zrodlowe'!F138</f>
        <v>0</v>
      </c>
      <c r="G18" s="758">
        <f>'Tab. 11 dane zrodlowe'!G138</f>
        <v>0</v>
      </c>
      <c r="H18" s="759">
        <f>'Tab. 11 dane zrodlowe'!H138</f>
        <v>0</v>
      </c>
      <c r="I18" s="757">
        <f>'Tab. 11 dane zrodlowe'!I138</f>
        <v>0</v>
      </c>
      <c r="J18" s="758">
        <f>'Tab. 11 dane zrodlowe'!J138</f>
        <v>0</v>
      </c>
      <c r="K18" s="760">
        <f>'Tab. 11 dane zrodlowe'!K138</f>
        <v>0</v>
      </c>
    </row>
    <row r="19" spans="1:11" x14ac:dyDescent="0.2">
      <c r="A19" s="462">
        <v>5</v>
      </c>
      <c r="B19" s="509" t="s">
        <v>240</v>
      </c>
      <c r="C19" s="601">
        <f t="shared" si="0"/>
        <v>0</v>
      </c>
      <c r="D19" s="747">
        <f t="shared" si="1"/>
        <v>0</v>
      </c>
      <c r="E19" s="748">
        <f t="shared" si="2"/>
        <v>0</v>
      </c>
      <c r="F19" s="757">
        <f>'Tab. 11 dane zrodlowe'!F167</f>
        <v>0</v>
      </c>
      <c r="G19" s="758">
        <f>'Tab. 11 dane zrodlowe'!G167</f>
        <v>0</v>
      </c>
      <c r="H19" s="759">
        <f>'Tab. 11 dane zrodlowe'!H167</f>
        <v>0</v>
      </c>
      <c r="I19" s="757">
        <f>'Tab. 11 dane zrodlowe'!I167</f>
        <v>0</v>
      </c>
      <c r="J19" s="758">
        <f>'Tab. 11 dane zrodlowe'!J167</f>
        <v>0</v>
      </c>
      <c r="K19" s="760">
        <f>'Tab. 11 dane zrodlowe'!K167</f>
        <v>0</v>
      </c>
    </row>
    <row r="20" spans="1:11" x14ac:dyDescent="0.2">
      <c r="A20" s="462">
        <v>6</v>
      </c>
      <c r="B20" s="509" t="s">
        <v>241</v>
      </c>
      <c r="C20" s="601">
        <f t="shared" si="0"/>
        <v>4</v>
      </c>
      <c r="D20" s="747">
        <f t="shared" si="1"/>
        <v>105</v>
      </c>
      <c r="E20" s="748">
        <f t="shared" si="2"/>
        <v>77</v>
      </c>
      <c r="F20" s="757">
        <f>'Tab. 11 dane zrodlowe'!F196</f>
        <v>2</v>
      </c>
      <c r="G20" s="758">
        <f>'Tab. 11 dane zrodlowe'!G196</f>
        <v>47</v>
      </c>
      <c r="H20" s="759">
        <f>'Tab. 11 dane zrodlowe'!H196</f>
        <v>34</v>
      </c>
      <c r="I20" s="757">
        <f>'Tab. 11 dane zrodlowe'!I196</f>
        <v>2</v>
      </c>
      <c r="J20" s="758">
        <f>'Tab. 11 dane zrodlowe'!J196</f>
        <v>58</v>
      </c>
      <c r="K20" s="760">
        <f>'Tab. 11 dane zrodlowe'!K196</f>
        <v>43</v>
      </c>
    </row>
    <row r="21" spans="1:11" x14ac:dyDescent="0.2">
      <c r="A21" s="462">
        <v>7</v>
      </c>
      <c r="B21" s="509" t="s">
        <v>242</v>
      </c>
      <c r="C21" s="601">
        <f t="shared" si="0"/>
        <v>1</v>
      </c>
      <c r="D21" s="747">
        <f t="shared" si="1"/>
        <v>94</v>
      </c>
      <c r="E21" s="748">
        <f t="shared" si="2"/>
        <v>90</v>
      </c>
      <c r="F21" s="757">
        <f>'Tab. 11 dane zrodlowe'!F225</f>
        <v>1</v>
      </c>
      <c r="G21" s="758">
        <f>'Tab. 11 dane zrodlowe'!G225</f>
        <v>94</v>
      </c>
      <c r="H21" s="759">
        <f>'Tab. 11 dane zrodlowe'!H225</f>
        <v>90</v>
      </c>
      <c r="I21" s="757">
        <f>'Tab. 11 dane zrodlowe'!I225</f>
        <v>0</v>
      </c>
      <c r="J21" s="758">
        <f>'Tab. 11 dane zrodlowe'!J225</f>
        <v>0</v>
      </c>
      <c r="K21" s="760">
        <f>'Tab. 11 dane zrodlowe'!K225</f>
        <v>0</v>
      </c>
    </row>
    <row r="22" spans="1:11" x14ac:dyDescent="0.2">
      <c r="A22" s="462">
        <v>8</v>
      </c>
      <c r="B22" s="509" t="s">
        <v>243</v>
      </c>
      <c r="C22" s="601">
        <f t="shared" si="0"/>
        <v>2</v>
      </c>
      <c r="D22" s="747">
        <f t="shared" si="1"/>
        <v>80</v>
      </c>
      <c r="E22" s="748">
        <f t="shared" si="2"/>
        <v>72</v>
      </c>
      <c r="F22" s="757">
        <f>'Tab. 11 dane zrodlowe'!F254</f>
        <v>2</v>
      </c>
      <c r="G22" s="758">
        <f>'Tab. 11 dane zrodlowe'!G254</f>
        <v>80</v>
      </c>
      <c r="H22" s="759">
        <f>'Tab. 11 dane zrodlowe'!H254</f>
        <v>72</v>
      </c>
      <c r="I22" s="757">
        <f>'Tab. 11 dane zrodlowe'!I254</f>
        <v>0</v>
      </c>
      <c r="J22" s="758">
        <f>'Tab. 11 dane zrodlowe'!J254</f>
        <v>0</v>
      </c>
      <c r="K22" s="760">
        <f>'Tab. 11 dane zrodlowe'!K254</f>
        <v>0</v>
      </c>
    </row>
    <row r="23" spans="1:11" x14ac:dyDescent="0.2">
      <c r="A23" s="462">
        <v>9</v>
      </c>
      <c r="B23" s="509" t="s">
        <v>244</v>
      </c>
      <c r="C23" s="601">
        <f t="shared" si="0"/>
        <v>0</v>
      </c>
      <c r="D23" s="747">
        <f t="shared" si="1"/>
        <v>0</v>
      </c>
      <c r="E23" s="748">
        <f t="shared" si="2"/>
        <v>0</v>
      </c>
      <c r="F23" s="757">
        <f>'Tab. 11 dane zrodlowe'!F283</f>
        <v>0</v>
      </c>
      <c r="G23" s="758">
        <f>'Tab. 11 dane zrodlowe'!G283</f>
        <v>0</v>
      </c>
      <c r="H23" s="759">
        <f>'Tab. 11 dane zrodlowe'!H283</f>
        <v>0</v>
      </c>
      <c r="I23" s="757">
        <f>'Tab. 11 dane zrodlowe'!I283</f>
        <v>0</v>
      </c>
      <c r="J23" s="758">
        <f>'Tab. 11 dane zrodlowe'!J283</f>
        <v>0</v>
      </c>
      <c r="K23" s="760">
        <f>'Tab. 11 dane zrodlowe'!K283</f>
        <v>0</v>
      </c>
    </row>
    <row r="24" spans="1:11" x14ac:dyDescent="0.2">
      <c r="A24" s="463">
        <v>10</v>
      </c>
      <c r="B24" s="509" t="s">
        <v>245</v>
      </c>
      <c r="C24" s="601">
        <f t="shared" si="0"/>
        <v>3</v>
      </c>
      <c r="D24" s="747">
        <f t="shared" si="1"/>
        <v>64</v>
      </c>
      <c r="E24" s="748">
        <f t="shared" si="2"/>
        <v>64</v>
      </c>
      <c r="F24" s="757">
        <f>'Tab. 11 dane zrodlowe'!F312</f>
        <v>2</v>
      </c>
      <c r="G24" s="758">
        <f>'Tab. 11 dane zrodlowe'!G312</f>
        <v>34</v>
      </c>
      <c r="H24" s="759">
        <f>'Tab. 11 dane zrodlowe'!H312</f>
        <v>34</v>
      </c>
      <c r="I24" s="757">
        <f>'Tab. 11 dane zrodlowe'!I312</f>
        <v>1</v>
      </c>
      <c r="J24" s="758">
        <f>'Tab. 11 dane zrodlowe'!J312</f>
        <v>30</v>
      </c>
      <c r="K24" s="760">
        <f>'Tab. 11 dane zrodlowe'!K312</f>
        <v>30</v>
      </c>
    </row>
    <row r="25" spans="1:11" x14ac:dyDescent="0.2">
      <c r="A25" s="463">
        <v>11</v>
      </c>
      <c r="B25" s="509" t="s">
        <v>246</v>
      </c>
      <c r="C25" s="601">
        <f t="shared" si="0"/>
        <v>0</v>
      </c>
      <c r="D25" s="747">
        <f t="shared" si="1"/>
        <v>0</v>
      </c>
      <c r="E25" s="748">
        <f t="shared" si="2"/>
        <v>0</v>
      </c>
      <c r="F25" s="757">
        <f>'Tab. 11 dane zrodlowe'!F341</f>
        <v>0</v>
      </c>
      <c r="G25" s="758">
        <f>'Tab. 11 dane zrodlowe'!G341</f>
        <v>0</v>
      </c>
      <c r="H25" s="759">
        <f>'Tab. 11 dane zrodlowe'!H341</f>
        <v>0</v>
      </c>
      <c r="I25" s="757">
        <f>'Tab. 11 dane zrodlowe'!I341</f>
        <v>0</v>
      </c>
      <c r="J25" s="758">
        <f>'Tab. 11 dane zrodlowe'!J341</f>
        <v>0</v>
      </c>
      <c r="K25" s="760">
        <f>'Tab. 11 dane zrodlowe'!K341</f>
        <v>0</v>
      </c>
    </row>
    <row r="26" spans="1:11" x14ac:dyDescent="0.2">
      <c r="A26" s="463">
        <v>12</v>
      </c>
      <c r="B26" s="509" t="s">
        <v>247</v>
      </c>
      <c r="C26" s="601">
        <f t="shared" si="0"/>
        <v>0</v>
      </c>
      <c r="D26" s="747">
        <f t="shared" si="1"/>
        <v>0</v>
      </c>
      <c r="E26" s="748">
        <f t="shared" si="2"/>
        <v>0</v>
      </c>
      <c r="F26" s="757">
        <f>'Tab. 11 dane zrodlowe'!F370</f>
        <v>0</v>
      </c>
      <c r="G26" s="758">
        <f>'Tab. 11 dane zrodlowe'!G370</f>
        <v>0</v>
      </c>
      <c r="H26" s="759">
        <f>'Tab. 11 dane zrodlowe'!H370</f>
        <v>0</v>
      </c>
      <c r="I26" s="757">
        <f>'Tab. 11 dane zrodlowe'!I370</f>
        <v>0</v>
      </c>
      <c r="J26" s="758">
        <f>'Tab. 11 dane zrodlowe'!J370</f>
        <v>0</v>
      </c>
      <c r="K26" s="760">
        <f>'Tab. 11 dane zrodlowe'!K370</f>
        <v>0</v>
      </c>
    </row>
    <row r="27" spans="1:11" x14ac:dyDescent="0.2">
      <c r="A27" s="463">
        <v>13</v>
      </c>
      <c r="B27" s="509" t="s">
        <v>248</v>
      </c>
      <c r="C27" s="601">
        <f t="shared" si="0"/>
        <v>0</v>
      </c>
      <c r="D27" s="747">
        <f t="shared" si="1"/>
        <v>0</v>
      </c>
      <c r="E27" s="748">
        <f t="shared" si="2"/>
        <v>0</v>
      </c>
      <c r="F27" s="757">
        <f>'Tab. 11 dane zrodlowe'!F399</f>
        <v>0</v>
      </c>
      <c r="G27" s="758">
        <f>'Tab. 11 dane zrodlowe'!G399</f>
        <v>0</v>
      </c>
      <c r="H27" s="759">
        <f>'Tab. 11 dane zrodlowe'!H399</f>
        <v>0</v>
      </c>
      <c r="I27" s="757">
        <f>'Tab. 11 dane zrodlowe'!I399</f>
        <v>0</v>
      </c>
      <c r="J27" s="758">
        <f>'Tab. 11 dane zrodlowe'!J399</f>
        <v>0</v>
      </c>
      <c r="K27" s="760">
        <f>'Tab. 11 dane zrodlowe'!K399</f>
        <v>0</v>
      </c>
    </row>
    <row r="28" spans="1:11" x14ac:dyDescent="0.2">
      <c r="A28" s="463">
        <v>14</v>
      </c>
      <c r="B28" s="509" t="s">
        <v>249</v>
      </c>
      <c r="C28" s="601">
        <f t="shared" si="0"/>
        <v>1</v>
      </c>
      <c r="D28" s="747">
        <f t="shared" si="1"/>
        <v>15</v>
      </c>
      <c r="E28" s="748">
        <f t="shared" si="2"/>
        <v>18</v>
      </c>
      <c r="F28" s="757">
        <f>'Tab. 11 dane zrodlowe'!F428</f>
        <v>1</v>
      </c>
      <c r="G28" s="758">
        <f>'Tab. 11 dane zrodlowe'!G428</f>
        <v>15</v>
      </c>
      <c r="H28" s="759">
        <f>'Tab. 11 dane zrodlowe'!H428</f>
        <v>18</v>
      </c>
      <c r="I28" s="757">
        <f>'Tab. 11 dane zrodlowe'!I428</f>
        <v>0</v>
      </c>
      <c r="J28" s="758">
        <f>'Tab. 11 dane zrodlowe'!J428</f>
        <v>0</v>
      </c>
      <c r="K28" s="760">
        <f>'Tab. 11 dane zrodlowe'!K428</f>
        <v>0</v>
      </c>
    </row>
    <row r="29" spans="1:11" x14ac:dyDescent="0.2">
      <c r="A29" s="463">
        <v>15</v>
      </c>
      <c r="B29" s="509" t="s">
        <v>250</v>
      </c>
      <c r="C29" s="601">
        <f t="shared" si="0"/>
        <v>2</v>
      </c>
      <c r="D29" s="747">
        <f t="shared" si="1"/>
        <v>30</v>
      </c>
      <c r="E29" s="748">
        <f t="shared" si="2"/>
        <v>29</v>
      </c>
      <c r="F29" s="757">
        <f>'Tab. 11 dane zrodlowe'!F457</f>
        <v>1</v>
      </c>
      <c r="G29" s="758">
        <f>'Tab. 11 dane zrodlowe'!G457</f>
        <v>20</v>
      </c>
      <c r="H29" s="759">
        <f>'Tab. 11 dane zrodlowe'!H457</f>
        <v>20</v>
      </c>
      <c r="I29" s="757">
        <f>'Tab. 11 dane zrodlowe'!I457</f>
        <v>1</v>
      </c>
      <c r="J29" s="758">
        <f>'Tab. 11 dane zrodlowe'!J457</f>
        <v>10</v>
      </c>
      <c r="K29" s="760">
        <f>'Tab. 11 dane zrodlowe'!K457</f>
        <v>9</v>
      </c>
    </row>
    <row r="30" spans="1:11" ht="13.5" thickBot="1" x14ac:dyDescent="0.25">
      <c r="A30" s="463">
        <v>16</v>
      </c>
      <c r="B30" s="510" t="s">
        <v>251</v>
      </c>
      <c r="C30" s="601">
        <f t="shared" si="0"/>
        <v>0</v>
      </c>
      <c r="D30" s="749">
        <f t="shared" si="1"/>
        <v>0</v>
      </c>
      <c r="E30" s="750">
        <f t="shared" si="2"/>
        <v>0</v>
      </c>
      <c r="F30" s="761">
        <f>'Tab. 11 dane zrodlowe'!F486</f>
        <v>0</v>
      </c>
      <c r="G30" s="762">
        <f>'Tab. 11 dane zrodlowe'!G486</f>
        <v>0</v>
      </c>
      <c r="H30" s="763">
        <f>'Tab. 11 dane zrodlowe'!H486</f>
        <v>0</v>
      </c>
      <c r="I30" s="761">
        <f>'Tab. 11 dane zrodlowe'!I486</f>
        <v>0</v>
      </c>
      <c r="J30" s="762">
        <f>'Tab. 11 dane zrodlowe'!J486</f>
        <v>0</v>
      </c>
      <c r="K30" s="764">
        <f>'Tab. 11 dane zrodlowe'!K486</f>
        <v>0</v>
      </c>
    </row>
    <row r="31" spans="1:11" ht="16.5" thickBot="1" x14ac:dyDescent="0.3">
      <c r="A31" s="445" t="s">
        <v>252</v>
      </c>
      <c r="B31" s="446"/>
      <c r="C31" s="652">
        <f t="shared" ref="C31:K31" si="3">SUM(C15:C30)</f>
        <v>13</v>
      </c>
      <c r="D31" s="549">
        <f t="shared" si="3"/>
        <v>388</v>
      </c>
      <c r="E31" s="550">
        <f t="shared" si="3"/>
        <v>350</v>
      </c>
      <c r="F31" s="545">
        <f t="shared" si="3"/>
        <v>9</v>
      </c>
      <c r="G31" s="546">
        <f t="shared" si="3"/>
        <v>290</v>
      </c>
      <c r="H31" s="550">
        <f t="shared" si="3"/>
        <v>268</v>
      </c>
      <c r="I31" s="652">
        <f t="shared" si="3"/>
        <v>4</v>
      </c>
      <c r="J31" s="595">
        <f t="shared" si="3"/>
        <v>98</v>
      </c>
      <c r="K31" s="547">
        <f t="shared" si="3"/>
        <v>82</v>
      </c>
    </row>
    <row r="32" spans="1:11" ht="13.5" thickTop="1" x14ac:dyDescent="0.2"/>
  </sheetData>
  <mergeCells count="11">
    <mergeCell ref="A7:K7"/>
    <mergeCell ref="A8:K8"/>
    <mergeCell ref="F10:K10"/>
    <mergeCell ref="F11:H11"/>
    <mergeCell ref="I11:K11"/>
    <mergeCell ref="J1:K1"/>
    <mergeCell ref="A6:K6"/>
    <mergeCell ref="A10:A13"/>
    <mergeCell ref="B10:B13"/>
    <mergeCell ref="C10:E10"/>
    <mergeCell ref="A5:K5"/>
  </mergeCells>
  <phoneticPr fontId="82" type="noConversion"/>
  <conditionalFormatting sqref="C15:K31">
    <cfRule type="cellIs" dxfId="2" priority="1" stopIfTrue="1" operator="equal">
      <formula>0</formula>
    </cfRule>
  </conditionalFormatting>
  <printOptions horizontalCentered="1" verticalCentered="1"/>
  <pageMargins left="0.31496062992125984" right="0.55118110236220474" top="0.59055118110236227" bottom="0.98425196850393704" header="0.51181102362204722" footer="0.51181102362204722"/>
  <pageSetup paperSize="9" scale="77"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75" workbookViewId="0">
      <selection activeCell="J1" sqref="J1:K1"/>
    </sheetView>
  </sheetViews>
  <sheetFormatPr defaultRowHeight="12.75" x14ac:dyDescent="0.2"/>
  <cols>
    <col min="1" max="1" width="5.42578125" customWidth="1"/>
    <col min="2" max="2" width="26" bestFit="1" customWidth="1"/>
    <col min="3" max="11" width="16.7109375" customWidth="1"/>
  </cols>
  <sheetData>
    <row r="1" spans="1:11" ht="15.75" x14ac:dyDescent="0.25">
      <c r="A1" s="1" t="s">
        <v>195</v>
      </c>
      <c r="B1" s="3"/>
      <c r="C1" s="4"/>
      <c r="D1" s="3"/>
      <c r="E1" s="3"/>
      <c r="F1" s="3"/>
      <c r="G1" s="413"/>
      <c r="H1" s="413"/>
      <c r="J1" s="1689" t="s">
        <v>421</v>
      </c>
      <c r="K1" s="1603"/>
    </row>
    <row r="3" spans="1:11" x14ac:dyDescent="0.2">
      <c r="A3" s="3" t="s">
        <v>405</v>
      </c>
      <c r="B3" s="3"/>
      <c r="C3" s="3"/>
      <c r="D3" s="3"/>
      <c r="E3" s="3"/>
      <c r="F3" s="3"/>
      <c r="G3" s="3"/>
      <c r="H3" s="3"/>
      <c r="I3" s="3"/>
    </row>
    <row r="4" spans="1:11" x14ac:dyDescent="0.2">
      <c r="A4" s="3"/>
      <c r="B4" s="3"/>
      <c r="C4" s="3"/>
      <c r="D4" s="3"/>
      <c r="E4" s="3"/>
      <c r="F4" s="3"/>
      <c r="G4" s="3"/>
      <c r="H4" s="3"/>
      <c r="I4" s="3"/>
    </row>
    <row r="5" spans="1:11" ht="15.75" x14ac:dyDescent="0.25">
      <c r="A5" s="1604" t="s">
        <v>399</v>
      </c>
      <c r="B5" s="1604"/>
      <c r="C5" s="1604"/>
      <c r="D5" s="1604"/>
      <c r="E5" s="1604"/>
      <c r="F5" s="1604"/>
      <c r="G5" s="1604"/>
      <c r="H5" s="1604"/>
      <c r="I5" s="1604"/>
      <c r="J5" s="1604"/>
      <c r="K5" s="1604"/>
    </row>
    <row r="6" spans="1:11" ht="15.75" x14ac:dyDescent="0.25">
      <c r="A6" s="1604" t="s">
        <v>400</v>
      </c>
      <c r="B6" s="1604"/>
      <c r="C6" s="1604"/>
      <c r="D6" s="1604"/>
      <c r="E6" s="1604"/>
      <c r="F6" s="1604"/>
      <c r="G6" s="1604"/>
      <c r="H6" s="1604"/>
      <c r="I6" s="1604"/>
      <c r="J6" s="1604"/>
      <c r="K6" s="1604"/>
    </row>
    <row r="7" spans="1:11" ht="15.75" x14ac:dyDescent="0.25">
      <c r="A7" s="1690" t="str">
        <f>"WG  ST.  NA  DZIEŃ  31. XII.  "&amp;'Tab.1. bilans_Polska'!A2&amp;" r. - OSOBY NIEPEŁNOSPRAWNE"</f>
        <v>WG  ST.  NA  DZIEŃ  31. XII.  2011 r. - OSOBY NIEPEŁNOSPRAWNE</v>
      </c>
      <c r="B7" s="1690"/>
      <c r="C7" s="1690"/>
      <c r="D7" s="1690"/>
      <c r="E7" s="1690"/>
      <c r="F7" s="1690"/>
      <c r="G7" s="1690"/>
      <c r="H7" s="1690"/>
      <c r="I7" s="1690"/>
      <c r="J7" s="1690"/>
      <c r="K7" s="1690"/>
    </row>
    <row r="8" spans="1:11" ht="15.75" x14ac:dyDescent="0.25">
      <c r="A8" s="1604"/>
      <c r="B8" s="1604"/>
      <c r="C8" s="1604"/>
      <c r="D8" s="1604"/>
      <c r="E8" s="1604"/>
      <c r="F8" s="1604"/>
      <c r="G8" s="1604"/>
      <c r="H8" s="1604"/>
      <c r="I8" s="1604"/>
      <c r="J8" s="1604"/>
      <c r="K8" s="1604"/>
    </row>
    <row r="9" spans="1:11" ht="13.5" thickBot="1" x14ac:dyDescent="0.25">
      <c r="A9" s="3"/>
      <c r="B9" s="3"/>
      <c r="C9" s="3"/>
      <c r="D9" s="3"/>
      <c r="E9" s="3"/>
      <c r="F9" s="3"/>
      <c r="G9" s="3"/>
      <c r="H9" s="3"/>
      <c r="I9" s="3"/>
    </row>
    <row r="10" spans="1:11" ht="17.25" thickTop="1" x14ac:dyDescent="0.2">
      <c r="A10" s="1692" t="s">
        <v>226</v>
      </c>
      <c r="B10" s="1695" t="s">
        <v>256</v>
      </c>
      <c r="C10" s="1954" t="s">
        <v>3</v>
      </c>
      <c r="D10" s="1955"/>
      <c r="E10" s="1956"/>
      <c r="F10" s="1949" t="s">
        <v>401</v>
      </c>
      <c r="G10" s="1906"/>
      <c r="H10" s="1906"/>
      <c r="I10" s="1906"/>
      <c r="J10" s="1906"/>
      <c r="K10" s="1857"/>
    </row>
    <row r="11" spans="1:11" ht="15" x14ac:dyDescent="0.2">
      <c r="A11" s="1693"/>
      <c r="B11" s="1696"/>
      <c r="C11" s="738" t="s">
        <v>4</v>
      </c>
      <c r="D11" s="739" t="s">
        <v>39</v>
      </c>
      <c r="E11" s="740" t="s">
        <v>40</v>
      </c>
      <c r="F11" s="1950" t="s">
        <v>403</v>
      </c>
      <c r="G11" s="1951"/>
      <c r="H11" s="1952"/>
      <c r="I11" s="1950" t="s">
        <v>404</v>
      </c>
      <c r="J11" s="1951"/>
      <c r="K11" s="1953"/>
    </row>
    <row r="12" spans="1:11" ht="15" x14ac:dyDescent="0.2">
      <c r="A12" s="1693"/>
      <c r="B12" s="1696"/>
      <c r="C12" s="738" t="s">
        <v>406</v>
      </c>
      <c r="D12" s="741" t="s">
        <v>13</v>
      </c>
      <c r="E12" s="740" t="s">
        <v>5</v>
      </c>
      <c r="F12" s="670" t="s">
        <v>0</v>
      </c>
      <c r="G12" s="731" t="s">
        <v>0</v>
      </c>
      <c r="H12" s="732" t="s">
        <v>0</v>
      </c>
      <c r="I12" s="735" t="s">
        <v>0</v>
      </c>
      <c r="J12" s="731" t="s">
        <v>0</v>
      </c>
      <c r="K12" s="736" t="s">
        <v>0</v>
      </c>
    </row>
    <row r="13" spans="1:11" ht="15" x14ac:dyDescent="0.2">
      <c r="A13" s="1694"/>
      <c r="B13" s="1697"/>
      <c r="C13" s="742" t="s">
        <v>42</v>
      </c>
      <c r="D13" s="743" t="s">
        <v>43</v>
      </c>
      <c r="E13" s="744" t="s">
        <v>44</v>
      </c>
      <c r="F13" s="671" t="s">
        <v>407</v>
      </c>
      <c r="G13" s="733" t="s">
        <v>1</v>
      </c>
      <c r="H13" s="734" t="s">
        <v>45</v>
      </c>
      <c r="I13" s="669" t="s">
        <v>407</v>
      </c>
      <c r="J13" s="733" t="s">
        <v>1</v>
      </c>
      <c r="K13" s="737" t="s">
        <v>45</v>
      </c>
    </row>
    <row r="14" spans="1:11" ht="13.5" thickBot="1" x14ac:dyDescent="0.25">
      <c r="A14" s="425"/>
      <c r="B14" s="429">
        <v>0</v>
      </c>
      <c r="C14" s="496">
        <v>1</v>
      </c>
      <c r="D14" s="490">
        <v>2</v>
      </c>
      <c r="E14" s="468">
        <v>3</v>
      </c>
      <c r="F14" s="496">
        <v>4</v>
      </c>
      <c r="G14" s="466">
        <v>5</v>
      </c>
      <c r="H14" s="468">
        <v>6</v>
      </c>
      <c r="I14" s="427">
        <v>7</v>
      </c>
      <c r="J14" s="428">
        <v>8</v>
      </c>
      <c r="K14" s="431">
        <v>9</v>
      </c>
    </row>
    <row r="15" spans="1:11" ht="13.5" thickTop="1" x14ac:dyDescent="0.2">
      <c r="A15" s="461">
        <v>1</v>
      </c>
      <c r="B15" s="508" t="s">
        <v>236</v>
      </c>
      <c r="C15" s="597">
        <f t="shared" ref="C15:C30" si="0">F15+I15</f>
        <v>0</v>
      </c>
      <c r="D15" s="745">
        <f t="shared" ref="D15:D30" si="1">G15+J15</f>
        <v>0</v>
      </c>
      <c r="E15" s="746">
        <f t="shared" ref="E15:E30" si="2">H15+K15</f>
        <v>0</v>
      </c>
      <c r="F15" s="751">
        <f>'Tab. 11 dane zrodlowe'!F52</f>
        <v>0</v>
      </c>
      <c r="G15" s="752">
        <f>'Tab. 11 dane zrodlowe'!G52</f>
        <v>0</v>
      </c>
      <c r="H15" s="753">
        <f>'Tab. 11 dane zrodlowe'!H52</f>
        <v>0</v>
      </c>
      <c r="I15" s="754">
        <f>'Tab. 11 dane zrodlowe'!I52</f>
        <v>0</v>
      </c>
      <c r="J15" s="755">
        <f>'Tab. 11 dane zrodlowe'!J52</f>
        <v>0</v>
      </c>
      <c r="K15" s="756">
        <f>'Tab. 11 dane zrodlowe'!K52</f>
        <v>0</v>
      </c>
    </row>
    <row r="16" spans="1:11" x14ac:dyDescent="0.2">
      <c r="A16" s="462">
        <v>2</v>
      </c>
      <c r="B16" s="509" t="s">
        <v>237</v>
      </c>
      <c r="C16" s="601">
        <f t="shared" si="0"/>
        <v>0</v>
      </c>
      <c r="D16" s="747">
        <f t="shared" si="1"/>
        <v>0</v>
      </c>
      <c r="E16" s="748">
        <f t="shared" si="2"/>
        <v>0</v>
      </c>
      <c r="F16" s="757">
        <f>'Tab. 11 dane zrodlowe'!F81</f>
        <v>0</v>
      </c>
      <c r="G16" s="758">
        <f>'Tab. 11 dane zrodlowe'!G81</f>
        <v>0</v>
      </c>
      <c r="H16" s="759">
        <f>'Tab. 11 dane zrodlowe'!H81</f>
        <v>0</v>
      </c>
      <c r="I16" s="757">
        <f>'Tab. 11 dane zrodlowe'!I81</f>
        <v>0</v>
      </c>
      <c r="J16" s="758">
        <f>'Tab. 11 dane zrodlowe'!J81</f>
        <v>0</v>
      </c>
      <c r="K16" s="760">
        <f>'Tab. 11 dane zrodlowe'!K81</f>
        <v>0</v>
      </c>
    </row>
    <row r="17" spans="1:11" x14ac:dyDescent="0.2">
      <c r="A17" s="462">
        <v>3</v>
      </c>
      <c r="B17" s="509" t="s">
        <v>238</v>
      </c>
      <c r="C17" s="601">
        <f t="shared" si="0"/>
        <v>0</v>
      </c>
      <c r="D17" s="747">
        <f t="shared" si="1"/>
        <v>0</v>
      </c>
      <c r="E17" s="748">
        <f t="shared" si="2"/>
        <v>0</v>
      </c>
      <c r="F17" s="757">
        <f>'Tab. 11 dane zrodlowe'!F110</f>
        <v>0</v>
      </c>
      <c r="G17" s="758">
        <f>'Tab. 11 dane zrodlowe'!G110</f>
        <v>0</v>
      </c>
      <c r="H17" s="759">
        <f>'Tab. 11 dane zrodlowe'!H110</f>
        <v>0</v>
      </c>
      <c r="I17" s="757">
        <f>'Tab. 11 dane zrodlowe'!I110</f>
        <v>0</v>
      </c>
      <c r="J17" s="758">
        <f>'Tab. 11 dane zrodlowe'!J110</f>
        <v>0</v>
      </c>
      <c r="K17" s="760">
        <f>'Tab. 11 dane zrodlowe'!K110</f>
        <v>0</v>
      </c>
    </row>
    <row r="18" spans="1:11" x14ac:dyDescent="0.2">
      <c r="A18" s="462">
        <v>4</v>
      </c>
      <c r="B18" s="509" t="s">
        <v>239</v>
      </c>
      <c r="C18" s="601">
        <f t="shared" si="0"/>
        <v>0</v>
      </c>
      <c r="D18" s="747">
        <f t="shared" si="1"/>
        <v>0</v>
      </c>
      <c r="E18" s="748">
        <f t="shared" si="2"/>
        <v>0</v>
      </c>
      <c r="F18" s="757">
        <f>'Tab. 11 dane zrodlowe'!F139</f>
        <v>0</v>
      </c>
      <c r="G18" s="758">
        <f>'Tab. 11 dane zrodlowe'!G139</f>
        <v>0</v>
      </c>
      <c r="H18" s="759">
        <f>'Tab. 11 dane zrodlowe'!H139</f>
        <v>0</v>
      </c>
      <c r="I18" s="757">
        <f>'Tab. 11 dane zrodlowe'!I139</f>
        <v>0</v>
      </c>
      <c r="J18" s="758">
        <f>'Tab. 11 dane zrodlowe'!J139</f>
        <v>0</v>
      </c>
      <c r="K18" s="760">
        <f>'Tab. 11 dane zrodlowe'!K139</f>
        <v>0</v>
      </c>
    </row>
    <row r="19" spans="1:11" x14ac:dyDescent="0.2">
      <c r="A19" s="462">
        <v>5</v>
      </c>
      <c r="B19" s="509" t="s">
        <v>240</v>
      </c>
      <c r="C19" s="601">
        <f t="shared" si="0"/>
        <v>0</v>
      </c>
      <c r="D19" s="747">
        <f t="shared" si="1"/>
        <v>0</v>
      </c>
      <c r="E19" s="748">
        <f t="shared" si="2"/>
        <v>0</v>
      </c>
      <c r="F19" s="757">
        <f>'Tab. 11 dane zrodlowe'!F168</f>
        <v>0</v>
      </c>
      <c r="G19" s="758">
        <f>'Tab. 11 dane zrodlowe'!G168</f>
        <v>0</v>
      </c>
      <c r="H19" s="759">
        <f>'Tab. 11 dane zrodlowe'!H168</f>
        <v>0</v>
      </c>
      <c r="I19" s="757">
        <f>'Tab. 11 dane zrodlowe'!I168</f>
        <v>0</v>
      </c>
      <c r="J19" s="758">
        <f>'Tab. 11 dane zrodlowe'!J168</f>
        <v>0</v>
      </c>
      <c r="K19" s="760">
        <f>'Tab. 11 dane zrodlowe'!K168</f>
        <v>0</v>
      </c>
    </row>
    <row r="20" spans="1:11" x14ac:dyDescent="0.2">
      <c r="A20" s="462">
        <v>6</v>
      </c>
      <c r="B20" s="509" t="s">
        <v>241</v>
      </c>
      <c r="C20" s="601">
        <f t="shared" si="0"/>
        <v>0</v>
      </c>
      <c r="D20" s="747">
        <f t="shared" si="1"/>
        <v>0</v>
      </c>
      <c r="E20" s="748">
        <f t="shared" si="2"/>
        <v>0</v>
      </c>
      <c r="F20" s="757">
        <f>'Tab. 11 dane zrodlowe'!F197</f>
        <v>0</v>
      </c>
      <c r="G20" s="758">
        <f>'Tab. 11 dane zrodlowe'!G197</f>
        <v>0</v>
      </c>
      <c r="H20" s="759">
        <f>'Tab. 11 dane zrodlowe'!H197</f>
        <v>0</v>
      </c>
      <c r="I20" s="757">
        <f>'Tab. 11 dane zrodlowe'!I197</f>
        <v>0</v>
      </c>
      <c r="J20" s="758">
        <f>'Tab. 11 dane zrodlowe'!J197</f>
        <v>0</v>
      </c>
      <c r="K20" s="760">
        <f>'Tab. 11 dane zrodlowe'!K197</f>
        <v>0</v>
      </c>
    </row>
    <row r="21" spans="1:11" x14ac:dyDescent="0.2">
      <c r="A21" s="462">
        <v>7</v>
      </c>
      <c r="B21" s="509" t="s">
        <v>242</v>
      </c>
      <c r="C21" s="601">
        <f t="shared" si="0"/>
        <v>0</v>
      </c>
      <c r="D21" s="747">
        <f t="shared" si="1"/>
        <v>0</v>
      </c>
      <c r="E21" s="748">
        <f t="shared" si="2"/>
        <v>0</v>
      </c>
      <c r="F21" s="757">
        <f>'Tab. 11 dane zrodlowe'!F226</f>
        <v>0</v>
      </c>
      <c r="G21" s="758">
        <f>'Tab. 11 dane zrodlowe'!G226</f>
        <v>0</v>
      </c>
      <c r="H21" s="759">
        <f>'Tab. 11 dane zrodlowe'!H226</f>
        <v>0</v>
      </c>
      <c r="I21" s="757">
        <f>'Tab. 11 dane zrodlowe'!I226</f>
        <v>0</v>
      </c>
      <c r="J21" s="758">
        <f>'Tab. 11 dane zrodlowe'!J226</f>
        <v>0</v>
      </c>
      <c r="K21" s="760">
        <f>'Tab. 11 dane zrodlowe'!K226</f>
        <v>0</v>
      </c>
    </row>
    <row r="22" spans="1:11" x14ac:dyDescent="0.2">
      <c r="A22" s="462">
        <v>8</v>
      </c>
      <c r="B22" s="509" t="s">
        <v>243</v>
      </c>
      <c r="C22" s="601">
        <f t="shared" si="0"/>
        <v>0</v>
      </c>
      <c r="D22" s="747">
        <f t="shared" si="1"/>
        <v>0</v>
      </c>
      <c r="E22" s="748">
        <f t="shared" si="2"/>
        <v>0</v>
      </c>
      <c r="F22" s="757">
        <f>'Tab. 11 dane zrodlowe'!F255</f>
        <v>0</v>
      </c>
      <c r="G22" s="758">
        <f>'Tab. 11 dane zrodlowe'!G255</f>
        <v>0</v>
      </c>
      <c r="H22" s="759">
        <f>'Tab. 11 dane zrodlowe'!H255</f>
        <v>0</v>
      </c>
      <c r="I22" s="757">
        <f>'Tab. 11 dane zrodlowe'!I255</f>
        <v>0</v>
      </c>
      <c r="J22" s="758">
        <f>'Tab. 11 dane zrodlowe'!J255</f>
        <v>0</v>
      </c>
      <c r="K22" s="760">
        <f>'Tab. 11 dane zrodlowe'!K255</f>
        <v>0</v>
      </c>
    </row>
    <row r="23" spans="1:11" x14ac:dyDescent="0.2">
      <c r="A23" s="462">
        <v>9</v>
      </c>
      <c r="B23" s="509" t="s">
        <v>244</v>
      </c>
      <c r="C23" s="601">
        <f t="shared" si="0"/>
        <v>0</v>
      </c>
      <c r="D23" s="747">
        <f t="shared" si="1"/>
        <v>0</v>
      </c>
      <c r="E23" s="748">
        <f t="shared" si="2"/>
        <v>0</v>
      </c>
      <c r="F23" s="757">
        <f>'Tab. 11 dane zrodlowe'!F284</f>
        <v>0</v>
      </c>
      <c r="G23" s="758">
        <f>'Tab. 11 dane zrodlowe'!G284</f>
        <v>0</v>
      </c>
      <c r="H23" s="759">
        <f>'Tab. 11 dane zrodlowe'!H284</f>
        <v>0</v>
      </c>
      <c r="I23" s="757">
        <f>'Tab. 11 dane zrodlowe'!I284</f>
        <v>0</v>
      </c>
      <c r="J23" s="758">
        <f>'Tab. 11 dane zrodlowe'!J284</f>
        <v>0</v>
      </c>
      <c r="K23" s="760">
        <f>'Tab. 11 dane zrodlowe'!K284</f>
        <v>0</v>
      </c>
    </row>
    <row r="24" spans="1:11" x14ac:dyDescent="0.2">
      <c r="A24" s="463">
        <v>10</v>
      </c>
      <c r="B24" s="509" t="s">
        <v>245</v>
      </c>
      <c r="C24" s="601">
        <f t="shared" si="0"/>
        <v>0</v>
      </c>
      <c r="D24" s="747">
        <f t="shared" si="1"/>
        <v>70</v>
      </c>
      <c r="E24" s="748">
        <f t="shared" si="2"/>
        <v>70</v>
      </c>
      <c r="F24" s="757">
        <f>'Tab. 11 dane zrodlowe'!F313</f>
        <v>0</v>
      </c>
      <c r="G24" s="758">
        <f>'Tab. 11 dane zrodlowe'!G313</f>
        <v>26</v>
      </c>
      <c r="H24" s="759">
        <f>'Tab. 11 dane zrodlowe'!H313</f>
        <v>26</v>
      </c>
      <c r="I24" s="757">
        <f>'Tab. 11 dane zrodlowe'!I313</f>
        <v>0</v>
      </c>
      <c r="J24" s="758">
        <f>'Tab. 11 dane zrodlowe'!J313</f>
        <v>44</v>
      </c>
      <c r="K24" s="760">
        <f>'Tab. 11 dane zrodlowe'!K313</f>
        <v>44</v>
      </c>
    </row>
    <row r="25" spans="1:11" x14ac:dyDescent="0.2">
      <c r="A25" s="463">
        <v>11</v>
      </c>
      <c r="B25" s="509" t="s">
        <v>246</v>
      </c>
      <c r="C25" s="601">
        <f t="shared" si="0"/>
        <v>0</v>
      </c>
      <c r="D25" s="747">
        <f t="shared" si="1"/>
        <v>0</v>
      </c>
      <c r="E25" s="748">
        <f t="shared" si="2"/>
        <v>0</v>
      </c>
      <c r="F25" s="757">
        <f>'Tab. 11 dane zrodlowe'!F342</f>
        <v>0</v>
      </c>
      <c r="G25" s="758">
        <f>'Tab. 11 dane zrodlowe'!G342</f>
        <v>0</v>
      </c>
      <c r="H25" s="759">
        <f>'Tab. 11 dane zrodlowe'!H342</f>
        <v>0</v>
      </c>
      <c r="I25" s="757">
        <f>'Tab. 11 dane zrodlowe'!I342</f>
        <v>0</v>
      </c>
      <c r="J25" s="758">
        <f>'Tab. 11 dane zrodlowe'!J342</f>
        <v>0</v>
      </c>
      <c r="K25" s="760">
        <f>'Tab. 11 dane zrodlowe'!K342</f>
        <v>0</v>
      </c>
    </row>
    <row r="26" spans="1:11" x14ac:dyDescent="0.2">
      <c r="A26" s="463">
        <v>12</v>
      </c>
      <c r="B26" s="509" t="s">
        <v>247</v>
      </c>
      <c r="C26" s="601">
        <f t="shared" si="0"/>
        <v>0</v>
      </c>
      <c r="D26" s="747">
        <f t="shared" si="1"/>
        <v>0</v>
      </c>
      <c r="E26" s="748">
        <f t="shared" si="2"/>
        <v>0</v>
      </c>
      <c r="F26" s="757">
        <f>'Tab. 11 dane zrodlowe'!F371</f>
        <v>0</v>
      </c>
      <c r="G26" s="758">
        <f>'Tab. 11 dane zrodlowe'!G371</f>
        <v>0</v>
      </c>
      <c r="H26" s="759">
        <f>'Tab. 11 dane zrodlowe'!H371</f>
        <v>0</v>
      </c>
      <c r="I26" s="757">
        <f>'Tab. 11 dane zrodlowe'!I371</f>
        <v>0</v>
      </c>
      <c r="J26" s="758">
        <f>'Tab. 11 dane zrodlowe'!J371</f>
        <v>0</v>
      </c>
      <c r="K26" s="760">
        <f>'Tab. 11 dane zrodlowe'!K371</f>
        <v>0</v>
      </c>
    </row>
    <row r="27" spans="1:11" x14ac:dyDescent="0.2">
      <c r="A27" s="463">
        <v>13</v>
      </c>
      <c r="B27" s="509" t="s">
        <v>248</v>
      </c>
      <c r="C27" s="601">
        <f t="shared" si="0"/>
        <v>0</v>
      </c>
      <c r="D27" s="747">
        <f t="shared" si="1"/>
        <v>0</v>
      </c>
      <c r="E27" s="748">
        <f t="shared" si="2"/>
        <v>0</v>
      </c>
      <c r="F27" s="757">
        <f>'Tab. 11 dane zrodlowe'!F400</f>
        <v>0</v>
      </c>
      <c r="G27" s="758">
        <f>'Tab. 11 dane zrodlowe'!G400</f>
        <v>0</v>
      </c>
      <c r="H27" s="759">
        <f>'Tab. 11 dane zrodlowe'!H400</f>
        <v>0</v>
      </c>
      <c r="I27" s="757">
        <f>'Tab. 11 dane zrodlowe'!I400</f>
        <v>0</v>
      </c>
      <c r="J27" s="758">
        <f>'Tab. 11 dane zrodlowe'!J400</f>
        <v>0</v>
      </c>
      <c r="K27" s="760">
        <f>'Tab. 11 dane zrodlowe'!K400</f>
        <v>0</v>
      </c>
    </row>
    <row r="28" spans="1:11" x14ac:dyDescent="0.2">
      <c r="A28" s="463">
        <v>14</v>
      </c>
      <c r="B28" s="509" t="s">
        <v>249</v>
      </c>
      <c r="C28" s="601">
        <f t="shared" si="0"/>
        <v>0</v>
      </c>
      <c r="D28" s="747">
        <f t="shared" si="1"/>
        <v>0</v>
      </c>
      <c r="E28" s="748">
        <f t="shared" si="2"/>
        <v>0</v>
      </c>
      <c r="F28" s="757">
        <f>'Tab. 11 dane zrodlowe'!F429</f>
        <v>0</v>
      </c>
      <c r="G28" s="758">
        <f>'Tab. 11 dane zrodlowe'!G429</f>
        <v>0</v>
      </c>
      <c r="H28" s="759">
        <f>'Tab. 11 dane zrodlowe'!H429</f>
        <v>0</v>
      </c>
      <c r="I28" s="757">
        <f>'Tab. 11 dane zrodlowe'!I429</f>
        <v>0</v>
      </c>
      <c r="J28" s="758">
        <f>'Tab. 11 dane zrodlowe'!J429</f>
        <v>0</v>
      </c>
      <c r="K28" s="760">
        <f>'Tab. 11 dane zrodlowe'!K429</f>
        <v>0</v>
      </c>
    </row>
    <row r="29" spans="1:11" x14ac:dyDescent="0.2">
      <c r="A29" s="463">
        <v>15</v>
      </c>
      <c r="B29" s="509" t="s">
        <v>250</v>
      </c>
      <c r="C29" s="601">
        <f t="shared" si="0"/>
        <v>1</v>
      </c>
      <c r="D29" s="747">
        <f t="shared" si="1"/>
        <v>12</v>
      </c>
      <c r="E29" s="748">
        <f t="shared" si="2"/>
        <v>12</v>
      </c>
      <c r="F29" s="757">
        <f>'Tab. 11 dane zrodlowe'!F458</f>
        <v>1</v>
      </c>
      <c r="G29" s="758">
        <f>'Tab. 11 dane zrodlowe'!G458</f>
        <v>12</v>
      </c>
      <c r="H29" s="759">
        <f>'Tab. 11 dane zrodlowe'!H458</f>
        <v>12</v>
      </c>
      <c r="I29" s="757">
        <f>'Tab. 11 dane zrodlowe'!I458</f>
        <v>0</v>
      </c>
      <c r="J29" s="758">
        <f>'Tab. 11 dane zrodlowe'!J458</f>
        <v>0</v>
      </c>
      <c r="K29" s="760">
        <f>'Tab. 11 dane zrodlowe'!K458</f>
        <v>0</v>
      </c>
    </row>
    <row r="30" spans="1:11" ht="13.5" thickBot="1" x14ac:dyDescent="0.25">
      <c r="A30" s="463">
        <v>16</v>
      </c>
      <c r="B30" s="510" t="s">
        <v>251</v>
      </c>
      <c r="C30" s="601">
        <f t="shared" si="0"/>
        <v>0</v>
      </c>
      <c r="D30" s="749">
        <f t="shared" si="1"/>
        <v>0</v>
      </c>
      <c r="E30" s="750">
        <f t="shared" si="2"/>
        <v>0</v>
      </c>
      <c r="F30" s="761">
        <f>'Tab. 11 dane zrodlowe'!F487</f>
        <v>0</v>
      </c>
      <c r="G30" s="762">
        <f>'Tab. 11 dane zrodlowe'!G487</f>
        <v>0</v>
      </c>
      <c r="H30" s="763">
        <f>'Tab. 11 dane zrodlowe'!H487</f>
        <v>0</v>
      </c>
      <c r="I30" s="761">
        <f>'Tab. 11 dane zrodlowe'!I487</f>
        <v>0</v>
      </c>
      <c r="J30" s="762">
        <f>'Tab. 11 dane zrodlowe'!J487</f>
        <v>0</v>
      </c>
      <c r="K30" s="764">
        <f>'Tab. 11 dane zrodlowe'!K487</f>
        <v>0</v>
      </c>
    </row>
    <row r="31" spans="1:11" ht="16.5" thickBot="1" x14ac:dyDescent="0.3">
      <c r="A31" s="445" t="s">
        <v>252</v>
      </c>
      <c r="B31" s="446"/>
      <c r="C31" s="652">
        <f t="shared" ref="C31:K31" si="3">SUM(C15:C30)</f>
        <v>1</v>
      </c>
      <c r="D31" s="549">
        <f t="shared" si="3"/>
        <v>82</v>
      </c>
      <c r="E31" s="550">
        <f t="shared" si="3"/>
        <v>82</v>
      </c>
      <c r="F31" s="545">
        <f t="shared" si="3"/>
        <v>1</v>
      </c>
      <c r="G31" s="546">
        <f t="shared" si="3"/>
        <v>38</v>
      </c>
      <c r="H31" s="550">
        <f t="shared" si="3"/>
        <v>38</v>
      </c>
      <c r="I31" s="652">
        <f t="shared" si="3"/>
        <v>0</v>
      </c>
      <c r="J31" s="595">
        <f t="shared" si="3"/>
        <v>44</v>
      </c>
      <c r="K31" s="547">
        <f t="shared" si="3"/>
        <v>44</v>
      </c>
    </row>
    <row r="32" spans="1:11" ht="13.5" thickTop="1" x14ac:dyDescent="0.2"/>
  </sheetData>
  <mergeCells count="11">
    <mergeCell ref="A5:K5"/>
    <mergeCell ref="A7:K7"/>
    <mergeCell ref="A8:K8"/>
    <mergeCell ref="F10:K10"/>
    <mergeCell ref="F11:H11"/>
    <mergeCell ref="I11:K11"/>
    <mergeCell ref="J1:K1"/>
    <mergeCell ref="A6:K6"/>
    <mergeCell ref="A10:A13"/>
    <mergeCell ref="B10:B13"/>
    <mergeCell ref="C10:E10"/>
  </mergeCells>
  <phoneticPr fontId="82" type="noConversion"/>
  <conditionalFormatting sqref="C15:K31">
    <cfRule type="cellIs" dxfId="1" priority="1" stopIfTrue="1" operator="equal">
      <formula>0</formula>
    </cfRule>
  </conditionalFormatting>
  <printOptions horizontalCentered="1" verticalCentered="1"/>
  <pageMargins left="0.31496062992125984" right="0.55118110236220474" top="0.59055118110236227" bottom="0.98425196850393704" header="0.51181102362204722" footer="0.51181102362204722"/>
  <pageSetup paperSize="9" scale="77"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75" workbookViewId="0"/>
  </sheetViews>
  <sheetFormatPr defaultRowHeight="12.75" x14ac:dyDescent="0.2"/>
  <cols>
    <col min="1" max="1" width="5.42578125" customWidth="1"/>
    <col min="2" max="2" width="26" bestFit="1" customWidth="1"/>
    <col min="3" max="11" width="16.7109375" customWidth="1"/>
  </cols>
  <sheetData>
    <row r="1" spans="1:11" ht="15.75" x14ac:dyDescent="0.25">
      <c r="A1" s="1" t="s">
        <v>195</v>
      </c>
      <c r="B1" s="3"/>
      <c r="C1" s="4"/>
      <c r="D1" s="3"/>
      <c r="E1" s="3"/>
      <c r="F1" s="3"/>
      <c r="G1" s="413"/>
      <c r="H1" s="413"/>
      <c r="J1" s="1689" t="s">
        <v>467</v>
      </c>
      <c r="K1" s="1603"/>
    </row>
    <row r="3" spans="1:11" x14ac:dyDescent="0.2">
      <c r="A3" s="3" t="s">
        <v>405</v>
      </c>
      <c r="B3" s="3"/>
      <c r="C3" s="3"/>
      <c r="D3" s="3"/>
      <c r="E3" s="3"/>
      <c r="F3" s="3"/>
      <c r="G3" s="3"/>
      <c r="H3" s="3"/>
      <c r="I3" s="3"/>
    </row>
    <row r="4" spans="1:11" x14ac:dyDescent="0.2">
      <c r="A4" s="3"/>
      <c r="B4" s="3"/>
      <c r="C4" s="3"/>
      <c r="D4" s="3"/>
      <c r="E4" s="3"/>
      <c r="F4" s="3"/>
      <c r="G4" s="3"/>
      <c r="H4" s="3"/>
      <c r="I4" s="3"/>
    </row>
    <row r="5" spans="1:11" ht="15.75" x14ac:dyDescent="0.25">
      <c r="A5" s="1604" t="s">
        <v>399</v>
      </c>
      <c r="B5" s="1604"/>
      <c r="C5" s="1604"/>
      <c r="D5" s="1604"/>
      <c r="E5" s="1604"/>
      <c r="F5" s="1604"/>
      <c r="G5" s="1604"/>
      <c r="H5" s="1604"/>
      <c r="I5" s="1604"/>
      <c r="J5" s="1604"/>
      <c r="K5" s="1604"/>
    </row>
    <row r="6" spans="1:11" ht="15.75" x14ac:dyDescent="0.25">
      <c r="A6" s="1604" t="s">
        <v>400</v>
      </c>
      <c r="B6" s="1604"/>
      <c r="C6" s="1604"/>
      <c r="D6" s="1604"/>
      <c r="E6" s="1604"/>
      <c r="F6" s="1604"/>
      <c r="G6" s="1604"/>
      <c r="H6" s="1604"/>
      <c r="I6" s="1604"/>
      <c r="J6" s="1604"/>
      <c r="K6" s="1604"/>
    </row>
    <row r="7" spans="1:11" ht="15.75" x14ac:dyDescent="0.25">
      <c r="A7" s="1690" t="str">
        <f>"WG  ST.  NA  DZIEŃ  31. XII.  "&amp;'Tab.1. bilans_Polska'!A2&amp;" r. - OSOBY INNE"</f>
        <v>WG  ST.  NA  DZIEŃ  31. XII.  2011 r. - OSOBY INNE</v>
      </c>
      <c r="B7" s="1690"/>
      <c r="C7" s="1690"/>
      <c r="D7" s="1690"/>
      <c r="E7" s="1690"/>
      <c r="F7" s="1690"/>
      <c r="G7" s="1690"/>
      <c r="H7" s="1690"/>
      <c r="I7" s="1690"/>
      <c r="J7" s="1690"/>
      <c r="K7" s="1690"/>
    </row>
    <row r="8" spans="1:11" ht="15.75" x14ac:dyDescent="0.25">
      <c r="A8" s="1604"/>
      <c r="B8" s="1604"/>
      <c r="C8" s="1604"/>
      <c r="D8" s="1604"/>
      <c r="E8" s="1604"/>
      <c r="F8" s="1604"/>
      <c r="G8" s="1604"/>
      <c r="H8" s="1604"/>
      <c r="I8" s="1604"/>
      <c r="J8" s="1604"/>
      <c r="K8" s="1604"/>
    </row>
    <row r="9" spans="1:11" ht="13.5" thickBot="1" x14ac:dyDescent="0.25">
      <c r="A9" s="3"/>
      <c r="B9" s="3"/>
      <c r="C9" s="3"/>
      <c r="D9" s="3"/>
      <c r="E9" s="3"/>
      <c r="F9" s="3"/>
      <c r="G9" s="3"/>
      <c r="H9" s="3"/>
      <c r="I9" s="3"/>
    </row>
    <row r="10" spans="1:11" ht="17.25" thickTop="1" x14ac:dyDescent="0.2">
      <c r="A10" s="1692" t="s">
        <v>226</v>
      </c>
      <c r="B10" s="1695" t="s">
        <v>256</v>
      </c>
      <c r="C10" s="1954" t="s">
        <v>3</v>
      </c>
      <c r="D10" s="1955"/>
      <c r="E10" s="1956"/>
      <c r="F10" s="1949" t="s">
        <v>401</v>
      </c>
      <c r="G10" s="1906"/>
      <c r="H10" s="1906"/>
      <c r="I10" s="1906"/>
      <c r="J10" s="1906"/>
      <c r="K10" s="1857"/>
    </row>
    <row r="11" spans="1:11" ht="15" x14ac:dyDescent="0.2">
      <c r="A11" s="1693"/>
      <c r="B11" s="1696"/>
      <c r="C11" s="738" t="s">
        <v>4</v>
      </c>
      <c r="D11" s="739" t="s">
        <v>39</v>
      </c>
      <c r="E11" s="740" t="s">
        <v>40</v>
      </c>
      <c r="F11" s="1950" t="s">
        <v>403</v>
      </c>
      <c r="G11" s="1951"/>
      <c r="H11" s="1952"/>
      <c r="I11" s="1950" t="s">
        <v>404</v>
      </c>
      <c r="J11" s="1951"/>
      <c r="K11" s="1953"/>
    </row>
    <row r="12" spans="1:11" ht="15" x14ac:dyDescent="0.2">
      <c r="A12" s="1693"/>
      <c r="B12" s="1696"/>
      <c r="C12" s="738" t="s">
        <v>406</v>
      </c>
      <c r="D12" s="741" t="s">
        <v>13</v>
      </c>
      <c r="E12" s="740" t="s">
        <v>5</v>
      </c>
      <c r="F12" s="670" t="s">
        <v>0</v>
      </c>
      <c r="G12" s="731" t="s">
        <v>0</v>
      </c>
      <c r="H12" s="732" t="s">
        <v>0</v>
      </c>
      <c r="I12" s="735" t="s">
        <v>0</v>
      </c>
      <c r="J12" s="731" t="s">
        <v>0</v>
      </c>
      <c r="K12" s="736" t="s">
        <v>0</v>
      </c>
    </row>
    <row r="13" spans="1:11" ht="15" x14ac:dyDescent="0.2">
      <c r="A13" s="1694"/>
      <c r="B13" s="1697"/>
      <c r="C13" s="742" t="s">
        <v>42</v>
      </c>
      <c r="D13" s="743" t="s">
        <v>43</v>
      </c>
      <c r="E13" s="744" t="s">
        <v>44</v>
      </c>
      <c r="F13" s="671" t="s">
        <v>407</v>
      </c>
      <c r="G13" s="733" t="s">
        <v>1</v>
      </c>
      <c r="H13" s="734" t="s">
        <v>45</v>
      </c>
      <c r="I13" s="669" t="s">
        <v>407</v>
      </c>
      <c r="J13" s="733" t="s">
        <v>1</v>
      </c>
      <c r="K13" s="737" t="s">
        <v>45</v>
      </c>
    </row>
    <row r="14" spans="1:11" ht="13.5" thickBot="1" x14ac:dyDescent="0.25">
      <c r="A14" s="425"/>
      <c r="B14" s="429">
        <v>0</v>
      </c>
      <c r="C14" s="496">
        <v>1</v>
      </c>
      <c r="D14" s="490">
        <v>2</v>
      </c>
      <c r="E14" s="468">
        <v>3</v>
      </c>
      <c r="F14" s="496">
        <v>4</v>
      </c>
      <c r="G14" s="466">
        <v>5</v>
      </c>
      <c r="H14" s="468">
        <v>6</v>
      </c>
      <c r="I14" s="427">
        <v>7</v>
      </c>
      <c r="J14" s="428">
        <v>8</v>
      </c>
      <c r="K14" s="431">
        <v>9</v>
      </c>
    </row>
    <row r="15" spans="1:11" ht="13.5" thickTop="1" x14ac:dyDescent="0.2">
      <c r="A15" s="461">
        <v>1</v>
      </c>
      <c r="B15" s="508" t="s">
        <v>236</v>
      </c>
      <c r="C15" s="597">
        <f t="shared" ref="C15:C30" si="0">F15+I15</f>
        <v>0</v>
      </c>
      <c r="D15" s="745">
        <f t="shared" ref="D15:D30" si="1">G15+J15</f>
        <v>0</v>
      </c>
      <c r="E15" s="746">
        <f t="shared" ref="E15:E30" si="2">H15+K15</f>
        <v>0</v>
      </c>
      <c r="F15" s="751">
        <f>'Tab. 11 dane zrodlowe'!F53</f>
        <v>0</v>
      </c>
      <c r="G15" s="752">
        <f>'Tab. 11 dane zrodlowe'!G53</f>
        <v>0</v>
      </c>
      <c r="H15" s="753">
        <f>'Tab. 11 dane zrodlowe'!H53</f>
        <v>0</v>
      </c>
      <c r="I15" s="754">
        <f>'Tab. 11 dane zrodlowe'!I53</f>
        <v>0</v>
      </c>
      <c r="J15" s="755">
        <f>'Tab. 11 dane zrodlowe'!J53</f>
        <v>0</v>
      </c>
      <c r="K15" s="756">
        <f>'Tab. 11 dane zrodlowe'!K53</f>
        <v>0</v>
      </c>
    </row>
    <row r="16" spans="1:11" x14ac:dyDescent="0.2">
      <c r="A16" s="462">
        <v>2</v>
      </c>
      <c r="B16" s="509" t="s">
        <v>237</v>
      </c>
      <c r="C16" s="601">
        <f t="shared" si="0"/>
        <v>0</v>
      </c>
      <c r="D16" s="747">
        <f t="shared" si="1"/>
        <v>0</v>
      </c>
      <c r="E16" s="748">
        <f t="shared" si="2"/>
        <v>0</v>
      </c>
      <c r="F16" s="757">
        <f>'Tab. 11 dane zrodlowe'!F82</f>
        <v>0</v>
      </c>
      <c r="G16" s="758">
        <f>'Tab. 11 dane zrodlowe'!G82</f>
        <v>0</v>
      </c>
      <c r="H16" s="759">
        <f>'Tab. 11 dane zrodlowe'!H82</f>
        <v>0</v>
      </c>
      <c r="I16" s="757">
        <f>'Tab. 11 dane zrodlowe'!I82</f>
        <v>0</v>
      </c>
      <c r="J16" s="758">
        <f>'Tab. 11 dane zrodlowe'!J82</f>
        <v>0</v>
      </c>
      <c r="K16" s="760">
        <f>'Tab. 11 dane zrodlowe'!K82</f>
        <v>0</v>
      </c>
    </row>
    <row r="17" spans="1:11" x14ac:dyDescent="0.2">
      <c r="A17" s="462">
        <v>3</v>
      </c>
      <c r="B17" s="509" t="s">
        <v>238</v>
      </c>
      <c r="C17" s="601">
        <f t="shared" si="0"/>
        <v>0</v>
      </c>
      <c r="D17" s="747">
        <f t="shared" si="1"/>
        <v>0</v>
      </c>
      <c r="E17" s="748">
        <f t="shared" si="2"/>
        <v>0</v>
      </c>
      <c r="F17" s="757">
        <f>'Tab. 11 dane zrodlowe'!F111</f>
        <v>0</v>
      </c>
      <c r="G17" s="758">
        <f>'Tab. 11 dane zrodlowe'!G111</f>
        <v>0</v>
      </c>
      <c r="H17" s="759">
        <f>'Tab. 11 dane zrodlowe'!H111</f>
        <v>0</v>
      </c>
      <c r="I17" s="757">
        <f>'Tab. 11 dane zrodlowe'!I111</f>
        <v>0</v>
      </c>
      <c r="J17" s="758">
        <f>'Tab. 11 dane zrodlowe'!J111</f>
        <v>0</v>
      </c>
      <c r="K17" s="760">
        <f>'Tab. 11 dane zrodlowe'!K111</f>
        <v>0</v>
      </c>
    </row>
    <row r="18" spans="1:11" x14ac:dyDescent="0.2">
      <c r="A18" s="462">
        <v>4</v>
      </c>
      <c r="B18" s="509" t="s">
        <v>239</v>
      </c>
      <c r="C18" s="601">
        <f t="shared" si="0"/>
        <v>0</v>
      </c>
      <c r="D18" s="747">
        <f t="shared" si="1"/>
        <v>0</v>
      </c>
      <c r="E18" s="748">
        <f t="shared" si="2"/>
        <v>0</v>
      </c>
      <c r="F18" s="757">
        <f>'Tab. 11 dane zrodlowe'!F140</f>
        <v>0</v>
      </c>
      <c r="G18" s="758">
        <f>'Tab. 11 dane zrodlowe'!G140</f>
        <v>0</v>
      </c>
      <c r="H18" s="759">
        <f>'Tab. 11 dane zrodlowe'!H140</f>
        <v>0</v>
      </c>
      <c r="I18" s="757">
        <f>'Tab. 11 dane zrodlowe'!I140</f>
        <v>0</v>
      </c>
      <c r="J18" s="758">
        <f>'Tab. 11 dane zrodlowe'!J140</f>
        <v>0</v>
      </c>
      <c r="K18" s="760">
        <f>'Tab. 11 dane zrodlowe'!K140</f>
        <v>0</v>
      </c>
    </row>
    <row r="19" spans="1:11" x14ac:dyDescent="0.2">
      <c r="A19" s="462">
        <v>5</v>
      </c>
      <c r="B19" s="509" t="s">
        <v>240</v>
      </c>
      <c r="C19" s="601">
        <f t="shared" si="0"/>
        <v>0</v>
      </c>
      <c r="D19" s="747">
        <f t="shared" si="1"/>
        <v>0</v>
      </c>
      <c r="E19" s="748">
        <f t="shared" si="2"/>
        <v>0</v>
      </c>
      <c r="F19" s="757">
        <f>'Tab. 11 dane zrodlowe'!F169</f>
        <v>0</v>
      </c>
      <c r="G19" s="758">
        <f>'Tab. 11 dane zrodlowe'!G169</f>
        <v>0</v>
      </c>
      <c r="H19" s="759">
        <f>'Tab. 11 dane zrodlowe'!H169</f>
        <v>0</v>
      </c>
      <c r="I19" s="757">
        <f>'Tab. 11 dane zrodlowe'!I169</f>
        <v>0</v>
      </c>
      <c r="J19" s="758">
        <f>'Tab. 11 dane zrodlowe'!J169</f>
        <v>0</v>
      </c>
      <c r="K19" s="760">
        <f>'Tab. 11 dane zrodlowe'!K169</f>
        <v>0</v>
      </c>
    </row>
    <row r="20" spans="1:11" x14ac:dyDescent="0.2">
      <c r="A20" s="462">
        <v>6</v>
      </c>
      <c r="B20" s="509" t="s">
        <v>241</v>
      </c>
      <c r="C20" s="601">
        <f t="shared" si="0"/>
        <v>0</v>
      </c>
      <c r="D20" s="747">
        <f t="shared" si="1"/>
        <v>0</v>
      </c>
      <c r="E20" s="748">
        <f t="shared" si="2"/>
        <v>0</v>
      </c>
      <c r="F20" s="757">
        <f>'Tab. 11 dane zrodlowe'!F198</f>
        <v>0</v>
      </c>
      <c r="G20" s="758">
        <f>'Tab. 11 dane zrodlowe'!G198</f>
        <v>0</v>
      </c>
      <c r="H20" s="759">
        <f>'Tab. 11 dane zrodlowe'!H198</f>
        <v>0</v>
      </c>
      <c r="I20" s="757">
        <f>'Tab. 11 dane zrodlowe'!I198</f>
        <v>0</v>
      </c>
      <c r="J20" s="758">
        <f>'Tab. 11 dane zrodlowe'!J198</f>
        <v>0</v>
      </c>
      <c r="K20" s="760">
        <f>'Tab. 11 dane zrodlowe'!K198</f>
        <v>0</v>
      </c>
    </row>
    <row r="21" spans="1:11" x14ac:dyDescent="0.2">
      <c r="A21" s="462">
        <v>7</v>
      </c>
      <c r="B21" s="509" t="s">
        <v>242</v>
      </c>
      <c r="C21" s="601">
        <f t="shared" si="0"/>
        <v>22</v>
      </c>
      <c r="D21" s="747">
        <f t="shared" si="1"/>
        <v>930</v>
      </c>
      <c r="E21" s="748">
        <f t="shared" si="2"/>
        <v>732</v>
      </c>
      <c r="F21" s="757">
        <f>'Tab. 11 dane zrodlowe'!F227</f>
        <v>5</v>
      </c>
      <c r="G21" s="758">
        <f>'Tab. 11 dane zrodlowe'!G227</f>
        <v>372</v>
      </c>
      <c r="H21" s="759">
        <f>'Tab. 11 dane zrodlowe'!H227</f>
        <v>309</v>
      </c>
      <c r="I21" s="757">
        <f>'Tab. 11 dane zrodlowe'!I227</f>
        <v>17</v>
      </c>
      <c r="J21" s="758">
        <f>'Tab. 11 dane zrodlowe'!J227</f>
        <v>558</v>
      </c>
      <c r="K21" s="760">
        <f>'Tab. 11 dane zrodlowe'!K227</f>
        <v>423</v>
      </c>
    </row>
    <row r="22" spans="1:11" x14ac:dyDescent="0.2">
      <c r="A22" s="462">
        <v>8</v>
      </c>
      <c r="B22" s="509" t="s">
        <v>243</v>
      </c>
      <c r="C22" s="601">
        <f t="shared" si="0"/>
        <v>0</v>
      </c>
      <c r="D22" s="747">
        <f t="shared" si="1"/>
        <v>0</v>
      </c>
      <c r="E22" s="748">
        <f t="shared" si="2"/>
        <v>0</v>
      </c>
      <c r="F22" s="757">
        <f>'Tab. 11 dane zrodlowe'!F256</f>
        <v>0</v>
      </c>
      <c r="G22" s="758">
        <f>'Tab. 11 dane zrodlowe'!G256</f>
        <v>0</v>
      </c>
      <c r="H22" s="759">
        <f>'Tab. 11 dane zrodlowe'!H256</f>
        <v>0</v>
      </c>
      <c r="I22" s="757">
        <f>'Tab. 11 dane zrodlowe'!I256</f>
        <v>0</v>
      </c>
      <c r="J22" s="758">
        <f>'Tab. 11 dane zrodlowe'!J256</f>
        <v>0</v>
      </c>
      <c r="K22" s="760">
        <f>'Tab. 11 dane zrodlowe'!K256</f>
        <v>0</v>
      </c>
    </row>
    <row r="23" spans="1:11" x14ac:dyDescent="0.2">
      <c r="A23" s="462">
        <v>9</v>
      </c>
      <c r="B23" s="509" t="s">
        <v>244</v>
      </c>
      <c r="C23" s="601">
        <f t="shared" si="0"/>
        <v>1</v>
      </c>
      <c r="D23" s="747">
        <f t="shared" si="1"/>
        <v>23</v>
      </c>
      <c r="E23" s="748">
        <f t="shared" si="2"/>
        <v>23</v>
      </c>
      <c r="F23" s="757">
        <f>'Tab. 11 dane zrodlowe'!F285</f>
        <v>1</v>
      </c>
      <c r="G23" s="758">
        <f>'Tab. 11 dane zrodlowe'!G285</f>
        <v>23</v>
      </c>
      <c r="H23" s="759">
        <f>'Tab. 11 dane zrodlowe'!H285</f>
        <v>23</v>
      </c>
      <c r="I23" s="757">
        <f>'Tab. 11 dane zrodlowe'!I285</f>
        <v>0</v>
      </c>
      <c r="J23" s="758">
        <f>'Tab. 11 dane zrodlowe'!J285</f>
        <v>0</v>
      </c>
      <c r="K23" s="760">
        <f>'Tab. 11 dane zrodlowe'!K285</f>
        <v>0</v>
      </c>
    </row>
    <row r="24" spans="1:11" x14ac:dyDescent="0.2">
      <c r="A24" s="463">
        <v>10</v>
      </c>
      <c r="B24" s="509" t="s">
        <v>245</v>
      </c>
      <c r="C24" s="601">
        <f t="shared" si="0"/>
        <v>0</v>
      </c>
      <c r="D24" s="747">
        <f t="shared" si="1"/>
        <v>8</v>
      </c>
      <c r="E24" s="748">
        <f t="shared" si="2"/>
        <v>8</v>
      </c>
      <c r="F24" s="757">
        <f>'Tab. 11 dane zrodlowe'!F314</f>
        <v>0</v>
      </c>
      <c r="G24" s="758">
        <f>'Tab. 11 dane zrodlowe'!G314</f>
        <v>2</v>
      </c>
      <c r="H24" s="759">
        <f>'Tab. 11 dane zrodlowe'!H314</f>
        <v>2</v>
      </c>
      <c r="I24" s="757">
        <f>'Tab. 11 dane zrodlowe'!I314</f>
        <v>0</v>
      </c>
      <c r="J24" s="758">
        <f>'Tab. 11 dane zrodlowe'!J314</f>
        <v>6</v>
      </c>
      <c r="K24" s="760">
        <f>'Tab. 11 dane zrodlowe'!K314</f>
        <v>6</v>
      </c>
    </row>
    <row r="25" spans="1:11" x14ac:dyDescent="0.2">
      <c r="A25" s="463">
        <v>11</v>
      </c>
      <c r="B25" s="509" t="s">
        <v>246</v>
      </c>
      <c r="C25" s="601">
        <f t="shared" si="0"/>
        <v>21</v>
      </c>
      <c r="D25" s="747">
        <f t="shared" si="1"/>
        <v>702</v>
      </c>
      <c r="E25" s="748">
        <f t="shared" si="2"/>
        <v>542</v>
      </c>
      <c r="F25" s="757">
        <f>'Tab. 11 dane zrodlowe'!F343</f>
        <v>2</v>
      </c>
      <c r="G25" s="758">
        <f>'Tab. 11 dane zrodlowe'!G343</f>
        <v>109</v>
      </c>
      <c r="H25" s="759">
        <f>'Tab. 11 dane zrodlowe'!H343</f>
        <v>75</v>
      </c>
      <c r="I25" s="757">
        <f>'Tab. 11 dane zrodlowe'!I343</f>
        <v>19</v>
      </c>
      <c r="J25" s="758">
        <f>'Tab. 11 dane zrodlowe'!J343</f>
        <v>593</v>
      </c>
      <c r="K25" s="760">
        <f>'Tab. 11 dane zrodlowe'!K343</f>
        <v>467</v>
      </c>
    </row>
    <row r="26" spans="1:11" x14ac:dyDescent="0.2">
      <c r="A26" s="463">
        <v>12</v>
      </c>
      <c r="B26" s="509" t="s">
        <v>247</v>
      </c>
      <c r="C26" s="601">
        <f t="shared" si="0"/>
        <v>26</v>
      </c>
      <c r="D26" s="747">
        <f t="shared" si="1"/>
        <v>750</v>
      </c>
      <c r="E26" s="748">
        <f t="shared" si="2"/>
        <v>596</v>
      </c>
      <c r="F26" s="757">
        <f>'Tab. 11 dane zrodlowe'!F372</f>
        <v>5</v>
      </c>
      <c r="G26" s="758">
        <f>'Tab. 11 dane zrodlowe'!G372</f>
        <v>138</v>
      </c>
      <c r="H26" s="759">
        <f>'Tab. 11 dane zrodlowe'!H372</f>
        <v>138</v>
      </c>
      <c r="I26" s="757">
        <f>'Tab. 11 dane zrodlowe'!I372</f>
        <v>21</v>
      </c>
      <c r="J26" s="758">
        <f>'Tab. 11 dane zrodlowe'!J372</f>
        <v>612</v>
      </c>
      <c r="K26" s="760">
        <f>'Tab. 11 dane zrodlowe'!K372</f>
        <v>458</v>
      </c>
    </row>
    <row r="27" spans="1:11" x14ac:dyDescent="0.2">
      <c r="A27" s="463">
        <v>13</v>
      </c>
      <c r="B27" s="509" t="s">
        <v>248</v>
      </c>
      <c r="C27" s="601">
        <f t="shared" si="0"/>
        <v>3</v>
      </c>
      <c r="D27" s="747">
        <f t="shared" si="1"/>
        <v>134</v>
      </c>
      <c r="E27" s="748">
        <f t="shared" si="2"/>
        <v>19</v>
      </c>
      <c r="F27" s="757">
        <f>'Tab. 11 dane zrodlowe'!F401</f>
        <v>0</v>
      </c>
      <c r="G27" s="758">
        <f>'Tab. 11 dane zrodlowe'!G401</f>
        <v>0</v>
      </c>
      <c r="H27" s="759">
        <f>'Tab. 11 dane zrodlowe'!H401</f>
        <v>0</v>
      </c>
      <c r="I27" s="757">
        <f>'Tab. 11 dane zrodlowe'!I401</f>
        <v>3</v>
      </c>
      <c r="J27" s="758">
        <f>'Tab. 11 dane zrodlowe'!J401</f>
        <v>134</v>
      </c>
      <c r="K27" s="760">
        <f>'Tab. 11 dane zrodlowe'!K401</f>
        <v>19</v>
      </c>
    </row>
    <row r="28" spans="1:11" x14ac:dyDescent="0.2">
      <c r="A28" s="463">
        <v>14</v>
      </c>
      <c r="B28" s="509" t="s">
        <v>249</v>
      </c>
      <c r="C28" s="601">
        <f t="shared" si="0"/>
        <v>0</v>
      </c>
      <c r="D28" s="747">
        <f t="shared" si="1"/>
        <v>0</v>
      </c>
      <c r="E28" s="748">
        <f t="shared" si="2"/>
        <v>0</v>
      </c>
      <c r="F28" s="757">
        <f>'Tab. 11 dane zrodlowe'!F430</f>
        <v>0</v>
      </c>
      <c r="G28" s="758">
        <f>'Tab. 11 dane zrodlowe'!G430</f>
        <v>0</v>
      </c>
      <c r="H28" s="759">
        <f>'Tab. 11 dane zrodlowe'!H430</f>
        <v>0</v>
      </c>
      <c r="I28" s="757">
        <f>'Tab. 11 dane zrodlowe'!I430</f>
        <v>0</v>
      </c>
      <c r="J28" s="758">
        <f>'Tab. 11 dane zrodlowe'!J430</f>
        <v>0</v>
      </c>
      <c r="K28" s="760">
        <f>'Tab. 11 dane zrodlowe'!K430</f>
        <v>0</v>
      </c>
    </row>
    <row r="29" spans="1:11" x14ac:dyDescent="0.2">
      <c r="A29" s="463">
        <v>15</v>
      </c>
      <c r="B29" s="509" t="s">
        <v>250</v>
      </c>
      <c r="C29" s="601">
        <f t="shared" si="0"/>
        <v>0</v>
      </c>
      <c r="D29" s="747">
        <f t="shared" si="1"/>
        <v>0</v>
      </c>
      <c r="E29" s="748">
        <f t="shared" si="2"/>
        <v>0</v>
      </c>
      <c r="F29" s="757">
        <f>'Tab. 11 dane zrodlowe'!F459</f>
        <v>0</v>
      </c>
      <c r="G29" s="758">
        <f>'Tab. 11 dane zrodlowe'!G459</f>
        <v>0</v>
      </c>
      <c r="H29" s="759">
        <f>'Tab. 11 dane zrodlowe'!H459</f>
        <v>0</v>
      </c>
      <c r="I29" s="757">
        <f>'Tab. 11 dane zrodlowe'!I459</f>
        <v>0</v>
      </c>
      <c r="J29" s="758">
        <f>'Tab. 11 dane zrodlowe'!J459</f>
        <v>0</v>
      </c>
      <c r="K29" s="760">
        <f>'Tab. 11 dane zrodlowe'!K459</f>
        <v>0</v>
      </c>
    </row>
    <row r="30" spans="1:11" ht="13.5" thickBot="1" x14ac:dyDescent="0.25">
      <c r="A30" s="463">
        <v>16</v>
      </c>
      <c r="B30" s="510" t="s">
        <v>251</v>
      </c>
      <c r="C30" s="601">
        <f t="shared" si="0"/>
        <v>0</v>
      </c>
      <c r="D30" s="749">
        <f t="shared" si="1"/>
        <v>0</v>
      </c>
      <c r="E30" s="750">
        <f t="shared" si="2"/>
        <v>0</v>
      </c>
      <c r="F30" s="761">
        <f>'Tab. 11 dane zrodlowe'!F488</f>
        <v>0</v>
      </c>
      <c r="G30" s="762">
        <f>'Tab. 11 dane zrodlowe'!G488</f>
        <v>0</v>
      </c>
      <c r="H30" s="763">
        <f>'Tab. 11 dane zrodlowe'!H488</f>
        <v>0</v>
      </c>
      <c r="I30" s="761">
        <f>'Tab. 11 dane zrodlowe'!I488</f>
        <v>0</v>
      </c>
      <c r="J30" s="762">
        <f>'Tab. 11 dane zrodlowe'!J488</f>
        <v>0</v>
      </c>
      <c r="K30" s="764">
        <f>'Tab. 11 dane zrodlowe'!K488</f>
        <v>0</v>
      </c>
    </row>
    <row r="31" spans="1:11" ht="16.5" thickBot="1" x14ac:dyDescent="0.3">
      <c r="A31" s="445" t="s">
        <v>252</v>
      </c>
      <c r="B31" s="446"/>
      <c r="C31" s="652">
        <f t="shared" ref="C31:K31" si="3">SUM(C15:C30)</f>
        <v>73</v>
      </c>
      <c r="D31" s="549">
        <f t="shared" si="3"/>
        <v>2547</v>
      </c>
      <c r="E31" s="550">
        <f t="shared" si="3"/>
        <v>1920</v>
      </c>
      <c r="F31" s="545">
        <f t="shared" si="3"/>
        <v>13</v>
      </c>
      <c r="G31" s="546">
        <f t="shared" si="3"/>
        <v>644</v>
      </c>
      <c r="H31" s="550">
        <f t="shared" si="3"/>
        <v>547</v>
      </c>
      <c r="I31" s="652">
        <f t="shared" si="3"/>
        <v>60</v>
      </c>
      <c r="J31" s="595">
        <f t="shared" si="3"/>
        <v>1903</v>
      </c>
      <c r="K31" s="547">
        <f t="shared" si="3"/>
        <v>1373</v>
      </c>
    </row>
    <row r="32" spans="1:11" ht="13.5" thickTop="1" x14ac:dyDescent="0.2"/>
  </sheetData>
  <mergeCells count="11">
    <mergeCell ref="J1:K1"/>
    <mergeCell ref="A6:K6"/>
    <mergeCell ref="A10:A13"/>
    <mergeCell ref="B10:B13"/>
    <mergeCell ref="C10:E10"/>
    <mergeCell ref="A5:K5"/>
    <mergeCell ref="A7:K7"/>
    <mergeCell ref="A8:K8"/>
    <mergeCell ref="F10:K10"/>
    <mergeCell ref="F11:H11"/>
    <mergeCell ref="I11:K11"/>
  </mergeCells>
  <phoneticPr fontId="82" type="noConversion"/>
  <conditionalFormatting sqref="C15:K31">
    <cfRule type="cellIs" dxfId="0" priority="1" stopIfTrue="1" operator="equal">
      <formula>0</formula>
    </cfRule>
  </conditionalFormatting>
  <printOptions horizontalCentered="1" verticalCentered="1"/>
  <pageMargins left="0.31496062992125984" right="0.64" top="0.59055118110236227" bottom="0.98425196850393704" header="0.51181102362204722" footer="0.51181102362204722"/>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297"/>
  <sheetViews>
    <sheetView zoomScale="90" workbookViewId="0"/>
  </sheetViews>
  <sheetFormatPr defaultRowHeight="15" x14ac:dyDescent="0.25"/>
  <cols>
    <col min="1" max="1" width="5.85546875" bestFit="1" customWidth="1"/>
    <col min="2" max="2" width="6.140625" style="221" customWidth="1"/>
    <col min="3" max="3" width="7.5703125" style="221" customWidth="1"/>
    <col min="4" max="4" width="7.85546875" style="221" customWidth="1"/>
    <col min="5" max="5" width="66.7109375" style="221" customWidth="1"/>
    <col min="6" max="6" width="4.5703125" style="15" customWidth="1"/>
    <col min="7" max="9" width="21.140625" customWidth="1"/>
  </cols>
  <sheetData>
    <row r="1" spans="1:9" ht="26.25" x14ac:dyDescent="0.4">
      <c r="A1" s="267" t="s">
        <v>196</v>
      </c>
      <c r="B1" s="266" t="s">
        <v>195</v>
      </c>
      <c r="C1" s="330"/>
      <c r="D1" s="330"/>
    </row>
    <row r="2" spans="1:9" ht="15.75" x14ac:dyDescent="0.25">
      <c r="B2" s="221" t="s">
        <v>116</v>
      </c>
      <c r="C2" s="212"/>
      <c r="D2" s="220"/>
      <c r="E2" s="220"/>
      <c r="F2" s="212"/>
      <c r="G2" s="220"/>
      <c r="H2" s="220"/>
      <c r="I2" s="811" t="s">
        <v>175</v>
      </c>
    </row>
    <row r="3" spans="1:9" x14ac:dyDescent="0.25">
      <c r="B3" s="257" t="s">
        <v>129</v>
      </c>
      <c r="C3" s="212"/>
      <c r="D3" s="220"/>
      <c r="E3" s="257"/>
      <c r="F3" s="220"/>
    </row>
    <row r="4" spans="1:9" x14ac:dyDescent="0.25">
      <c r="B4" s="221" t="s">
        <v>128</v>
      </c>
      <c r="C4" s="212"/>
      <c r="D4" s="220"/>
      <c r="F4" s="220"/>
    </row>
    <row r="5" spans="1:9" x14ac:dyDescent="0.25">
      <c r="B5" s="258"/>
      <c r="C5" s="212"/>
      <c r="D5" s="220"/>
      <c r="E5" s="220"/>
      <c r="F5" s="220"/>
    </row>
    <row r="6" spans="1:9" x14ac:dyDescent="0.25">
      <c r="B6" s="1146" t="s">
        <v>130</v>
      </c>
      <c r="C6" s="1147"/>
      <c r="D6" s="220"/>
      <c r="E6" s="220"/>
      <c r="F6" s="220"/>
      <c r="G6" s="220"/>
      <c r="H6" s="220"/>
      <c r="I6" s="220"/>
    </row>
    <row r="7" spans="1:9" x14ac:dyDescent="0.25">
      <c r="B7" s="1146" t="s">
        <v>131</v>
      </c>
      <c r="C7" s="1147"/>
      <c r="D7" s="220"/>
      <c r="E7" s="220"/>
      <c r="F7" s="220"/>
      <c r="G7" s="220"/>
      <c r="H7" s="220"/>
      <c r="I7" s="220"/>
    </row>
    <row r="8" spans="1:9" ht="15.75" x14ac:dyDescent="0.25">
      <c r="B8" s="1"/>
      <c r="C8" s="255"/>
      <c r="D8" s="12"/>
      <c r="E8" s="12"/>
      <c r="F8" s="12"/>
      <c r="G8" s="12"/>
      <c r="H8" s="12"/>
      <c r="I8" s="12"/>
    </row>
    <row r="9" spans="1:9" ht="15.75" x14ac:dyDescent="0.25">
      <c r="B9" s="1"/>
      <c r="C9" s="255"/>
      <c r="D9" s="12"/>
      <c r="E9" s="1604" t="s">
        <v>47</v>
      </c>
      <c r="F9" s="1604"/>
      <c r="G9" s="1604"/>
      <c r="H9" s="12"/>
      <c r="I9" s="12"/>
    </row>
    <row r="10" spans="1:9" ht="15.75" x14ac:dyDescent="0.25">
      <c r="B10" s="1"/>
      <c r="C10" s="255"/>
      <c r="D10" s="12"/>
      <c r="E10" s="1604" t="s">
        <v>176</v>
      </c>
      <c r="F10" s="1604"/>
      <c r="G10" s="1604"/>
      <c r="H10" s="12"/>
      <c r="I10" s="12"/>
    </row>
    <row r="11" spans="1:9" ht="15.75" x14ac:dyDescent="0.25">
      <c r="B11" s="1"/>
      <c r="C11" s="255"/>
      <c r="D11" s="12"/>
      <c r="E11" s="1690" t="str">
        <f>"SAMORZĄDÓW  POWIATOWYCH  I  PODMIOTÓW  NIEPUBLICZNYCH  W "&amp;'Tab.1. bilans_Polska'!A2&amp;" r."</f>
        <v>SAMORZĄDÓW  POWIATOWYCH  I  PODMIOTÓW  NIEPUBLICZNYCH  W 2011 r.</v>
      </c>
      <c r="F11" s="1690"/>
      <c r="G11" s="1690"/>
      <c r="H11" s="12"/>
      <c r="I11" s="12"/>
    </row>
    <row r="12" spans="1:9" ht="15.75" x14ac:dyDescent="0.25">
      <c r="B12" s="1"/>
      <c r="C12" s="255"/>
      <c r="D12" s="12"/>
      <c r="E12" s="12"/>
      <c r="F12" s="12"/>
      <c r="G12" s="12"/>
      <c r="H12" s="12"/>
      <c r="I12" s="12"/>
    </row>
    <row r="13" spans="1:9" ht="15.75" thickBot="1" x14ac:dyDescent="0.3"/>
    <row r="14" spans="1:9" ht="16.5" thickTop="1" x14ac:dyDescent="0.25">
      <c r="B14" s="214"/>
      <c r="C14" s="227"/>
      <c r="D14" s="227"/>
      <c r="E14" s="227"/>
      <c r="F14" s="252"/>
      <c r="G14" s="229" t="s">
        <v>48</v>
      </c>
      <c r="H14" s="1722" t="s">
        <v>20</v>
      </c>
      <c r="I14" s="1723"/>
    </row>
    <row r="15" spans="1:9" ht="15.75" x14ac:dyDescent="0.25">
      <c r="B15" s="215"/>
      <c r="C15" s="225"/>
      <c r="D15" s="225"/>
      <c r="E15" s="225" t="s">
        <v>21</v>
      </c>
      <c r="F15" s="253"/>
      <c r="G15" s="230" t="s">
        <v>5</v>
      </c>
      <c r="H15" s="216" t="s">
        <v>22</v>
      </c>
      <c r="I15" s="217" t="s">
        <v>23</v>
      </c>
    </row>
    <row r="16" spans="1:9" ht="15.75" x14ac:dyDescent="0.25">
      <c r="B16" s="194"/>
      <c r="C16" s="225"/>
      <c r="D16" s="225"/>
      <c r="E16" s="225"/>
      <c r="F16" s="253"/>
      <c r="G16" s="218" t="s">
        <v>24</v>
      </c>
      <c r="H16" s="218" t="s">
        <v>25</v>
      </c>
      <c r="I16" s="219" t="s">
        <v>26</v>
      </c>
    </row>
    <row r="17" spans="2:9" ht="15.75" thickBot="1" x14ac:dyDescent="0.3">
      <c r="B17" s="61"/>
      <c r="C17" s="228"/>
      <c r="D17" s="228"/>
      <c r="E17" s="211">
        <v>0</v>
      </c>
      <c r="F17" s="254"/>
      <c r="G17" s="2">
        <v>1</v>
      </c>
      <c r="H17" s="2">
        <v>2</v>
      </c>
      <c r="I17" s="7">
        <v>3</v>
      </c>
    </row>
    <row r="18" spans="2:9" ht="16.5" thickTop="1" thickBot="1" x14ac:dyDescent="0.3">
      <c r="B18" s="231"/>
      <c r="G18" s="1300"/>
      <c r="H18" s="1300"/>
      <c r="I18" s="1300"/>
    </row>
    <row r="19" spans="2:9" ht="16.5" thickTop="1" thickBot="1" x14ac:dyDescent="0.3">
      <c r="B19" s="1164" t="str">
        <f>"Wg stanu na dzień 31.XII."&amp;'Tab.1. bilans_Polska'!A2-1&amp;" r."</f>
        <v>Wg stanu na dzień 31.XII.2010 r.</v>
      </c>
      <c r="C19" s="232"/>
      <c r="D19" s="232"/>
      <c r="E19" s="232"/>
      <c r="F19" s="282" t="s">
        <v>165</v>
      </c>
      <c r="G19" s="283">
        <f>H19+I19</f>
        <v>75738</v>
      </c>
      <c r="H19" s="1050">
        <f>H95+H171+H247+H323+H399+H475+H551+H627+H703+H779+H855+H931+H1007+H1083+H1159+H1235</f>
        <v>62738</v>
      </c>
      <c r="I19" s="1051">
        <f>I95+I171+I247+I323+I399+I475+I551+I627+I703+I779+I855+I931+I1007+I1083+I1159+I1235</f>
        <v>13000</v>
      </c>
    </row>
    <row r="20" spans="2:9" x14ac:dyDescent="0.25">
      <c r="B20" s="1165" t="str">
        <f>"Przyjętych w ciągu "&amp;'Tab.1. bilans_Polska'!A2&amp;" r."</f>
        <v>Przyjętych w ciągu 2011 r.</v>
      </c>
      <c r="C20" s="242"/>
      <c r="D20" s="242"/>
      <c r="E20" s="242"/>
      <c r="F20" s="284" t="s">
        <v>166</v>
      </c>
      <c r="G20" s="285">
        <f>H20+I20</f>
        <v>10791</v>
      </c>
      <c r="H20" s="285">
        <f>H22+H23</f>
        <v>8947</v>
      </c>
      <c r="I20" s="294">
        <f>I22+I23</f>
        <v>1844</v>
      </c>
    </row>
    <row r="21" spans="2:9" x14ac:dyDescent="0.25">
      <c r="B21" s="233"/>
      <c r="C21" s="241" t="s">
        <v>49</v>
      </c>
      <c r="D21" s="225"/>
      <c r="E21" s="225"/>
      <c r="F21" s="286"/>
      <c r="G21" s="287"/>
      <c r="H21" s="389" t="str">
        <f>IF(SUM(H22:H23)=H20, "", "?")</f>
        <v/>
      </c>
      <c r="I21" s="388" t="str">
        <f>IF(SUM(I22:I23)=I20, "", "?")</f>
        <v/>
      </c>
    </row>
    <row r="22" spans="2:9" x14ac:dyDescent="0.25">
      <c r="B22" s="233"/>
      <c r="C22" s="237" t="s">
        <v>158</v>
      </c>
      <c r="D22" s="222"/>
      <c r="E22" s="222"/>
      <c r="F22" s="290" t="s">
        <v>167</v>
      </c>
      <c r="G22" s="291">
        <f>H22+I22</f>
        <v>375</v>
      </c>
      <c r="H22" s="391">
        <f>H98+H174+H250+H326+H402+H478+H554+H630+H706+H782+H858+H934+H1010+H1086+H1162+H1238</f>
        <v>311</v>
      </c>
      <c r="I22" s="392">
        <f>I98+I174+I250+I326+I402+I478+I554+I630+I706+I782+I858+I934+I1010+I1086+I1162+I1238</f>
        <v>64</v>
      </c>
    </row>
    <row r="23" spans="2:9" ht="15.75" thickBot="1" x14ac:dyDescent="0.3">
      <c r="B23" s="234"/>
      <c r="C23" s="238" t="s">
        <v>159</v>
      </c>
      <c r="D23" s="235"/>
      <c r="E23" s="235"/>
      <c r="F23" s="292" t="s">
        <v>168</v>
      </c>
      <c r="G23" s="293">
        <f>H23+I23</f>
        <v>10416</v>
      </c>
      <c r="H23" s="1052">
        <f>H99+H175+H251+H327+H403+H479+H555+H631+H707+H783+H859+H935+H1011+H1087+H1163+H1239</f>
        <v>8636</v>
      </c>
      <c r="I23" s="1053">
        <f>I99+I175+I251+I327+I403+I479+I555+I631+I707+I783+I859+I935+I1011+I1087+I1163+I1239</f>
        <v>1780</v>
      </c>
    </row>
    <row r="24" spans="2:9" x14ac:dyDescent="0.25">
      <c r="B24" s="1166" t="str">
        <f>"Odeszło w ciągu "&amp;'Tab.1. bilans_Polska'!A2&amp;" r. (w.06 do w.09)"</f>
        <v>Odeszło w ciągu 2011 r. (w.06 do w.09)</v>
      </c>
      <c r="C24" s="242"/>
      <c r="D24" s="242"/>
      <c r="E24" s="242"/>
      <c r="F24" s="284" t="s">
        <v>169</v>
      </c>
      <c r="G24" s="285">
        <f>H24+I24</f>
        <v>10310</v>
      </c>
      <c r="H24" s="285">
        <f>SUM(H26:H29)</f>
        <v>8576</v>
      </c>
      <c r="I24" s="294">
        <f>SUM(I26:I29)</f>
        <v>1734</v>
      </c>
    </row>
    <row r="25" spans="2:9" x14ac:dyDescent="0.25">
      <c r="B25" s="251"/>
      <c r="C25" s="240" t="s">
        <v>49</v>
      </c>
      <c r="D25" s="225"/>
      <c r="E25" s="225"/>
      <c r="F25" s="286"/>
      <c r="G25" s="287"/>
      <c r="H25" s="288"/>
      <c r="I25" s="289"/>
    </row>
    <row r="26" spans="2:9" x14ac:dyDescent="0.25">
      <c r="B26" s="233"/>
      <c r="C26" s="237" t="s">
        <v>160</v>
      </c>
      <c r="D26" s="222"/>
      <c r="E26" s="222"/>
      <c r="F26" s="290" t="s">
        <v>170</v>
      </c>
      <c r="G26" s="291">
        <f>H26+I26</f>
        <v>966</v>
      </c>
      <c r="H26" s="391">
        <f t="shared" ref="H26:I29" si="0">H102+H178+H254+H330+H406+H482+H558+H634+H710+H786+H862+H938+H1014+H1090+H1166+H1242</f>
        <v>693</v>
      </c>
      <c r="I26" s="392">
        <f t="shared" si="0"/>
        <v>273</v>
      </c>
    </row>
    <row r="27" spans="2:9" x14ac:dyDescent="0.25">
      <c r="B27" s="233"/>
      <c r="C27" s="243" t="s">
        <v>161</v>
      </c>
      <c r="D27" s="223"/>
      <c r="E27" s="223"/>
      <c r="F27" s="295" t="s">
        <v>171</v>
      </c>
      <c r="G27" s="296">
        <f>H27+I27</f>
        <v>676</v>
      </c>
      <c r="H27" s="393">
        <f t="shared" si="0"/>
        <v>537</v>
      </c>
      <c r="I27" s="394">
        <f t="shared" si="0"/>
        <v>139</v>
      </c>
    </row>
    <row r="28" spans="2:9" x14ac:dyDescent="0.25">
      <c r="B28" s="233"/>
      <c r="C28" s="243" t="s">
        <v>162</v>
      </c>
      <c r="D28" s="223"/>
      <c r="E28" s="223"/>
      <c r="F28" s="295" t="s">
        <v>172</v>
      </c>
      <c r="G28" s="296">
        <f>H28+I28</f>
        <v>257</v>
      </c>
      <c r="H28" s="393">
        <f t="shared" si="0"/>
        <v>245</v>
      </c>
      <c r="I28" s="394">
        <f t="shared" si="0"/>
        <v>12</v>
      </c>
    </row>
    <row r="29" spans="2:9" ht="15.75" thickBot="1" x14ac:dyDescent="0.3">
      <c r="B29" s="234"/>
      <c r="C29" s="238" t="s">
        <v>163</v>
      </c>
      <c r="D29" s="235"/>
      <c r="E29" s="235"/>
      <c r="F29" s="292" t="s">
        <v>173</v>
      </c>
      <c r="G29" s="293">
        <f>H29+I29</f>
        <v>8411</v>
      </c>
      <c r="H29" s="1052">
        <f t="shared" si="0"/>
        <v>7101</v>
      </c>
      <c r="I29" s="1053">
        <f t="shared" si="0"/>
        <v>1310</v>
      </c>
    </row>
    <row r="30" spans="2:9" x14ac:dyDescent="0.25">
      <c r="B30" s="1167" t="str">
        <f>"Wg stanu na dzień 31.XII."&amp;'Tab.1. bilans_Polska'!A2&amp;" r."</f>
        <v>Wg stanu na dzień 31.XII.2011 r.</v>
      </c>
      <c r="C30" s="225"/>
      <c r="D30" s="225"/>
      <c r="E30" s="225"/>
      <c r="F30" s="286"/>
      <c r="G30" s="922" t="str">
        <f>IF('Tab.2. l.d.m.m._Polska'!G21=G31,"","t2w1k3"&amp;"="&amp;'Tab.2. l.d.m.m._Polska'!G21)</f>
        <v/>
      </c>
      <c r="H30" s="922" t="str">
        <f>IF('Tab.2. l.d.m.m._Polska'!K21=H31,"","t2w1k6"&amp;"="&amp;'Tab.2. l.d.m.m._Polska'!K21)</f>
        <v/>
      </c>
      <c r="I30" s="923" t="str">
        <f>IF('Tab.2. l.d.m.m._Polska'!O21=I31,"","t2w1k9"&amp;"="&amp;'Tab.2. l.d.m.m._Polska'!O21)</f>
        <v/>
      </c>
    </row>
    <row r="31" spans="2:9" x14ac:dyDescent="0.25">
      <c r="B31" s="245" t="s">
        <v>194</v>
      </c>
      <c r="C31" s="222"/>
      <c r="D31" s="222"/>
      <c r="E31" s="222"/>
      <c r="F31" s="297">
        <v>10</v>
      </c>
      <c r="G31" s="291">
        <f>H31+I31</f>
        <v>76219</v>
      </c>
      <c r="H31" s="291">
        <f>IF(H19+H20-H24=SUM(H36:H40), H19+H20-H24, (H19+H20-H24)-SUM(H36:H40))</f>
        <v>63109</v>
      </c>
      <c r="I31" s="298">
        <f>IF(I19+I20-I24=SUM(I36:I40), I19+I20-I24, (I19+I20-I24)-SUM(I36:I40))</f>
        <v>13110</v>
      </c>
    </row>
    <row r="32" spans="2:9" x14ac:dyDescent="0.25">
      <c r="B32" s="233"/>
      <c r="C32" s="240" t="s">
        <v>50</v>
      </c>
      <c r="D32" s="225"/>
      <c r="E32" s="225"/>
      <c r="F32" s="286"/>
      <c r="G32" s="287"/>
      <c r="H32" s="288"/>
      <c r="I32" s="289"/>
    </row>
    <row r="33" spans="2:9" ht="15.75" thickBot="1" x14ac:dyDescent="0.3">
      <c r="B33" s="244"/>
      <c r="C33" s="239" t="s">
        <v>164</v>
      </c>
      <c r="D33" s="226"/>
      <c r="E33" s="226"/>
      <c r="F33" s="299">
        <v>11</v>
      </c>
      <c r="G33" s="300">
        <f>H33+I33</f>
        <v>9988</v>
      </c>
      <c r="H33" s="396">
        <f>H109+H185+H261+H337+H413+H489+H565+H641+H717+H793+H869+H945+H1021+H1097+H1173+H1249</f>
        <v>8116</v>
      </c>
      <c r="I33" s="397">
        <f>I109+I185+I261+I337+I413+I489+I565+I641+I717+I793+I869+I945+I1021+I1097+I1173+I1249</f>
        <v>1872</v>
      </c>
    </row>
    <row r="34" spans="2:9" ht="16.5" thickTop="1" thickBot="1" x14ac:dyDescent="0.3">
      <c r="B34" s="236"/>
      <c r="F34" s="301"/>
      <c r="G34" s="405" t="str">
        <f>IF(SUM(G36:G40)=G31,"","Uwaga! "&amp;SUM(G36:G40))</f>
        <v/>
      </c>
      <c r="H34" s="405" t="str">
        <f>IF(SUM(H36:H40)=H31,"","Uwaga! "&amp;SUM(H36:H40))</f>
        <v/>
      </c>
      <c r="I34" s="405" t="str">
        <f>IF(SUM(I36:I40)=I31,"","Uwaga! "&amp;SUM(I36:I40))</f>
        <v/>
      </c>
    </row>
    <row r="35" spans="2:9" ht="15.75" thickTop="1" x14ac:dyDescent="0.25">
      <c r="B35" s="213" t="s">
        <v>183</v>
      </c>
      <c r="C35" s="246"/>
      <c r="D35" s="246"/>
      <c r="E35" s="246"/>
      <c r="F35" s="304"/>
      <c r="G35" s="305" t="s">
        <v>142</v>
      </c>
      <c r="H35" s="305" t="s">
        <v>142</v>
      </c>
      <c r="I35" s="306" t="s">
        <v>142</v>
      </c>
    </row>
    <row r="36" spans="2:9" x14ac:dyDescent="0.25">
      <c r="B36" s="247" t="s">
        <v>52</v>
      </c>
      <c r="C36" s="223"/>
      <c r="D36" s="223"/>
      <c r="E36" s="223"/>
      <c r="F36" s="307">
        <v>12</v>
      </c>
      <c r="G36" s="296">
        <f>H36+I36</f>
        <v>1391</v>
      </c>
      <c r="H36" s="393">
        <f t="shared" ref="H36:I40" si="1">H112+H188+H264+H340+H416+H492+H568+H644+H720+H796+H872+H948+H1024+H1100+H1176+H1252</f>
        <v>468</v>
      </c>
      <c r="I36" s="394">
        <f t="shared" si="1"/>
        <v>923</v>
      </c>
    </row>
    <row r="37" spans="2:9" x14ac:dyDescent="0.25">
      <c r="B37" s="247" t="s">
        <v>53</v>
      </c>
      <c r="C37" s="223"/>
      <c r="D37" s="223"/>
      <c r="E37" s="223"/>
      <c r="F37" s="307">
        <v>13</v>
      </c>
      <c r="G37" s="296">
        <f>H37+I37</f>
        <v>11024</v>
      </c>
      <c r="H37" s="393">
        <f t="shared" si="1"/>
        <v>7950</v>
      </c>
      <c r="I37" s="394">
        <f t="shared" si="1"/>
        <v>3074</v>
      </c>
    </row>
    <row r="38" spans="2:9" x14ac:dyDescent="0.25">
      <c r="B38" s="247" t="s">
        <v>54</v>
      </c>
      <c r="C38" s="223"/>
      <c r="D38" s="223"/>
      <c r="E38" s="223"/>
      <c r="F38" s="307">
        <v>14</v>
      </c>
      <c r="G38" s="296">
        <f>H38+I38</f>
        <v>23422</v>
      </c>
      <c r="H38" s="393">
        <f t="shared" si="1"/>
        <v>20210</v>
      </c>
      <c r="I38" s="394">
        <f t="shared" si="1"/>
        <v>3212</v>
      </c>
    </row>
    <row r="39" spans="2:9" x14ac:dyDescent="0.25">
      <c r="B39" s="247" t="s">
        <v>55</v>
      </c>
      <c r="C39" s="223"/>
      <c r="D39" s="223"/>
      <c r="E39" s="223"/>
      <c r="F39" s="307">
        <v>15</v>
      </c>
      <c r="G39" s="296">
        <f>H39+I39</f>
        <v>17554</v>
      </c>
      <c r="H39" s="393">
        <f t="shared" si="1"/>
        <v>15491</v>
      </c>
      <c r="I39" s="394">
        <f t="shared" si="1"/>
        <v>2063</v>
      </c>
    </row>
    <row r="40" spans="2:9" ht="15.75" thickBot="1" x14ac:dyDescent="0.3">
      <c r="B40" s="248" t="s">
        <v>56</v>
      </c>
      <c r="C40" s="224"/>
      <c r="D40" s="224"/>
      <c r="E40" s="224"/>
      <c r="F40" s="308">
        <v>16</v>
      </c>
      <c r="G40" s="309">
        <f>H40+I40</f>
        <v>22828</v>
      </c>
      <c r="H40" s="1054">
        <f t="shared" si="1"/>
        <v>18990</v>
      </c>
      <c r="I40" s="1055">
        <f t="shared" si="1"/>
        <v>3838</v>
      </c>
    </row>
    <row r="41" spans="2:9" ht="16.5" thickTop="1" thickBot="1" x14ac:dyDescent="0.3">
      <c r="B41" s="236"/>
      <c r="C41" s="225"/>
      <c r="D41" s="225"/>
      <c r="E41" s="225"/>
      <c r="F41" s="310"/>
      <c r="G41" s="311"/>
      <c r="H41" s="312"/>
      <c r="I41" s="312"/>
    </row>
    <row r="42" spans="2:9" ht="15.75" thickTop="1" x14ac:dyDescent="0.25">
      <c r="B42" s="249" t="s">
        <v>184</v>
      </c>
      <c r="C42" s="227"/>
      <c r="D42" s="227"/>
      <c r="E42" s="227"/>
      <c r="F42" s="313"/>
      <c r="G42" s="314"/>
      <c r="H42" s="315"/>
      <c r="I42" s="316"/>
    </row>
    <row r="43" spans="2:9" x14ac:dyDescent="0.25">
      <c r="B43" s="245" t="s">
        <v>179</v>
      </c>
      <c r="C43" s="222"/>
      <c r="D43" s="222"/>
      <c r="E43" s="222"/>
      <c r="F43" s="297">
        <v>17</v>
      </c>
      <c r="G43" s="291">
        <f>H43+I43</f>
        <v>42011</v>
      </c>
      <c r="H43" s="291">
        <f>H45+H51</f>
        <v>34649</v>
      </c>
      <c r="I43" s="298">
        <f>I45+I51</f>
        <v>7362</v>
      </c>
    </row>
    <row r="44" spans="2:9" x14ac:dyDescent="0.25">
      <c r="B44" s="233"/>
      <c r="C44" s="240" t="s">
        <v>49</v>
      </c>
      <c r="D44" s="225"/>
      <c r="E44" s="225"/>
      <c r="F44" s="286"/>
      <c r="G44" s="287"/>
      <c r="H44" s="288"/>
      <c r="I44" s="289"/>
    </row>
    <row r="45" spans="2:9" x14ac:dyDescent="0.25">
      <c r="B45" s="233"/>
      <c r="C45" s="222" t="s">
        <v>154</v>
      </c>
      <c r="D45" s="222"/>
      <c r="E45" s="222"/>
      <c r="F45" s="297">
        <v>18</v>
      </c>
      <c r="G45" s="291">
        <f>H45+I45</f>
        <v>41657</v>
      </c>
      <c r="H45" s="291">
        <f>SUM(H47:H50)</f>
        <v>34532</v>
      </c>
      <c r="I45" s="298">
        <f>SUM(I47:I50)</f>
        <v>7125</v>
      </c>
    </row>
    <row r="46" spans="2:9" x14ac:dyDescent="0.25">
      <c r="B46" s="233"/>
      <c r="C46" s="225"/>
      <c r="D46" s="240" t="s">
        <v>155</v>
      </c>
      <c r="E46" s="225"/>
      <c r="F46" s="286"/>
      <c r="G46" s="287"/>
      <c r="H46" s="288"/>
      <c r="I46" s="289"/>
    </row>
    <row r="47" spans="2:9" x14ac:dyDescent="0.25">
      <c r="B47" s="233"/>
      <c r="C47" s="225"/>
      <c r="D47" s="222" t="s">
        <v>178</v>
      </c>
      <c r="E47" s="222"/>
      <c r="F47" s="297">
        <v>19</v>
      </c>
      <c r="G47" s="291">
        <f t="shared" ref="G47:G52" si="2">H47+I47</f>
        <v>38360</v>
      </c>
      <c r="H47" s="391">
        <f t="shared" ref="H47:I52" si="3">H123+H199+H275+H351+H427+H503+H579+H655+H731+H807+H883+H959+H1035+H1111+H1187+H1263</f>
        <v>31575</v>
      </c>
      <c r="I47" s="392">
        <f t="shared" si="3"/>
        <v>6785</v>
      </c>
    </row>
    <row r="48" spans="2:9" x14ac:dyDescent="0.25">
      <c r="B48" s="233"/>
      <c r="C48" s="225"/>
      <c r="D48" s="223" t="s">
        <v>151</v>
      </c>
      <c r="E48" s="223"/>
      <c r="F48" s="307">
        <v>20</v>
      </c>
      <c r="G48" s="296">
        <f t="shared" si="2"/>
        <v>3149</v>
      </c>
      <c r="H48" s="393">
        <f t="shared" si="3"/>
        <v>2878</v>
      </c>
      <c r="I48" s="394">
        <f t="shared" si="3"/>
        <v>271</v>
      </c>
    </row>
    <row r="49" spans="2:9" x14ac:dyDescent="0.25">
      <c r="B49" s="233"/>
      <c r="C49" s="225"/>
      <c r="D49" s="223" t="s">
        <v>149</v>
      </c>
      <c r="E49" s="223"/>
      <c r="F49" s="307">
        <v>21</v>
      </c>
      <c r="G49" s="296">
        <f t="shared" si="2"/>
        <v>71</v>
      </c>
      <c r="H49" s="393">
        <f t="shared" si="3"/>
        <v>31</v>
      </c>
      <c r="I49" s="394">
        <f t="shared" si="3"/>
        <v>40</v>
      </c>
    </row>
    <row r="50" spans="2:9" x14ac:dyDescent="0.25">
      <c r="B50" s="233"/>
      <c r="C50" s="225"/>
      <c r="D50" s="222" t="s">
        <v>152</v>
      </c>
      <c r="E50" s="222"/>
      <c r="F50" s="297">
        <v>22</v>
      </c>
      <c r="G50" s="291">
        <f t="shared" si="2"/>
        <v>77</v>
      </c>
      <c r="H50" s="391">
        <f t="shared" si="3"/>
        <v>48</v>
      </c>
      <c r="I50" s="392">
        <f t="shared" si="3"/>
        <v>29</v>
      </c>
    </row>
    <row r="51" spans="2:9" x14ac:dyDescent="0.25">
      <c r="B51" s="233"/>
      <c r="C51" s="222" t="s">
        <v>156</v>
      </c>
      <c r="D51" s="222"/>
      <c r="E51" s="222"/>
      <c r="F51" s="297">
        <v>23</v>
      </c>
      <c r="G51" s="291">
        <f t="shared" si="2"/>
        <v>354</v>
      </c>
      <c r="H51" s="391">
        <f t="shared" si="3"/>
        <v>117</v>
      </c>
      <c r="I51" s="392">
        <f t="shared" si="3"/>
        <v>237</v>
      </c>
    </row>
    <row r="52" spans="2:9" x14ac:dyDescent="0.25">
      <c r="B52" s="233"/>
      <c r="C52" s="223" t="s">
        <v>150</v>
      </c>
      <c r="D52" s="223"/>
      <c r="E52" s="223"/>
      <c r="F52" s="307">
        <v>24</v>
      </c>
      <c r="G52" s="296">
        <f t="shared" si="2"/>
        <v>1155</v>
      </c>
      <c r="H52" s="393">
        <f t="shared" si="3"/>
        <v>1034</v>
      </c>
      <c r="I52" s="394">
        <f t="shared" si="3"/>
        <v>121</v>
      </c>
    </row>
    <row r="53" spans="2:9" x14ac:dyDescent="0.25">
      <c r="B53" s="233"/>
      <c r="C53" s="250" t="s">
        <v>157</v>
      </c>
      <c r="D53" s="250"/>
      <c r="E53" s="250"/>
      <c r="F53" s="319"/>
      <c r="G53" s="320"/>
      <c r="H53" s="768"/>
      <c r="I53" s="769"/>
    </row>
    <row r="54" spans="2:9" ht="15.75" thickBot="1" x14ac:dyDescent="0.3">
      <c r="B54" s="244"/>
      <c r="C54" s="226" t="s">
        <v>148</v>
      </c>
      <c r="D54" s="226"/>
      <c r="E54" s="226"/>
      <c r="F54" s="299">
        <v>25</v>
      </c>
      <c r="G54" s="300">
        <f>H54+I54</f>
        <v>88</v>
      </c>
      <c r="H54" s="396">
        <f>H130+H206+H282+H358+H434+H510+H586+H662+H738+H814+H890+H966+H1042+H1118+H1194+H1270</f>
        <v>55</v>
      </c>
      <c r="I54" s="397">
        <f>I130+I206+I282+I358+I434+I510+I586+I662+I738+I814+I890+I966+I1042+I1118+I1194+I1270</f>
        <v>33</v>
      </c>
    </row>
    <row r="55" spans="2:9" ht="16.5" thickTop="1" thickBot="1" x14ac:dyDescent="0.3">
      <c r="F55" s="301"/>
      <c r="G55" s="302"/>
      <c r="H55" s="303"/>
      <c r="I55" s="303"/>
    </row>
    <row r="56" spans="2:9" ht="15.75" thickTop="1" x14ac:dyDescent="0.25">
      <c r="B56" s="261" t="s">
        <v>174</v>
      </c>
      <c r="C56" s="262"/>
      <c r="D56" s="263"/>
      <c r="E56" s="246"/>
      <c r="F56" s="323">
        <v>26</v>
      </c>
      <c r="G56" s="324">
        <f>H56+I56</f>
        <v>34208</v>
      </c>
      <c r="H56" s="324">
        <f>H58+H63</f>
        <v>28460</v>
      </c>
      <c r="I56" s="329">
        <f>I58+I63</f>
        <v>5748</v>
      </c>
    </row>
    <row r="57" spans="2:9" x14ac:dyDescent="0.25">
      <c r="B57" s="233"/>
      <c r="C57" s="240" t="s">
        <v>50</v>
      </c>
      <c r="D57" s="225"/>
      <c r="E57" s="225"/>
      <c r="F57" s="286"/>
      <c r="G57" s="287"/>
      <c r="H57" s="288"/>
      <c r="I57" s="289"/>
    </row>
    <row r="58" spans="2:9" x14ac:dyDescent="0.25">
      <c r="B58" s="233"/>
      <c r="C58" s="222" t="s">
        <v>185</v>
      </c>
      <c r="D58" s="222"/>
      <c r="E58" s="222"/>
      <c r="F58" s="297">
        <v>27</v>
      </c>
      <c r="G58" s="291">
        <f>H58+I58</f>
        <v>1405</v>
      </c>
      <c r="H58" s="391">
        <f>H134+H210+H286+H362+H438+H514+H590+H666+H742+H818+H894+H970+H1046+H1122+H1198+H1274</f>
        <v>1001</v>
      </c>
      <c r="I58" s="392">
        <f>I134+I210+I286+I362+I438+I514+I590+I666+I742+I818+I894+I970+I1046+I1122+I1198+I1274</f>
        <v>404</v>
      </c>
    </row>
    <row r="59" spans="2:9" x14ac:dyDescent="0.25">
      <c r="B59" s="233"/>
      <c r="C59" s="225"/>
      <c r="D59" s="240" t="s">
        <v>190</v>
      </c>
      <c r="E59" s="225"/>
      <c r="F59" s="286"/>
      <c r="G59" s="390" t="str">
        <f>IF(SUM(G60:G62)=G58, "", G58-SUM(G60:G62))</f>
        <v/>
      </c>
      <c r="H59" s="390" t="str">
        <f>IF(SUM(H60:H62)=H58, "", H58-SUM(H60:H62))</f>
        <v/>
      </c>
      <c r="I59" s="398" t="str">
        <f>IF(SUM(I60:I62)=I58, "", I58-SUM(I60:I62))</f>
        <v/>
      </c>
    </row>
    <row r="60" spans="2:9" x14ac:dyDescent="0.25">
      <c r="B60" s="233"/>
      <c r="C60" s="225"/>
      <c r="D60" s="222" t="s">
        <v>186</v>
      </c>
      <c r="E60" s="222"/>
      <c r="F60" s="297">
        <v>28</v>
      </c>
      <c r="G60" s="291">
        <f>H60+I60</f>
        <v>443</v>
      </c>
      <c r="H60" s="691">
        <f t="shared" ref="H60:I62" si="4">H136+H212+H288+H364+H440+H516+H592+H668+H744+H820+H896+H972+H1048+H1124+H1200+H1276</f>
        <v>337</v>
      </c>
      <c r="I60" s="392">
        <f t="shared" si="4"/>
        <v>106</v>
      </c>
    </row>
    <row r="61" spans="2:9" x14ac:dyDescent="0.25">
      <c r="B61" s="233"/>
      <c r="C61" s="225"/>
      <c r="D61" s="223" t="s">
        <v>187</v>
      </c>
      <c r="E61" s="225"/>
      <c r="F61" s="297">
        <v>29</v>
      </c>
      <c r="G61" s="291">
        <f>H61+I61</f>
        <v>27</v>
      </c>
      <c r="H61" s="691">
        <f t="shared" si="4"/>
        <v>10</v>
      </c>
      <c r="I61" s="392">
        <f t="shared" si="4"/>
        <v>17</v>
      </c>
    </row>
    <row r="62" spans="2:9" x14ac:dyDescent="0.25">
      <c r="B62" s="233"/>
      <c r="C62" s="225"/>
      <c r="D62" s="223" t="s">
        <v>188</v>
      </c>
      <c r="E62" s="223"/>
      <c r="F62" s="307">
        <v>30</v>
      </c>
      <c r="G62" s="296">
        <f>H62+I62</f>
        <v>935</v>
      </c>
      <c r="H62" s="692">
        <f t="shared" si="4"/>
        <v>654</v>
      </c>
      <c r="I62" s="394">
        <f t="shared" si="4"/>
        <v>281</v>
      </c>
    </row>
    <row r="63" spans="2:9" x14ac:dyDescent="0.25">
      <c r="B63" s="233"/>
      <c r="C63" s="222" t="s">
        <v>189</v>
      </c>
      <c r="D63" s="222"/>
      <c r="E63" s="222"/>
      <c r="F63" s="297">
        <v>31</v>
      </c>
      <c r="G63" s="291">
        <f>H63+I63</f>
        <v>32803</v>
      </c>
      <c r="H63" s="689">
        <f>SUM(H65:H68)</f>
        <v>27459</v>
      </c>
      <c r="I63" s="298">
        <f>SUM(I65:I68)</f>
        <v>5344</v>
      </c>
    </row>
    <row r="64" spans="2:9" x14ac:dyDescent="0.25">
      <c r="B64" s="233"/>
      <c r="C64" s="225"/>
      <c r="D64" s="240" t="s">
        <v>191</v>
      </c>
      <c r="E64" s="225"/>
      <c r="F64" s="286"/>
      <c r="G64" s="287" t="str">
        <f>IF(SUM(G65:G68)=G63, "", G63-SUM(G65:G68))</f>
        <v/>
      </c>
      <c r="H64" s="693" t="str">
        <f>IF(SUM(H65:H68)=H63, "", H63-SUM(H65:H68))</f>
        <v/>
      </c>
      <c r="I64" s="289" t="str">
        <f>IF(SUM(I65:I68)=I63, "", I63-SUM(I65:I68))</f>
        <v/>
      </c>
    </row>
    <row r="65" spans="1:9" x14ac:dyDescent="0.25">
      <c r="B65" s="233"/>
      <c r="C65" s="225"/>
      <c r="D65" s="222" t="s">
        <v>186</v>
      </c>
      <c r="E65" s="222"/>
      <c r="F65" s="297">
        <v>32</v>
      </c>
      <c r="G65" s="291">
        <f>H65+I65</f>
        <v>29623</v>
      </c>
      <c r="H65" s="691">
        <f t="shared" ref="H65:I68" si="5">H141+H217+H293+H369+H445+H521+H597+H673+H749+H825+H901+H977+H1053+H1129+H1205+H1281</f>
        <v>25169</v>
      </c>
      <c r="I65" s="392">
        <f t="shared" si="5"/>
        <v>4454</v>
      </c>
    </row>
    <row r="66" spans="1:9" x14ac:dyDescent="0.25">
      <c r="B66" s="233"/>
      <c r="C66" s="225"/>
      <c r="D66" s="222" t="s">
        <v>187</v>
      </c>
      <c r="E66" s="222"/>
      <c r="F66" s="297">
        <v>33</v>
      </c>
      <c r="G66" s="291">
        <f>H66+I66</f>
        <v>83</v>
      </c>
      <c r="H66" s="691">
        <f t="shared" si="5"/>
        <v>30</v>
      </c>
      <c r="I66" s="392">
        <f t="shared" si="5"/>
        <v>53</v>
      </c>
    </row>
    <row r="67" spans="1:9" x14ac:dyDescent="0.25">
      <c r="B67" s="233"/>
      <c r="C67" s="225"/>
      <c r="D67" s="222" t="s">
        <v>188</v>
      </c>
      <c r="E67" s="222"/>
      <c r="F67" s="297">
        <v>34</v>
      </c>
      <c r="G67" s="291">
        <f>H67+I67</f>
        <v>2500</v>
      </c>
      <c r="H67" s="691">
        <f t="shared" si="5"/>
        <v>2002</v>
      </c>
      <c r="I67" s="392">
        <f t="shared" si="5"/>
        <v>498</v>
      </c>
    </row>
    <row r="68" spans="1:9" ht="15.75" thickBot="1" x14ac:dyDescent="0.3">
      <c r="B68" s="234"/>
      <c r="C68" s="235"/>
      <c r="D68" s="259" t="s">
        <v>153</v>
      </c>
      <c r="E68" s="259"/>
      <c r="F68" s="325">
        <v>35</v>
      </c>
      <c r="G68" s="326">
        <f>H68+I68</f>
        <v>597</v>
      </c>
      <c r="H68" s="694">
        <f t="shared" si="5"/>
        <v>258</v>
      </c>
      <c r="I68" s="395">
        <f t="shared" si="5"/>
        <v>339</v>
      </c>
    </row>
    <row r="69" spans="1:9" x14ac:dyDescent="0.25">
      <c r="B69" s="260" t="s">
        <v>177</v>
      </c>
      <c r="C69" s="242"/>
      <c r="D69" s="242"/>
      <c r="E69" s="242"/>
      <c r="F69" s="327">
        <v>36</v>
      </c>
      <c r="G69" s="285">
        <f>H69+I69</f>
        <v>33501</v>
      </c>
      <c r="H69" s="699">
        <f>H60+H62+H65+H67</f>
        <v>28162</v>
      </c>
      <c r="I69" s="294">
        <f>I60+I62+I65+I67</f>
        <v>5339</v>
      </c>
    </row>
    <row r="70" spans="1:9" x14ac:dyDescent="0.25">
      <c r="B70" s="233"/>
      <c r="C70" s="240" t="s">
        <v>155</v>
      </c>
      <c r="D70" s="225"/>
      <c r="E70" s="250"/>
      <c r="F70" s="286"/>
      <c r="G70" s="390" t="str">
        <f>IF(SUM(G71:G73)=G69, "", G69-SUM(G71:G73))</f>
        <v/>
      </c>
      <c r="H70" s="390" t="str">
        <f>IF(SUM(H71:H73)=H69, "", H69-SUM(H71:H73))</f>
        <v/>
      </c>
      <c r="I70" s="398" t="str">
        <f>IF(SUM(I71:I73)=I69, "", I69-SUM(I71:I73))</f>
        <v/>
      </c>
    </row>
    <row r="71" spans="1:9" x14ac:dyDescent="0.25">
      <c r="B71" s="233"/>
      <c r="C71" s="222" t="s">
        <v>178</v>
      </c>
      <c r="D71" s="222"/>
      <c r="E71" s="222"/>
      <c r="F71" s="297">
        <v>37</v>
      </c>
      <c r="G71" s="291">
        <f>H71+I71</f>
        <v>28239</v>
      </c>
      <c r="H71" s="391">
        <f t="shared" ref="H71:I73" si="6">H147+H223+H299+H375+H451+H527+H603+H679+H755+H831+H907+H983+H1059+H1135+H1211+H1287</f>
        <v>23615</v>
      </c>
      <c r="I71" s="392">
        <f t="shared" si="6"/>
        <v>4624</v>
      </c>
    </row>
    <row r="72" spans="1:9" x14ac:dyDescent="0.25">
      <c r="B72" s="233"/>
      <c r="C72" s="223" t="s">
        <v>151</v>
      </c>
      <c r="D72" s="223"/>
      <c r="E72" s="223"/>
      <c r="F72" s="307">
        <v>38</v>
      </c>
      <c r="G72" s="296">
        <f>H72+I72</f>
        <v>4820</v>
      </c>
      <c r="H72" s="393">
        <f t="shared" si="6"/>
        <v>4338</v>
      </c>
      <c r="I72" s="394">
        <f t="shared" si="6"/>
        <v>482</v>
      </c>
    </row>
    <row r="73" spans="1:9" ht="15.75" thickBot="1" x14ac:dyDescent="0.3">
      <c r="B73" s="244"/>
      <c r="C73" s="226" t="s">
        <v>152</v>
      </c>
      <c r="D73" s="226"/>
      <c r="E73" s="226"/>
      <c r="F73" s="299">
        <v>39</v>
      </c>
      <c r="G73" s="300">
        <f>H73+I73</f>
        <v>442</v>
      </c>
      <c r="H73" s="396">
        <f t="shared" si="6"/>
        <v>209</v>
      </c>
      <c r="I73" s="397">
        <f t="shared" si="6"/>
        <v>233</v>
      </c>
    </row>
    <row r="74" spans="1:9" ht="15.75" thickTop="1" x14ac:dyDescent="0.25">
      <c r="G74" s="412" t="str">
        <f>IF(SUM(G71:G73)=G69, "", SUM(G71:G73))</f>
        <v/>
      </c>
      <c r="H74" s="412" t="str">
        <f>IF(SUM(H71:H73)=H69, "", SUM(H71:H73))</f>
        <v/>
      </c>
      <c r="I74" s="412" t="str">
        <f>IF(SUM(I71:I73)=I69, "", SUM(I71:I73))</f>
        <v/>
      </c>
    </row>
    <row r="75" spans="1:9" x14ac:dyDescent="0.25">
      <c r="B75" s="1146" t="s">
        <v>123</v>
      </c>
      <c r="C75" s="1146"/>
      <c r="D75" s="1148" t="s">
        <v>180</v>
      </c>
      <c r="E75" s="1146"/>
      <c r="H75" s="1145" t="s">
        <v>182</v>
      </c>
      <c r="I75" s="1145"/>
    </row>
    <row r="76" spans="1:9" x14ac:dyDescent="0.25">
      <c r="B76" s="1146" t="s">
        <v>181</v>
      </c>
      <c r="C76" s="1146"/>
      <c r="D76" s="1148" t="s">
        <v>180</v>
      </c>
      <c r="E76" s="1146"/>
      <c r="H76" s="1149" t="s">
        <v>126</v>
      </c>
      <c r="I76" s="1145"/>
    </row>
    <row r="77" spans="1:9" x14ac:dyDescent="0.25">
      <c r="B77" s="1146"/>
      <c r="C77" s="1146"/>
      <c r="D77" s="1146"/>
      <c r="E77" s="1146"/>
    </row>
    <row r="78" spans="1:9" ht="26.25" x14ac:dyDescent="0.4">
      <c r="A78" s="267" t="s">
        <v>166</v>
      </c>
      <c r="B78" s="221" t="s">
        <v>116</v>
      </c>
      <c r="C78" s="212"/>
      <c r="D78" s="220"/>
      <c r="E78" s="220"/>
      <c r="F78" s="212"/>
      <c r="G78" s="220"/>
      <c r="H78" s="220"/>
      <c r="I78" s="256" t="s">
        <v>175</v>
      </c>
    </row>
    <row r="79" spans="1:9" x14ac:dyDescent="0.25">
      <c r="B79" s="257" t="s">
        <v>129</v>
      </c>
      <c r="C79" s="212"/>
      <c r="D79" s="220"/>
      <c r="E79" s="257"/>
      <c r="F79" s="220"/>
      <c r="G79" s="220"/>
      <c r="H79" s="220"/>
      <c r="I79" s="220"/>
    </row>
    <row r="80" spans="1:9" ht="15.75" x14ac:dyDescent="0.25">
      <c r="B80" s="221" t="s">
        <v>128</v>
      </c>
      <c r="C80" s="212"/>
      <c r="D80" s="220"/>
      <c r="F80" s="220"/>
      <c r="G80" s="220"/>
      <c r="H80" s="1721" t="str">
        <f>'Tab.1. bilans_Polska'!E59</f>
        <v>Termin: 29 luty 2012 r.</v>
      </c>
      <c r="I80" s="1721"/>
    </row>
    <row r="81" spans="2:9" ht="27.75" customHeight="1" x14ac:dyDescent="0.25">
      <c r="B81" s="258"/>
      <c r="C81" s="212"/>
      <c r="D81" s="220"/>
      <c r="E81" s="220"/>
      <c r="F81" s="220"/>
      <c r="G81" s="220"/>
      <c r="H81" s="220"/>
      <c r="I81" s="220"/>
    </row>
    <row r="82" spans="2:9" x14ac:dyDescent="0.25">
      <c r="B82" s="221" t="s">
        <v>130</v>
      </c>
      <c r="C82" s="212"/>
      <c r="D82" s="220"/>
      <c r="E82" s="220"/>
      <c r="F82" s="220"/>
      <c r="G82" s="220"/>
      <c r="H82" s="220"/>
      <c r="I82" s="220"/>
    </row>
    <row r="83" spans="2:9" x14ac:dyDescent="0.25">
      <c r="B83" s="221" t="s">
        <v>131</v>
      </c>
      <c r="C83" s="212"/>
      <c r="D83" s="220"/>
      <c r="E83" s="220"/>
      <c r="F83" s="220"/>
      <c r="G83" s="220"/>
      <c r="H83" s="220"/>
      <c r="I83" s="220"/>
    </row>
    <row r="84" spans="2:9" ht="15.75" x14ac:dyDescent="0.25">
      <c r="B84" s="1"/>
      <c r="C84" s="255"/>
      <c r="D84" s="12"/>
      <c r="E84" s="12"/>
      <c r="F84" s="12"/>
      <c r="G84" s="12"/>
      <c r="H84" s="12"/>
      <c r="I84" s="12"/>
    </row>
    <row r="85" spans="2:9" ht="15.75" x14ac:dyDescent="0.25">
      <c r="B85" s="1"/>
      <c r="C85" s="255"/>
      <c r="D85" s="12"/>
      <c r="E85" s="1" t="s">
        <v>47</v>
      </c>
      <c r="F85" s="12"/>
      <c r="G85" s="12"/>
      <c r="H85" s="12"/>
      <c r="I85" s="12"/>
    </row>
    <row r="86" spans="2:9" ht="15.75" x14ac:dyDescent="0.25">
      <c r="B86" s="1"/>
      <c r="C86" s="255"/>
      <c r="D86" s="12"/>
      <c r="E86" s="1" t="s">
        <v>176</v>
      </c>
      <c r="F86" s="12"/>
      <c r="G86" s="12"/>
      <c r="H86" s="12"/>
      <c r="I86" s="12"/>
    </row>
    <row r="87" spans="2:9" ht="15.75" x14ac:dyDescent="0.25">
      <c r="B87" s="1"/>
      <c r="C87" s="255"/>
      <c r="D87" s="12"/>
      <c r="E87" s="1162" t="str">
        <f>$E$11</f>
        <v>SAMORZĄDÓW  POWIATOWYCH  I  PODMIOTÓW  NIEPUBLICZNYCH  W 2011 r.</v>
      </c>
      <c r="F87" s="12"/>
      <c r="G87" s="12"/>
      <c r="H87" s="12"/>
      <c r="I87" s="12"/>
    </row>
    <row r="88" spans="2:9" ht="15.75" x14ac:dyDescent="0.25">
      <c r="B88" s="1"/>
      <c r="C88" s="255"/>
      <c r="D88" s="12"/>
      <c r="E88" s="12"/>
      <c r="F88" s="12"/>
      <c r="G88" s="12"/>
      <c r="H88" s="12"/>
      <c r="I88" s="12"/>
    </row>
    <row r="89" spans="2:9" ht="15.75" customHeight="1" thickBot="1" x14ac:dyDescent="0.3"/>
    <row r="90" spans="2:9" ht="15.75" customHeight="1" thickTop="1" x14ac:dyDescent="0.25">
      <c r="B90" s="214"/>
      <c r="C90" s="227"/>
      <c r="D90" s="227"/>
      <c r="E90" s="227"/>
      <c r="F90" s="252"/>
      <c r="G90" s="229" t="s">
        <v>48</v>
      </c>
      <c r="H90" s="1722" t="s">
        <v>20</v>
      </c>
      <c r="I90" s="1723"/>
    </row>
    <row r="91" spans="2:9" ht="15.75" customHeight="1" x14ac:dyDescent="0.25">
      <c r="B91" s="215"/>
      <c r="C91" s="225"/>
      <c r="D91" s="225"/>
      <c r="E91" s="225" t="s">
        <v>21</v>
      </c>
      <c r="F91" s="253"/>
      <c r="G91" s="230" t="s">
        <v>5</v>
      </c>
      <c r="H91" s="216" t="s">
        <v>22</v>
      </c>
      <c r="I91" s="217" t="s">
        <v>23</v>
      </c>
    </row>
    <row r="92" spans="2:9" ht="15.75" x14ac:dyDescent="0.25">
      <c r="B92" s="194"/>
      <c r="C92" s="225"/>
      <c r="D92" s="225"/>
      <c r="E92" s="225"/>
      <c r="F92" s="253"/>
      <c r="G92" s="218" t="s">
        <v>24</v>
      </c>
      <c r="H92" s="218" t="s">
        <v>25</v>
      </c>
      <c r="I92" s="219" t="s">
        <v>26</v>
      </c>
    </row>
    <row r="93" spans="2:9" ht="20.100000000000001" customHeight="1" thickBot="1" x14ac:dyDescent="0.3">
      <c r="B93" s="61"/>
      <c r="C93" s="228"/>
      <c r="D93" s="228"/>
      <c r="E93" s="211">
        <v>0</v>
      </c>
      <c r="F93" s="254"/>
      <c r="G93" s="2">
        <v>1</v>
      </c>
      <c r="H93" s="2">
        <v>2</v>
      </c>
      <c r="I93" s="7">
        <v>3</v>
      </c>
    </row>
    <row r="94" spans="2:9" ht="21" customHeight="1" thickTop="1" thickBot="1" x14ac:dyDescent="0.3">
      <c r="B94" s="231"/>
      <c r="G94" s="793"/>
      <c r="H94" s="793"/>
      <c r="I94" s="793"/>
    </row>
    <row r="95" spans="2:9" ht="20.100000000000001" customHeight="1" thickTop="1" thickBot="1" x14ac:dyDescent="0.3">
      <c r="B95" s="1168" t="str">
        <f>$B$19</f>
        <v>Wg stanu na dzień 31.XII.2010 r.</v>
      </c>
      <c r="C95" s="232"/>
      <c r="D95" s="232"/>
      <c r="E95" s="232"/>
      <c r="F95" s="282" t="s">
        <v>165</v>
      </c>
      <c r="G95" s="698">
        <f>H95+I95</f>
        <v>5421</v>
      </c>
      <c r="H95" s="1532">
        <v>4606</v>
      </c>
      <c r="I95" s="1533">
        <v>815</v>
      </c>
    </row>
    <row r="96" spans="2:9" ht="20.100000000000001" customHeight="1" x14ac:dyDescent="0.25">
      <c r="B96" s="1169" t="str">
        <f>$B$20</f>
        <v>Przyjętych w ciągu 2011 r.</v>
      </c>
      <c r="C96" s="242"/>
      <c r="D96" s="242"/>
      <c r="E96" s="242"/>
      <c r="F96" s="284" t="s">
        <v>166</v>
      </c>
      <c r="G96" s="285">
        <f>H96+I96</f>
        <v>834</v>
      </c>
      <c r="H96" s="784">
        <f>H98+H99</f>
        <v>708</v>
      </c>
      <c r="I96" s="785">
        <f>I98+I99</f>
        <v>126</v>
      </c>
    </row>
    <row r="97" spans="2:9" ht="13.5" customHeight="1" x14ac:dyDescent="0.25">
      <c r="B97" s="233"/>
      <c r="C97" s="241" t="s">
        <v>49</v>
      </c>
      <c r="D97" s="225"/>
      <c r="E97" s="225"/>
      <c r="F97" s="286"/>
      <c r="G97" s="287"/>
      <c r="H97" s="389" t="str">
        <f>IF(SUM(H98:H99)=H96, "", "?")</f>
        <v/>
      </c>
      <c r="I97" s="388" t="str">
        <f>IF(SUM(I98:I99)=I96, "", "?")</f>
        <v/>
      </c>
    </row>
    <row r="98" spans="2:9" ht="20.100000000000001" customHeight="1" x14ac:dyDescent="0.25">
      <c r="B98" s="233"/>
      <c r="C98" s="237" t="s">
        <v>158</v>
      </c>
      <c r="D98" s="222"/>
      <c r="E98" s="222"/>
      <c r="F98" s="290" t="s">
        <v>167</v>
      </c>
      <c r="G98" s="291">
        <f>H98+I98</f>
        <v>21</v>
      </c>
      <c r="H98" s="1534">
        <v>21</v>
      </c>
      <c r="I98" s="1535">
        <v>0</v>
      </c>
    </row>
    <row r="99" spans="2:9" ht="20.100000000000001" customHeight="1" thickBot="1" x14ac:dyDescent="0.3">
      <c r="B99" s="234"/>
      <c r="C99" s="238" t="s">
        <v>159</v>
      </c>
      <c r="D99" s="235"/>
      <c r="E99" s="235"/>
      <c r="F99" s="292" t="s">
        <v>168</v>
      </c>
      <c r="G99" s="293">
        <f>H99+I99</f>
        <v>813</v>
      </c>
      <c r="H99" s="1536">
        <v>687</v>
      </c>
      <c r="I99" s="1537">
        <v>126</v>
      </c>
    </row>
    <row r="100" spans="2:9" ht="20.100000000000001" customHeight="1" x14ac:dyDescent="0.25">
      <c r="B100" s="1170" t="str">
        <f>$B$24</f>
        <v>Odeszło w ciągu 2011 r. (w.06 do w.09)</v>
      </c>
      <c r="C100" s="242"/>
      <c r="D100" s="242"/>
      <c r="E100" s="242"/>
      <c r="F100" s="284" t="s">
        <v>169</v>
      </c>
      <c r="G100" s="285">
        <f>H100+I100</f>
        <v>781</v>
      </c>
      <c r="H100" s="285">
        <f>SUM(H102:H105)</f>
        <v>664</v>
      </c>
      <c r="I100" s="294">
        <f>SUM(I102:I105)</f>
        <v>117</v>
      </c>
    </row>
    <row r="101" spans="2:9" ht="13.5" customHeight="1" x14ac:dyDescent="0.25">
      <c r="B101" s="251"/>
      <c r="C101" s="240" t="s">
        <v>49</v>
      </c>
      <c r="D101" s="225"/>
      <c r="E101" s="225"/>
      <c r="F101" s="286"/>
      <c r="G101" s="287"/>
      <c r="H101" s="288"/>
      <c r="I101" s="289"/>
    </row>
    <row r="102" spans="2:9" ht="20.100000000000001" customHeight="1" x14ac:dyDescent="0.25">
      <c r="B102" s="233"/>
      <c r="C102" s="237" t="s">
        <v>160</v>
      </c>
      <c r="D102" s="222"/>
      <c r="E102" s="222"/>
      <c r="F102" s="290" t="s">
        <v>170</v>
      </c>
      <c r="G102" s="291">
        <f>H102+I102</f>
        <v>79</v>
      </c>
      <c r="H102" s="1534">
        <v>62</v>
      </c>
      <c r="I102" s="1535">
        <v>17</v>
      </c>
    </row>
    <row r="103" spans="2:9" ht="20.100000000000001" customHeight="1" x14ac:dyDescent="0.25">
      <c r="B103" s="233"/>
      <c r="C103" s="243" t="s">
        <v>161</v>
      </c>
      <c r="D103" s="223"/>
      <c r="E103" s="223"/>
      <c r="F103" s="295" t="s">
        <v>171</v>
      </c>
      <c r="G103" s="296">
        <f>H103+I103</f>
        <v>45</v>
      </c>
      <c r="H103" s="1538">
        <v>29</v>
      </c>
      <c r="I103" s="1539">
        <v>16</v>
      </c>
    </row>
    <row r="104" spans="2:9" ht="20.100000000000001" customHeight="1" x14ac:dyDescent="0.25">
      <c r="B104" s="233"/>
      <c r="C104" s="243" t="s">
        <v>162</v>
      </c>
      <c r="D104" s="223"/>
      <c r="E104" s="223"/>
      <c r="F104" s="295" t="s">
        <v>172</v>
      </c>
      <c r="G104" s="296">
        <f>H104+I104</f>
        <v>21</v>
      </c>
      <c r="H104" s="1538">
        <v>21</v>
      </c>
      <c r="I104" s="1539">
        <v>0</v>
      </c>
    </row>
    <row r="105" spans="2:9" ht="20.100000000000001" customHeight="1" thickBot="1" x14ac:dyDescent="0.3">
      <c r="B105" s="234"/>
      <c r="C105" s="238" t="s">
        <v>163</v>
      </c>
      <c r="D105" s="235"/>
      <c r="E105" s="235"/>
      <c r="F105" s="292" t="s">
        <v>173</v>
      </c>
      <c r="G105" s="293">
        <f>H105+I105</f>
        <v>636</v>
      </c>
      <c r="H105" s="1536">
        <v>552</v>
      </c>
      <c r="I105" s="1537">
        <v>84</v>
      </c>
    </row>
    <row r="106" spans="2:9" ht="20.100000000000001" customHeight="1" x14ac:dyDescent="0.25">
      <c r="B106" s="1171" t="str">
        <f>$B$30</f>
        <v>Wg stanu na dzień 31.XII.2011 r.</v>
      </c>
      <c r="C106" s="225"/>
      <c r="D106" s="225"/>
      <c r="E106" s="225"/>
      <c r="F106" s="879"/>
      <c r="G106" s="922" t="str">
        <f>IF('Tab.2. l.d.m.m._Polska'!G57=G107,"","t2w1k3"&amp;"="&amp;'Tab.2. l.d.m.m._Polska'!G57)</f>
        <v/>
      </c>
      <c r="H106" s="922" t="str">
        <f>IF('Tab.2. l.d.m.m._Polska'!K57=H107,"","t2w1k6"&amp;"="&amp;'Tab.2. l.d.m.m._Polska'!K57)</f>
        <v/>
      </c>
      <c r="I106" s="923" t="str">
        <f>IF('Tab.2. l.d.m.m._Polska'!O57=I107,"","t2w1k9"&amp;"="&amp;'Tab.2. l.d.m.m._Polska'!O57)</f>
        <v/>
      </c>
    </row>
    <row r="107" spans="2:9" ht="20.100000000000001" customHeight="1" x14ac:dyDescent="0.25">
      <c r="B107" s="245" t="s">
        <v>194</v>
      </c>
      <c r="C107" s="222"/>
      <c r="D107" s="222"/>
      <c r="E107" s="222"/>
      <c r="F107" s="297">
        <v>10</v>
      </c>
      <c r="G107" s="291">
        <f>H107+I107</f>
        <v>5474</v>
      </c>
      <c r="H107" s="291">
        <f>IF(H95+H96-H100=SUM(H112:H116), H95+H96-H100, (H95+H96-H100)-SUM(H112:H116))</f>
        <v>4650</v>
      </c>
      <c r="I107" s="298">
        <f>IF(I95+I96-I100=SUM(I112:I116), I95+I96-I100, (I95+I96-I100)-SUM(I112:I116))</f>
        <v>824</v>
      </c>
    </row>
    <row r="108" spans="2:9" ht="13.5" customHeight="1" x14ac:dyDescent="0.25">
      <c r="B108" s="233"/>
      <c r="C108" s="240" t="s">
        <v>50</v>
      </c>
      <c r="D108" s="225"/>
      <c r="E108" s="225"/>
      <c r="F108" s="286"/>
      <c r="G108" s="287"/>
      <c r="H108" s="288"/>
      <c r="I108" s="289"/>
    </row>
    <row r="109" spans="2:9" ht="20.100000000000001" customHeight="1" thickBot="1" x14ac:dyDescent="0.3">
      <c r="B109" s="244"/>
      <c r="C109" s="239" t="s">
        <v>164</v>
      </c>
      <c r="D109" s="226"/>
      <c r="E109" s="226"/>
      <c r="F109" s="299">
        <v>11</v>
      </c>
      <c r="G109" s="300">
        <f>H109+I109</f>
        <v>659</v>
      </c>
      <c r="H109" s="1540">
        <v>572</v>
      </c>
      <c r="I109" s="1541">
        <v>87</v>
      </c>
    </row>
    <row r="110" spans="2:9" ht="18.75" customHeight="1" thickTop="1" thickBot="1" x14ac:dyDescent="0.3">
      <c r="B110" s="236"/>
      <c r="F110" s="301"/>
      <c r="G110" s="405" t="str">
        <f>IF(SUM(G112:G116)=G107,"","Uwaga! "&amp;SUM(G112:G116))</f>
        <v/>
      </c>
      <c r="H110" s="405" t="str">
        <f>IF(SUM(H112:H116)=H107,"","Uwaga! "&amp;SUM(H112:H116))</f>
        <v/>
      </c>
      <c r="I110" s="405" t="str">
        <f>IF(SUM(I112:I116)=I107,"","Uwaga! "&amp;SUM(I112:I116))</f>
        <v/>
      </c>
    </row>
    <row r="111" spans="2:9" ht="20.100000000000001" customHeight="1" thickTop="1" x14ac:dyDescent="0.25">
      <c r="B111" s="213" t="s">
        <v>183</v>
      </c>
      <c r="C111" s="246"/>
      <c r="D111" s="246"/>
      <c r="E111" s="246"/>
      <c r="F111" s="304"/>
      <c r="G111" s="305" t="s">
        <v>142</v>
      </c>
      <c r="H111" s="305" t="s">
        <v>142</v>
      </c>
      <c r="I111" s="306" t="s">
        <v>142</v>
      </c>
    </row>
    <row r="112" spans="2:9" ht="20.100000000000001" customHeight="1" x14ac:dyDescent="0.25">
      <c r="B112" s="247" t="s">
        <v>52</v>
      </c>
      <c r="C112" s="223"/>
      <c r="D112" s="223"/>
      <c r="E112" s="223"/>
      <c r="F112" s="307">
        <v>12</v>
      </c>
      <c r="G112" s="296">
        <f>H112+I112</f>
        <v>169</v>
      </c>
      <c r="H112" s="1538">
        <v>50</v>
      </c>
      <c r="I112" s="1539">
        <v>119</v>
      </c>
    </row>
    <row r="113" spans="2:9" ht="20.100000000000001" customHeight="1" x14ac:dyDescent="0.25">
      <c r="B113" s="247" t="s">
        <v>53</v>
      </c>
      <c r="C113" s="223"/>
      <c r="D113" s="223"/>
      <c r="E113" s="223"/>
      <c r="F113" s="307">
        <v>13</v>
      </c>
      <c r="G113" s="296">
        <f>H113+I113</f>
        <v>923</v>
      </c>
      <c r="H113" s="1538">
        <v>740</v>
      </c>
      <c r="I113" s="1539">
        <v>183</v>
      </c>
    </row>
    <row r="114" spans="2:9" ht="20.100000000000001" customHeight="1" x14ac:dyDescent="0.25">
      <c r="B114" s="247" t="s">
        <v>54</v>
      </c>
      <c r="C114" s="223"/>
      <c r="D114" s="223"/>
      <c r="E114" s="223"/>
      <c r="F114" s="307">
        <v>14</v>
      </c>
      <c r="G114" s="296">
        <f>H114+I114</f>
        <v>1624</v>
      </c>
      <c r="H114" s="1538">
        <v>1501</v>
      </c>
      <c r="I114" s="1539">
        <v>123</v>
      </c>
    </row>
    <row r="115" spans="2:9" ht="20.100000000000001" customHeight="1" x14ac:dyDescent="0.25">
      <c r="B115" s="247" t="s">
        <v>55</v>
      </c>
      <c r="C115" s="223"/>
      <c r="D115" s="223"/>
      <c r="E115" s="223"/>
      <c r="F115" s="307">
        <v>15</v>
      </c>
      <c r="G115" s="296">
        <f>H115+I115</f>
        <v>969</v>
      </c>
      <c r="H115" s="1538">
        <v>882</v>
      </c>
      <c r="I115" s="1539">
        <v>87</v>
      </c>
    </row>
    <row r="116" spans="2:9" ht="20.100000000000001" customHeight="1" thickBot="1" x14ac:dyDescent="0.3">
      <c r="B116" s="248" t="s">
        <v>56</v>
      </c>
      <c r="C116" s="224"/>
      <c r="D116" s="224"/>
      <c r="E116" s="224"/>
      <c r="F116" s="308">
        <v>16</v>
      </c>
      <c r="G116" s="309">
        <f>H116+I116</f>
        <v>1789</v>
      </c>
      <c r="H116" s="1542">
        <v>1477</v>
      </c>
      <c r="I116" s="1543">
        <v>312</v>
      </c>
    </row>
    <row r="117" spans="2:9" ht="8.25" customHeight="1" thickTop="1" thickBot="1" x14ac:dyDescent="0.3">
      <c r="B117" s="236"/>
      <c r="C117" s="225"/>
      <c r="D117" s="225"/>
      <c r="E117" s="225"/>
      <c r="F117" s="310"/>
      <c r="G117" s="311"/>
      <c r="H117" s="312"/>
      <c r="I117" s="312"/>
    </row>
    <row r="118" spans="2:9" ht="20.100000000000001" customHeight="1" thickTop="1" x14ac:dyDescent="0.25">
      <c r="B118" s="249" t="s">
        <v>184</v>
      </c>
      <c r="C118" s="227"/>
      <c r="D118" s="227"/>
      <c r="E118" s="227"/>
      <c r="F118" s="313"/>
      <c r="G118" s="314"/>
      <c r="H118" s="315"/>
      <c r="I118" s="316"/>
    </row>
    <row r="119" spans="2:9" ht="20.100000000000001" customHeight="1" x14ac:dyDescent="0.25">
      <c r="B119" s="245" t="s">
        <v>179</v>
      </c>
      <c r="C119" s="222"/>
      <c r="D119" s="222"/>
      <c r="E119" s="222"/>
      <c r="F119" s="297">
        <v>17</v>
      </c>
      <c r="G119" s="689">
        <f>H119+I119</f>
        <v>2964</v>
      </c>
      <c r="H119" s="291">
        <f>H121+H127</f>
        <v>2602</v>
      </c>
      <c r="I119" s="298">
        <f>I121+I127</f>
        <v>362</v>
      </c>
    </row>
    <row r="120" spans="2:9" ht="14.25" customHeight="1" x14ac:dyDescent="0.25">
      <c r="B120" s="233"/>
      <c r="C120" s="240" t="s">
        <v>49</v>
      </c>
      <c r="D120" s="225"/>
      <c r="E120" s="225"/>
      <c r="F120" s="286"/>
      <c r="G120" s="287"/>
      <c r="H120" s="288"/>
      <c r="I120" s="289"/>
    </row>
    <row r="121" spans="2:9" ht="20.100000000000001" customHeight="1" x14ac:dyDescent="0.25">
      <c r="B121" s="233"/>
      <c r="C121" s="222" t="s">
        <v>154</v>
      </c>
      <c r="D121" s="222"/>
      <c r="E121" s="222"/>
      <c r="F121" s="297">
        <v>18</v>
      </c>
      <c r="G121" s="291">
        <f>H121+I121</f>
        <v>2918</v>
      </c>
      <c r="H121" s="317">
        <f>SUM(H123:H126)</f>
        <v>2593</v>
      </c>
      <c r="I121" s="318">
        <f>SUM(I123:I126)</f>
        <v>325</v>
      </c>
    </row>
    <row r="122" spans="2:9" ht="16.5" customHeight="1" x14ac:dyDescent="0.25">
      <c r="B122" s="233"/>
      <c r="C122" s="225"/>
      <c r="D122" s="240" t="s">
        <v>155</v>
      </c>
      <c r="E122" s="225"/>
      <c r="F122" s="286"/>
      <c r="G122" s="287"/>
      <c r="H122" s="288"/>
      <c r="I122" s="289"/>
    </row>
    <row r="123" spans="2:9" ht="20.100000000000001" customHeight="1" x14ac:dyDescent="0.25">
      <c r="B123" s="233"/>
      <c r="C123" s="225"/>
      <c r="D123" s="222" t="s">
        <v>178</v>
      </c>
      <c r="E123" s="222"/>
      <c r="F123" s="297">
        <v>19</v>
      </c>
      <c r="G123" s="291">
        <f t="shared" ref="G123:G128" si="7">H123+I123</f>
        <v>2724</v>
      </c>
      <c r="H123" s="1534">
        <v>2407</v>
      </c>
      <c r="I123" s="1535">
        <v>317</v>
      </c>
    </row>
    <row r="124" spans="2:9" ht="20.100000000000001" customHeight="1" x14ac:dyDescent="0.25">
      <c r="B124" s="233"/>
      <c r="C124" s="225"/>
      <c r="D124" s="223" t="s">
        <v>151</v>
      </c>
      <c r="E124" s="223"/>
      <c r="F124" s="307">
        <v>20</v>
      </c>
      <c r="G124" s="296">
        <f t="shared" si="7"/>
        <v>190</v>
      </c>
      <c r="H124" s="1538">
        <v>182</v>
      </c>
      <c r="I124" s="1539">
        <v>8</v>
      </c>
    </row>
    <row r="125" spans="2:9" ht="20.100000000000001" customHeight="1" x14ac:dyDescent="0.25">
      <c r="B125" s="233"/>
      <c r="C125" s="225"/>
      <c r="D125" s="223" t="s">
        <v>149</v>
      </c>
      <c r="E125" s="223"/>
      <c r="F125" s="307">
        <v>21</v>
      </c>
      <c r="G125" s="296">
        <f t="shared" si="7"/>
        <v>1</v>
      </c>
      <c r="H125" s="1538">
        <v>1</v>
      </c>
      <c r="I125" s="1539">
        <v>0</v>
      </c>
    </row>
    <row r="126" spans="2:9" ht="20.100000000000001" customHeight="1" x14ac:dyDescent="0.25">
      <c r="B126" s="233"/>
      <c r="C126" s="225"/>
      <c r="D126" s="222" t="s">
        <v>152</v>
      </c>
      <c r="E126" s="222"/>
      <c r="F126" s="297">
        <v>22</v>
      </c>
      <c r="G126" s="291">
        <f t="shared" si="7"/>
        <v>3</v>
      </c>
      <c r="H126" s="1534">
        <v>3</v>
      </c>
      <c r="I126" s="1535">
        <v>0</v>
      </c>
    </row>
    <row r="127" spans="2:9" ht="20.100000000000001" customHeight="1" x14ac:dyDescent="0.25">
      <c r="B127" s="233"/>
      <c r="C127" s="222" t="s">
        <v>156</v>
      </c>
      <c r="D127" s="222"/>
      <c r="E127" s="222"/>
      <c r="F127" s="297">
        <v>23</v>
      </c>
      <c r="G127" s="291">
        <f t="shared" si="7"/>
        <v>46</v>
      </c>
      <c r="H127" s="1534">
        <v>9</v>
      </c>
      <c r="I127" s="1535">
        <v>37</v>
      </c>
    </row>
    <row r="128" spans="2:9" ht="20.100000000000001" customHeight="1" x14ac:dyDescent="0.25">
      <c r="B128" s="233"/>
      <c r="C128" s="223" t="s">
        <v>150</v>
      </c>
      <c r="D128" s="223"/>
      <c r="E128" s="223"/>
      <c r="F128" s="307">
        <v>24</v>
      </c>
      <c r="G128" s="296">
        <f t="shared" si="7"/>
        <v>54</v>
      </c>
      <c r="H128" s="1538">
        <v>54</v>
      </c>
      <c r="I128" s="1539">
        <v>0</v>
      </c>
    </row>
    <row r="129" spans="2:9" ht="20.100000000000001" customHeight="1" x14ac:dyDescent="0.25">
      <c r="B129" s="233"/>
      <c r="C129" s="250" t="s">
        <v>157</v>
      </c>
      <c r="D129" s="250"/>
      <c r="E129" s="250"/>
      <c r="F129" s="319"/>
      <c r="G129" s="320"/>
      <c r="H129" s="321"/>
      <c r="I129" s="322"/>
    </row>
    <row r="130" spans="2:9" ht="20.100000000000001" customHeight="1" thickBot="1" x14ac:dyDescent="0.3">
      <c r="B130" s="244"/>
      <c r="C130" s="226" t="s">
        <v>148</v>
      </c>
      <c r="D130" s="226"/>
      <c r="E130" s="226"/>
      <c r="F130" s="299">
        <v>25</v>
      </c>
      <c r="G130" s="300">
        <f>H130+I130</f>
        <v>0</v>
      </c>
      <c r="H130" s="1540">
        <v>0</v>
      </c>
      <c r="I130" s="1541">
        <v>0</v>
      </c>
    </row>
    <row r="131" spans="2:9" ht="8.25" customHeight="1" thickTop="1" thickBot="1" x14ac:dyDescent="0.3">
      <c r="F131" s="301"/>
      <c r="G131" s="302"/>
      <c r="H131" s="303"/>
      <c r="I131" s="303"/>
    </row>
    <row r="132" spans="2:9" ht="20.100000000000001" customHeight="1" thickTop="1" x14ac:dyDescent="0.25">
      <c r="B132" s="261" t="s">
        <v>174</v>
      </c>
      <c r="C132" s="262"/>
      <c r="D132" s="263"/>
      <c r="E132" s="246"/>
      <c r="F132" s="323">
        <v>26</v>
      </c>
      <c r="G132" s="1109">
        <f>H132+I132</f>
        <v>2510</v>
      </c>
      <c r="H132" s="1109">
        <f>H134+H139</f>
        <v>2048</v>
      </c>
      <c r="I132" s="1108">
        <f>I134+I139</f>
        <v>462</v>
      </c>
    </row>
    <row r="133" spans="2:9" ht="13.5" customHeight="1" x14ac:dyDescent="0.25">
      <c r="B133" s="233"/>
      <c r="C133" s="240" t="s">
        <v>50</v>
      </c>
      <c r="D133" s="225"/>
      <c r="E133" s="225"/>
      <c r="F133" s="286"/>
      <c r="G133" s="287"/>
      <c r="H133" s="288"/>
      <c r="I133" s="289"/>
    </row>
    <row r="134" spans="2:9" ht="20.100000000000001" customHeight="1" x14ac:dyDescent="0.25">
      <c r="B134" s="233"/>
      <c r="C134" s="222" t="s">
        <v>185</v>
      </c>
      <c r="D134" s="222"/>
      <c r="E134" s="222"/>
      <c r="F134" s="297">
        <v>27</v>
      </c>
      <c r="G134" s="291">
        <f>H134+I134</f>
        <v>89</v>
      </c>
      <c r="H134" s="1534">
        <f>H136+H137+H138</f>
        <v>65</v>
      </c>
      <c r="I134" s="1535">
        <f>I136+I137+I138</f>
        <v>24</v>
      </c>
    </row>
    <row r="135" spans="2:9" ht="13.5" customHeight="1" x14ac:dyDescent="0.25">
      <c r="B135" s="233"/>
      <c r="C135" s="225"/>
      <c r="D135" s="240" t="s">
        <v>190</v>
      </c>
      <c r="E135" s="225"/>
      <c r="F135" s="286"/>
      <c r="G135" s="390" t="str">
        <f>IF(SUM(G136:G138)=G134, "", G134-SUM(G136:G138))</f>
        <v/>
      </c>
      <c r="H135" s="390" t="str">
        <f>IF(SUM(H136:H138)=H134, "", H134-SUM(H136:H138))</f>
        <v/>
      </c>
      <c r="I135" s="398" t="str">
        <f>IF(SUM(I136:I138)=I134, "", I134-SUM(I136:I138))</f>
        <v/>
      </c>
    </row>
    <row r="136" spans="2:9" ht="20.100000000000001" customHeight="1" x14ac:dyDescent="0.25">
      <c r="B136" s="233"/>
      <c r="C136" s="225"/>
      <c r="D136" s="222" t="s">
        <v>186</v>
      </c>
      <c r="E136" s="222"/>
      <c r="F136" s="297">
        <v>28</v>
      </c>
      <c r="G136" s="689">
        <f>H136+I136</f>
        <v>36</v>
      </c>
      <c r="H136" s="1544">
        <v>33</v>
      </c>
      <c r="I136" s="1535">
        <v>3</v>
      </c>
    </row>
    <row r="137" spans="2:9" ht="20.100000000000001" customHeight="1" x14ac:dyDescent="0.25">
      <c r="B137" s="233"/>
      <c r="C137" s="225"/>
      <c r="D137" s="223" t="s">
        <v>187</v>
      </c>
      <c r="E137" s="225"/>
      <c r="F137" s="297">
        <v>29</v>
      </c>
      <c r="G137" s="291">
        <f>H137+I137</f>
        <v>0</v>
      </c>
      <c r="H137" s="1544">
        <v>0</v>
      </c>
      <c r="I137" s="1535">
        <v>0</v>
      </c>
    </row>
    <row r="138" spans="2:9" ht="20.100000000000001" customHeight="1" x14ac:dyDescent="0.25">
      <c r="B138" s="233"/>
      <c r="C138" s="225"/>
      <c r="D138" s="223" t="s">
        <v>188</v>
      </c>
      <c r="E138" s="223"/>
      <c r="F138" s="307">
        <v>30</v>
      </c>
      <c r="G138" s="296">
        <f>H138+I138</f>
        <v>53</v>
      </c>
      <c r="H138" s="1545">
        <v>32</v>
      </c>
      <c r="I138" s="1539">
        <v>21</v>
      </c>
    </row>
    <row r="139" spans="2:9" ht="20.100000000000001" customHeight="1" x14ac:dyDescent="0.25">
      <c r="B139" s="233"/>
      <c r="C139" s="222" t="s">
        <v>189</v>
      </c>
      <c r="D139" s="222"/>
      <c r="E139" s="222"/>
      <c r="F139" s="297">
        <v>31</v>
      </c>
      <c r="G139" s="689">
        <f>H139+I139</f>
        <v>2421</v>
      </c>
      <c r="H139" s="689">
        <f>SUM(H141:H144)</f>
        <v>1983</v>
      </c>
      <c r="I139" s="690">
        <f>SUM(I141:I144)</f>
        <v>438</v>
      </c>
    </row>
    <row r="140" spans="2:9" ht="13.5" customHeight="1" x14ac:dyDescent="0.25">
      <c r="B140" s="233"/>
      <c r="C140" s="225"/>
      <c r="D140" s="240" t="s">
        <v>191</v>
      </c>
      <c r="E140" s="225"/>
      <c r="F140" s="286"/>
      <c r="G140" s="287" t="str">
        <f>IF(SUM(G141:G144)=G139, "", G139-SUM(G141:G144))</f>
        <v/>
      </c>
      <c r="H140" s="693" t="str">
        <f>IF(SUM(H141:H144)=H139, "", H139-SUM(H141:H144))</f>
        <v/>
      </c>
      <c r="I140" s="289" t="str">
        <f>IF(SUM(I141:I144)=I139, "", I139-SUM(I141:I144))</f>
        <v/>
      </c>
    </row>
    <row r="141" spans="2:9" ht="20.100000000000001" customHeight="1" x14ac:dyDescent="0.25">
      <c r="B141" s="233"/>
      <c r="C141" s="225"/>
      <c r="D141" s="222" t="s">
        <v>186</v>
      </c>
      <c r="E141" s="222"/>
      <c r="F141" s="297">
        <v>32</v>
      </c>
      <c r="G141" s="291">
        <f>H141+I141</f>
        <v>2143</v>
      </c>
      <c r="H141" s="1544">
        <v>1795</v>
      </c>
      <c r="I141" s="1535">
        <v>348</v>
      </c>
    </row>
    <row r="142" spans="2:9" ht="20.100000000000001" customHeight="1" x14ac:dyDescent="0.25">
      <c r="B142" s="233"/>
      <c r="C142" s="225"/>
      <c r="D142" s="222" t="s">
        <v>187</v>
      </c>
      <c r="E142" s="222"/>
      <c r="F142" s="297">
        <v>33</v>
      </c>
      <c r="G142" s="291">
        <f>H142+I142</f>
        <v>1</v>
      </c>
      <c r="H142" s="1544">
        <v>1</v>
      </c>
      <c r="I142" s="1535">
        <v>0</v>
      </c>
    </row>
    <row r="143" spans="2:9" ht="20.100000000000001" customHeight="1" x14ac:dyDescent="0.25">
      <c r="B143" s="233"/>
      <c r="C143" s="225"/>
      <c r="D143" s="222" t="s">
        <v>188</v>
      </c>
      <c r="E143" s="222"/>
      <c r="F143" s="297">
        <v>34</v>
      </c>
      <c r="G143" s="291">
        <f>H143+I143</f>
        <v>225</v>
      </c>
      <c r="H143" s="1544">
        <v>171</v>
      </c>
      <c r="I143" s="1535">
        <v>54</v>
      </c>
    </row>
    <row r="144" spans="2:9" ht="20.100000000000001" customHeight="1" thickBot="1" x14ac:dyDescent="0.3">
      <c r="B144" s="234"/>
      <c r="C144" s="235"/>
      <c r="D144" s="259" t="s">
        <v>153</v>
      </c>
      <c r="E144" s="259"/>
      <c r="F144" s="325">
        <v>35</v>
      </c>
      <c r="G144" s="326">
        <f>H144+I144</f>
        <v>52</v>
      </c>
      <c r="H144" s="1546">
        <v>16</v>
      </c>
      <c r="I144" s="1547">
        <v>36</v>
      </c>
    </row>
    <row r="145" spans="1:9" ht="20.100000000000001" customHeight="1" x14ac:dyDescent="0.25">
      <c r="B145" s="260" t="s">
        <v>177</v>
      </c>
      <c r="C145" s="242"/>
      <c r="D145" s="242"/>
      <c r="E145" s="242"/>
      <c r="F145" s="327">
        <v>36</v>
      </c>
      <c r="G145" s="699">
        <f>H145+I145</f>
        <v>2457</v>
      </c>
      <c r="H145" s="699">
        <f>H136+H138+H141+H143</f>
        <v>2031</v>
      </c>
      <c r="I145" s="695">
        <f>I136+I138+I141+I143</f>
        <v>426</v>
      </c>
    </row>
    <row r="146" spans="1:9" ht="13.5" customHeight="1" x14ac:dyDescent="0.25">
      <c r="B146" s="233"/>
      <c r="C146" s="240" t="s">
        <v>155</v>
      </c>
      <c r="D146" s="225"/>
      <c r="E146" s="250"/>
      <c r="F146" s="286"/>
      <c r="G146" s="390" t="str">
        <f>IF(SUM(G147:G149)=G145, "", G145-SUM(G147:G149))</f>
        <v/>
      </c>
      <c r="H146" s="390" t="str">
        <f>IF(SUM(H147:H149)=H145, "", H145-SUM(H147:H149))</f>
        <v/>
      </c>
      <c r="I146" s="398" t="str">
        <f>IF(SUM(I147:I149)=I145, "", I145-SUM(I147:I149))</f>
        <v/>
      </c>
    </row>
    <row r="147" spans="1:9" ht="20.100000000000001" customHeight="1" x14ac:dyDescent="0.25">
      <c r="B147" s="233"/>
      <c r="C147" s="222" t="s">
        <v>178</v>
      </c>
      <c r="D147" s="222"/>
      <c r="E147" s="222"/>
      <c r="F147" s="297">
        <v>37</v>
      </c>
      <c r="G147" s="291">
        <f>H147+I147</f>
        <v>2059</v>
      </c>
      <c r="H147" s="1534">
        <v>1694</v>
      </c>
      <c r="I147" s="1535">
        <v>365</v>
      </c>
    </row>
    <row r="148" spans="1:9" ht="20.100000000000001" customHeight="1" x14ac:dyDescent="0.25">
      <c r="B148" s="233"/>
      <c r="C148" s="223" t="s">
        <v>151</v>
      </c>
      <c r="D148" s="223"/>
      <c r="E148" s="223"/>
      <c r="F148" s="307">
        <v>38</v>
      </c>
      <c r="G148" s="296">
        <f>H148+I148</f>
        <v>337</v>
      </c>
      <c r="H148" s="1538">
        <v>317</v>
      </c>
      <c r="I148" s="1539">
        <v>20</v>
      </c>
    </row>
    <row r="149" spans="1:9" ht="20.100000000000001" customHeight="1" thickBot="1" x14ac:dyDescent="0.3">
      <c r="B149" s="244"/>
      <c r="C149" s="226" t="s">
        <v>152</v>
      </c>
      <c r="D149" s="226"/>
      <c r="E149" s="226"/>
      <c r="F149" s="299">
        <v>39</v>
      </c>
      <c r="G149" s="300">
        <f>H149+I149</f>
        <v>61</v>
      </c>
      <c r="H149" s="1540">
        <v>20</v>
      </c>
      <c r="I149" s="1541">
        <v>41</v>
      </c>
    </row>
    <row r="150" spans="1:9" ht="20.100000000000001" customHeight="1" thickTop="1" x14ac:dyDescent="0.25">
      <c r="G150" s="412" t="str">
        <f>IF(SUM(G147:G149)=G145, "", SUM(G147:G149))</f>
        <v/>
      </c>
      <c r="H150" s="412" t="str">
        <f>IF(SUM(H147:H149)=H145, "", SUM(H147:H149))</f>
        <v/>
      </c>
      <c r="I150" s="412" t="str">
        <f>IF(SUM(I147:I149)=I145, "", SUM(I147:I149))</f>
        <v/>
      </c>
    </row>
    <row r="151" spans="1:9" ht="20.100000000000001" customHeight="1" x14ac:dyDescent="0.25">
      <c r="B151" s="221" t="s">
        <v>123</v>
      </c>
      <c r="D151" s="220" t="s">
        <v>180</v>
      </c>
      <c r="H151" t="s">
        <v>182</v>
      </c>
    </row>
    <row r="152" spans="1:9" ht="20.100000000000001" customHeight="1" x14ac:dyDescent="0.25">
      <c r="B152" s="221" t="s">
        <v>181</v>
      </c>
      <c r="D152" s="220" t="s">
        <v>180</v>
      </c>
      <c r="H152" s="256" t="s">
        <v>126</v>
      </c>
    </row>
    <row r="153" spans="1:9" ht="20.100000000000001" customHeight="1" x14ac:dyDescent="0.25"/>
    <row r="154" spans="1:9" ht="20.100000000000001" customHeight="1" x14ac:dyDescent="0.25">
      <c r="A154" s="331" t="s">
        <v>168</v>
      </c>
      <c r="B154" s="221" t="s">
        <v>116</v>
      </c>
      <c r="C154" s="212"/>
      <c r="D154" s="220"/>
      <c r="E154" s="220"/>
      <c r="F154" s="212"/>
      <c r="G154" s="220"/>
      <c r="H154" s="220"/>
      <c r="I154" s="256" t="s">
        <v>175</v>
      </c>
    </row>
    <row r="155" spans="1:9" ht="20.100000000000001" customHeight="1" x14ac:dyDescent="0.25">
      <c r="B155" s="257" t="s">
        <v>129</v>
      </c>
      <c r="C155" s="212"/>
      <c r="D155" s="220"/>
      <c r="E155" s="257"/>
      <c r="F155" s="220"/>
      <c r="G155" s="220"/>
      <c r="H155" s="220"/>
      <c r="I155" s="220"/>
    </row>
    <row r="156" spans="1:9" ht="20.100000000000001" customHeight="1" x14ac:dyDescent="0.25">
      <c r="B156" s="221" t="s">
        <v>128</v>
      </c>
      <c r="C156" s="212"/>
      <c r="D156" s="220"/>
      <c r="F156" s="220"/>
      <c r="G156" s="220"/>
      <c r="H156" s="1721" t="str">
        <f>$H$80</f>
        <v>Termin: 29 luty 2012 r.</v>
      </c>
      <c r="I156" s="1721"/>
    </row>
    <row r="157" spans="1:9" x14ac:dyDescent="0.25">
      <c r="B157" s="258"/>
      <c r="C157" s="212"/>
      <c r="D157" s="220"/>
      <c r="E157" s="220"/>
      <c r="F157" s="220"/>
      <c r="G157" s="220"/>
      <c r="H157" s="220"/>
      <c r="I157" s="220"/>
    </row>
    <row r="158" spans="1:9" x14ac:dyDescent="0.25">
      <c r="B158" s="221" t="s">
        <v>130</v>
      </c>
      <c r="C158" s="212"/>
      <c r="D158" s="220"/>
      <c r="E158" s="220"/>
      <c r="F158" s="220"/>
      <c r="G158" s="220"/>
      <c r="H158" s="220"/>
      <c r="I158" s="220"/>
    </row>
    <row r="159" spans="1:9" x14ac:dyDescent="0.25">
      <c r="B159" s="221" t="s">
        <v>131</v>
      </c>
      <c r="C159" s="212"/>
      <c r="D159" s="220"/>
      <c r="E159" s="220"/>
      <c r="F159" s="220"/>
      <c r="G159" s="220"/>
      <c r="H159" s="220"/>
      <c r="I159" s="220"/>
    </row>
    <row r="160" spans="1:9" ht="15.75" x14ac:dyDescent="0.25">
      <c r="B160" s="1"/>
      <c r="C160" s="255"/>
      <c r="D160" s="12"/>
      <c r="E160" s="12"/>
      <c r="F160" s="12"/>
      <c r="G160" s="12"/>
      <c r="H160" s="12"/>
      <c r="I160" s="12"/>
    </row>
    <row r="161" spans="2:9" ht="15.75" x14ac:dyDescent="0.25">
      <c r="B161" s="1"/>
      <c r="C161" s="255"/>
      <c r="D161" s="12"/>
      <c r="E161" s="1" t="s">
        <v>47</v>
      </c>
      <c r="F161" s="12"/>
      <c r="G161" s="12"/>
      <c r="H161" s="12"/>
      <c r="I161" s="12"/>
    </row>
    <row r="162" spans="2:9" ht="15.75" x14ac:dyDescent="0.25">
      <c r="B162" s="1"/>
      <c r="C162" s="255"/>
      <c r="D162" s="12"/>
      <c r="E162" s="1" t="s">
        <v>176</v>
      </c>
      <c r="F162" s="12"/>
      <c r="G162" s="12"/>
      <c r="H162" s="12"/>
      <c r="I162" s="12"/>
    </row>
    <row r="163" spans="2:9" ht="15.75" x14ac:dyDescent="0.25">
      <c r="B163" s="1"/>
      <c r="C163" s="255"/>
      <c r="D163" s="12"/>
      <c r="E163" s="1162" t="str">
        <f>$E$11</f>
        <v>SAMORZĄDÓW  POWIATOWYCH  I  PODMIOTÓW  NIEPUBLICZNYCH  W 2011 r.</v>
      </c>
      <c r="F163" s="12"/>
      <c r="G163" s="12"/>
      <c r="H163" s="12"/>
      <c r="I163" s="12"/>
    </row>
    <row r="164" spans="2:9" ht="15.75" x14ac:dyDescent="0.25">
      <c r="B164" s="1"/>
      <c r="C164" s="255"/>
      <c r="D164" s="12"/>
      <c r="E164" s="12"/>
      <c r="F164" s="12"/>
      <c r="G164" s="12"/>
      <c r="H164" s="12"/>
      <c r="I164" s="12"/>
    </row>
    <row r="165" spans="2:9" ht="15.75" thickBot="1" x14ac:dyDescent="0.3"/>
    <row r="166" spans="2:9" ht="16.5" thickTop="1" x14ac:dyDescent="0.25">
      <c r="B166" s="214"/>
      <c r="C166" s="227"/>
      <c r="D166" s="227"/>
      <c r="E166" s="227"/>
      <c r="F166" s="252"/>
      <c r="G166" s="229" t="s">
        <v>48</v>
      </c>
      <c r="H166" s="1722" t="s">
        <v>20</v>
      </c>
      <c r="I166" s="1723"/>
    </row>
    <row r="167" spans="2:9" ht="15.75" x14ac:dyDescent="0.25">
      <c r="B167" s="215"/>
      <c r="C167" s="225"/>
      <c r="D167" s="225"/>
      <c r="E167" s="225" t="s">
        <v>21</v>
      </c>
      <c r="F167" s="253"/>
      <c r="G167" s="230" t="s">
        <v>5</v>
      </c>
      <c r="H167" s="216" t="s">
        <v>22</v>
      </c>
      <c r="I167" s="217" t="s">
        <v>23</v>
      </c>
    </row>
    <row r="168" spans="2:9" ht="15.75" x14ac:dyDescent="0.25">
      <c r="B168" s="194"/>
      <c r="C168" s="225"/>
      <c r="D168" s="225"/>
      <c r="E168" s="225"/>
      <c r="F168" s="253"/>
      <c r="G168" s="218" t="s">
        <v>24</v>
      </c>
      <c r="H168" s="218" t="s">
        <v>25</v>
      </c>
      <c r="I168" s="219" t="s">
        <v>26</v>
      </c>
    </row>
    <row r="169" spans="2:9" ht="15.75" thickBot="1" x14ac:dyDescent="0.3">
      <c r="B169" s="61"/>
      <c r="C169" s="228"/>
      <c r="D169" s="228"/>
      <c r="E169" s="211">
        <v>0</v>
      </c>
      <c r="F169" s="254"/>
      <c r="G169" s="2">
        <v>1</v>
      </c>
      <c r="H169" s="2">
        <v>2</v>
      </c>
      <c r="I169" s="7">
        <v>3</v>
      </c>
    </row>
    <row r="170" spans="2:9" ht="16.5" thickTop="1" thickBot="1" x14ac:dyDescent="0.3">
      <c r="B170" s="231"/>
      <c r="G170" s="793"/>
      <c r="H170" s="793"/>
      <c r="I170" s="793"/>
    </row>
    <row r="171" spans="2:9" ht="16.5" thickTop="1" thickBot="1" x14ac:dyDescent="0.3">
      <c r="B171" s="1168" t="str">
        <f>$B$19</f>
        <v>Wg stanu na dzień 31.XII.2010 r.</v>
      </c>
      <c r="C171" s="232"/>
      <c r="D171" s="232"/>
      <c r="E171" s="232"/>
      <c r="F171" s="282" t="s">
        <v>165</v>
      </c>
      <c r="G171" s="698">
        <f>H171+I171</f>
        <v>3872</v>
      </c>
      <c r="H171" s="1532">
        <v>3436</v>
      </c>
      <c r="I171" s="1533">
        <v>436</v>
      </c>
    </row>
    <row r="172" spans="2:9" x14ac:dyDescent="0.25">
      <c r="B172" s="1169" t="str">
        <f>$B$20</f>
        <v>Przyjętych w ciągu 2011 r.</v>
      </c>
      <c r="C172" s="242"/>
      <c r="D172" s="242"/>
      <c r="E172" s="242"/>
      <c r="F172" s="284" t="s">
        <v>166</v>
      </c>
      <c r="G172" s="285">
        <f>H172+I172</f>
        <v>508</v>
      </c>
      <c r="H172" s="784">
        <f>H174+H175</f>
        <v>463</v>
      </c>
      <c r="I172" s="785">
        <f>I174+I175</f>
        <v>45</v>
      </c>
    </row>
    <row r="173" spans="2:9" x14ac:dyDescent="0.25">
      <c r="B173" s="233"/>
      <c r="C173" s="241" t="s">
        <v>49</v>
      </c>
      <c r="D173" s="225"/>
      <c r="E173" s="225"/>
      <c r="F173" s="286"/>
      <c r="G173" s="287"/>
      <c r="H173" s="389" t="str">
        <f>IF(SUM(H174:H175)=H172, "", "?")</f>
        <v/>
      </c>
      <c r="I173" s="388" t="str">
        <f>IF(SUM(I174:I175)=I172, "", "?")</f>
        <v/>
      </c>
    </row>
    <row r="174" spans="2:9" x14ac:dyDescent="0.25">
      <c r="B174" s="233"/>
      <c r="C174" s="237" t="s">
        <v>158</v>
      </c>
      <c r="D174" s="222"/>
      <c r="E174" s="222"/>
      <c r="F174" s="290" t="s">
        <v>167</v>
      </c>
      <c r="G174" s="291">
        <f>H174+I174</f>
        <v>23</v>
      </c>
      <c r="H174" s="1534">
        <v>23</v>
      </c>
      <c r="I174" s="1535">
        <v>0</v>
      </c>
    </row>
    <row r="175" spans="2:9" ht="15.75" thickBot="1" x14ac:dyDescent="0.3">
      <c r="B175" s="234"/>
      <c r="C175" s="238" t="s">
        <v>159</v>
      </c>
      <c r="D175" s="235"/>
      <c r="E175" s="235"/>
      <c r="F175" s="292" t="s">
        <v>168</v>
      </c>
      <c r="G175" s="293">
        <f>H175+I175</f>
        <v>485</v>
      </c>
      <c r="H175" s="1536">
        <v>440</v>
      </c>
      <c r="I175" s="1537">
        <v>45</v>
      </c>
    </row>
    <row r="176" spans="2:9" x14ac:dyDescent="0.25">
      <c r="B176" s="1170" t="str">
        <f>$B$24</f>
        <v>Odeszło w ciągu 2011 r. (w.06 do w.09)</v>
      </c>
      <c r="C176" s="242"/>
      <c r="D176" s="242"/>
      <c r="E176" s="242"/>
      <c r="F176" s="284" t="s">
        <v>169</v>
      </c>
      <c r="G176" s="285">
        <f>H176+I176</f>
        <v>497</v>
      </c>
      <c r="H176" s="285">
        <f>SUM(H178:H181)</f>
        <v>454</v>
      </c>
      <c r="I176" s="294">
        <f>SUM(I178:I181)</f>
        <v>43</v>
      </c>
    </row>
    <row r="177" spans="2:9" x14ac:dyDescent="0.25">
      <c r="B177" s="251"/>
      <c r="C177" s="240" t="s">
        <v>49</v>
      </c>
      <c r="D177" s="225"/>
      <c r="E177" s="225"/>
      <c r="F177" s="286"/>
      <c r="G177" s="287"/>
      <c r="H177" s="288"/>
      <c r="I177" s="289"/>
    </row>
    <row r="178" spans="2:9" x14ac:dyDescent="0.25">
      <c r="B178" s="233"/>
      <c r="C178" s="237" t="s">
        <v>160</v>
      </c>
      <c r="D178" s="222"/>
      <c r="E178" s="222"/>
      <c r="F178" s="290" t="s">
        <v>170</v>
      </c>
      <c r="G178" s="291">
        <f>H178+I178</f>
        <v>41</v>
      </c>
      <c r="H178" s="1534">
        <v>38</v>
      </c>
      <c r="I178" s="1535">
        <v>3</v>
      </c>
    </row>
    <row r="179" spans="2:9" x14ac:dyDescent="0.25">
      <c r="B179" s="233"/>
      <c r="C179" s="243" t="s">
        <v>161</v>
      </c>
      <c r="D179" s="223"/>
      <c r="E179" s="223"/>
      <c r="F179" s="295" t="s">
        <v>171</v>
      </c>
      <c r="G179" s="296">
        <f>H179+I179</f>
        <v>25</v>
      </c>
      <c r="H179" s="1538">
        <v>22</v>
      </c>
      <c r="I179" s="1539">
        <v>3</v>
      </c>
    </row>
    <row r="180" spans="2:9" x14ac:dyDescent="0.25">
      <c r="B180" s="233"/>
      <c r="C180" s="243" t="s">
        <v>162</v>
      </c>
      <c r="D180" s="223"/>
      <c r="E180" s="223"/>
      <c r="F180" s="295" t="s">
        <v>172</v>
      </c>
      <c r="G180" s="296">
        <f>H180+I180</f>
        <v>5</v>
      </c>
      <c r="H180" s="1538">
        <v>5</v>
      </c>
      <c r="I180" s="1539">
        <v>0</v>
      </c>
    </row>
    <row r="181" spans="2:9" ht="15.75" thickBot="1" x14ac:dyDescent="0.3">
      <c r="B181" s="234"/>
      <c r="C181" s="238" t="s">
        <v>163</v>
      </c>
      <c r="D181" s="235"/>
      <c r="E181" s="235"/>
      <c r="F181" s="292" t="s">
        <v>173</v>
      </c>
      <c r="G181" s="293">
        <f>H181+I181</f>
        <v>426</v>
      </c>
      <c r="H181" s="1536">
        <v>389</v>
      </c>
      <c r="I181" s="1537">
        <v>37</v>
      </c>
    </row>
    <row r="182" spans="2:9" x14ac:dyDescent="0.25">
      <c r="B182" s="1171" t="str">
        <f>$B$30</f>
        <v>Wg stanu na dzień 31.XII.2011 r.</v>
      </c>
      <c r="C182" s="225"/>
      <c r="D182" s="225"/>
      <c r="E182" s="225"/>
      <c r="F182" s="879"/>
      <c r="G182" s="922" t="str">
        <f>IF('Tab.2. l.d.m.m._Polska'!G93=G183,"","t2w1k3"&amp;"="&amp;'Tab.2. l.d.m.m._Polska'!G93)</f>
        <v/>
      </c>
      <c r="H182" s="922" t="str">
        <f>IF('Tab.2. l.d.m.m._Polska'!K93=H183,"","t2w1k6"&amp;"="&amp;'Tab.2. l.d.m.m._Polska'!K93)</f>
        <v/>
      </c>
      <c r="I182" s="923" t="str">
        <f>IF('Tab.2. l.d.m.m._Polska'!O93=I183,"","t2w1k9"&amp;"="&amp;'Tab.2. l.d.m.m._Polska'!O93)</f>
        <v/>
      </c>
    </row>
    <row r="183" spans="2:9" x14ac:dyDescent="0.25">
      <c r="B183" s="245" t="s">
        <v>194</v>
      </c>
      <c r="C183" s="222"/>
      <c r="D183" s="222"/>
      <c r="E183" s="222"/>
      <c r="F183" s="297">
        <v>10</v>
      </c>
      <c r="G183" s="291">
        <f>H183+I183</f>
        <v>3883</v>
      </c>
      <c r="H183" s="291">
        <f>IF(H171+H172-H176=SUM(H188:H192), H171+H172-H176, (H171+H172-H176)-SUM(H188:H192))</f>
        <v>3445</v>
      </c>
      <c r="I183" s="298">
        <f>IF(I171+I172-I176=SUM(I188:I192), I171+I172-I176, (I171+I172-I176)-SUM(I188:I192))</f>
        <v>438</v>
      </c>
    </row>
    <row r="184" spans="2:9" x14ac:dyDescent="0.25">
      <c r="B184" s="233"/>
      <c r="C184" s="240" t="s">
        <v>50</v>
      </c>
      <c r="D184" s="225"/>
      <c r="E184" s="225"/>
      <c r="F184" s="286"/>
      <c r="G184" s="287"/>
      <c r="H184" s="288"/>
      <c r="I184" s="289"/>
    </row>
    <row r="185" spans="2:9" ht="15.75" thickBot="1" x14ac:dyDescent="0.3">
      <c r="B185" s="244"/>
      <c r="C185" s="239" t="s">
        <v>164</v>
      </c>
      <c r="D185" s="226"/>
      <c r="E185" s="226"/>
      <c r="F185" s="299">
        <v>11</v>
      </c>
      <c r="G185" s="300">
        <f>H185+I185</f>
        <v>544</v>
      </c>
      <c r="H185" s="1540">
        <v>474</v>
      </c>
      <c r="I185" s="1541">
        <v>70</v>
      </c>
    </row>
    <row r="186" spans="2:9" ht="16.5" thickTop="1" thickBot="1" x14ac:dyDescent="0.3">
      <c r="B186" s="236"/>
      <c r="F186" s="301"/>
      <c r="G186" s="405" t="str">
        <f>IF(SUM(G188:G192)=G183,"","Uwaga! "&amp;SUM(G188:G192))</f>
        <v/>
      </c>
      <c r="H186" s="405" t="str">
        <f>IF(SUM(H188:H192)=H183,"","Uwaga! "&amp;SUM(H188:H192))</f>
        <v/>
      </c>
      <c r="I186" s="405" t="str">
        <f>IF(SUM(I188:I192)=I183,"","Uwaga! "&amp;SUM(I188:I192))</f>
        <v/>
      </c>
    </row>
    <row r="187" spans="2:9" ht="15.75" thickTop="1" x14ac:dyDescent="0.25">
      <c r="B187" s="213" t="s">
        <v>183</v>
      </c>
      <c r="C187" s="246"/>
      <c r="D187" s="246"/>
      <c r="E187" s="246"/>
      <c r="F187" s="304"/>
      <c r="G187" s="305" t="s">
        <v>142</v>
      </c>
      <c r="H187" s="305" t="s">
        <v>142</v>
      </c>
      <c r="I187" s="306" t="s">
        <v>142</v>
      </c>
    </row>
    <row r="188" spans="2:9" x14ac:dyDescent="0.25">
      <c r="B188" s="247" t="s">
        <v>52</v>
      </c>
      <c r="C188" s="223"/>
      <c r="D188" s="223"/>
      <c r="E188" s="223"/>
      <c r="F188" s="307">
        <v>12</v>
      </c>
      <c r="G188" s="296">
        <f>H188+I188</f>
        <v>115</v>
      </c>
      <c r="H188" s="1538">
        <v>24</v>
      </c>
      <c r="I188" s="1539">
        <v>91</v>
      </c>
    </row>
    <row r="189" spans="2:9" x14ac:dyDescent="0.25">
      <c r="B189" s="247" t="s">
        <v>53</v>
      </c>
      <c r="C189" s="223"/>
      <c r="D189" s="223"/>
      <c r="E189" s="223"/>
      <c r="F189" s="307">
        <v>13</v>
      </c>
      <c r="G189" s="296">
        <f>H189+I189</f>
        <v>545</v>
      </c>
      <c r="H189" s="1538">
        <v>379</v>
      </c>
      <c r="I189" s="1539">
        <v>166</v>
      </c>
    </row>
    <row r="190" spans="2:9" x14ac:dyDescent="0.25">
      <c r="B190" s="247" t="s">
        <v>54</v>
      </c>
      <c r="C190" s="223"/>
      <c r="D190" s="223"/>
      <c r="E190" s="223"/>
      <c r="F190" s="307">
        <v>14</v>
      </c>
      <c r="G190" s="296">
        <f>H190+I190</f>
        <v>1208</v>
      </c>
      <c r="H190" s="1538">
        <v>1137</v>
      </c>
      <c r="I190" s="1539">
        <v>71</v>
      </c>
    </row>
    <row r="191" spans="2:9" x14ac:dyDescent="0.25">
      <c r="B191" s="247" t="s">
        <v>55</v>
      </c>
      <c r="C191" s="223"/>
      <c r="D191" s="223"/>
      <c r="E191" s="223"/>
      <c r="F191" s="307">
        <v>15</v>
      </c>
      <c r="G191" s="296">
        <f>H191+I191</f>
        <v>918</v>
      </c>
      <c r="H191" s="1538">
        <v>884</v>
      </c>
      <c r="I191" s="1539">
        <v>34</v>
      </c>
    </row>
    <row r="192" spans="2:9" ht="15.75" thickBot="1" x14ac:dyDescent="0.3">
      <c r="B192" s="248" t="s">
        <v>56</v>
      </c>
      <c r="C192" s="224"/>
      <c r="D192" s="224"/>
      <c r="E192" s="224"/>
      <c r="F192" s="308">
        <v>16</v>
      </c>
      <c r="G192" s="309">
        <f>H192+I192</f>
        <v>1097</v>
      </c>
      <c r="H192" s="1542">
        <v>1021</v>
      </c>
      <c r="I192" s="1543">
        <v>76</v>
      </c>
    </row>
    <row r="193" spans="2:9" ht="16.5" thickTop="1" thickBot="1" x14ac:dyDescent="0.3">
      <c r="B193" s="236"/>
      <c r="C193" s="225"/>
      <c r="D193" s="225"/>
      <c r="E193" s="225"/>
      <c r="F193" s="310"/>
      <c r="G193" s="311"/>
      <c r="H193" s="312"/>
      <c r="I193" s="312"/>
    </row>
    <row r="194" spans="2:9" ht="15.75" thickTop="1" x14ac:dyDescent="0.25">
      <c r="B194" s="249" t="s">
        <v>184</v>
      </c>
      <c r="C194" s="227"/>
      <c r="D194" s="227"/>
      <c r="E194" s="227"/>
      <c r="F194" s="313"/>
      <c r="G194" s="314"/>
      <c r="H194" s="315"/>
      <c r="I194" s="316"/>
    </row>
    <row r="195" spans="2:9" x14ac:dyDescent="0.25">
      <c r="B195" s="245" t="s">
        <v>179</v>
      </c>
      <c r="C195" s="222"/>
      <c r="D195" s="222"/>
      <c r="E195" s="222"/>
      <c r="F195" s="297">
        <v>17</v>
      </c>
      <c r="G195" s="689">
        <f>H195+I195</f>
        <v>2181</v>
      </c>
      <c r="H195" s="291">
        <f>H197+H203</f>
        <v>1917</v>
      </c>
      <c r="I195" s="298">
        <f>I197+I203</f>
        <v>264</v>
      </c>
    </row>
    <row r="196" spans="2:9" x14ac:dyDescent="0.25">
      <c r="B196" s="233"/>
      <c r="C196" s="240" t="s">
        <v>49</v>
      </c>
      <c r="D196" s="225"/>
      <c r="E196" s="225"/>
      <c r="F196" s="286"/>
      <c r="G196" s="287"/>
      <c r="H196" s="288"/>
      <c r="I196" s="289"/>
    </row>
    <row r="197" spans="2:9" x14ac:dyDescent="0.25">
      <c r="B197" s="233"/>
      <c r="C197" s="222" t="s">
        <v>154</v>
      </c>
      <c r="D197" s="222"/>
      <c r="E197" s="222"/>
      <c r="F197" s="297">
        <v>18</v>
      </c>
      <c r="G197" s="291">
        <f>H197+I197</f>
        <v>2139</v>
      </c>
      <c r="H197" s="317">
        <f>SUM(H199:H202)</f>
        <v>1911</v>
      </c>
      <c r="I197" s="318">
        <f>SUM(I199:I202)</f>
        <v>228</v>
      </c>
    </row>
    <row r="198" spans="2:9" x14ac:dyDescent="0.25">
      <c r="B198" s="233"/>
      <c r="C198" s="225"/>
      <c r="D198" s="240" t="s">
        <v>155</v>
      </c>
      <c r="E198" s="225"/>
      <c r="F198" s="286"/>
      <c r="G198" s="287"/>
      <c r="H198" s="288"/>
      <c r="I198" s="289"/>
    </row>
    <row r="199" spans="2:9" x14ac:dyDescent="0.25">
      <c r="B199" s="233"/>
      <c r="C199" s="225"/>
      <c r="D199" s="222" t="s">
        <v>178</v>
      </c>
      <c r="E199" s="222"/>
      <c r="F199" s="297">
        <v>19</v>
      </c>
      <c r="G199" s="291">
        <f t="shared" ref="G199:G204" si="8">H199+I199</f>
        <v>1960</v>
      </c>
      <c r="H199" s="1534">
        <v>1745</v>
      </c>
      <c r="I199" s="1535">
        <v>215</v>
      </c>
    </row>
    <row r="200" spans="2:9" x14ac:dyDescent="0.25">
      <c r="B200" s="233"/>
      <c r="C200" s="225"/>
      <c r="D200" s="223" t="s">
        <v>151</v>
      </c>
      <c r="E200" s="223"/>
      <c r="F200" s="307">
        <v>20</v>
      </c>
      <c r="G200" s="296">
        <f t="shared" si="8"/>
        <v>168</v>
      </c>
      <c r="H200" s="1538">
        <v>162</v>
      </c>
      <c r="I200" s="1539">
        <v>6</v>
      </c>
    </row>
    <row r="201" spans="2:9" x14ac:dyDescent="0.25">
      <c r="B201" s="233"/>
      <c r="C201" s="225"/>
      <c r="D201" s="223" t="s">
        <v>149</v>
      </c>
      <c r="E201" s="223"/>
      <c r="F201" s="307">
        <v>21</v>
      </c>
      <c r="G201" s="296">
        <f t="shared" si="8"/>
        <v>7</v>
      </c>
      <c r="H201" s="1538">
        <v>0</v>
      </c>
      <c r="I201" s="1539">
        <v>7</v>
      </c>
    </row>
    <row r="202" spans="2:9" x14ac:dyDescent="0.25">
      <c r="B202" s="233"/>
      <c r="C202" s="225"/>
      <c r="D202" s="222" t="s">
        <v>152</v>
      </c>
      <c r="E202" s="222"/>
      <c r="F202" s="297">
        <v>22</v>
      </c>
      <c r="G202" s="291">
        <f t="shared" si="8"/>
        <v>4</v>
      </c>
      <c r="H202" s="1534">
        <v>4</v>
      </c>
      <c r="I202" s="1535">
        <v>0</v>
      </c>
    </row>
    <row r="203" spans="2:9" x14ac:dyDescent="0.25">
      <c r="B203" s="233"/>
      <c r="C203" s="222" t="s">
        <v>156</v>
      </c>
      <c r="D203" s="222"/>
      <c r="E203" s="222"/>
      <c r="F203" s="297">
        <v>23</v>
      </c>
      <c r="G203" s="291">
        <f t="shared" si="8"/>
        <v>42</v>
      </c>
      <c r="H203" s="1534">
        <v>6</v>
      </c>
      <c r="I203" s="1535">
        <v>36</v>
      </c>
    </row>
    <row r="204" spans="2:9" x14ac:dyDescent="0.25">
      <c r="B204" s="233"/>
      <c r="C204" s="223" t="s">
        <v>150</v>
      </c>
      <c r="D204" s="223"/>
      <c r="E204" s="223"/>
      <c r="F204" s="307">
        <v>24</v>
      </c>
      <c r="G204" s="296">
        <f t="shared" si="8"/>
        <v>28</v>
      </c>
      <c r="H204" s="1538">
        <v>28</v>
      </c>
      <c r="I204" s="1539">
        <v>0</v>
      </c>
    </row>
    <row r="205" spans="2:9" x14ac:dyDescent="0.25">
      <c r="B205" s="233"/>
      <c r="C205" s="250" t="s">
        <v>157</v>
      </c>
      <c r="D205" s="250"/>
      <c r="E205" s="250"/>
      <c r="F205" s="319"/>
      <c r="G205" s="320"/>
      <c r="H205" s="321"/>
      <c r="I205" s="322"/>
    </row>
    <row r="206" spans="2:9" ht="15.75" thickBot="1" x14ac:dyDescent="0.3">
      <c r="B206" s="244"/>
      <c r="C206" s="226" t="s">
        <v>148</v>
      </c>
      <c r="D206" s="226"/>
      <c r="E206" s="226"/>
      <c r="F206" s="299">
        <v>25</v>
      </c>
      <c r="G206" s="300">
        <f>H206+I206</f>
        <v>16</v>
      </c>
      <c r="H206" s="1540">
        <v>8</v>
      </c>
      <c r="I206" s="1541">
        <v>8</v>
      </c>
    </row>
    <row r="207" spans="2:9" ht="16.5" thickTop="1" thickBot="1" x14ac:dyDescent="0.3">
      <c r="F207" s="301"/>
      <c r="G207" s="302"/>
      <c r="H207" s="303"/>
      <c r="I207" s="303"/>
    </row>
    <row r="208" spans="2:9" ht="15.75" thickTop="1" x14ac:dyDescent="0.25">
      <c r="B208" s="261" t="s">
        <v>174</v>
      </c>
      <c r="C208" s="262"/>
      <c r="D208" s="263"/>
      <c r="E208" s="246"/>
      <c r="F208" s="323">
        <v>26</v>
      </c>
      <c r="G208" s="1109">
        <f>H208+I208</f>
        <v>1702</v>
      </c>
      <c r="H208" s="1109">
        <f>H210+H215</f>
        <v>1528</v>
      </c>
      <c r="I208" s="329">
        <f>I210+I215</f>
        <v>174</v>
      </c>
    </row>
    <row r="209" spans="2:9" x14ac:dyDescent="0.25">
      <c r="B209" s="233"/>
      <c r="C209" s="240" t="s">
        <v>50</v>
      </c>
      <c r="D209" s="225"/>
      <c r="E209" s="225"/>
      <c r="F209" s="286"/>
      <c r="G209" s="287"/>
      <c r="H209" s="288"/>
      <c r="I209" s="289"/>
    </row>
    <row r="210" spans="2:9" x14ac:dyDescent="0.25">
      <c r="B210" s="233"/>
      <c r="C210" s="222" t="s">
        <v>185</v>
      </c>
      <c r="D210" s="222"/>
      <c r="E210" s="222"/>
      <c r="F210" s="297">
        <v>27</v>
      </c>
      <c r="G210" s="689">
        <f>H210+I210</f>
        <v>69</v>
      </c>
      <c r="H210" s="1544">
        <v>66</v>
      </c>
      <c r="I210" s="1535">
        <v>3</v>
      </c>
    </row>
    <row r="211" spans="2:9" x14ac:dyDescent="0.25">
      <c r="B211" s="233"/>
      <c r="C211" s="225"/>
      <c r="D211" s="240" t="s">
        <v>190</v>
      </c>
      <c r="E211" s="225"/>
      <c r="F211" s="286"/>
      <c r="G211" s="390" t="str">
        <f>IF(SUM(G212:G214)=G210, "", G210-SUM(G212:G214))</f>
        <v/>
      </c>
      <c r="H211" s="390" t="str">
        <f>IF(SUM(H212:H214)=H210, "", H210-SUM(H212:H214))</f>
        <v/>
      </c>
      <c r="I211" s="398" t="str">
        <f>IF(SUM(I212:I214)=I210, "", I210-SUM(I212:I214))</f>
        <v/>
      </c>
    </row>
    <row r="212" spans="2:9" x14ac:dyDescent="0.25">
      <c r="B212" s="233"/>
      <c r="C212" s="225"/>
      <c r="D212" s="222" t="s">
        <v>186</v>
      </c>
      <c r="E212" s="222"/>
      <c r="F212" s="297">
        <v>28</v>
      </c>
      <c r="G212" s="291">
        <f>H212+I212</f>
        <v>22</v>
      </c>
      <c r="H212" s="1544">
        <v>22</v>
      </c>
      <c r="I212" s="1535">
        <v>0</v>
      </c>
    </row>
    <row r="213" spans="2:9" x14ac:dyDescent="0.25">
      <c r="B213" s="233"/>
      <c r="C213" s="225"/>
      <c r="D213" s="223" t="s">
        <v>187</v>
      </c>
      <c r="E213" s="225"/>
      <c r="F213" s="297">
        <v>29</v>
      </c>
      <c r="G213" s="291">
        <f>H213+I213</f>
        <v>3</v>
      </c>
      <c r="H213" s="1544">
        <v>3</v>
      </c>
      <c r="I213" s="1535">
        <v>0</v>
      </c>
    </row>
    <row r="214" spans="2:9" x14ac:dyDescent="0.25">
      <c r="B214" s="233"/>
      <c r="C214" s="225"/>
      <c r="D214" s="223" t="s">
        <v>188</v>
      </c>
      <c r="E214" s="223"/>
      <c r="F214" s="307">
        <v>30</v>
      </c>
      <c r="G214" s="296">
        <f>H214+I214</f>
        <v>44</v>
      </c>
      <c r="H214" s="1545">
        <v>41</v>
      </c>
      <c r="I214" s="1539">
        <v>3</v>
      </c>
    </row>
    <row r="215" spans="2:9" x14ac:dyDescent="0.25">
      <c r="B215" s="233"/>
      <c r="C215" s="222" t="s">
        <v>189</v>
      </c>
      <c r="D215" s="222"/>
      <c r="E215" s="222"/>
      <c r="F215" s="297">
        <v>31</v>
      </c>
      <c r="G215" s="689">
        <f>H215+I215</f>
        <v>1633</v>
      </c>
      <c r="H215" s="689">
        <f>SUM(H217:H220)</f>
        <v>1462</v>
      </c>
      <c r="I215" s="298">
        <f>SUM(I217:I220)</f>
        <v>171</v>
      </c>
    </row>
    <row r="216" spans="2:9" x14ac:dyDescent="0.25">
      <c r="B216" s="233"/>
      <c r="C216" s="225"/>
      <c r="D216" s="240" t="s">
        <v>191</v>
      </c>
      <c r="E216" s="225"/>
      <c r="F216" s="286"/>
      <c r="G216" s="287" t="str">
        <f>IF(SUM(G217:G220)=G215, "", G215-SUM(G217:G220))</f>
        <v/>
      </c>
      <c r="H216" s="693" t="str">
        <f>IF(SUM(H217:H220)=H215, "", H215-SUM(H217:H220))</f>
        <v/>
      </c>
      <c r="I216" s="289" t="str">
        <f>IF(SUM(I217:I220)=I215, "", I215-SUM(I217:I220))</f>
        <v/>
      </c>
    </row>
    <row r="217" spans="2:9" x14ac:dyDescent="0.25">
      <c r="B217" s="233"/>
      <c r="C217" s="225"/>
      <c r="D217" s="222" t="s">
        <v>186</v>
      </c>
      <c r="E217" s="222"/>
      <c r="F217" s="297">
        <v>32</v>
      </c>
      <c r="G217" s="291">
        <f>H217+I217</f>
        <v>1443</v>
      </c>
      <c r="H217" s="1544">
        <v>1322</v>
      </c>
      <c r="I217" s="1535">
        <v>121</v>
      </c>
    </row>
    <row r="218" spans="2:9" x14ac:dyDescent="0.25">
      <c r="B218" s="233"/>
      <c r="C218" s="225"/>
      <c r="D218" s="222" t="s">
        <v>187</v>
      </c>
      <c r="E218" s="222"/>
      <c r="F218" s="297">
        <v>33</v>
      </c>
      <c r="G218" s="291">
        <f>H218+I218</f>
        <v>1</v>
      </c>
      <c r="H218" s="1544">
        <v>0</v>
      </c>
      <c r="I218" s="1535">
        <v>1</v>
      </c>
    </row>
    <row r="219" spans="2:9" x14ac:dyDescent="0.25">
      <c r="B219" s="233"/>
      <c r="C219" s="225"/>
      <c r="D219" s="222" t="s">
        <v>188</v>
      </c>
      <c r="E219" s="222"/>
      <c r="F219" s="297">
        <v>34</v>
      </c>
      <c r="G219" s="291">
        <f>H219+I219</f>
        <v>103</v>
      </c>
      <c r="H219" s="1544">
        <v>89</v>
      </c>
      <c r="I219" s="1535">
        <v>14</v>
      </c>
    </row>
    <row r="220" spans="2:9" ht="15.75" thickBot="1" x14ac:dyDescent="0.3">
      <c r="B220" s="234"/>
      <c r="C220" s="235"/>
      <c r="D220" s="259" t="s">
        <v>153</v>
      </c>
      <c r="E220" s="259"/>
      <c r="F220" s="325">
        <v>35</v>
      </c>
      <c r="G220" s="326">
        <f>H220+I220</f>
        <v>86</v>
      </c>
      <c r="H220" s="1546">
        <v>51</v>
      </c>
      <c r="I220" s="1547">
        <v>35</v>
      </c>
    </row>
    <row r="221" spans="2:9" x14ac:dyDescent="0.25">
      <c r="B221" s="260" t="s">
        <v>177</v>
      </c>
      <c r="C221" s="242"/>
      <c r="D221" s="242"/>
      <c r="E221" s="242"/>
      <c r="F221" s="327">
        <v>36</v>
      </c>
      <c r="G221" s="285">
        <f>H221+I221</f>
        <v>1612</v>
      </c>
      <c r="H221" s="699">
        <f>H212+H214+H217+H219</f>
        <v>1474</v>
      </c>
      <c r="I221" s="294">
        <f>I212+I214+I217+I219</f>
        <v>138</v>
      </c>
    </row>
    <row r="222" spans="2:9" x14ac:dyDescent="0.25">
      <c r="B222" s="233"/>
      <c r="C222" s="240" t="s">
        <v>155</v>
      </c>
      <c r="D222" s="225"/>
      <c r="E222" s="250"/>
      <c r="F222" s="286"/>
      <c r="G222" s="390" t="str">
        <f>IF(SUM(G223:G225)=G221, "", G221-SUM(G223:G225))</f>
        <v/>
      </c>
      <c r="H222" s="390" t="str">
        <f>IF(SUM(H223:H225)=H221, "", H221-SUM(H223:H225))</f>
        <v/>
      </c>
      <c r="I222" s="398" t="str">
        <f>IF(SUM(I223:I225)=I221, "", I221-SUM(I223:I225))</f>
        <v/>
      </c>
    </row>
    <row r="223" spans="2:9" x14ac:dyDescent="0.25">
      <c r="B223" s="233"/>
      <c r="C223" s="222" t="s">
        <v>178</v>
      </c>
      <c r="D223" s="222"/>
      <c r="E223" s="222"/>
      <c r="F223" s="297">
        <v>37</v>
      </c>
      <c r="G223" s="291">
        <f>H223+I223</f>
        <v>1370</v>
      </c>
      <c r="H223" s="1534">
        <v>1251</v>
      </c>
      <c r="I223" s="1535">
        <v>119</v>
      </c>
    </row>
    <row r="224" spans="2:9" x14ac:dyDescent="0.25">
      <c r="B224" s="233"/>
      <c r="C224" s="223" t="s">
        <v>151</v>
      </c>
      <c r="D224" s="223"/>
      <c r="E224" s="223"/>
      <c r="F224" s="307">
        <v>38</v>
      </c>
      <c r="G224" s="296">
        <f>H224+I224</f>
        <v>204</v>
      </c>
      <c r="H224" s="1538">
        <v>191</v>
      </c>
      <c r="I224" s="1539">
        <v>13</v>
      </c>
    </row>
    <row r="225" spans="1:9" ht="15.75" thickBot="1" x14ac:dyDescent="0.3">
      <c r="B225" s="244"/>
      <c r="C225" s="226" t="s">
        <v>152</v>
      </c>
      <c r="D225" s="226"/>
      <c r="E225" s="226"/>
      <c r="F225" s="299">
        <v>39</v>
      </c>
      <c r="G225" s="300">
        <f>H225+I225</f>
        <v>38</v>
      </c>
      <c r="H225" s="1540">
        <v>32</v>
      </c>
      <c r="I225" s="1541">
        <v>6</v>
      </c>
    </row>
    <row r="226" spans="1:9" ht="15.75" thickTop="1" x14ac:dyDescent="0.25">
      <c r="G226" s="412" t="str">
        <f>IF(SUM(G223:G225)=G221, "", SUM(G223:G225))</f>
        <v/>
      </c>
      <c r="H226" s="412" t="str">
        <f>IF(SUM(H223:H225)=H221, "", SUM(H223:H225))</f>
        <v/>
      </c>
      <c r="I226" s="412" t="str">
        <f>IF(SUM(I223:I225)=I221, "", SUM(I223:I225))</f>
        <v/>
      </c>
    </row>
    <row r="227" spans="1:9" x14ac:dyDescent="0.25">
      <c r="B227" s="221" t="s">
        <v>123</v>
      </c>
      <c r="D227" s="220" t="s">
        <v>180</v>
      </c>
      <c r="H227" t="s">
        <v>182</v>
      </c>
    </row>
    <row r="228" spans="1:9" x14ac:dyDescent="0.25">
      <c r="B228" s="221" t="s">
        <v>181</v>
      </c>
      <c r="D228" s="220" t="s">
        <v>180</v>
      </c>
      <c r="H228" s="256" t="s">
        <v>126</v>
      </c>
    </row>
    <row r="230" spans="1:9" ht="26.25" x14ac:dyDescent="0.4">
      <c r="A230" s="267" t="s">
        <v>170</v>
      </c>
      <c r="B230" s="221" t="s">
        <v>116</v>
      </c>
      <c r="C230" s="212"/>
      <c r="D230" s="220"/>
      <c r="E230" s="220"/>
      <c r="F230" s="212"/>
      <c r="G230" s="220"/>
      <c r="H230" s="220"/>
      <c r="I230" s="256" t="s">
        <v>175</v>
      </c>
    </row>
    <row r="231" spans="1:9" x14ac:dyDescent="0.25">
      <c r="B231" s="257" t="s">
        <v>129</v>
      </c>
      <c r="C231" s="212"/>
      <c r="D231" s="220"/>
      <c r="E231" s="257"/>
      <c r="F231" s="220"/>
      <c r="G231" s="220"/>
      <c r="H231" s="220"/>
      <c r="I231" s="220"/>
    </row>
    <row r="232" spans="1:9" ht="15.75" x14ac:dyDescent="0.25">
      <c r="B232" s="221" t="s">
        <v>128</v>
      </c>
      <c r="C232" s="212"/>
      <c r="D232" s="220"/>
      <c r="F232" s="220"/>
      <c r="G232" s="220"/>
      <c r="H232" s="1721" t="str">
        <f>$H$80</f>
        <v>Termin: 29 luty 2012 r.</v>
      </c>
      <c r="I232" s="1721"/>
    </row>
    <row r="233" spans="1:9" x14ac:dyDescent="0.25">
      <c r="B233" s="258"/>
      <c r="C233" s="212"/>
      <c r="D233" s="220"/>
      <c r="E233" s="220"/>
      <c r="F233" s="220"/>
      <c r="G233" s="220"/>
      <c r="H233" s="220"/>
      <c r="I233" s="220"/>
    </row>
    <row r="234" spans="1:9" x14ac:dyDescent="0.25">
      <c r="B234" s="221" t="s">
        <v>130</v>
      </c>
      <c r="C234" s="212"/>
      <c r="D234" s="220"/>
      <c r="E234" s="220"/>
      <c r="F234" s="220"/>
      <c r="G234" s="220"/>
      <c r="H234" s="220"/>
      <c r="I234" s="220"/>
    </row>
    <row r="235" spans="1:9" x14ac:dyDescent="0.25">
      <c r="B235" s="221" t="s">
        <v>131</v>
      </c>
      <c r="C235" s="212"/>
      <c r="D235" s="220"/>
      <c r="E235" s="220"/>
      <c r="F235" s="220"/>
      <c r="G235" s="220"/>
      <c r="H235" s="220"/>
      <c r="I235" s="220"/>
    </row>
    <row r="236" spans="1:9" ht="15.75" x14ac:dyDescent="0.25">
      <c r="B236" s="1"/>
      <c r="C236" s="255"/>
      <c r="D236" s="12"/>
      <c r="E236" s="12"/>
      <c r="F236" s="12"/>
      <c r="G236" s="12"/>
      <c r="H236" s="12"/>
      <c r="I236" s="12"/>
    </row>
    <row r="237" spans="1:9" ht="15.75" x14ac:dyDescent="0.25">
      <c r="B237" s="1"/>
      <c r="C237" s="255"/>
      <c r="D237" s="12"/>
      <c r="E237" s="1" t="s">
        <v>47</v>
      </c>
      <c r="F237" s="12"/>
      <c r="G237" s="12"/>
      <c r="H237" s="12"/>
      <c r="I237" s="12"/>
    </row>
    <row r="238" spans="1:9" ht="15.75" x14ac:dyDescent="0.25">
      <c r="B238" s="1"/>
      <c r="C238" s="255"/>
      <c r="D238" s="12"/>
      <c r="E238" s="1" t="s">
        <v>176</v>
      </c>
      <c r="F238" s="12"/>
      <c r="G238" s="12"/>
      <c r="H238" s="12"/>
      <c r="I238" s="12"/>
    </row>
    <row r="239" spans="1:9" ht="15.75" x14ac:dyDescent="0.25">
      <c r="B239" s="1"/>
      <c r="C239" s="255"/>
      <c r="D239" s="12"/>
      <c r="E239" s="1162" t="str">
        <f>$E$11</f>
        <v>SAMORZĄDÓW  POWIATOWYCH  I  PODMIOTÓW  NIEPUBLICZNYCH  W 2011 r.</v>
      </c>
      <c r="F239" s="12"/>
      <c r="G239" s="12"/>
      <c r="H239" s="12"/>
      <c r="I239" s="12"/>
    </row>
    <row r="240" spans="1:9" ht="15.75" x14ac:dyDescent="0.25">
      <c r="B240" s="1"/>
      <c r="C240" s="255"/>
      <c r="D240" s="12"/>
      <c r="E240" s="12"/>
      <c r="F240" s="12"/>
      <c r="G240" s="12"/>
      <c r="H240" s="12"/>
      <c r="I240" s="12"/>
    </row>
    <row r="241" spans="2:9" ht="15.75" thickBot="1" x14ac:dyDescent="0.3"/>
    <row r="242" spans="2:9" ht="16.5" thickTop="1" x14ac:dyDescent="0.25">
      <c r="B242" s="214"/>
      <c r="C242" s="227"/>
      <c r="D242" s="227"/>
      <c r="E242" s="227"/>
      <c r="F242" s="252"/>
      <c r="G242" s="229" t="s">
        <v>48</v>
      </c>
      <c r="H242" s="1722" t="s">
        <v>20</v>
      </c>
      <c r="I242" s="1723"/>
    </row>
    <row r="243" spans="2:9" ht="15.75" x14ac:dyDescent="0.25">
      <c r="B243" s="215"/>
      <c r="C243" s="225"/>
      <c r="D243" s="225"/>
      <c r="E243" s="225" t="s">
        <v>21</v>
      </c>
      <c r="F243" s="253"/>
      <c r="G243" s="230" t="s">
        <v>5</v>
      </c>
      <c r="H243" s="216" t="s">
        <v>22</v>
      </c>
      <c r="I243" s="217" t="s">
        <v>23</v>
      </c>
    </row>
    <row r="244" spans="2:9" ht="15.75" x14ac:dyDescent="0.25">
      <c r="B244" s="194"/>
      <c r="C244" s="225"/>
      <c r="D244" s="225"/>
      <c r="E244" s="225"/>
      <c r="F244" s="253"/>
      <c r="G244" s="218" t="s">
        <v>24</v>
      </c>
      <c r="H244" s="218" t="s">
        <v>25</v>
      </c>
      <c r="I244" s="219" t="s">
        <v>26</v>
      </c>
    </row>
    <row r="245" spans="2:9" ht="15.75" thickBot="1" x14ac:dyDescent="0.3">
      <c r="B245" s="61"/>
      <c r="C245" s="228"/>
      <c r="D245" s="228"/>
      <c r="E245" s="211">
        <v>0</v>
      </c>
      <c r="F245" s="254"/>
      <c r="G245" s="2">
        <v>1</v>
      </c>
      <c r="H245" s="2">
        <v>2</v>
      </c>
      <c r="I245" s="7">
        <v>3</v>
      </c>
    </row>
    <row r="246" spans="2:9" ht="16.5" thickTop="1" thickBot="1" x14ac:dyDescent="0.3">
      <c r="B246" s="231"/>
      <c r="G246" s="793"/>
      <c r="H246" s="793"/>
      <c r="I246" s="793"/>
    </row>
    <row r="247" spans="2:9" ht="16.5" thickTop="1" thickBot="1" x14ac:dyDescent="0.3">
      <c r="B247" s="1168" t="str">
        <f>$B$19</f>
        <v>Wg stanu na dzień 31.XII.2010 r.</v>
      </c>
      <c r="C247" s="232"/>
      <c r="D247" s="232"/>
      <c r="E247" s="232"/>
      <c r="F247" s="282" t="s">
        <v>165</v>
      </c>
      <c r="G247" s="283">
        <f>H247+I247</f>
        <v>4351</v>
      </c>
      <c r="H247" s="1548">
        <v>4005</v>
      </c>
      <c r="I247" s="1549">
        <v>346</v>
      </c>
    </row>
    <row r="248" spans="2:9" x14ac:dyDescent="0.25">
      <c r="B248" s="1169" t="str">
        <f>$B$20</f>
        <v>Przyjętych w ciągu 2011 r.</v>
      </c>
      <c r="C248" s="242"/>
      <c r="D248" s="242"/>
      <c r="E248" s="242"/>
      <c r="F248" s="284" t="s">
        <v>166</v>
      </c>
      <c r="G248" s="285">
        <f>H248+I248</f>
        <v>612</v>
      </c>
      <c r="H248" s="1113">
        <f>H250+H251</f>
        <v>537</v>
      </c>
      <c r="I248" s="785">
        <f>I250+I251</f>
        <v>75</v>
      </c>
    </row>
    <row r="249" spans="2:9" x14ac:dyDescent="0.25">
      <c r="B249" s="233"/>
      <c r="C249" s="241" t="s">
        <v>49</v>
      </c>
      <c r="D249" s="225"/>
      <c r="E249" s="225"/>
      <c r="F249" s="286"/>
      <c r="G249" s="287"/>
      <c r="H249" s="389" t="str">
        <f>IF(SUM(H250:H251)=H248, "", "?")</f>
        <v/>
      </c>
      <c r="I249" s="388" t="str">
        <f>IF(SUM(I250:I251)=I248, "", "?")</f>
        <v/>
      </c>
    </row>
    <row r="250" spans="2:9" x14ac:dyDescent="0.25">
      <c r="B250" s="233"/>
      <c r="C250" s="237" t="s">
        <v>158</v>
      </c>
      <c r="D250" s="222"/>
      <c r="E250" s="222"/>
      <c r="F250" s="290" t="s">
        <v>167</v>
      </c>
      <c r="G250" s="291">
        <f>H250+I250</f>
        <v>18</v>
      </c>
      <c r="H250" s="1550">
        <v>17</v>
      </c>
      <c r="I250" s="1551">
        <v>1</v>
      </c>
    </row>
    <row r="251" spans="2:9" ht="15.75" thickBot="1" x14ac:dyDescent="0.3">
      <c r="B251" s="234"/>
      <c r="C251" s="238" t="s">
        <v>159</v>
      </c>
      <c r="D251" s="235"/>
      <c r="E251" s="235"/>
      <c r="F251" s="292" t="s">
        <v>168</v>
      </c>
      <c r="G251" s="293">
        <f>H251+I251</f>
        <v>594</v>
      </c>
      <c r="H251" s="1552">
        <v>520</v>
      </c>
      <c r="I251" s="1553">
        <v>74</v>
      </c>
    </row>
    <row r="252" spans="2:9" x14ac:dyDescent="0.25">
      <c r="B252" s="1170" t="str">
        <f>$B$24</f>
        <v>Odeszło w ciągu 2011 r. (w.06 do w.09)</v>
      </c>
      <c r="C252" s="242"/>
      <c r="D252" s="242"/>
      <c r="E252" s="242"/>
      <c r="F252" s="284" t="s">
        <v>169</v>
      </c>
      <c r="G252" s="285">
        <f>H252+I252</f>
        <v>641</v>
      </c>
      <c r="H252" s="285">
        <f>SUM(H254:H257)</f>
        <v>573</v>
      </c>
      <c r="I252" s="294">
        <f>SUM(I254:I257)</f>
        <v>68</v>
      </c>
    </row>
    <row r="253" spans="2:9" x14ac:dyDescent="0.25">
      <c r="B253" s="251"/>
      <c r="C253" s="240" t="s">
        <v>49</v>
      </c>
      <c r="D253" s="225"/>
      <c r="E253" s="225"/>
      <c r="F253" s="286"/>
      <c r="G253" s="287"/>
      <c r="H253" s="288"/>
      <c r="I253" s="289"/>
    </row>
    <row r="254" spans="2:9" x14ac:dyDescent="0.25">
      <c r="B254" s="233"/>
      <c r="C254" s="237" t="s">
        <v>160</v>
      </c>
      <c r="D254" s="222"/>
      <c r="E254" s="222"/>
      <c r="F254" s="290" t="s">
        <v>170</v>
      </c>
      <c r="G254" s="291">
        <f>H254+I254</f>
        <v>54</v>
      </c>
      <c r="H254" s="1550">
        <v>50</v>
      </c>
      <c r="I254" s="1551">
        <v>4</v>
      </c>
    </row>
    <row r="255" spans="2:9" x14ac:dyDescent="0.25">
      <c r="B255" s="233"/>
      <c r="C255" s="243" t="s">
        <v>161</v>
      </c>
      <c r="D255" s="223"/>
      <c r="E255" s="223"/>
      <c r="F255" s="295" t="s">
        <v>171</v>
      </c>
      <c r="G255" s="296">
        <f>H255+I255</f>
        <v>60</v>
      </c>
      <c r="H255" s="1554">
        <v>57</v>
      </c>
      <c r="I255" s="1555">
        <v>3</v>
      </c>
    </row>
    <row r="256" spans="2:9" x14ac:dyDescent="0.25">
      <c r="B256" s="233"/>
      <c r="C256" s="243" t="s">
        <v>162</v>
      </c>
      <c r="D256" s="223"/>
      <c r="E256" s="223"/>
      <c r="F256" s="295" t="s">
        <v>172</v>
      </c>
      <c r="G256" s="296">
        <f>H256+I256</f>
        <v>12</v>
      </c>
      <c r="H256" s="1554">
        <v>12</v>
      </c>
      <c r="I256" s="1555">
        <v>0</v>
      </c>
    </row>
    <row r="257" spans="2:9" ht="15.75" thickBot="1" x14ac:dyDescent="0.3">
      <c r="B257" s="234"/>
      <c r="C257" s="238" t="s">
        <v>163</v>
      </c>
      <c r="D257" s="235"/>
      <c r="E257" s="235"/>
      <c r="F257" s="292" t="s">
        <v>173</v>
      </c>
      <c r="G257" s="293">
        <f>H257+I257</f>
        <v>515</v>
      </c>
      <c r="H257" s="1552">
        <v>454</v>
      </c>
      <c r="I257" s="1553">
        <v>61</v>
      </c>
    </row>
    <row r="258" spans="2:9" x14ac:dyDescent="0.25">
      <c r="B258" s="1171" t="str">
        <f>$B$30</f>
        <v>Wg stanu na dzień 31.XII.2011 r.</v>
      </c>
      <c r="C258" s="225"/>
      <c r="D258" s="225"/>
      <c r="E258" s="225"/>
      <c r="F258" s="879"/>
      <c r="G258" s="922" t="str">
        <f>IF('Tab.2. l.d.m.m._Polska'!G129=G259,"","t2w1k3"&amp;"="&amp;'Tab.2. l.d.m.m._Polska'!G129)</f>
        <v/>
      </c>
      <c r="H258" s="922" t="str">
        <f>IF('Tab.2. l.d.m.m._Polska'!K129=H259,"","t2w1k6"&amp;"="&amp;'Tab.2. l.d.m.m._Polska'!K129)</f>
        <v/>
      </c>
      <c r="I258" s="923" t="str">
        <f>IF('Tab.2. l.d.m.m._Polska'!O129=I259,"","t2w1k9"&amp;"="&amp;'Tab.2. l.d.m.m._Polska'!O129)</f>
        <v/>
      </c>
    </row>
    <row r="259" spans="2:9" x14ac:dyDescent="0.25">
      <c r="B259" s="245" t="s">
        <v>194</v>
      </c>
      <c r="C259" s="222"/>
      <c r="D259" s="222"/>
      <c r="E259" s="222"/>
      <c r="F259" s="297">
        <v>10</v>
      </c>
      <c r="G259" s="689">
        <f>H259+I259</f>
        <v>4322</v>
      </c>
      <c r="H259" s="291">
        <f>IF(H247+H248-H252=SUM(H264:H268), H247+H248-H252, (H247+H248-H252)-SUM(H264:H268))</f>
        <v>3969</v>
      </c>
      <c r="I259" s="690">
        <f>IF(I247+I248-I252=SUM(I264:I268), I247+I248-I252, (I247+I248-I252)-SUM(I264:I268))</f>
        <v>353</v>
      </c>
    </row>
    <row r="260" spans="2:9" x14ac:dyDescent="0.25">
      <c r="B260" s="233"/>
      <c r="C260" s="240" t="s">
        <v>50</v>
      </c>
      <c r="D260" s="225"/>
      <c r="E260" s="225"/>
      <c r="F260" s="286"/>
      <c r="G260" s="287"/>
      <c r="H260" s="288"/>
      <c r="I260" s="289"/>
    </row>
    <row r="261" spans="2:9" ht="15.75" thickBot="1" x14ac:dyDescent="0.3">
      <c r="B261" s="244"/>
      <c r="C261" s="239" t="s">
        <v>164</v>
      </c>
      <c r="D261" s="226"/>
      <c r="E261" s="226"/>
      <c r="F261" s="299">
        <v>11</v>
      </c>
      <c r="G261" s="300">
        <f>H261+I261</f>
        <v>547</v>
      </c>
      <c r="H261" s="1556">
        <v>522</v>
      </c>
      <c r="I261" s="1557">
        <v>25</v>
      </c>
    </row>
    <row r="262" spans="2:9" ht="16.5" thickTop="1" thickBot="1" x14ac:dyDescent="0.3">
      <c r="B262" s="236"/>
      <c r="F262" s="301"/>
      <c r="G262" s="405" t="str">
        <f>IF(SUM(G264:G268)=G259,"","Uwaga! "&amp;SUM(G264:G268))</f>
        <v/>
      </c>
      <c r="H262" s="405" t="str">
        <f>IF(SUM(H264:H268)=H259,"","Uwaga! "&amp;SUM(H264:H268))</f>
        <v/>
      </c>
      <c r="I262" s="405" t="str">
        <f>IF(SUM(I264:I268)=I259,"","Uwaga! "&amp;SUM(I264:I268))</f>
        <v/>
      </c>
    </row>
    <row r="263" spans="2:9" ht="15.75" thickTop="1" x14ac:dyDescent="0.25">
      <c r="B263" s="213" t="s">
        <v>183</v>
      </c>
      <c r="C263" s="246"/>
      <c r="D263" s="246"/>
      <c r="E263" s="246"/>
      <c r="F263" s="304"/>
      <c r="G263" s="305" t="s">
        <v>142</v>
      </c>
      <c r="H263" s="305" t="s">
        <v>142</v>
      </c>
      <c r="I263" s="306" t="s">
        <v>142</v>
      </c>
    </row>
    <row r="264" spans="2:9" x14ac:dyDescent="0.25">
      <c r="B264" s="247" t="s">
        <v>52</v>
      </c>
      <c r="C264" s="223"/>
      <c r="D264" s="223"/>
      <c r="E264" s="223"/>
      <c r="F264" s="307">
        <v>12</v>
      </c>
      <c r="G264" s="296">
        <f>H264+I264</f>
        <v>87</v>
      </c>
      <c r="H264" s="1554">
        <v>79</v>
      </c>
      <c r="I264" s="1555">
        <v>8</v>
      </c>
    </row>
    <row r="265" spans="2:9" x14ac:dyDescent="0.25">
      <c r="B265" s="247" t="s">
        <v>53</v>
      </c>
      <c r="C265" s="223"/>
      <c r="D265" s="223"/>
      <c r="E265" s="223"/>
      <c r="F265" s="307">
        <v>13</v>
      </c>
      <c r="G265" s="296">
        <f>H265+I265</f>
        <v>715</v>
      </c>
      <c r="H265" s="1554">
        <v>657</v>
      </c>
      <c r="I265" s="1555">
        <v>58</v>
      </c>
    </row>
    <row r="266" spans="2:9" x14ac:dyDescent="0.25">
      <c r="B266" s="247" t="s">
        <v>54</v>
      </c>
      <c r="C266" s="223"/>
      <c r="D266" s="223"/>
      <c r="E266" s="223"/>
      <c r="F266" s="307">
        <v>14</v>
      </c>
      <c r="G266" s="296">
        <f>H266+I266</f>
        <v>1278</v>
      </c>
      <c r="H266" s="1554">
        <v>1180</v>
      </c>
      <c r="I266" s="1555">
        <v>98</v>
      </c>
    </row>
    <row r="267" spans="2:9" x14ac:dyDescent="0.25">
      <c r="B267" s="247" t="s">
        <v>55</v>
      </c>
      <c r="C267" s="223"/>
      <c r="D267" s="223"/>
      <c r="E267" s="223"/>
      <c r="F267" s="307">
        <v>15</v>
      </c>
      <c r="G267" s="296">
        <f>H267+I267</f>
        <v>1030</v>
      </c>
      <c r="H267" s="1554">
        <v>978</v>
      </c>
      <c r="I267" s="1555">
        <v>52</v>
      </c>
    </row>
    <row r="268" spans="2:9" ht="15.75" thickBot="1" x14ac:dyDescent="0.3">
      <c r="B268" s="248" t="s">
        <v>56</v>
      </c>
      <c r="C268" s="224"/>
      <c r="D268" s="224"/>
      <c r="E268" s="224"/>
      <c r="F268" s="308">
        <v>16</v>
      </c>
      <c r="G268" s="309">
        <f>H268+I268</f>
        <v>1212</v>
      </c>
      <c r="H268" s="1558">
        <v>1075</v>
      </c>
      <c r="I268" s="1559">
        <v>137</v>
      </c>
    </row>
    <row r="269" spans="2:9" ht="16.5" thickTop="1" thickBot="1" x14ac:dyDescent="0.3">
      <c r="B269" s="236"/>
      <c r="C269" s="225"/>
      <c r="D269" s="225"/>
      <c r="E269" s="225"/>
      <c r="F269" s="310"/>
      <c r="G269" s="311"/>
      <c r="H269" s="312"/>
      <c r="I269" s="312"/>
    </row>
    <row r="270" spans="2:9" ht="15.75" thickTop="1" x14ac:dyDescent="0.25">
      <c r="B270" s="249" t="s">
        <v>184</v>
      </c>
      <c r="C270" s="227"/>
      <c r="D270" s="227"/>
      <c r="E270" s="227"/>
      <c r="F270" s="313"/>
      <c r="G270" s="314"/>
      <c r="H270" s="315"/>
      <c r="I270" s="316"/>
    </row>
    <row r="271" spans="2:9" x14ac:dyDescent="0.25">
      <c r="B271" s="245" t="s">
        <v>179</v>
      </c>
      <c r="C271" s="222"/>
      <c r="D271" s="222"/>
      <c r="E271" s="222"/>
      <c r="F271" s="297">
        <v>17</v>
      </c>
      <c r="G271" s="291">
        <f>H271+I271</f>
        <v>2427</v>
      </c>
      <c r="H271" s="291">
        <f>H273+H279</f>
        <v>2231</v>
      </c>
      <c r="I271" s="298">
        <f>I273+I279</f>
        <v>196</v>
      </c>
    </row>
    <row r="272" spans="2:9" x14ac:dyDescent="0.25">
      <c r="B272" s="233"/>
      <c r="C272" s="240" t="s">
        <v>49</v>
      </c>
      <c r="D272" s="225"/>
      <c r="E272" s="225"/>
      <c r="F272" s="286"/>
      <c r="G272" s="287"/>
      <c r="H272" s="288"/>
      <c r="I272" s="289"/>
    </row>
    <row r="273" spans="2:9" x14ac:dyDescent="0.25">
      <c r="B273" s="233"/>
      <c r="C273" s="222" t="s">
        <v>154</v>
      </c>
      <c r="D273" s="222"/>
      <c r="E273" s="222"/>
      <c r="F273" s="297">
        <v>18</v>
      </c>
      <c r="G273" s="291">
        <f>H273+I273</f>
        <v>2399</v>
      </c>
      <c r="H273" s="317">
        <f>SUM(H275:H278)</f>
        <v>2203</v>
      </c>
      <c r="I273" s="318">
        <f>SUM(I275:I278)</f>
        <v>196</v>
      </c>
    </row>
    <row r="274" spans="2:9" x14ac:dyDescent="0.25">
      <c r="B274" s="233"/>
      <c r="C274" s="225"/>
      <c r="D274" s="240" t="s">
        <v>155</v>
      </c>
      <c r="E274" s="225"/>
      <c r="F274" s="286"/>
      <c r="G274" s="287"/>
      <c r="H274" s="288"/>
      <c r="I274" s="289"/>
    </row>
    <row r="275" spans="2:9" x14ac:dyDescent="0.25">
      <c r="B275" s="233"/>
      <c r="C275" s="225"/>
      <c r="D275" s="222" t="s">
        <v>178</v>
      </c>
      <c r="E275" s="222"/>
      <c r="F275" s="297">
        <v>19</v>
      </c>
      <c r="G275" s="291">
        <f t="shared" ref="G275:G280" si="9">H275+I275</f>
        <v>2226</v>
      </c>
      <c r="H275" s="1550">
        <v>2032</v>
      </c>
      <c r="I275" s="1551">
        <v>194</v>
      </c>
    </row>
    <row r="276" spans="2:9" x14ac:dyDescent="0.25">
      <c r="B276" s="233"/>
      <c r="C276" s="225"/>
      <c r="D276" s="223" t="s">
        <v>151</v>
      </c>
      <c r="E276" s="223"/>
      <c r="F276" s="307">
        <v>20</v>
      </c>
      <c r="G276" s="296">
        <f t="shared" si="9"/>
        <v>163</v>
      </c>
      <c r="H276" s="1554">
        <v>161</v>
      </c>
      <c r="I276" s="1555">
        <v>2</v>
      </c>
    </row>
    <row r="277" spans="2:9" x14ac:dyDescent="0.25">
      <c r="B277" s="233"/>
      <c r="C277" s="225"/>
      <c r="D277" s="223" t="s">
        <v>149</v>
      </c>
      <c r="E277" s="223"/>
      <c r="F277" s="307">
        <v>21</v>
      </c>
      <c r="G277" s="296">
        <f t="shared" si="9"/>
        <v>7</v>
      </c>
      <c r="H277" s="1554">
        <v>7</v>
      </c>
      <c r="I277" s="1555">
        <v>0</v>
      </c>
    </row>
    <row r="278" spans="2:9" x14ac:dyDescent="0.25">
      <c r="B278" s="233"/>
      <c r="C278" s="225"/>
      <c r="D278" s="222" t="s">
        <v>152</v>
      </c>
      <c r="E278" s="222"/>
      <c r="F278" s="297">
        <v>22</v>
      </c>
      <c r="G278" s="291">
        <f t="shared" si="9"/>
        <v>3</v>
      </c>
      <c r="H278" s="1550">
        <v>3</v>
      </c>
      <c r="I278" s="1551">
        <v>0</v>
      </c>
    </row>
    <row r="279" spans="2:9" x14ac:dyDescent="0.25">
      <c r="B279" s="233"/>
      <c r="C279" s="222" t="s">
        <v>156</v>
      </c>
      <c r="D279" s="222"/>
      <c r="E279" s="222"/>
      <c r="F279" s="297">
        <v>23</v>
      </c>
      <c r="G279" s="291">
        <f t="shared" si="9"/>
        <v>28</v>
      </c>
      <c r="H279" s="1550">
        <v>28</v>
      </c>
      <c r="I279" s="1551">
        <v>0</v>
      </c>
    </row>
    <row r="280" spans="2:9" x14ac:dyDescent="0.25">
      <c r="B280" s="233"/>
      <c r="C280" s="223" t="s">
        <v>150</v>
      </c>
      <c r="D280" s="223"/>
      <c r="E280" s="223"/>
      <c r="F280" s="307">
        <v>24</v>
      </c>
      <c r="G280" s="296">
        <f t="shared" si="9"/>
        <v>108</v>
      </c>
      <c r="H280" s="1554">
        <v>108</v>
      </c>
      <c r="I280" s="1555">
        <v>0</v>
      </c>
    </row>
    <row r="281" spans="2:9" x14ac:dyDescent="0.25">
      <c r="B281" s="233"/>
      <c r="C281" s="250" t="s">
        <v>157</v>
      </c>
      <c r="D281" s="250"/>
      <c r="E281" s="250"/>
      <c r="F281" s="319"/>
      <c r="G281" s="320"/>
      <c r="H281" s="321"/>
      <c r="I281" s="322"/>
    </row>
    <row r="282" spans="2:9" ht="15.75" thickBot="1" x14ac:dyDescent="0.3">
      <c r="B282" s="244"/>
      <c r="C282" s="226" t="s">
        <v>148</v>
      </c>
      <c r="D282" s="226"/>
      <c r="E282" s="226"/>
      <c r="F282" s="299">
        <v>25</v>
      </c>
      <c r="G282" s="300">
        <f>H282+I282</f>
        <v>19</v>
      </c>
      <c r="H282" s="1556">
        <v>19</v>
      </c>
      <c r="I282" s="1557">
        <v>0</v>
      </c>
    </row>
    <row r="283" spans="2:9" ht="16.5" thickTop="1" thickBot="1" x14ac:dyDescent="0.3">
      <c r="F283" s="301"/>
      <c r="G283" s="302"/>
      <c r="H283" s="303"/>
      <c r="I283" s="303"/>
    </row>
    <row r="284" spans="2:9" ht="15.75" thickTop="1" x14ac:dyDescent="0.25">
      <c r="B284" s="261" t="s">
        <v>174</v>
      </c>
      <c r="C284" s="262"/>
      <c r="D284" s="263"/>
      <c r="E284" s="246"/>
      <c r="F284" s="323">
        <v>26</v>
      </c>
      <c r="G284" s="324">
        <f>H284+I284</f>
        <v>1895</v>
      </c>
      <c r="H284" s="324">
        <f>H286+H291</f>
        <v>1738</v>
      </c>
      <c r="I284" s="329">
        <f>I286+I291</f>
        <v>157</v>
      </c>
    </row>
    <row r="285" spans="2:9" x14ac:dyDescent="0.25">
      <c r="B285" s="233"/>
      <c r="C285" s="240" t="s">
        <v>50</v>
      </c>
      <c r="D285" s="225"/>
      <c r="E285" s="225"/>
      <c r="F285" s="286"/>
      <c r="G285" s="287"/>
      <c r="H285" s="288"/>
      <c r="I285" s="289"/>
    </row>
    <row r="286" spans="2:9" x14ac:dyDescent="0.25">
      <c r="B286" s="233"/>
      <c r="C286" s="222" t="s">
        <v>185</v>
      </c>
      <c r="D286" s="222"/>
      <c r="E286" s="222"/>
      <c r="F286" s="297">
        <v>27</v>
      </c>
      <c r="G286" s="291">
        <f>H286+I286</f>
        <v>95</v>
      </c>
      <c r="H286" s="1550">
        <v>61</v>
      </c>
      <c r="I286" s="1551">
        <v>34</v>
      </c>
    </row>
    <row r="287" spans="2:9" x14ac:dyDescent="0.25">
      <c r="B287" s="233"/>
      <c r="C287" s="225"/>
      <c r="D287" s="240" t="s">
        <v>190</v>
      </c>
      <c r="E287" s="225"/>
      <c r="F287" s="286"/>
      <c r="G287" s="390" t="str">
        <f>IF(SUM(G288:G290)=G286, "", G286-SUM(G288:G290))</f>
        <v/>
      </c>
      <c r="H287" s="390" t="str">
        <f>IF(SUM(H288:H290)=H286, "", H286-SUM(H288:H290))</f>
        <v/>
      </c>
      <c r="I287" s="398" t="str">
        <f>IF(SUM(I288:I290)=I286, "", I286-SUM(I288:I290))</f>
        <v/>
      </c>
    </row>
    <row r="288" spans="2:9" x14ac:dyDescent="0.25">
      <c r="B288" s="233"/>
      <c r="C288" s="225"/>
      <c r="D288" s="222" t="s">
        <v>186</v>
      </c>
      <c r="E288" s="222"/>
      <c r="F288" s="297">
        <v>28</v>
      </c>
      <c r="G288" s="291">
        <f>H288+I288</f>
        <v>30</v>
      </c>
      <c r="H288" s="1560">
        <v>14</v>
      </c>
      <c r="I288" s="1551">
        <v>16</v>
      </c>
    </row>
    <row r="289" spans="2:9" x14ac:dyDescent="0.25">
      <c r="B289" s="233"/>
      <c r="C289" s="225"/>
      <c r="D289" s="223" t="s">
        <v>187</v>
      </c>
      <c r="E289" s="225"/>
      <c r="F289" s="297">
        <v>29</v>
      </c>
      <c r="G289" s="291">
        <f>H289+I289</f>
        <v>2</v>
      </c>
      <c r="H289" s="1560">
        <v>2</v>
      </c>
      <c r="I289" s="1551">
        <v>0</v>
      </c>
    </row>
    <row r="290" spans="2:9" x14ac:dyDescent="0.25">
      <c r="B290" s="233"/>
      <c r="C290" s="225"/>
      <c r="D290" s="223" t="s">
        <v>188</v>
      </c>
      <c r="E290" s="223"/>
      <c r="F290" s="307">
        <v>30</v>
      </c>
      <c r="G290" s="296">
        <f>H290+I290</f>
        <v>63</v>
      </c>
      <c r="H290" s="1561">
        <v>45</v>
      </c>
      <c r="I290" s="1555">
        <v>18</v>
      </c>
    </row>
    <row r="291" spans="2:9" x14ac:dyDescent="0.25">
      <c r="B291" s="233"/>
      <c r="C291" s="222" t="s">
        <v>189</v>
      </c>
      <c r="D291" s="222"/>
      <c r="E291" s="222"/>
      <c r="F291" s="297">
        <v>31</v>
      </c>
      <c r="G291" s="291">
        <f>H291+I291</f>
        <v>1800</v>
      </c>
      <c r="H291" s="689">
        <f>SUM(H293:H296)</f>
        <v>1677</v>
      </c>
      <c r="I291" s="298">
        <f>SUM(I293:I296)</f>
        <v>123</v>
      </c>
    </row>
    <row r="292" spans="2:9" x14ac:dyDescent="0.25">
      <c r="B292" s="233"/>
      <c r="C292" s="225"/>
      <c r="D292" s="240" t="s">
        <v>191</v>
      </c>
      <c r="E292" s="225"/>
      <c r="F292" s="286"/>
      <c r="G292" s="287" t="str">
        <f>IF(SUM(G293:G296)=G291, "", G291-SUM(G293:G296))</f>
        <v/>
      </c>
      <c r="H292" s="693" t="str">
        <f>IF(SUM(H293:H296)=H291, "", H291-SUM(H293:H296))</f>
        <v/>
      </c>
      <c r="I292" s="289" t="str">
        <f>IF(SUM(I293:I296)=I291, "", I291-SUM(I293:I296))</f>
        <v/>
      </c>
    </row>
    <row r="293" spans="2:9" x14ac:dyDescent="0.25">
      <c r="B293" s="233"/>
      <c r="C293" s="225"/>
      <c r="D293" s="222" t="s">
        <v>186</v>
      </c>
      <c r="E293" s="222"/>
      <c r="F293" s="297">
        <v>32</v>
      </c>
      <c r="G293" s="291">
        <f>H293+I293</f>
        <v>1661</v>
      </c>
      <c r="H293" s="1560">
        <v>1566</v>
      </c>
      <c r="I293" s="1551">
        <v>95</v>
      </c>
    </row>
    <row r="294" spans="2:9" x14ac:dyDescent="0.25">
      <c r="B294" s="233"/>
      <c r="C294" s="225"/>
      <c r="D294" s="222" t="s">
        <v>187</v>
      </c>
      <c r="E294" s="222"/>
      <c r="F294" s="297">
        <v>33</v>
      </c>
      <c r="G294" s="291">
        <f>H294+I294</f>
        <v>5</v>
      </c>
      <c r="H294" s="1560">
        <v>2</v>
      </c>
      <c r="I294" s="1551">
        <v>3</v>
      </c>
    </row>
    <row r="295" spans="2:9" x14ac:dyDescent="0.25">
      <c r="B295" s="233"/>
      <c r="C295" s="225"/>
      <c r="D295" s="222" t="s">
        <v>188</v>
      </c>
      <c r="E295" s="222"/>
      <c r="F295" s="297">
        <v>34</v>
      </c>
      <c r="G295" s="291">
        <f>H295+I295</f>
        <v>112</v>
      </c>
      <c r="H295" s="1560">
        <v>88</v>
      </c>
      <c r="I295" s="1551">
        <v>24</v>
      </c>
    </row>
    <row r="296" spans="2:9" ht="15.75" thickBot="1" x14ac:dyDescent="0.3">
      <c r="B296" s="234"/>
      <c r="C296" s="235"/>
      <c r="D296" s="259" t="s">
        <v>153</v>
      </c>
      <c r="E296" s="259"/>
      <c r="F296" s="325">
        <v>35</v>
      </c>
      <c r="G296" s="326">
        <f>H296+I296</f>
        <v>22</v>
      </c>
      <c r="H296" s="1562">
        <v>21</v>
      </c>
      <c r="I296" s="1563">
        <v>1</v>
      </c>
    </row>
    <row r="297" spans="2:9" x14ac:dyDescent="0.25">
      <c r="B297" s="260" t="s">
        <v>177</v>
      </c>
      <c r="C297" s="242"/>
      <c r="D297" s="242"/>
      <c r="E297" s="242"/>
      <c r="F297" s="327">
        <v>36</v>
      </c>
      <c r="G297" s="285">
        <f>H297+I297</f>
        <v>1866</v>
      </c>
      <c r="H297" s="699">
        <f>H288+H290+H293+H295</f>
        <v>1713</v>
      </c>
      <c r="I297" s="294">
        <f>I288+I290+I293+I295</f>
        <v>153</v>
      </c>
    </row>
    <row r="298" spans="2:9" x14ac:dyDescent="0.25">
      <c r="B298" s="233"/>
      <c r="C298" s="240" t="s">
        <v>155</v>
      </c>
      <c r="D298" s="225"/>
      <c r="E298" s="250"/>
      <c r="F298" s="286"/>
      <c r="G298" s="390" t="str">
        <f>IF(SUM(G299:G301)=G297, "", G297-SUM(G299:G301))</f>
        <v/>
      </c>
      <c r="H298" s="390" t="str">
        <f>IF(SUM(H299:H301)=H297, "", H297-SUM(H299:H301))</f>
        <v/>
      </c>
      <c r="I298" s="398" t="str">
        <f>IF(SUM(I299:I301)=I297, "", I297-SUM(I299:I301))</f>
        <v/>
      </c>
    </row>
    <row r="299" spans="2:9" x14ac:dyDescent="0.25">
      <c r="B299" s="233"/>
      <c r="C299" s="222" t="s">
        <v>178</v>
      </c>
      <c r="D299" s="222"/>
      <c r="E299" s="222"/>
      <c r="F299" s="297">
        <v>37</v>
      </c>
      <c r="G299" s="291">
        <f>H299+I299</f>
        <v>1587</v>
      </c>
      <c r="H299" s="1550">
        <v>1438</v>
      </c>
      <c r="I299" s="1551">
        <v>149</v>
      </c>
    </row>
    <row r="300" spans="2:9" x14ac:dyDescent="0.25">
      <c r="B300" s="233"/>
      <c r="C300" s="223" t="s">
        <v>151</v>
      </c>
      <c r="D300" s="223"/>
      <c r="E300" s="223"/>
      <c r="F300" s="307">
        <v>38</v>
      </c>
      <c r="G300" s="296">
        <f>H300+I300</f>
        <v>266</v>
      </c>
      <c r="H300" s="1554">
        <v>262</v>
      </c>
      <c r="I300" s="1555">
        <v>4</v>
      </c>
    </row>
    <row r="301" spans="2:9" ht="15.75" thickBot="1" x14ac:dyDescent="0.3">
      <c r="B301" s="244"/>
      <c r="C301" s="226" t="s">
        <v>152</v>
      </c>
      <c r="D301" s="226"/>
      <c r="E301" s="226"/>
      <c r="F301" s="299">
        <v>39</v>
      </c>
      <c r="G301" s="300">
        <f>H301+I301</f>
        <v>13</v>
      </c>
      <c r="H301" s="1556">
        <v>13</v>
      </c>
      <c r="I301" s="1557">
        <v>0</v>
      </c>
    </row>
    <row r="302" spans="2:9" ht="15.75" thickTop="1" x14ac:dyDescent="0.25">
      <c r="G302" s="412" t="str">
        <f>IF(SUM(G299:G301)=G297, "", SUM(G299:G301))</f>
        <v/>
      </c>
      <c r="H302" s="412" t="str">
        <f>IF(SUM(H299:H301)=H297, "", SUM(H299:H301))</f>
        <v/>
      </c>
      <c r="I302" s="412" t="str">
        <f>IF(SUM(I299:I301)=I297, "", SUM(I299:I301))</f>
        <v/>
      </c>
    </row>
    <row r="303" spans="2:9" x14ac:dyDescent="0.25">
      <c r="B303" s="221" t="s">
        <v>123</v>
      </c>
      <c r="D303" s="220" t="s">
        <v>180</v>
      </c>
      <c r="H303" t="s">
        <v>182</v>
      </c>
    </row>
    <row r="304" spans="2:9" x14ac:dyDescent="0.25">
      <c r="B304" s="221" t="s">
        <v>181</v>
      </c>
      <c r="D304" s="220" t="s">
        <v>180</v>
      </c>
      <c r="H304" s="256" t="s">
        <v>126</v>
      </c>
    </row>
    <row r="306" spans="1:9" ht="26.25" x14ac:dyDescent="0.4">
      <c r="A306" s="267" t="s">
        <v>172</v>
      </c>
      <c r="B306" s="221" t="s">
        <v>116</v>
      </c>
      <c r="C306" s="212"/>
      <c r="D306" s="220"/>
      <c r="E306" s="220"/>
      <c r="F306" s="212"/>
      <c r="G306" s="220"/>
      <c r="H306" s="220"/>
      <c r="I306" s="256" t="s">
        <v>175</v>
      </c>
    </row>
    <row r="307" spans="1:9" x14ac:dyDescent="0.25">
      <c r="B307" s="257" t="s">
        <v>129</v>
      </c>
      <c r="C307" s="212"/>
      <c r="D307" s="220"/>
      <c r="E307" s="257"/>
      <c r="F307" s="220"/>
      <c r="G307" s="220"/>
      <c r="H307" s="220"/>
      <c r="I307" s="220"/>
    </row>
    <row r="308" spans="1:9" ht="15.75" x14ac:dyDescent="0.25">
      <c r="B308" s="221" t="s">
        <v>128</v>
      </c>
      <c r="C308" s="212"/>
      <c r="D308" s="220"/>
      <c r="F308" s="220"/>
      <c r="G308" s="220"/>
      <c r="H308" s="1721" t="str">
        <f>$H$80</f>
        <v>Termin: 29 luty 2012 r.</v>
      </c>
      <c r="I308" s="1721"/>
    </row>
    <row r="309" spans="1:9" x14ac:dyDescent="0.25">
      <c r="B309" s="258"/>
      <c r="C309" s="212"/>
      <c r="D309" s="220"/>
      <c r="E309" s="220"/>
      <c r="F309" s="220"/>
      <c r="G309" s="220"/>
      <c r="H309" s="220"/>
      <c r="I309" s="220"/>
    </row>
    <row r="310" spans="1:9" x14ac:dyDescent="0.25">
      <c r="B310" s="221" t="s">
        <v>130</v>
      </c>
      <c r="C310" s="212"/>
      <c r="D310" s="220"/>
      <c r="E310" s="220"/>
      <c r="F310" s="220"/>
      <c r="G310" s="220"/>
      <c r="H310" s="220"/>
      <c r="I310" s="220"/>
    </row>
    <row r="311" spans="1:9" x14ac:dyDescent="0.25">
      <c r="B311" s="221" t="s">
        <v>131</v>
      </c>
      <c r="C311" s="212"/>
      <c r="D311" s="220"/>
      <c r="E311" s="220"/>
      <c r="F311" s="220"/>
      <c r="G311" s="220"/>
      <c r="H311" s="220"/>
      <c r="I311" s="220"/>
    </row>
    <row r="312" spans="1:9" ht="15.75" x14ac:dyDescent="0.25">
      <c r="B312" s="1"/>
      <c r="C312" s="255"/>
      <c r="D312" s="12"/>
      <c r="E312" s="12"/>
      <c r="F312" s="12"/>
      <c r="G312" s="12"/>
      <c r="H312" s="12"/>
      <c r="I312" s="12"/>
    </row>
    <row r="313" spans="1:9" ht="15.75" x14ac:dyDescent="0.25">
      <c r="B313" s="1"/>
      <c r="C313" s="255"/>
      <c r="D313" s="12"/>
      <c r="E313" s="1" t="s">
        <v>47</v>
      </c>
      <c r="F313" s="12"/>
      <c r="G313" s="12"/>
      <c r="H313" s="12"/>
      <c r="I313" s="12"/>
    </row>
    <row r="314" spans="1:9" ht="15.75" x14ac:dyDescent="0.25">
      <c r="B314" s="1"/>
      <c r="C314" s="255"/>
      <c r="D314" s="12"/>
      <c r="E314" s="1" t="s">
        <v>176</v>
      </c>
      <c r="F314" s="12"/>
      <c r="G314" s="12"/>
      <c r="H314" s="12"/>
      <c r="I314" s="12"/>
    </row>
    <row r="315" spans="1:9" ht="15.75" x14ac:dyDescent="0.25">
      <c r="B315" s="1"/>
      <c r="C315" s="255"/>
      <c r="D315" s="12"/>
      <c r="E315" s="1162" t="str">
        <f>$E$11</f>
        <v>SAMORZĄDÓW  POWIATOWYCH  I  PODMIOTÓW  NIEPUBLICZNYCH  W 2011 r.</v>
      </c>
      <c r="F315" s="12"/>
      <c r="G315" s="12"/>
      <c r="H315" s="12"/>
      <c r="I315" s="12"/>
    </row>
    <row r="316" spans="1:9" ht="15.75" x14ac:dyDescent="0.25">
      <c r="B316" s="1"/>
      <c r="C316" s="255"/>
      <c r="D316" s="12"/>
      <c r="E316" s="12"/>
      <c r="F316" s="12"/>
      <c r="G316" s="12"/>
      <c r="H316" s="12"/>
      <c r="I316" s="12"/>
    </row>
    <row r="317" spans="1:9" ht="15.75" thickBot="1" x14ac:dyDescent="0.3"/>
    <row r="318" spans="1:9" ht="16.5" thickTop="1" x14ac:dyDescent="0.25">
      <c r="B318" s="214"/>
      <c r="C318" s="227"/>
      <c r="D318" s="227"/>
      <c r="E318" s="227"/>
      <c r="F318" s="252"/>
      <c r="G318" s="229" t="s">
        <v>48</v>
      </c>
      <c r="H318" s="1722" t="s">
        <v>20</v>
      </c>
      <c r="I318" s="1723"/>
    </row>
    <row r="319" spans="1:9" ht="15.75" x14ac:dyDescent="0.25">
      <c r="B319" s="215"/>
      <c r="C319" s="225"/>
      <c r="D319" s="225"/>
      <c r="E319" s="225" t="s">
        <v>21</v>
      </c>
      <c r="F319" s="253"/>
      <c r="G319" s="230" t="s">
        <v>5</v>
      </c>
      <c r="H319" s="216" t="s">
        <v>22</v>
      </c>
      <c r="I319" s="217" t="s">
        <v>23</v>
      </c>
    </row>
    <row r="320" spans="1:9" ht="15.75" x14ac:dyDescent="0.25">
      <c r="B320" s="194"/>
      <c r="C320" s="225"/>
      <c r="D320" s="225"/>
      <c r="E320" s="225"/>
      <c r="F320" s="253"/>
      <c r="G320" s="218" t="s">
        <v>24</v>
      </c>
      <c r="H320" s="218" t="s">
        <v>25</v>
      </c>
      <c r="I320" s="219" t="s">
        <v>26</v>
      </c>
    </row>
    <row r="321" spans="1:9" ht="15.75" thickBot="1" x14ac:dyDescent="0.3">
      <c r="B321" s="61"/>
      <c r="C321" s="228"/>
      <c r="D321" s="228"/>
      <c r="E321" s="211">
        <v>0</v>
      </c>
      <c r="F321" s="254"/>
      <c r="G321" s="2">
        <v>1</v>
      </c>
      <c r="H321" s="2">
        <v>2</v>
      </c>
      <c r="I321" s="7">
        <v>3</v>
      </c>
    </row>
    <row r="322" spans="1:9" ht="16.5" thickTop="1" thickBot="1" x14ac:dyDescent="0.3">
      <c r="B322" s="231"/>
      <c r="G322" s="793"/>
      <c r="H322" s="793"/>
      <c r="I322" s="793"/>
    </row>
    <row r="323" spans="1:9" ht="16.5" thickTop="1" thickBot="1" x14ac:dyDescent="0.3">
      <c r="B323" s="1168" t="str">
        <f>$B$19</f>
        <v>Wg stanu na dzień 31.XII.2010 r.</v>
      </c>
      <c r="C323" s="232"/>
      <c r="D323" s="232"/>
      <c r="E323" s="232"/>
      <c r="F323" s="282" t="s">
        <v>165</v>
      </c>
      <c r="G323" s="698">
        <f>H323+I323</f>
        <v>2350</v>
      </c>
      <c r="H323" s="1564">
        <v>2238</v>
      </c>
      <c r="I323" s="1565">
        <v>112</v>
      </c>
    </row>
    <row r="324" spans="1:9" x14ac:dyDescent="0.25">
      <c r="B324" s="1169" t="str">
        <f>$B$20</f>
        <v>Przyjętych w ciągu 2011 r.</v>
      </c>
      <c r="C324" s="242"/>
      <c r="D324" s="242"/>
      <c r="E324" s="242"/>
      <c r="F324" s="284" t="s">
        <v>166</v>
      </c>
      <c r="G324" s="285">
        <f>H324+I324</f>
        <v>357</v>
      </c>
      <c r="H324" s="784">
        <f>H326+H327</f>
        <v>351</v>
      </c>
      <c r="I324" s="785">
        <f>I326+I327</f>
        <v>6</v>
      </c>
    </row>
    <row r="325" spans="1:9" x14ac:dyDescent="0.25">
      <c r="B325" s="233"/>
      <c r="C325" s="241" t="s">
        <v>49</v>
      </c>
      <c r="D325" s="225"/>
      <c r="E325" s="225"/>
      <c r="F325" s="286"/>
      <c r="G325" s="287"/>
      <c r="H325" s="389" t="str">
        <f>IF(SUM(H326:H327)=H324, "", "?")</f>
        <v/>
      </c>
      <c r="I325" s="388" t="str">
        <f>IF(SUM(I326:I327)=I324, "", "?")</f>
        <v/>
      </c>
    </row>
    <row r="326" spans="1:9" x14ac:dyDescent="0.25">
      <c r="B326" s="233"/>
      <c r="C326" s="237" t="s">
        <v>158</v>
      </c>
      <c r="D326" s="222"/>
      <c r="E326" s="222"/>
      <c r="F326" s="290" t="s">
        <v>167</v>
      </c>
      <c r="G326" s="291">
        <f>H326+I326</f>
        <v>2</v>
      </c>
      <c r="H326" s="1550">
        <v>2</v>
      </c>
      <c r="I326" s="1551">
        <v>0</v>
      </c>
    </row>
    <row r="327" spans="1:9" ht="15.75" thickBot="1" x14ac:dyDescent="0.3">
      <c r="B327" s="234"/>
      <c r="C327" s="238" t="s">
        <v>159</v>
      </c>
      <c r="D327" s="235"/>
      <c r="E327" s="235"/>
      <c r="F327" s="292" t="s">
        <v>168</v>
      </c>
      <c r="G327" s="293">
        <f>H327+I327</f>
        <v>355</v>
      </c>
      <c r="H327" s="1552">
        <v>349</v>
      </c>
      <c r="I327" s="1553">
        <v>6</v>
      </c>
    </row>
    <row r="328" spans="1:9" x14ac:dyDescent="0.25">
      <c r="B328" s="1170" t="str">
        <f>$B$24</f>
        <v>Odeszło w ciągu 2011 r. (w.06 do w.09)</v>
      </c>
      <c r="C328" s="242"/>
      <c r="D328" s="242"/>
      <c r="E328" s="242"/>
      <c r="F328" s="284" t="s">
        <v>169</v>
      </c>
      <c r="G328" s="285">
        <f>H328+I328</f>
        <v>374</v>
      </c>
      <c r="H328" s="285">
        <f>SUM(H330:H333)</f>
        <v>369</v>
      </c>
      <c r="I328" s="294">
        <f>SUM(I330:I333)</f>
        <v>5</v>
      </c>
    </row>
    <row r="329" spans="1:9" x14ac:dyDescent="0.25">
      <c r="B329" s="251"/>
      <c r="C329" s="240" t="s">
        <v>49</v>
      </c>
      <c r="D329" s="225"/>
      <c r="E329" s="225"/>
      <c r="F329" s="286"/>
      <c r="G329" s="287"/>
      <c r="H329" s="288"/>
      <c r="I329" s="289"/>
    </row>
    <row r="330" spans="1:9" x14ac:dyDescent="0.25">
      <c r="B330" s="233"/>
      <c r="C330" s="237" t="s">
        <v>160</v>
      </c>
      <c r="D330" s="222"/>
      <c r="E330" s="222"/>
      <c r="F330" s="290" t="s">
        <v>170</v>
      </c>
      <c r="G330" s="291">
        <f>H330+I330</f>
        <v>21</v>
      </c>
      <c r="H330" s="1550">
        <v>21</v>
      </c>
      <c r="I330" s="1551">
        <v>0</v>
      </c>
    </row>
    <row r="331" spans="1:9" x14ac:dyDescent="0.25">
      <c r="B331" s="233"/>
      <c r="C331" s="243" t="s">
        <v>161</v>
      </c>
      <c r="D331" s="223"/>
      <c r="E331" s="223"/>
      <c r="F331" s="295" t="s">
        <v>171</v>
      </c>
      <c r="G331" s="296">
        <f>H331+I331</f>
        <v>28</v>
      </c>
      <c r="H331" s="1554">
        <v>27</v>
      </c>
      <c r="I331" s="1555">
        <v>1</v>
      </c>
    </row>
    <row r="332" spans="1:9" x14ac:dyDescent="0.25">
      <c r="B332" s="233"/>
      <c r="C332" s="243" t="s">
        <v>162</v>
      </c>
      <c r="D332" s="223"/>
      <c r="E332" s="223"/>
      <c r="F332" s="295" t="s">
        <v>172</v>
      </c>
      <c r="G332" s="296">
        <f>H332+I332</f>
        <v>27</v>
      </c>
      <c r="H332" s="1554">
        <v>27</v>
      </c>
      <c r="I332" s="1555">
        <v>0</v>
      </c>
    </row>
    <row r="333" spans="1:9" ht="15.75" thickBot="1" x14ac:dyDescent="0.3">
      <c r="B333" s="234"/>
      <c r="C333" s="238" t="s">
        <v>163</v>
      </c>
      <c r="D333" s="235"/>
      <c r="E333" s="235"/>
      <c r="F333" s="292" t="s">
        <v>173</v>
      </c>
      <c r="G333" s="293">
        <f>H333+I333</f>
        <v>298</v>
      </c>
      <c r="H333" s="1552">
        <v>294</v>
      </c>
      <c r="I333" s="1553">
        <v>4</v>
      </c>
    </row>
    <row r="334" spans="1:9" x14ac:dyDescent="0.25">
      <c r="A334" s="783"/>
      <c r="B334" s="1171" t="str">
        <f>$B$30</f>
        <v>Wg stanu na dzień 31.XII.2011 r.</v>
      </c>
      <c r="C334" s="225"/>
      <c r="D334" s="225"/>
      <c r="E334" s="225"/>
      <c r="F334" s="286"/>
      <c r="G334" s="922" t="str">
        <f>IF('Tab.2. l.d.m.m._Polska'!G165=G335,"","t2w1k3"&amp;"="&amp;'Tab.2. l.d.m.m._Polska'!G165)</f>
        <v/>
      </c>
      <c r="H334" s="922" t="str">
        <f>IF('Tab.2. l.d.m.m._Polska'!K165=H335,"","t2w1k6"&amp;"="&amp;'Tab.2. l.d.m.m._Polska'!K165)</f>
        <v/>
      </c>
      <c r="I334" s="923" t="str">
        <f>IF('Tab.2. l.d.m.m._Polska'!O165=I335,"","t2w1k9"&amp;"="&amp;'Tab.2. l.d.m.m._Polska'!O165)</f>
        <v/>
      </c>
    </row>
    <row r="335" spans="1:9" x14ac:dyDescent="0.25">
      <c r="B335" s="245" t="s">
        <v>194</v>
      </c>
      <c r="C335" s="222"/>
      <c r="D335" s="222"/>
      <c r="E335" s="222"/>
      <c r="F335" s="297">
        <v>10</v>
      </c>
      <c r="G335" s="291">
        <f>H335+I335</f>
        <v>2333</v>
      </c>
      <c r="H335" s="291">
        <f>IF(H323+H324-H328=SUM(H340:H344), H323+H324-H328, (H323+H324-H328)-SUM(H340:H344))</f>
        <v>2220</v>
      </c>
      <c r="I335" s="298">
        <f>IF(I323+I324-I328=SUM(I340:I344), I323+I324-I328, (I323+I324-I328)-SUM(I340:I344))</f>
        <v>113</v>
      </c>
    </row>
    <row r="336" spans="1:9" x14ac:dyDescent="0.25">
      <c r="B336" s="233"/>
      <c r="C336" s="240" t="s">
        <v>50</v>
      </c>
      <c r="D336" s="225"/>
      <c r="E336" s="225"/>
      <c r="F336" s="286"/>
      <c r="G336" s="287"/>
      <c r="H336" s="288"/>
      <c r="I336" s="289"/>
    </row>
    <row r="337" spans="2:9" ht="15.75" thickBot="1" x14ac:dyDescent="0.3">
      <c r="B337" s="244"/>
      <c r="C337" s="239" t="s">
        <v>164</v>
      </c>
      <c r="D337" s="226"/>
      <c r="E337" s="226"/>
      <c r="F337" s="299">
        <v>11</v>
      </c>
      <c r="G337" s="300">
        <f>H337+I337</f>
        <v>414</v>
      </c>
      <c r="H337" s="1556">
        <v>403</v>
      </c>
      <c r="I337" s="1557">
        <v>11</v>
      </c>
    </row>
    <row r="338" spans="2:9" ht="16.5" thickTop="1" thickBot="1" x14ac:dyDescent="0.3">
      <c r="B338" s="236"/>
      <c r="F338" s="301"/>
      <c r="G338" s="405" t="str">
        <f>IF(SUM(G340:G344)=G335,"","Uwaga! "&amp;SUM(G340:G344))</f>
        <v/>
      </c>
      <c r="H338" s="405" t="str">
        <f>IF(SUM(H340:H344)=H335,"","Uwaga! "&amp;SUM(H340:H344))</f>
        <v/>
      </c>
      <c r="I338" s="405" t="str">
        <f>IF(SUM(I340:I344)=I335,"","Uwaga! "&amp;SUM(I340:I344))</f>
        <v/>
      </c>
    </row>
    <row r="339" spans="2:9" ht="15.75" thickTop="1" x14ac:dyDescent="0.25">
      <c r="B339" s="213" t="s">
        <v>183</v>
      </c>
      <c r="C339" s="246"/>
      <c r="D339" s="246"/>
      <c r="E339" s="246"/>
      <c r="F339" s="304"/>
      <c r="G339" s="305" t="s">
        <v>142</v>
      </c>
      <c r="H339" s="305" t="s">
        <v>142</v>
      </c>
      <c r="I339" s="306" t="s">
        <v>142</v>
      </c>
    </row>
    <row r="340" spans="2:9" x14ac:dyDescent="0.25">
      <c r="B340" s="247" t="s">
        <v>52</v>
      </c>
      <c r="C340" s="223"/>
      <c r="D340" s="223"/>
      <c r="E340" s="223"/>
      <c r="F340" s="307">
        <v>12</v>
      </c>
      <c r="G340" s="296">
        <f>H340+I340</f>
        <v>34</v>
      </c>
      <c r="H340" s="1554">
        <v>11</v>
      </c>
      <c r="I340" s="1555">
        <v>23</v>
      </c>
    </row>
    <row r="341" spans="2:9" x14ac:dyDescent="0.25">
      <c r="B341" s="247" t="s">
        <v>53</v>
      </c>
      <c r="C341" s="223"/>
      <c r="D341" s="223"/>
      <c r="E341" s="223"/>
      <c r="F341" s="307">
        <v>13</v>
      </c>
      <c r="G341" s="296">
        <f>H341+I341</f>
        <v>316</v>
      </c>
      <c r="H341" s="1554">
        <v>275</v>
      </c>
      <c r="I341" s="1555">
        <v>41</v>
      </c>
    </row>
    <row r="342" spans="2:9" x14ac:dyDescent="0.25">
      <c r="B342" s="247" t="s">
        <v>54</v>
      </c>
      <c r="C342" s="223"/>
      <c r="D342" s="223"/>
      <c r="E342" s="223"/>
      <c r="F342" s="307">
        <v>14</v>
      </c>
      <c r="G342" s="296">
        <f>H342+I342</f>
        <v>642</v>
      </c>
      <c r="H342" s="1554">
        <v>600</v>
      </c>
      <c r="I342" s="1555">
        <v>42</v>
      </c>
    </row>
    <row r="343" spans="2:9" x14ac:dyDescent="0.25">
      <c r="B343" s="247" t="s">
        <v>55</v>
      </c>
      <c r="C343" s="223"/>
      <c r="D343" s="223"/>
      <c r="E343" s="223"/>
      <c r="F343" s="307">
        <v>15</v>
      </c>
      <c r="G343" s="296">
        <f>H343+I343</f>
        <v>496</v>
      </c>
      <c r="H343" s="1554">
        <v>489</v>
      </c>
      <c r="I343" s="1555">
        <v>7</v>
      </c>
    </row>
    <row r="344" spans="2:9" ht="15.75" thickBot="1" x14ac:dyDescent="0.3">
      <c r="B344" s="248" t="s">
        <v>56</v>
      </c>
      <c r="C344" s="224"/>
      <c r="D344" s="224"/>
      <c r="E344" s="224"/>
      <c r="F344" s="308">
        <v>16</v>
      </c>
      <c r="G344" s="309">
        <f>H344+I344</f>
        <v>845</v>
      </c>
      <c r="H344" s="1558">
        <v>845</v>
      </c>
      <c r="I344" s="1559">
        <v>0</v>
      </c>
    </row>
    <row r="345" spans="2:9" ht="16.5" thickTop="1" thickBot="1" x14ac:dyDescent="0.3">
      <c r="B345" s="236"/>
      <c r="C345" s="225"/>
      <c r="D345" s="225"/>
      <c r="E345" s="225"/>
      <c r="F345" s="310"/>
      <c r="G345" s="311"/>
      <c r="H345" s="312"/>
      <c r="I345" s="312"/>
    </row>
    <row r="346" spans="2:9" ht="15.75" thickTop="1" x14ac:dyDescent="0.25">
      <c r="B346" s="249" t="s">
        <v>184</v>
      </c>
      <c r="C346" s="227"/>
      <c r="D346" s="227"/>
      <c r="E346" s="227"/>
      <c r="F346" s="313"/>
      <c r="G346" s="314"/>
      <c r="H346" s="315"/>
      <c r="I346" s="316"/>
    </row>
    <row r="347" spans="2:9" x14ac:dyDescent="0.25">
      <c r="B347" s="245" t="s">
        <v>179</v>
      </c>
      <c r="C347" s="222"/>
      <c r="D347" s="222"/>
      <c r="E347" s="222"/>
      <c r="F347" s="297">
        <v>17</v>
      </c>
      <c r="G347" s="291">
        <f>H347+I347</f>
        <v>1229</v>
      </c>
      <c r="H347" s="291">
        <f>H349+H355</f>
        <v>1142</v>
      </c>
      <c r="I347" s="298">
        <f>I349+I355</f>
        <v>87</v>
      </c>
    </row>
    <row r="348" spans="2:9" x14ac:dyDescent="0.25">
      <c r="B348" s="233"/>
      <c r="C348" s="240" t="s">
        <v>49</v>
      </c>
      <c r="D348" s="225"/>
      <c r="E348" s="225"/>
      <c r="F348" s="286"/>
      <c r="G348" s="287"/>
      <c r="H348" s="288"/>
      <c r="I348" s="289"/>
    </row>
    <row r="349" spans="2:9" x14ac:dyDescent="0.25">
      <c r="B349" s="233"/>
      <c r="C349" s="222" t="s">
        <v>154</v>
      </c>
      <c r="D349" s="222"/>
      <c r="E349" s="222"/>
      <c r="F349" s="297">
        <v>18</v>
      </c>
      <c r="G349" s="291">
        <f>H349+I349</f>
        <v>1225</v>
      </c>
      <c r="H349" s="317">
        <f>SUM(H351:H354)</f>
        <v>1142</v>
      </c>
      <c r="I349" s="318">
        <f>SUM(I351:I354)</f>
        <v>83</v>
      </c>
    </row>
    <row r="350" spans="2:9" x14ac:dyDescent="0.25">
      <c r="B350" s="233"/>
      <c r="C350" s="225"/>
      <c r="D350" s="240" t="s">
        <v>155</v>
      </c>
      <c r="E350" s="225"/>
      <c r="F350" s="286"/>
      <c r="G350" s="287"/>
      <c r="H350" s="288"/>
      <c r="I350" s="289"/>
    </row>
    <row r="351" spans="2:9" x14ac:dyDescent="0.25">
      <c r="B351" s="233"/>
      <c r="C351" s="225"/>
      <c r="D351" s="222" t="s">
        <v>178</v>
      </c>
      <c r="E351" s="222"/>
      <c r="F351" s="297">
        <v>19</v>
      </c>
      <c r="G351" s="291">
        <f t="shared" ref="G351:G356" si="10">H351+I351</f>
        <v>1131</v>
      </c>
      <c r="H351" s="1550">
        <v>1048</v>
      </c>
      <c r="I351" s="1551">
        <v>83</v>
      </c>
    </row>
    <row r="352" spans="2:9" x14ac:dyDescent="0.25">
      <c r="B352" s="233"/>
      <c r="C352" s="225"/>
      <c r="D352" s="223" t="s">
        <v>151</v>
      </c>
      <c r="E352" s="223"/>
      <c r="F352" s="307">
        <v>20</v>
      </c>
      <c r="G352" s="296">
        <f t="shared" si="10"/>
        <v>93</v>
      </c>
      <c r="H352" s="1554">
        <v>93</v>
      </c>
      <c r="I352" s="1555">
        <v>0</v>
      </c>
    </row>
    <row r="353" spans="2:9" x14ac:dyDescent="0.25">
      <c r="B353" s="233"/>
      <c r="C353" s="225"/>
      <c r="D353" s="223" t="s">
        <v>149</v>
      </c>
      <c r="E353" s="223"/>
      <c r="F353" s="307">
        <v>21</v>
      </c>
      <c r="G353" s="296">
        <f t="shared" si="10"/>
        <v>1</v>
      </c>
      <c r="H353" s="1554">
        <v>1</v>
      </c>
      <c r="I353" s="1555">
        <v>0</v>
      </c>
    </row>
    <row r="354" spans="2:9" x14ac:dyDescent="0.25">
      <c r="B354" s="233"/>
      <c r="C354" s="225"/>
      <c r="D354" s="222" t="s">
        <v>152</v>
      </c>
      <c r="E354" s="222"/>
      <c r="F354" s="297">
        <v>22</v>
      </c>
      <c r="G354" s="291">
        <f t="shared" si="10"/>
        <v>0</v>
      </c>
      <c r="H354" s="1550">
        <v>0</v>
      </c>
      <c r="I354" s="1551">
        <v>0</v>
      </c>
    </row>
    <row r="355" spans="2:9" x14ac:dyDescent="0.25">
      <c r="B355" s="233"/>
      <c r="C355" s="222" t="s">
        <v>156</v>
      </c>
      <c r="D355" s="222"/>
      <c r="E355" s="222"/>
      <c r="F355" s="297">
        <v>23</v>
      </c>
      <c r="G355" s="291">
        <f t="shared" si="10"/>
        <v>4</v>
      </c>
      <c r="H355" s="1550">
        <v>0</v>
      </c>
      <c r="I355" s="1551">
        <v>4</v>
      </c>
    </row>
    <row r="356" spans="2:9" x14ac:dyDescent="0.25">
      <c r="B356" s="233"/>
      <c r="C356" s="223" t="s">
        <v>150</v>
      </c>
      <c r="D356" s="223"/>
      <c r="E356" s="223"/>
      <c r="F356" s="307">
        <v>24</v>
      </c>
      <c r="G356" s="296">
        <f t="shared" si="10"/>
        <v>36</v>
      </c>
      <c r="H356" s="1554">
        <v>36</v>
      </c>
      <c r="I356" s="1555">
        <v>0</v>
      </c>
    </row>
    <row r="357" spans="2:9" x14ac:dyDescent="0.25">
      <c r="B357" s="233"/>
      <c r="C357" s="250" t="s">
        <v>157</v>
      </c>
      <c r="D357" s="250"/>
      <c r="E357" s="250"/>
      <c r="F357" s="319"/>
      <c r="G357" s="320"/>
      <c r="H357" s="321"/>
      <c r="I357" s="322"/>
    </row>
    <row r="358" spans="2:9" ht="15.75" thickBot="1" x14ac:dyDescent="0.3">
      <c r="B358" s="244"/>
      <c r="C358" s="226" t="s">
        <v>148</v>
      </c>
      <c r="D358" s="226"/>
      <c r="E358" s="226"/>
      <c r="F358" s="299">
        <v>25</v>
      </c>
      <c r="G358" s="300">
        <f>H358+I358</f>
        <v>0</v>
      </c>
      <c r="H358" s="1556">
        <v>0</v>
      </c>
      <c r="I358" s="1557">
        <v>0</v>
      </c>
    </row>
    <row r="359" spans="2:9" ht="16.5" thickTop="1" thickBot="1" x14ac:dyDescent="0.3">
      <c r="F359" s="301"/>
      <c r="G359" s="302"/>
      <c r="H359" s="303"/>
      <c r="I359" s="303"/>
    </row>
    <row r="360" spans="2:9" ht="15.75" thickTop="1" x14ac:dyDescent="0.25">
      <c r="B360" s="261" t="s">
        <v>174</v>
      </c>
      <c r="C360" s="262"/>
      <c r="D360" s="263"/>
      <c r="E360" s="246"/>
      <c r="F360" s="323">
        <v>26</v>
      </c>
      <c r="G360" s="324">
        <f>H360+I360</f>
        <v>1104</v>
      </c>
      <c r="H360" s="324">
        <f>H362+H367</f>
        <v>1078</v>
      </c>
      <c r="I360" s="329">
        <f>I362+I367</f>
        <v>26</v>
      </c>
    </row>
    <row r="361" spans="2:9" x14ac:dyDescent="0.25">
      <c r="B361" s="233"/>
      <c r="C361" s="240" t="s">
        <v>50</v>
      </c>
      <c r="D361" s="225"/>
      <c r="E361" s="225"/>
      <c r="F361" s="286"/>
      <c r="G361" s="287"/>
      <c r="H361" s="288"/>
      <c r="I361" s="289"/>
    </row>
    <row r="362" spans="2:9" x14ac:dyDescent="0.25">
      <c r="B362" s="233"/>
      <c r="C362" s="222" t="s">
        <v>185</v>
      </c>
      <c r="D362" s="222"/>
      <c r="E362" s="222"/>
      <c r="F362" s="297">
        <v>27</v>
      </c>
      <c r="G362" s="689">
        <f>H362+I362</f>
        <v>63</v>
      </c>
      <c r="H362" s="1560">
        <v>62</v>
      </c>
      <c r="I362" s="1551">
        <v>1</v>
      </c>
    </row>
    <row r="363" spans="2:9" x14ac:dyDescent="0.25">
      <c r="B363" s="233"/>
      <c r="C363" s="225"/>
      <c r="D363" s="240" t="s">
        <v>190</v>
      </c>
      <c r="E363" s="225"/>
      <c r="F363" s="286"/>
      <c r="G363" s="390" t="str">
        <f>IF(SUM(G364:G366)=G362, "", G362-SUM(G364:G366))</f>
        <v/>
      </c>
      <c r="H363" s="390" t="str">
        <f>IF(SUM(H364:H366)=H362, "", H362-SUM(H364:H366))</f>
        <v/>
      </c>
      <c r="I363" s="398" t="str">
        <f>IF(SUM(I364:I366)=I362, "", I362-SUM(I364:I366))</f>
        <v/>
      </c>
    </row>
    <row r="364" spans="2:9" x14ac:dyDescent="0.25">
      <c r="B364" s="233"/>
      <c r="C364" s="225"/>
      <c r="D364" s="222" t="s">
        <v>186</v>
      </c>
      <c r="E364" s="222"/>
      <c r="F364" s="297">
        <v>28</v>
      </c>
      <c r="G364" s="291">
        <f>H364+I364</f>
        <v>16</v>
      </c>
      <c r="H364" s="1560">
        <v>16</v>
      </c>
      <c r="I364" s="1551">
        <v>0</v>
      </c>
    </row>
    <row r="365" spans="2:9" x14ac:dyDescent="0.25">
      <c r="B365" s="233"/>
      <c r="C365" s="225"/>
      <c r="D365" s="223" t="s">
        <v>187</v>
      </c>
      <c r="E365" s="225"/>
      <c r="F365" s="297">
        <v>29</v>
      </c>
      <c r="G365" s="291">
        <f>H365+I365</f>
        <v>0</v>
      </c>
      <c r="H365" s="1560">
        <v>0</v>
      </c>
      <c r="I365" s="1551">
        <v>0</v>
      </c>
    </row>
    <row r="366" spans="2:9" x14ac:dyDescent="0.25">
      <c r="B366" s="233"/>
      <c r="C366" s="225"/>
      <c r="D366" s="223" t="s">
        <v>188</v>
      </c>
      <c r="E366" s="223"/>
      <c r="F366" s="307">
        <v>30</v>
      </c>
      <c r="G366" s="296">
        <f>H366+I366</f>
        <v>47</v>
      </c>
      <c r="H366" s="1561">
        <v>46</v>
      </c>
      <c r="I366" s="1555">
        <v>1</v>
      </c>
    </row>
    <row r="367" spans="2:9" x14ac:dyDescent="0.25">
      <c r="B367" s="233"/>
      <c r="C367" s="222" t="s">
        <v>189</v>
      </c>
      <c r="D367" s="222"/>
      <c r="E367" s="222"/>
      <c r="F367" s="297">
        <v>31</v>
      </c>
      <c r="G367" s="689">
        <f>H367+I367</f>
        <v>1041</v>
      </c>
      <c r="H367" s="689">
        <f>SUM(H369:H372)</f>
        <v>1016</v>
      </c>
      <c r="I367" s="298">
        <f>SUM(I369:I372)</f>
        <v>25</v>
      </c>
    </row>
    <row r="368" spans="2:9" x14ac:dyDescent="0.25">
      <c r="B368" s="233"/>
      <c r="C368" s="225"/>
      <c r="D368" s="240" t="s">
        <v>191</v>
      </c>
      <c r="E368" s="225"/>
      <c r="F368" s="286"/>
      <c r="G368" s="287" t="str">
        <f>IF(SUM(G369:G372)=G367, "", G367-SUM(G369:G372))</f>
        <v/>
      </c>
      <c r="H368" s="693" t="str">
        <f>IF(SUM(H369:H372)=H367, "", H367-SUM(H369:H372))</f>
        <v/>
      </c>
      <c r="I368" s="289" t="str">
        <f>IF(SUM(I369:I372)=I367, "", I367-SUM(I369:I372))</f>
        <v/>
      </c>
    </row>
    <row r="369" spans="1:9" x14ac:dyDescent="0.25">
      <c r="B369" s="233"/>
      <c r="C369" s="225"/>
      <c r="D369" s="222" t="s">
        <v>186</v>
      </c>
      <c r="E369" s="222"/>
      <c r="F369" s="297">
        <v>32</v>
      </c>
      <c r="G369" s="291">
        <f>H369+I369</f>
        <v>932</v>
      </c>
      <c r="H369" s="1560">
        <v>912</v>
      </c>
      <c r="I369" s="1551">
        <v>20</v>
      </c>
    </row>
    <row r="370" spans="1:9" x14ac:dyDescent="0.25">
      <c r="B370" s="233"/>
      <c r="C370" s="225"/>
      <c r="D370" s="222" t="s">
        <v>187</v>
      </c>
      <c r="E370" s="222"/>
      <c r="F370" s="297">
        <v>33</v>
      </c>
      <c r="G370" s="291">
        <f>H370+I370</f>
        <v>1</v>
      </c>
      <c r="H370" s="1560">
        <v>0</v>
      </c>
      <c r="I370" s="1551">
        <v>1</v>
      </c>
    </row>
    <row r="371" spans="1:9" x14ac:dyDescent="0.25">
      <c r="B371" s="233"/>
      <c r="C371" s="225"/>
      <c r="D371" s="222" t="s">
        <v>188</v>
      </c>
      <c r="E371" s="222"/>
      <c r="F371" s="297">
        <v>34</v>
      </c>
      <c r="G371" s="291">
        <f>H371+I371</f>
        <v>65</v>
      </c>
      <c r="H371" s="1560">
        <v>65</v>
      </c>
      <c r="I371" s="1551">
        <v>0</v>
      </c>
    </row>
    <row r="372" spans="1:9" ht="15.75" thickBot="1" x14ac:dyDescent="0.3">
      <c r="B372" s="234"/>
      <c r="C372" s="235"/>
      <c r="D372" s="259" t="s">
        <v>153</v>
      </c>
      <c r="E372" s="259"/>
      <c r="F372" s="325">
        <v>35</v>
      </c>
      <c r="G372" s="326">
        <f>H372+I372</f>
        <v>43</v>
      </c>
      <c r="H372" s="1562">
        <v>39</v>
      </c>
      <c r="I372" s="1563">
        <v>4</v>
      </c>
    </row>
    <row r="373" spans="1:9" x14ac:dyDescent="0.25">
      <c r="B373" s="260" t="s">
        <v>177</v>
      </c>
      <c r="C373" s="242"/>
      <c r="D373" s="242"/>
      <c r="E373" s="242"/>
      <c r="F373" s="327">
        <v>36</v>
      </c>
      <c r="G373" s="285">
        <f>H373+I373</f>
        <v>1060</v>
      </c>
      <c r="H373" s="699">
        <f>H364+H366+H369+H371</f>
        <v>1039</v>
      </c>
      <c r="I373" s="294">
        <f>I364+I366+I369+I371</f>
        <v>21</v>
      </c>
    </row>
    <row r="374" spans="1:9" x14ac:dyDescent="0.25">
      <c r="B374" s="233"/>
      <c r="C374" s="240" t="s">
        <v>155</v>
      </c>
      <c r="D374" s="225"/>
      <c r="E374" s="250"/>
      <c r="F374" s="286"/>
      <c r="G374" s="390" t="str">
        <f>IF(SUM(G375:G377)=G373, "", G373-SUM(G375:G377))</f>
        <v/>
      </c>
      <c r="H374" s="390" t="str">
        <f>IF(SUM(H375:H377)=H373, "", H373-SUM(H375:H377))</f>
        <v/>
      </c>
      <c r="I374" s="398" t="str">
        <f>IF(SUM(I375:I377)=I373, "", I373-SUM(I375:I377))</f>
        <v/>
      </c>
    </row>
    <row r="375" spans="1:9" x14ac:dyDescent="0.25">
      <c r="B375" s="233"/>
      <c r="C375" s="222" t="s">
        <v>178</v>
      </c>
      <c r="D375" s="222"/>
      <c r="E375" s="222"/>
      <c r="F375" s="297">
        <v>37</v>
      </c>
      <c r="G375" s="291">
        <f>H375+I375</f>
        <v>900</v>
      </c>
      <c r="H375" s="1550">
        <v>886</v>
      </c>
      <c r="I375" s="1551">
        <v>14</v>
      </c>
    </row>
    <row r="376" spans="1:9" x14ac:dyDescent="0.25">
      <c r="B376" s="233"/>
      <c r="C376" s="223" t="s">
        <v>151</v>
      </c>
      <c r="D376" s="223"/>
      <c r="E376" s="223"/>
      <c r="F376" s="307">
        <v>38</v>
      </c>
      <c r="G376" s="296">
        <f>H376+I376</f>
        <v>146</v>
      </c>
      <c r="H376" s="1554">
        <v>146</v>
      </c>
      <c r="I376" s="1555">
        <v>0</v>
      </c>
    </row>
    <row r="377" spans="1:9" ht="15.75" thickBot="1" x14ac:dyDescent="0.3">
      <c r="B377" s="244"/>
      <c r="C377" s="226" t="s">
        <v>152</v>
      </c>
      <c r="D377" s="226"/>
      <c r="E377" s="226"/>
      <c r="F377" s="299">
        <v>39</v>
      </c>
      <c r="G377" s="300">
        <f>H377+I377</f>
        <v>14</v>
      </c>
      <c r="H377" s="1556">
        <v>7</v>
      </c>
      <c r="I377" s="1557">
        <v>7</v>
      </c>
    </row>
    <row r="378" spans="1:9" ht="15.75" thickTop="1" x14ac:dyDescent="0.25">
      <c r="G378" s="412" t="str">
        <f>IF(SUM(G375:G377)=G373, "", SUM(G375:G377))</f>
        <v/>
      </c>
      <c r="H378" s="412" t="str">
        <f>IF(SUM(H375:H377)=H373, "", SUM(H375:H377))</f>
        <v/>
      </c>
      <c r="I378" s="412" t="str">
        <f>IF(SUM(I375:I377)=I373, "", SUM(I375:I377))</f>
        <v/>
      </c>
    </row>
    <row r="379" spans="1:9" x14ac:dyDescent="0.25">
      <c r="B379" s="221" t="s">
        <v>123</v>
      </c>
      <c r="D379" s="220" t="s">
        <v>180</v>
      </c>
      <c r="H379" t="s">
        <v>182</v>
      </c>
    </row>
    <row r="380" spans="1:9" x14ac:dyDescent="0.25">
      <c r="B380" s="221" t="s">
        <v>181</v>
      </c>
      <c r="D380" s="220" t="s">
        <v>180</v>
      </c>
      <c r="H380" s="256" t="s">
        <v>126</v>
      </c>
    </row>
    <row r="382" spans="1:9" ht="26.25" x14ac:dyDescent="0.4">
      <c r="A382" s="267" t="s">
        <v>197</v>
      </c>
      <c r="B382" s="221" t="s">
        <v>116</v>
      </c>
      <c r="C382" s="212"/>
      <c r="D382" s="220"/>
      <c r="E382" s="220"/>
      <c r="F382" s="212"/>
      <c r="G382" s="220"/>
      <c r="H382" s="220"/>
      <c r="I382" s="256" t="s">
        <v>175</v>
      </c>
    </row>
    <row r="383" spans="1:9" x14ac:dyDescent="0.25">
      <c r="B383" s="257" t="s">
        <v>129</v>
      </c>
      <c r="C383" s="212"/>
      <c r="D383" s="220"/>
      <c r="E383" s="257"/>
      <c r="F383" s="220"/>
      <c r="G383" s="220"/>
      <c r="H383" s="220"/>
      <c r="I383" s="220"/>
    </row>
    <row r="384" spans="1:9" ht="15.75" x14ac:dyDescent="0.25">
      <c r="B384" s="221" t="s">
        <v>128</v>
      </c>
      <c r="C384" s="212"/>
      <c r="D384" s="220"/>
      <c r="F384" s="220"/>
      <c r="G384" s="220"/>
      <c r="H384" s="1721" t="str">
        <f>$H$80</f>
        <v>Termin: 29 luty 2012 r.</v>
      </c>
      <c r="I384" s="1721"/>
    </row>
    <row r="385" spans="2:9" x14ac:dyDescent="0.25">
      <c r="B385" s="258"/>
      <c r="C385" s="212"/>
      <c r="D385" s="220"/>
      <c r="E385" s="220"/>
      <c r="F385" s="220"/>
      <c r="G385" s="220"/>
      <c r="H385" s="220"/>
      <c r="I385" s="220"/>
    </row>
    <row r="386" spans="2:9" x14ac:dyDescent="0.25">
      <c r="B386" s="221" t="s">
        <v>130</v>
      </c>
      <c r="C386" s="212"/>
      <c r="D386" s="220"/>
      <c r="E386" s="220"/>
      <c r="F386" s="220"/>
      <c r="G386" s="220"/>
      <c r="H386" s="220"/>
      <c r="I386" s="220"/>
    </row>
    <row r="387" spans="2:9" x14ac:dyDescent="0.25">
      <c r="B387" s="221" t="s">
        <v>131</v>
      </c>
      <c r="C387" s="212"/>
      <c r="D387" s="220"/>
      <c r="E387" s="220"/>
      <c r="F387" s="220"/>
      <c r="G387" s="220"/>
      <c r="H387" s="220"/>
      <c r="I387" s="220"/>
    </row>
    <row r="388" spans="2:9" ht="15.75" x14ac:dyDescent="0.25">
      <c r="B388" s="1"/>
      <c r="C388" s="255"/>
      <c r="D388" s="12"/>
      <c r="E388" s="12"/>
      <c r="F388" s="12"/>
      <c r="G388" s="12"/>
      <c r="H388" s="12"/>
      <c r="I388" s="12"/>
    </row>
    <row r="389" spans="2:9" ht="15.75" x14ac:dyDescent="0.25">
      <c r="B389" s="1"/>
      <c r="C389" s="255"/>
      <c r="D389" s="12"/>
      <c r="E389" s="1" t="s">
        <v>47</v>
      </c>
      <c r="F389" s="12"/>
      <c r="G389" s="12"/>
      <c r="H389" s="12"/>
      <c r="I389" s="12"/>
    </row>
    <row r="390" spans="2:9" ht="15.75" x14ac:dyDescent="0.25">
      <c r="B390" s="1"/>
      <c r="C390" s="255"/>
      <c r="D390" s="12"/>
      <c r="E390" s="1" t="s">
        <v>176</v>
      </c>
      <c r="F390" s="12"/>
      <c r="G390" s="12"/>
      <c r="H390" s="12"/>
      <c r="I390" s="12"/>
    </row>
    <row r="391" spans="2:9" ht="15.75" x14ac:dyDescent="0.25">
      <c r="B391" s="1"/>
      <c r="C391" s="255"/>
      <c r="D391" s="12"/>
      <c r="E391" s="1162" t="str">
        <f>$E$11</f>
        <v>SAMORZĄDÓW  POWIATOWYCH  I  PODMIOTÓW  NIEPUBLICZNYCH  W 2011 r.</v>
      </c>
      <c r="F391" s="12"/>
      <c r="G391" s="12"/>
      <c r="H391" s="12"/>
      <c r="I391" s="12"/>
    </row>
    <row r="392" spans="2:9" ht="15.75" x14ac:dyDescent="0.25">
      <c r="B392" s="1"/>
      <c r="C392" s="255"/>
      <c r="D392" s="12"/>
      <c r="E392" s="12"/>
      <c r="F392" s="12"/>
      <c r="G392" s="12"/>
      <c r="H392" s="12"/>
      <c r="I392" s="12"/>
    </row>
    <row r="393" spans="2:9" ht="15.75" thickBot="1" x14ac:dyDescent="0.3"/>
    <row r="394" spans="2:9" ht="16.5" thickTop="1" x14ac:dyDescent="0.25">
      <c r="B394" s="214"/>
      <c r="C394" s="227"/>
      <c r="D394" s="227"/>
      <c r="E394" s="227"/>
      <c r="F394" s="252"/>
      <c r="G394" s="229" t="s">
        <v>48</v>
      </c>
      <c r="H394" s="1722" t="s">
        <v>20</v>
      </c>
      <c r="I394" s="1723"/>
    </row>
    <row r="395" spans="2:9" ht="15.75" x14ac:dyDescent="0.25">
      <c r="B395" s="215"/>
      <c r="C395" s="225"/>
      <c r="D395" s="225"/>
      <c r="E395" s="225" t="s">
        <v>21</v>
      </c>
      <c r="F395" s="253"/>
      <c r="G395" s="230" t="s">
        <v>5</v>
      </c>
      <c r="H395" s="216" t="s">
        <v>22</v>
      </c>
      <c r="I395" s="217" t="s">
        <v>23</v>
      </c>
    </row>
    <row r="396" spans="2:9" ht="15.75" x14ac:dyDescent="0.25">
      <c r="B396" s="194"/>
      <c r="C396" s="225"/>
      <c r="D396" s="225"/>
      <c r="E396" s="225"/>
      <c r="F396" s="253"/>
      <c r="G396" s="218" t="s">
        <v>24</v>
      </c>
      <c r="H396" s="218" t="s">
        <v>25</v>
      </c>
      <c r="I396" s="219" t="s">
        <v>26</v>
      </c>
    </row>
    <row r="397" spans="2:9" ht="15.75" thickBot="1" x14ac:dyDescent="0.3">
      <c r="B397" s="61"/>
      <c r="C397" s="228"/>
      <c r="D397" s="228"/>
      <c r="E397" s="211">
        <v>0</v>
      </c>
      <c r="F397" s="254"/>
      <c r="G397" s="2">
        <v>1</v>
      </c>
      <c r="H397" s="2">
        <v>2</v>
      </c>
      <c r="I397" s="7">
        <v>3</v>
      </c>
    </row>
    <row r="398" spans="2:9" ht="16.5" thickTop="1" thickBot="1" x14ac:dyDescent="0.3">
      <c r="B398" s="231"/>
      <c r="G398" s="793"/>
      <c r="H398" s="793"/>
      <c r="I398" s="793"/>
    </row>
    <row r="399" spans="2:9" ht="16.5" thickTop="1" thickBot="1" x14ac:dyDescent="0.3">
      <c r="B399" s="1168" t="str">
        <f>$B$19</f>
        <v>Wg stanu na dzień 31.XII.2010 r.</v>
      </c>
      <c r="C399" s="232"/>
      <c r="D399" s="232"/>
      <c r="E399" s="232"/>
      <c r="F399" s="282" t="s">
        <v>165</v>
      </c>
      <c r="G399" s="698">
        <f>H399+I399</f>
        <v>6057</v>
      </c>
      <c r="H399" s="1564">
        <v>5780</v>
      </c>
      <c r="I399" s="1565">
        <v>277</v>
      </c>
    </row>
    <row r="400" spans="2:9" x14ac:dyDescent="0.25">
      <c r="B400" s="1169" t="str">
        <f>$B$20</f>
        <v>Przyjętych w ciągu 2011 r.</v>
      </c>
      <c r="C400" s="242"/>
      <c r="D400" s="242"/>
      <c r="E400" s="242"/>
      <c r="F400" s="284" t="s">
        <v>166</v>
      </c>
      <c r="G400" s="285">
        <f>H400+I400</f>
        <v>1054</v>
      </c>
      <c r="H400" s="784">
        <f>H402+H403</f>
        <v>1014</v>
      </c>
      <c r="I400" s="785">
        <f>I402+I403</f>
        <v>40</v>
      </c>
    </row>
    <row r="401" spans="2:9" x14ac:dyDescent="0.25">
      <c r="B401" s="233"/>
      <c r="C401" s="241" t="s">
        <v>49</v>
      </c>
      <c r="D401" s="225"/>
      <c r="E401" s="225"/>
      <c r="F401" s="286"/>
      <c r="G401" s="287"/>
      <c r="H401" s="389" t="str">
        <f>IF(SUM(H402:H403)=H400, "", "?")</f>
        <v/>
      </c>
      <c r="I401" s="388" t="str">
        <f>IF(SUM(I402:I403)=I400, "", "?")</f>
        <v/>
      </c>
    </row>
    <row r="402" spans="2:9" x14ac:dyDescent="0.25">
      <c r="B402" s="233"/>
      <c r="C402" s="237" t="s">
        <v>158</v>
      </c>
      <c r="D402" s="222"/>
      <c r="E402" s="222"/>
      <c r="F402" s="290" t="s">
        <v>167</v>
      </c>
      <c r="G402" s="291">
        <f>H402+I402</f>
        <v>61</v>
      </c>
      <c r="H402" s="1560">
        <v>58</v>
      </c>
      <c r="I402" s="1551">
        <v>3</v>
      </c>
    </row>
    <row r="403" spans="2:9" ht="15.75" thickBot="1" x14ac:dyDescent="0.3">
      <c r="B403" s="234"/>
      <c r="C403" s="238" t="s">
        <v>159</v>
      </c>
      <c r="D403" s="235"/>
      <c r="E403" s="235"/>
      <c r="F403" s="292" t="s">
        <v>168</v>
      </c>
      <c r="G403" s="293">
        <f>H403+I403</f>
        <v>993</v>
      </c>
      <c r="H403" s="1552">
        <v>956</v>
      </c>
      <c r="I403" s="1553">
        <v>37</v>
      </c>
    </row>
    <row r="404" spans="2:9" x14ac:dyDescent="0.25">
      <c r="B404" s="1170" t="str">
        <f>$B$24</f>
        <v>Odeszło w ciągu 2011 r. (w.06 do w.09)</v>
      </c>
      <c r="C404" s="242"/>
      <c r="D404" s="242"/>
      <c r="E404" s="242"/>
      <c r="F404" s="284" t="s">
        <v>169</v>
      </c>
      <c r="G404" s="285">
        <f>H404+I404</f>
        <v>1001</v>
      </c>
      <c r="H404" s="285">
        <f>SUM(H406:H409)</f>
        <v>957</v>
      </c>
      <c r="I404" s="294">
        <f>SUM(I406:I409)</f>
        <v>44</v>
      </c>
    </row>
    <row r="405" spans="2:9" x14ac:dyDescent="0.25">
      <c r="B405" s="251"/>
      <c r="C405" s="240" t="s">
        <v>49</v>
      </c>
      <c r="D405" s="225"/>
      <c r="E405" s="225"/>
      <c r="F405" s="286"/>
      <c r="G405" s="287"/>
      <c r="H405" s="288"/>
      <c r="I405" s="289"/>
    </row>
    <row r="406" spans="2:9" x14ac:dyDescent="0.25">
      <c r="B406" s="233"/>
      <c r="C406" s="237" t="s">
        <v>160</v>
      </c>
      <c r="D406" s="222"/>
      <c r="E406" s="222"/>
      <c r="F406" s="290" t="s">
        <v>170</v>
      </c>
      <c r="G406" s="291">
        <f>H406+I406</f>
        <v>62</v>
      </c>
      <c r="H406" s="1550">
        <v>52</v>
      </c>
      <c r="I406" s="1566">
        <v>10</v>
      </c>
    </row>
    <row r="407" spans="2:9" x14ac:dyDescent="0.25">
      <c r="B407" s="233"/>
      <c r="C407" s="243" t="s">
        <v>161</v>
      </c>
      <c r="D407" s="223"/>
      <c r="E407" s="223"/>
      <c r="F407" s="295" t="s">
        <v>171</v>
      </c>
      <c r="G407" s="296">
        <f>H407+I407</f>
        <v>47</v>
      </c>
      <c r="H407" s="1554">
        <v>43</v>
      </c>
      <c r="I407" s="1555">
        <v>4</v>
      </c>
    </row>
    <row r="408" spans="2:9" x14ac:dyDescent="0.25">
      <c r="B408" s="233"/>
      <c r="C408" s="243" t="s">
        <v>162</v>
      </c>
      <c r="D408" s="223"/>
      <c r="E408" s="223"/>
      <c r="F408" s="295" t="s">
        <v>172</v>
      </c>
      <c r="G408" s="296">
        <f>H408+I408</f>
        <v>50</v>
      </c>
      <c r="H408" s="1554">
        <v>50</v>
      </c>
      <c r="I408" s="1555">
        <v>0</v>
      </c>
    </row>
    <row r="409" spans="2:9" ht="15.75" thickBot="1" x14ac:dyDescent="0.3">
      <c r="B409" s="234"/>
      <c r="C409" s="238" t="s">
        <v>163</v>
      </c>
      <c r="D409" s="235"/>
      <c r="E409" s="235"/>
      <c r="F409" s="292" t="s">
        <v>173</v>
      </c>
      <c r="G409" s="293">
        <f>H409+I409</f>
        <v>842</v>
      </c>
      <c r="H409" s="1552">
        <v>812</v>
      </c>
      <c r="I409" s="1553">
        <v>30</v>
      </c>
    </row>
    <row r="410" spans="2:9" x14ac:dyDescent="0.25">
      <c r="B410" s="1171" t="str">
        <f>$B$30</f>
        <v>Wg stanu na dzień 31.XII.2011 r.</v>
      </c>
      <c r="C410" s="225"/>
      <c r="D410" s="225"/>
      <c r="E410" s="225"/>
      <c r="F410" s="879"/>
      <c r="G410" s="922" t="str">
        <f>IF('Tab.2. l.d.m.m._Polska'!G201=G411,"","t2w1k3"&amp;"="&amp;'Tab.2. l.d.m.m._Polska'!G201)</f>
        <v/>
      </c>
      <c r="H410" s="922" t="str">
        <f>IF('Tab.2. l.d.m.m._Polska'!K201=H411,"","t2w1k6"&amp;"="&amp;'Tab.2. l.d.m.m._Polska'!K201)</f>
        <v/>
      </c>
      <c r="I410" s="923" t="str">
        <f>IF('Tab.2. l.d.m.m._Polska'!O201=I411,"","t2w1k9"&amp;"="&amp;'Tab.2. l.d.m.m._Polska'!O201)</f>
        <v/>
      </c>
    </row>
    <row r="411" spans="2:9" x14ac:dyDescent="0.25">
      <c r="B411" s="245" t="s">
        <v>194</v>
      </c>
      <c r="C411" s="222"/>
      <c r="D411" s="222"/>
      <c r="E411" s="222"/>
      <c r="F411" s="297">
        <v>10</v>
      </c>
      <c r="G411" s="689">
        <f>H411+I411</f>
        <v>6110</v>
      </c>
      <c r="H411" s="689">
        <f>IF(H399+H400-H404=SUM(H416:H420), H399+H400-H404, (H399+H400-H404)-SUM(H416:H420))</f>
        <v>5837</v>
      </c>
      <c r="I411" s="690">
        <f>IF(I399+I400-I404=SUM(I416:I420), I399+I400-I404, (I399+I400-I404)-SUM(I416:I420))</f>
        <v>273</v>
      </c>
    </row>
    <row r="412" spans="2:9" x14ac:dyDescent="0.25">
      <c r="B412" s="233"/>
      <c r="C412" s="240" t="s">
        <v>50</v>
      </c>
      <c r="D412" s="225"/>
      <c r="E412" s="225"/>
      <c r="F412" s="286"/>
      <c r="G412" s="287"/>
      <c r="H412" s="288"/>
      <c r="I412" s="289"/>
    </row>
    <row r="413" spans="2:9" ht="15.75" thickBot="1" x14ac:dyDescent="0.3">
      <c r="B413" s="244"/>
      <c r="C413" s="239" t="s">
        <v>164</v>
      </c>
      <c r="D413" s="226"/>
      <c r="E413" s="226"/>
      <c r="F413" s="299">
        <v>11</v>
      </c>
      <c r="G413" s="300">
        <f>H413+I413</f>
        <v>822</v>
      </c>
      <c r="H413" s="1556">
        <v>754</v>
      </c>
      <c r="I413" s="1557">
        <v>68</v>
      </c>
    </row>
    <row r="414" spans="2:9" ht="16.5" thickTop="1" thickBot="1" x14ac:dyDescent="0.3">
      <c r="B414" s="236"/>
      <c r="F414" s="301"/>
      <c r="G414" s="405" t="str">
        <f>IF(SUM(G416:G420)=G411,"","Uwaga! "&amp;SUM(G416:G420))</f>
        <v/>
      </c>
      <c r="H414" s="405" t="str">
        <f>IF(SUM(H416:H420)=H411,"","Uwaga! "&amp;SUM(H416:H420))</f>
        <v/>
      </c>
      <c r="I414" s="405" t="str">
        <f>IF(SUM(I416:I420)=I411,"","Uwaga! "&amp;SUM(I416:I420))</f>
        <v/>
      </c>
    </row>
    <row r="415" spans="2:9" ht="15.75" thickTop="1" x14ac:dyDescent="0.25">
      <c r="B415" s="213" t="s">
        <v>183</v>
      </c>
      <c r="C415" s="246"/>
      <c r="D415" s="246"/>
      <c r="E415" s="246"/>
      <c r="F415" s="304"/>
      <c r="G415" s="305" t="s">
        <v>142</v>
      </c>
      <c r="H415" s="305" t="s">
        <v>142</v>
      </c>
      <c r="I415" s="306" t="s">
        <v>142</v>
      </c>
    </row>
    <row r="416" spans="2:9" x14ac:dyDescent="0.25">
      <c r="B416" s="247" t="s">
        <v>52</v>
      </c>
      <c r="C416" s="223"/>
      <c r="D416" s="223"/>
      <c r="E416" s="223"/>
      <c r="F416" s="307">
        <v>12</v>
      </c>
      <c r="G416" s="296">
        <f>H416+I416</f>
        <v>50</v>
      </c>
      <c r="H416" s="1554">
        <v>38</v>
      </c>
      <c r="I416" s="1555">
        <v>12</v>
      </c>
    </row>
    <row r="417" spans="2:9" x14ac:dyDescent="0.25">
      <c r="B417" s="247" t="s">
        <v>53</v>
      </c>
      <c r="C417" s="223"/>
      <c r="D417" s="223"/>
      <c r="E417" s="223"/>
      <c r="F417" s="307">
        <v>13</v>
      </c>
      <c r="G417" s="296">
        <f>H417+I417</f>
        <v>679</v>
      </c>
      <c r="H417" s="1554">
        <v>640</v>
      </c>
      <c r="I417" s="1555">
        <v>39</v>
      </c>
    </row>
    <row r="418" spans="2:9" x14ac:dyDescent="0.25">
      <c r="B418" s="247" t="s">
        <v>54</v>
      </c>
      <c r="C418" s="223"/>
      <c r="D418" s="223"/>
      <c r="E418" s="223"/>
      <c r="F418" s="307">
        <v>14</v>
      </c>
      <c r="G418" s="296">
        <f>H418+I418</f>
        <v>1814</v>
      </c>
      <c r="H418" s="1554">
        <v>1748</v>
      </c>
      <c r="I418" s="1555">
        <v>66</v>
      </c>
    </row>
    <row r="419" spans="2:9" x14ac:dyDescent="0.25">
      <c r="B419" s="247" t="s">
        <v>55</v>
      </c>
      <c r="C419" s="223"/>
      <c r="D419" s="223"/>
      <c r="E419" s="223"/>
      <c r="F419" s="307">
        <v>15</v>
      </c>
      <c r="G419" s="296">
        <f>H419+I419</f>
        <v>1651</v>
      </c>
      <c r="H419" s="1554">
        <v>1585</v>
      </c>
      <c r="I419" s="1555">
        <v>66</v>
      </c>
    </row>
    <row r="420" spans="2:9" ht="15.75" thickBot="1" x14ac:dyDescent="0.3">
      <c r="B420" s="248" t="s">
        <v>56</v>
      </c>
      <c r="C420" s="224"/>
      <c r="D420" s="224"/>
      <c r="E420" s="224"/>
      <c r="F420" s="308">
        <v>16</v>
      </c>
      <c r="G420" s="309">
        <f>H420+I420</f>
        <v>1916</v>
      </c>
      <c r="H420" s="1558">
        <v>1826</v>
      </c>
      <c r="I420" s="1559">
        <v>90</v>
      </c>
    </row>
    <row r="421" spans="2:9" ht="16.5" thickTop="1" thickBot="1" x14ac:dyDescent="0.3">
      <c r="B421" s="236"/>
      <c r="C421" s="225"/>
      <c r="D421" s="225"/>
      <c r="E421" s="225"/>
      <c r="F421" s="310"/>
      <c r="G421" s="311"/>
      <c r="H421" s="312"/>
      <c r="I421" s="312"/>
    </row>
    <row r="422" spans="2:9" ht="15.75" thickTop="1" x14ac:dyDescent="0.25">
      <c r="B422" s="249" t="s">
        <v>184</v>
      </c>
      <c r="C422" s="227"/>
      <c r="D422" s="227"/>
      <c r="E422" s="227"/>
      <c r="F422" s="313"/>
      <c r="G422" s="314"/>
      <c r="H422" s="315"/>
      <c r="I422" s="316"/>
    </row>
    <row r="423" spans="2:9" x14ac:dyDescent="0.25">
      <c r="B423" s="245" t="s">
        <v>179</v>
      </c>
      <c r="C423" s="222"/>
      <c r="D423" s="222"/>
      <c r="E423" s="222"/>
      <c r="F423" s="297">
        <v>17</v>
      </c>
      <c r="G423" s="689">
        <f>H423+I423</f>
        <v>3182</v>
      </c>
      <c r="H423" s="689">
        <f>H425+H431</f>
        <v>3027</v>
      </c>
      <c r="I423" s="690">
        <f>I425+I431</f>
        <v>155</v>
      </c>
    </row>
    <row r="424" spans="2:9" x14ac:dyDescent="0.25">
      <c r="B424" s="233"/>
      <c r="C424" s="240" t="s">
        <v>49</v>
      </c>
      <c r="D424" s="225"/>
      <c r="E424" s="225"/>
      <c r="F424" s="286"/>
      <c r="G424" s="287"/>
      <c r="H424" s="288"/>
      <c r="I424" s="289"/>
    </row>
    <row r="425" spans="2:9" x14ac:dyDescent="0.25">
      <c r="B425" s="233"/>
      <c r="C425" s="222" t="s">
        <v>154</v>
      </c>
      <c r="D425" s="222"/>
      <c r="E425" s="222"/>
      <c r="F425" s="297">
        <v>18</v>
      </c>
      <c r="G425" s="291">
        <f>H425+I425</f>
        <v>3176</v>
      </c>
      <c r="H425" s="317">
        <f>SUM(H427:H430)</f>
        <v>3023</v>
      </c>
      <c r="I425" s="318">
        <f>SUM(I427:I430)</f>
        <v>153</v>
      </c>
    </row>
    <row r="426" spans="2:9" x14ac:dyDescent="0.25">
      <c r="B426" s="233"/>
      <c r="C426" s="225"/>
      <c r="D426" s="240" t="s">
        <v>155</v>
      </c>
      <c r="E426" s="225"/>
      <c r="F426" s="286"/>
      <c r="G426" s="287"/>
      <c r="H426" s="288"/>
      <c r="I426" s="289"/>
    </row>
    <row r="427" spans="2:9" x14ac:dyDescent="0.25">
      <c r="B427" s="233"/>
      <c r="C427" s="225"/>
      <c r="D427" s="222" t="s">
        <v>178</v>
      </c>
      <c r="E427" s="222"/>
      <c r="F427" s="297">
        <v>19</v>
      </c>
      <c r="G427" s="291">
        <f t="shared" ref="G427:G432" si="11">H427+I427</f>
        <v>2792</v>
      </c>
      <c r="H427" s="1550">
        <v>2654</v>
      </c>
      <c r="I427" s="1551">
        <v>138</v>
      </c>
    </row>
    <row r="428" spans="2:9" x14ac:dyDescent="0.25">
      <c r="B428" s="233"/>
      <c r="C428" s="225"/>
      <c r="D428" s="223" t="s">
        <v>151</v>
      </c>
      <c r="E428" s="223"/>
      <c r="F428" s="307">
        <v>20</v>
      </c>
      <c r="G428" s="296">
        <f t="shared" si="11"/>
        <v>379</v>
      </c>
      <c r="H428" s="1554">
        <v>367</v>
      </c>
      <c r="I428" s="1555">
        <v>12</v>
      </c>
    </row>
    <row r="429" spans="2:9" x14ac:dyDescent="0.25">
      <c r="B429" s="233"/>
      <c r="C429" s="225"/>
      <c r="D429" s="223" t="s">
        <v>149</v>
      </c>
      <c r="E429" s="223"/>
      <c r="F429" s="307">
        <v>21</v>
      </c>
      <c r="G429" s="296">
        <f t="shared" si="11"/>
        <v>3</v>
      </c>
      <c r="H429" s="1554">
        <v>0</v>
      </c>
      <c r="I429" s="1555">
        <v>3</v>
      </c>
    </row>
    <row r="430" spans="2:9" x14ac:dyDescent="0.25">
      <c r="B430" s="233"/>
      <c r="C430" s="225"/>
      <c r="D430" s="222" t="s">
        <v>152</v>
      </c>
      <c r="E430" s="222"/>
      <c r="F430" s="297">
        <v>22</v>
      </c>
      <c r="G430" s="291">
        <f t="shared" si="11"/>
        <v>2</v>
      </c>
      <c r="H430" s="1550">
        <v>2</v>
      </c>
      <c r="I430" s="1551">
        <v>0</v>
      </c>
    </row>
    <row r="431" spans="2:9" x14ac:dyDescent="0.25">
      <c r="B431" s="233"/>
      <c r="C431" s="222" t="s">
        <v>156</v>
      </c>
      <c r="D431" s="222"/>
      <c r="E431" s="222"/>
      <c r="F431" s="297">
        <v>23</v>
      </c>
      <c r="G431" s="291">
        <f t="shared" si="11"/>
        <v>6</v>
      </c>
      <c r="H431" s="1550">
        <v>4</v>
      </c>
      <c r="I431" s="1551">
        <v>2</v>
      </c>
    </row>
    <row r="432" spans="2:9" x14ac:dyDescent="0.25">
      <c r="B432" s="233"/>
      <c r="C432" s="223" t="s">
        <v>150</v>
      </c>
      <c r="D432" s="223"/>
      <c r="E432" s="223"/>
      <c r="F432" s="307">
        <v>24</v>
      </c>
      <c r="G432" s="296">
        <f t="shared" si="11"/>
        <v>38</v>
      </c>
      <c r="H432" s="1554">
        <v>37</v>
      </c>
      <c r="I432" s="1555">
        <v>1</v>
      </c>
    </row>
    <row r="433" spans="2:9" x14ac:dyDescent="0.25">
      <c r="B433" s="233"/>
      <c r="C433" s="250" t="s">
        <v>157</v>
      </c>
      <c r="D433" s="250"/>
      <c r="E433" s="250"/>
      <c r="F433" s="319"/>
      <c r="G433" s="320"/>
      <c r="H433" s="321"/>
      <c r="I433" s="322"/>
    </row>
    <row r="434" spans="2:9" ht="15.75" thickBot="1" x14ac:dyDescent="0.3">
      <c r="B434" s="244"/>
      <c r="C434" s="226" t="s">
        <v>148</v>
      </c>
      <c r="D434" s="226"/>
      <c r="E434" s="226"/>
      <c r="F434" s="299">
        <v>25</v>
      </c>
      <c r="G434" s="300">
        <f>H434+I434</f>
        <v>6</v>
      </c>
      <c r="H434" s="1556">
        <v>6</v>
      </c>
      <c r="I434" s="1557">
        <v>0</v>
      </c>
    </row>
    <row r="435" spans="2:9" ht="16.5" thickTop="1" thickBot="1" x14ac:dyDescent="0.3">
      <c r="F435" s="301"/>
      <c r="G435" s="302"/>
      <c r="H435" s="303"/>
      <c r="I435" s="303"/>
    </row>
    <row r="436" spans="2:9" ht="15.75" thickTop="1" x14ac:dyDescent="0.25">
      <c r="B436" s="261" t="s">
        <v>174</v>
      </c>
      <c r="C436" s="262"/>
      <c r="D436" s="263"/>
      <c r="E436" s="246"/>
      <c r="F436" s="323">
        <v>26</v>
      </c>
      <c r="G436" s="1109">
        <f>H436+I436</f>
        <v>2928</v>
      </c>
      <c r="H436" s="1109">
        <f>H438+H443</f>
        <v>2810</v>
      </c>
      <c r="I436" s="1108">
        <f>I438+I443</f>
        <v>118</v>
      </c>
    </row>
    <row r="437" spans="2:9" x14ac:dyDescent="0.25">
      <c r="B437" s="233"/>
      <c r="C437" s="240" t="s">
        <v>50</v>
      </c>
      <c r="D437" s="225"/>
      <c r="E437" s="225"/>
      <c r="F437" s="286"/>
      <c r="G437" s="287"/>
      <c r="H437" s="288"/>
      <c r="I437" s="289"/>
    </row>
    <row r="438" spans="2:9" x14ac:dyDescent="0.25">
      <c r="B438" s="233"/>
      <c r="C438" s="222" t="s">
        <v>185</v>
      </c>
      <c r="D438" s="222"/>
      <c r="E438" s="222"/>
      <c r="F438" s="297">
        <v>27</v>
      </c>
      <c r="G438" s="689">
        <f>H438+I438</f>
        <v>114</v>
      </c>
      <c r="H438" s="1560">
        <v>89</v>
      </c>
      <c r="I438" s="1551">
        <v>25</v>
      </c>
    </row>
    <row r="439" spans="2:9" x14ac:dyDescent="0.25">
      <c r="B439" s="233"/>
      <c r="C439" s="225"/>
      <c r="D439" s="240" t="s">
        <v>190</v>
      </c>
      <c r="E439" s="225"/>
      <c r="F439" s="286"/>
      <c r="G439" s="943" t="str">
        <f>IF(SUM(G440:G442)=G438, "", G438-SUM(G440:G442))</f>
        <v/>
      </c>
      <c r="H439" s="943" t="str">
        <f>IF(SUM(H440:H442)=H438, "", H438-SUM(H440:H442))</f>
        <v/>
      </c>
      <c r="I439" s="398" t="str">
        <f>IF(SUM(I440:I442)=I438, "", I438-SUM(I440:I442))</f>
        <v/>
      </c>
    </row>
    <row r="440" spans="2:9" x14ac:dyDescent="0.25">
      <c r="B440" s="233"/>
      <c r="C440" s="225"/>
      <c r="D440" s="222" t="s">
        <v>186</v>
      </c>
      <c r="E440" s="222"/>
      <c r="F440" s="297">
        <v>28</v>
      </c>
      <c r="G440" s="291">
        <f>H440+I440</f>
        <v>27</v>
      </c>
      <c r="H440" s="1560">
        <v>23</v>
      </c>
      <c r="I440" s="1551">
        <v>4</v>
      </c>
    </row>
    <row r="441" spans="2:9" x14ac:dyDescent="0.25">
      <c r="B441" s="233"/>
      <c r="C441" s="225"/>
      <c r="D441" s="223" t="s">
        <v>187</v>
      </c>
      <c r="E441" s="225"/>
      <c r="F441" s="297">
        <v>29</v>
      </c>
      <c r="G441" s="291">
        <f>H441+I441</f>
        <v>1</v>
      </c>
      <c r="H441" s="1560">
        <v>1</v>
      </c>
      <c r="I441" s="1551">
        <v>0</v>
      </c>
    </row>
    <row r="442" spans="2:9" x14ac:dyDescent="0.25">
      <c r="B442" s="233"/>
      <c r="C442" s="225"/>
      <c r="D442" s="223" t="s">
        <v>188</v>
      </c>
      <c r="E442" s="223"/>
      <c r="F442" s="307">
        <v>30</v>
      </c>
      <c r="G442" s="296">
        <f>H442+I442</f>
        <v>86</v>
      </c>
      <c r="H442" s="1561">
        <v>65</v>
      </c>
      <c r="I442" s="1555">
        <v>21</v>
      </c>
    </row>
    <row r="443" spans="2:9" x14ac:dyDescent="0.25">
      <c r="B443" s="233"/>
      <c r="C443" s="222" t="s">
        <v>189</v>
      </c>
      <c r="D443" s="222"/>
      <c r="E443" s="222"/>
      <c r="F443" s="297">
        <v>31</v>
      </c>
      <c r="G443" s="689">
        <f>H443+I443</f>
        <v>2814</v>
      </c>
      <c r="H443" s="689">
        <f>SUM(H445:H448)</f>
        <v>2721</v>
      </c>
      <c r="I443" s="298">
        <f>SUM(I445:I448)</f>
        <v>93</v>
      </c>
    </row>
    <row r="444" spans="2:9" x14ac:dyDescent="0.25">
      <c r="B444" s="233"/>
      <c r="C444" s="225"/>
      <c r="D444" s="240" t="s">
        <v>191</v>
      </c>
      <c r="E444" s="225"/>
      <c r="F444" s="286"/>
      <c r="G444" s="287" t="str">
        <f>IF(SUM(G445:G448)=G443, "", G443-SUM(G445:G448))</f>
        <v/>
      </c>
      <c r="H444" s="693" t="str">
        <f>IF(SUM(H445:H448)=H443, "", H443-SUM(H445:H448))</f>
        <v/>
      </c>
      <c r="I444" s="289" t="str">
        <f>IF(SUM(I445:I448)=I443, "", I443-SUM(I445:I448))</f>
        <v/>
      </c>
    </row>
    <row r="445" spans="2:9" x14ac:dyDescent="0.25">
      <c r="B445" s="233"/>
      <c r="C445" s="225"/>
      <c r="D445" s="222" t="s">
        <v>186</v>
      </c>
      <c r="E445" s="222"/>
      <c r="F445" s="297">
        <v>32</v>
      </c>
      <c r="G445" s="291">
        <f>H445+I445</f>
        <v>2548</v>
      </c>
      <c r="H445" s="1560">
        <v>2467</v>
      </c>
      <c r="I445" s="1551">
        <v>81</v>
      </c>
    </row>
    <row r="446" spans="2:9" x14ac:dyDescent="0.25">
      <c r="B446" s="233"/>
      <c r="C446" s="225"/>
      <c r="D446" s="222" t="s">
        <v>187</v>
      </c>
      <c r="E446" s="222"/>
      <c r="F446" s="297">
        <v>33</v>
      </c>
      <c r="G446" s="291">
        <f>H446+I446</f>
        <v>3</v>
      </c>
      <c r="H446" s="1560">
        <v>3</v>
      </c>
      <c r="I446" s="1551">
        <v>0</v>
      </c>
    </row>
    <row r="447" spans="2:9" x14ac:dyDescent="0.25">
      <c r="B447" s="233"/>
      <c r="C447" s="225"/>
      <c r="D447" s="222" t="s">
        <v>188</v>
      </c>
      <c r="E447" s="222"/>
      <c r="F447" s="297">
        <v>34</v>
      </c>
      <c r="G447" s="291">
        <f>H447+I447</f>
        <v>231</v>
      </c>
      <c r="H447" s="1560">
        <v>225</v>
      </c>
      <c r="I447" s="1551">
        <v>6</v>
      </c>
    </row>
    <row r="448" spans="2:9" ht="15.75" thickBot="1" x14ac:dyDescent="0.3">
      <c r="B448" s="234"/>
      <c r="C448" s="235"/>
      <c r="D448" s="259" t="s">
        <v>153</v>
      </c>
      <c r="E448" s="259"/>
      <c r="F448" s="325">
        <v>35</v>
      </c>
      <c r="G448" s="326">
        <f>H448+I448</f>
        <v>32</v>
      </c>
      <c r="H448" s="1562">
        <v>26</v>
      </c>
      <c r="I448" s="1563">
        <v>6</v>
      </c>
    </row>
    <row r="449" spans="1:9" x14ac:dyDescent="0.25">
      <c r="B449" s="260" t="s">
        <v>177</v>
      </c>
      <c r="C449" s="242"/>
      <c r="D449" s="242"/>
      <c r="E449" s="242"/>
      <c r="F449" s="327">
        <v>36</v>
      </c>
      <c r="G449" s="285">
        <f>H449+I449</f>
        <v>2892</v>
      </c>
      <c r="H449" s="699">
        <f>H440+H442+H445+H447</f>
        <v>2780</v>
      </c>
      <c r="I449" s="294">
        <f>I440+I442+I445+I447</f>
        <v>112</v>
      </c>
    </row>
    <row r="450" spans="1:9" x14ac:dyDescent="0.25">
      <c r="B450" s="233"/>
      <c r="C450" s="240" t="s">
        <v>155</v>
      </c>
      <c r="D450" s="225"/>
      <c r="E450" s="250"/>
      <c r="F450" s="286"/>
      <c r="G450" s="943" t="str">
        <f>IF(SUM(G451:G453)=G449, "", G449-SUM(G451:G453))</f>
        <v/>
      </c>
      <c r="H450" s="943" t="str">
        <f>IF(SUM(H451:H453)=H449, "", H449-SUM(H451:H453))</f>
        <v/>
      </c>
      <c r="I450" s="944" t="str">
        <f>IF(SUM(I451:I453)=I449, "", I449-SUM(I451:I453))</f>
        <v/>
      </c>
    </row>
    <row r="451" spans="1:9" x14ac:dyDescent="0.25">
      <c r="B451" s="233"/>
      <c r="C451" s="222" t="s">
        <v>178</v>
      </c>
      <c r="D451" s="222"/>
      <c r="E451" s="222"/>
      <c r="F451" s="297">
        <v>37</v>
      </c>
      <c r="G451" s="291">
        <f>H451+I451</f>
        <v>2406</v>
      </c>
      <c r="H451" s="1550">
        <v>2304</v>
      </c>
      <c r="I451" s="1551">
        <v>102</v>
      </c>
    </row>
    <row r="452" spans="1:9" x14ac:dyDescent="0.25">
      <c r="B452" s="233"/>
      <c r="C452" s="223" t="s">
        <v>151</v>
      </c>
      <c r="D452" s="223"/>
      <c r="E452" s="223"/>
      <c r="F452" s="307">
        <v>38</v>
      </c>
      <c r="G452" s="296">
        <f>H452+I452</f>
        <v>465</v>
      </c>
      <c r="H452" s="1554">
        <v>456</v>
      </c>
      <c r="I452" s="1555">
        <v>9</v>
      </c>
    </row>
    <row r="453" spans="1:9" ht="15.75" thickBot="1" x14ac:dyDescent="0.3">
      <c r="B453" s="244"/>
      <c r="C453" s="226" t="s">
        <v>152</v>
      </c>
      <c r="D453" s="226"/>
      <c r="E453" s="226"/>
      <c r="F453" s="299">
        <v>39</v>
      </c>
      <c r="G453" s="300">
        <f>H453+I453</f>
        <v>21</v>
      </c>
      <c r="H453" s="1556">
        <v>20</v>
      </c>
      <c r="I453" s="1557">
        <v>1</v>
      </c>
    </row>
    <row r="454" spans="1:9" ht="15.75" thickTop="1" x14ac:dyDescent="0.25">
      <c r="G454" s="412" t="str">
        <f>IF(SUM(G451:G453)=G449, "", SUM(G451:G453))</f>
        <v/>
      </c>
      <c r="H454" s="412" t="str">
        <f>IF(SUM(H451:H453)=H449, "", SUM(H451:H453))</f>
        <v/>
      </c>
      <c r="I454" s="412" t="str">
        <f>IF(SUM(I451:I453)=I449, "", SUM(I451:I453))</f>
        <v/>
      </c>
    </row>
    <row r="455" spans="1:9" x14ac:dyDescent="0.25">
      <c r="B455" s="221" t="s">
        <v>123</v>
      </c>
      <c r="D455" s="220" t="s">
        <v>180</v>
      </c>
      <c r="H455" t="s">
        <v>182</v>
      </c>
    </row>
    <row r="456" spans="1:9" x14ac:dyDescent="0.25">
      <c r="B456" s="221" t="s">
        <v>181</v>
      </c>
      <c r="D456" s="220" t="s">
        <v>180</v>
      </c>
      <c r="H456" s="256" t="s">
        <v>126</v>
      </c>
    </row>
    <row r="458" spans="1:9" ht="26.25" x14ac:dyDescent="0.4">
      <c r="A458" s="267" t="s">
        <v>198</v>
      </c>
      <c r="B458" s="221" t="s">
        <v>116</v>
      </c>
      <c r="C458" s="212"/>
      <c r="D458" s="220"/>
      <c r="E458" s="220"/>
      <c r="F458" s="212"/>
      <c r="G458" s="220"/>
      <c r="H458" s="220"/>
      <c r="I458" s="256" t="s">
        <v>175</v>
      </c>
    </row>
    <row r="459" spans="1:9" x14ac:dyDescent="0.25">
      <c r="B459" s="257" t="s">
        <v>129</v>
      </c>
      <c r="C459" s="212"/>
      <c r="D459" s="220"/>
      <c r="E459" s="257"/>
      <c r="F459" s="220"/>
      <c r="G459" s="220"/>
      <c r="H459" s="220"/>
      <c r="I459" s="220"/>
    </row>
    <row r="460" spans="1:9" ht="15.75" x14ac:dyDescent="0.25">
      <c r="B460" s="221" t="s">
        <v>128</v>
      </c>
      <c r="C460" s="212"/>
      <c r="D460" s="220"/>
      <c r="F460" s="220"/>
      <c r="G460" s="220"/>
      <c r="H460" s="1721" t="str">
        <f>$H$80</f>
        <v>Termin: 29 luty 2012 r.</v>
      </c>
      <c r="I460" s="1721"/>
    </row>
    <row r="461" spans="1:9" x14ac:dyDescent="0.25">
      <c r="B461" s="258"/>
      <c r="C461" s="212"/>
      <c r="D461" s="220"/>
      <c r="E461" s="220"/>
      <c r="F461" s="220"/>
      <c r="G461" s="220"/>
      <c r="H461" s="220"/>
      <c r="I461" s="220"/>
    </row>
    <row r="462" spans="1:9" x14ac:dyDescent="0.25">
      <c r="B462" s="221" t="s">
        <v>241</v>
      </c>
      <c r="C462" s="212"/>
      <c r="D462" s="220"/>
      <c r="E462" s="220"/>
      <c r="F462" s="220"/>
      <c r="G462" s="220"/>
      <c r="H462" s="220"/>
      <c r="I462" s="220"/>
    </row>
    <row r="463" spans="1:9" x14ac:dyDescent="0.25">
      <c r="B463" s="221" t="s">
        <v>131</v>
      </c>
      <c r="C463" s="212"/>
      <c r="D463" s="220"/>
      <c r="E463" s="220"/>
      <c r="F463" s="220"/>
      <c r="G463" s="220"/>
      <c r="H463" s="220"/>
      <c r="I463" s="220"/>
    </row>
    <row r="464" spans="1:9" ht="15.75" x14ac:dyDescent="0.25">
      <c r="B464" s="1"/>
      <c r="C464" s="255"/>
      <c r="D464" s="12"/>
      <c r="E464" s="12"/>
      <c r="F464" s="12"/>
      <c r="G464" s="12"/>
      <c r="H464" s="12"/>
      <c r="I464" s="12"/>
    </row>
    <row r="465" spans="2:9" ht="15.75" x14ac:dyDescent="0.25">
      <c r="B465" s="1"/>
      <c r="C465" s="255"/>
      <c r="D465" s="12"/>
      <c r="E465" s="1" t="s">
        <v>47</v>
      </c>
      <c r="F465" s="12"/>
      <c r="G465" s="12"/>
      <c r="H465" s="12"/>
      <c r="I465" s="12"/>
    </row>
    <row r="466" spans="2:9" ht="15.75" x14ac:dyDescent="0.25">
      <c r="B466" s="1"/>
      <c r="C466" s="255"/>
      <c r="D466" s="12"/>
      <c r="E466" s="1" t="s">
        <v>176</v>
      </c>
      <c r="F466" s="12"/>
      <c r="G466" s="12"/>
      <c r="H466" s="12"/>
      <c r="I466" s="12"/>
    </row>
    <row r="467" spans="2:9" ht="15.75" x14ac:dyDescent="0.25">
      <c r="B467" s="1"/>
      <c r="C467" s="255"/>
      <c r="D467" s="12"/>
      <c r="E467" s="1162" t="str">
        <f>$E$11</f>
        <v>SAMORZĄDÓW  POWIATOWYCH  I  PODMIOTÓW  NIEPUBLICZNYCH  W 2011 r.</v>
      </c>
      <c r="F467" s="12"/>
      <c r="G467" s="12"/>
      <c r="H467" s="12"/>
      <c r="I467" s="12"/>
    </row>
    <row r="468" spans="2:9" ht="15.75" x14ac:dyDescent="0.25">
      <c r="B468" s="1"/>
      <c r="C468" s="255"/>
      <c r="D468" s="12"/>
      <c r="E468" s="12"/>
      <c r="F468" s="12"/>
      <c r="G468" s="12"/>
      <c r="H468" s="12"/>
      <c r="I468" s="12"/>
    </row>
    <row r="469" spans="2:9" ht="15.75" thickBot="1" x14ac:dyDescent="0.3"/>
    <row r="470" spans="2:9" ht="16.5" thickTop="1" x14ac:dyDescent="0.25">
      <c r="B470" s="214"/>
      <c r="C470" s="227"/>
      <c r="D470" s="227"/>
      <c r="E470" s="227"/>
      <c r="F470" s="252"/>
      <c r="G470" s="229" t="s">
        <v>48</v>
      </c>
      <c r="H470" s="1722" t="s">
        <v>20</v>
      </c>
      <c r="I470" s="1723"/>
    </row>
    <row r="471" spans="2:9" ht="15.75" x14ac:dyDescent="0.25">
      <c r="B471" s="215"/>
      <c r="C471" s="225"/>
      <c r="D471" s="225"/>
      <c r="E471" s="225" t="s">
        <v>21</v>
      </c>
      <c r="F471" s="253"/>
      <c r="G471" s="230" t="s">
        <v>5</v>
      </c>
      <c r="H471" s="216" t="s">
        <v>22</v>
      </c>
      <c r="I471" s="217" t="s">
        <v>23</v>
      </c>
    </row>
    <row r="472" spans="2:9" ht="15.75" x14ac:dyDescent="0.25">
      <c r="B472" s="194"/>
      <c r="C472" s="225"/>
      <c r="D472" s="225"/>
      <c r="E472" s="225"/>
      <c r="F472" s="253"/>
      <c r="G472" s="218" t="s">
        <v>24</v>
      </c>
      <c r="H472" s="218" t="s">
        <v>25</v>
      </c>
      <c r="I472" s="219" t="s">
        <v>26</v>
      </c>
    </row>
    <row r="473" spans="2:9" ht="15.75" thickBot="1" x14ac:dyDescent="0.3">
      <c r="B473" s="61"/>
      <c r="C473" s="228"/>
      <c r="D473" s="228"/>
      <c r="E473" s="211">
        <v>0</v>
      </c>
      <c r="F473" s="254"/>
      <c r="G473" s="2">
        <v>1</v>
      </c>
      <c r="H473" s="2">
        <v>2</v>
      </c>
      <c r="I473" s="7">
        <v>3</v>
      </c>
    </row>
    <row r="474" spans="2:9" ht="16.5" thickTop="1" thickBot="1" x14ac:dyDescent="0.3">
      <c r="B474" s="231"/>
      <c r="G474" s="793"/>
      <c r="H474" s="793"/>
      <c r="I474" s="793"/>
    </row>
    <row r="475" spans="2:9" ht="16.5" thickTop="1" thickBot="1" x14ac:dyDescent="0.3">
      <c r="B475" s="1168" t="str">
        <f>$B$19</f>
        <v>Wg stanu na dzień 31.XII.2010 r.</v>
      </c>
      <c r="C475" s="232"/>
      <c r="D475" s="232"/>
      <c r="E475" s="232"/>
      <c r="F475" s="282" t="s">
        <v>165</v>
      </c>
      <c r="G475" s="283">
        <f>H475+I475</f>
        <v>7260</v>
      </c>
      <c r="H475" s="1564">
        <v>5763</v>
      </c>
      <c r="I475" s="1565">
        <v>1497</v>
      </c>
    </row>
    <row r="476" spans="2:9" x14ac:dyDescent="0.25">
      <c r="B476" s="1169" t="str">
        <f>$B$20</f>
        <v>Przyjętych w ciągu 2011 r.</v>
      </c>
      <c r="C476" s="242"/>
      <c r="D476" s="242"/>
      <c r="E476" s="242"/>
      <c r="F476" s="284" t="s">
        <v>166</v>
      </c>
      <c r="G476" s="285">
        <f>H476+I476</f>
        <v>1004</v>
      </c>
      <c r="H476" s="784">
        <f>H478+H479</f>
        <v>713</v>
      </c>
      <c r="I476" s="785">
        <f>I478+I479</f>
        <v>291</v>
      </c>
    </row>
    <row r="477" spans="2:9" x14ac:dyDescent="0.25">
      <c r="B477" s="233"/>
      <c r="C477" s="241" t="s">
        <v>49</v>
      </c>
      <c r="D477" s="225"/>
      <c r="E477" s="225"/>
      <c r="F477" s="286"/>
      <c r="G477" s="287"/>
      <c r="H477" s="389" t="str">
        <f>IF(SUM(H478:H479)=H476, "", "?")</f>
        <v/>
      </c>
      <c r="I477" s="388" t="str">
        <f>IF(SUM(I478:I479)=I476, "", "?")</f>
        <v/>
      </c>
    </row>
    <row r="478" spans="2:9" x14ac:dyDescent="0.25">
      <c r="B478" s="233"/>
      <c r="C478" s="237" t="s">
        <v>158</v>
      </c>
      <c r="D478" s="222"/>
      <c r="E478" s="222"/>
      <c r="F478" s="290" t="s">
        <v>167</v>
      </c>
      <c r="G478" s="291">
        <f>H478+I478</f>
        <v>69</v>
      </c>
      <c r="H478" s="1550">
        <v>29</v>
      </c>
      <c r="I478" s="1551">
        <v>40</v>
      </c>
    </row>
    <row r="479" spans="2:9" ht="15.75" thickBot="1" x14ac:dyDescent="0.3">
      <c r="B479" s="234"/>
      <c r="C479" s="238" t="s">
        <v>159</v>
      </c>
      <c r="D479" s="235"/>
      <c r="E479" s="235"/>
      <c r="F479" s="292" t="s">
        <v>168</v>
      </c>
      <c r="G479" s="293">
        <f>H479+I479</f>
        <v>935</v>
      </c>
      <c r="H479" s="1552">
        <v>684</v>
      </c>
      <c r="I479" s="1553">
        <v>251</v>
      </c>
    </row>
    <row r="480" spans="2:9" x14ac:dyDescent="0.25">
      <c r="B480" s="1170" t="str">
        <f>$B$24</f>
        <v>Odeszło w ciągu 2011 r. (w.06 do w.09)</v>
      </c>
      <c r="C480" s="242"/>
      <c r="D480" s="242"/>
      <c r="E480" s="242"/>
      <c r="F480" s="284" t="s">
        <v>169</v>
      </c>
      <c r="G480" s="285">
        <f>H480+I480</f>
        <v>951</v>
      </c>
      <c r="H480" s="285">
        <f>SUM(H482:H485)</f>
        <v>713</v>
      </c>
      <c r="I480" s="294">
        <f>SUM(I482:I485)</f>
        <v>238</v>
      </c>
    </row>
    <row r="481" spans="2:9" x14ac:dyDescent="0.25">
      <c r="B481" s="251"/>
      <c r="C481" s="240" t="s">
        <v>49</v>
      </c>
      <c r="D481" s="225"/>
      <c r="E481" s="225"/>
      <c r="F481" s="286"/>
      <c r="G481" s="287"/>
      <c r="H481" s="288"/>
      <c r="I481" s="289"/>
    </row>
    <row r="482" spans="2:9" x14ac:dyDescent="0.25">
      <c r="B482" s="233"/>
      <c r="C482" s="237" t="s">
        <v>160</v>
      </c>
      <c r="D482" s="222"/>
      <c r="E482" s="222"/>
      <c r="F482" s="290" t="s">
        <v>170</v>
      </c>
      <c r="G482" s="291">
        <f>H482+I482</f>
        <v>129</v>
      </c>
      <c r="H482" s="1550">
        <v>66</v>
      </c>
      <c r="I482" s="1551">
        <v>63</v>
      </c>
    </row>
    <row r="483" spans="2:9" x14ac:dyDescent="0.25">
      <c r="B483" s="233"/>
      <c r="C483" s="243" t="s">
        <v>161</v>
      </c>
      <c r="D483" s="223"/>
      <c r="E483" s="223"/>
      <c r="F483" s="295" t="s">
        <v>171</v>
      </c>
      <c r="G483" s="296">
        <f>H483+I483</f>
        <v>50</v>
      </c>
      <c r="H483" s="1554">
        <v>36</v>
      </c>
      <c r="I483" s="1555">
        <v>14</v>
      </c>
    </row>
    <row r="484" spans="2:9" x14ac:dyDescent="0.25">
      <c r="B484" s="233"/>
      <c r="C484" s="243" t="s">
        <v>162</v>
      </c>
      <c r="D484" s="223"/>
      <c r="E484" s="223"/>
      <c r="F484" s="295" t="s">
        <v>172</v>
      </c>
      <c r="G484" s="296">
        <f>H484+I484</f>
        <v>14</v>
      </c>
      <c r="H484" s="1554">
        <v>14</v>
      </c>
      <c r="I484" s="1555">
        <v>0</v>
      </c>
    </row>
    <row r="485" spans="2:9" ht="15.75" thickBot="1" x14ac:dyDescent="0.3">
      <c r="B485" s="234"/>
      <c r="C485" s="238" t="s">
        <v>163</v>
      </c>
      <c r="D485" s="235"/>
      <c r="E485" s="235"/>
      <c r="F485" s="292" t="s">
        <v>173</v>
      </c>
      <c r="G485" s="293">
        <f>H485+I485</f>
        <v>758</v>
      </c>
      <c r="H485" s="1552">
        <v>597</v>
      </c>
      <c r="I485" s="1553">
        <v>161</v>
      </c>
    </row>
    <row r="486" spans="2:9" x14ac:dyDescent="0.25">
      <c r="B486" s="1171" t="str">
        <f>$B$30</f>
        <v>Wg stanu na dzień 31.XII.2011 r.</v>
      </c>
      <c r="C486" s="225"/>
      <c r="D486" s="225"/>
      <c r="E486" s="225"/>
      <c r="F486" s="286"/>
      <c r="G486" s="922" t="str">
        <f>IF('Tab.2. l.d.m.m._Polska'!G237=G487,"","t2w1k3"&amp;"="&amp;'Tab.2. l.d.m.m._Polska'!G237)</f>
        <v/>
      </c>
      <c r="H486" s="922" t="str">
        <f>IF('Tab.2. l.d.m.m._Polska'!K237=H487,"","t2w1k6"&amp;"="&amp;'Tab.2. l.d.m.m._Polska'!K237)</f>
        <v/>
      </c>
      <c r="I486" s="923" t="str">
        <f>IF('Tab.2. l.d.m.m._Polska'!O237=I487,"","t2w1k9"&amp;"="&amp;'Tab.2. l.d.m.m._Polska'!O237)</f>
        <v/>
      </c>
    </row>
    <row r="487" spans="2:9" x14ac:dyDescent="0.25">
      <c r="B487" s="245" t="s">
        <v>194</v>
      </c>
      <c r="C487" s="222"/>
      <c r="D487" s="222"/>
      <c r="E487" s="222"/>
      <c r="F487" s="297">
        <v>10</v>
      </c>
      <c r="G487" s="689">
        <f>H487+I487</f>
        <v>7313</v>
      </c>
      <c r="H487" s="689">
        <f>IF(H475+H476-H480=SUM(H492:H496), H475+H476-H480, (H475+H476-H480)-SUM(H492:H496))</f>
        <v>5763</v>
      </c>
      <c r="I487" s="298">
        <f>IF(I475+I476-I480=SUM(I492:I496), I475+I476-I480, (I475+I476-I480)-SUM(I492:I496))</f>
        <v>1550</v>
      </c>
    </row>
    <row r="488" spans="2:9" x14ac:dyDescent="0.25">
      <c r="B488" s="233"/>
      <c r="C488" s="240" t="s">
        <v>50</v>
      </c>
      <c r="D488" s="225"/>
      <c r="E488" s="225"/>
      <c r="F488" s="286"/>
      <c r="G488" s="287"/>
      <c r="H488" s="288"/>
      <c r="I488" s="289"/>
    </row>
    <row r="489" spans="2:9" ht="15.75" thickBot="1" x14ac:dyDescent="0.3">
      <c r="B489" s="244"/>
      <c r="C489" s="239" t="s">
        <v>164</v>
      </c>
      <c r="D489" s="226"/>
      <c r="E489" s="226"/>
      <c r="F489" s="299">
        <v>11</v>
      </c>
      <c r="G489" s="300">
        <f>H489+I489</f>
        <v>970</v>
      </c>
      <c r="H489" s="1556">
        <v>812</v>
      </c>
      <c r="I489" s="1557">
        <v>158</v>
      </c>
    </row>
    <row r="490" spans="2:9" ht="16.5" thickTop="1" thickBot="1" x14ac:dyDescent="0.3">
      <c r="B490" s="236"/>
      <c r="F490" s="301"/>
      <c r="G490" s="405" t="str">
        <f>IF(SUM(G492:G496)=G487,"","Uwaga! "&amp;SUM(G492:G496))</f>
        <v/>
      </c>
      <c r="H490" s="405" t="str">
        <f>IF(SUM(H492:H496)=H487,"","Uwaga! "&amp;SUM(H492:H496))</f>
        <v/>
      </c>
      <c r="I490" s="405" t="str">
        <f>IF(SUM(I492:I496)=I487,"","Uwaga! "&amp;SUM(I492:I496))</f>
        <v/>
      </c>
    </row>
    <row r="491" spans="2:9" ht="15.75" thickTop="1" x14ac:dyDescent="0.25">
      <c r="B491" s="213" t="s">
        <v>183</v>
      </c>
      <c r="C491" s="246"/>
      <c r="D491" s="246"/>
      <c r="E491" s="246"/>
      <c r="F491" s="304"/>
      <c r="G491" s="305" t="s">
        <v>142</v>
      </c>
      <c r="H491" s="305" t="s">
        <v>142</v>
      </c>
      <c r="I491" s="306" t="s">
        <v>142</v>
      </c>
    </row>
    <row r="492" spans="2:9" x14ac:dyDescent="0.25">
      <c r="B492" s="247" t="s">
        <v>52</v>
      </c>
      <c r="C492" s="223"/>
      <c r="D492" s="223"/>
      <c r="E492" s="223"/>
      <c r="F492" s="307">
        <v>12</v>
      </c>
      <c r="G492" s="296">
        <f>H492+I492</f>
        <v>83</v>
      </c>
      <c r="H492" s="1554">
        <v>13</v>
      </c>
      <c r="I492" s="1555">
        <v>70</v>
      </c>
    </row>
    <row r="493" spans="2:9" x14ac:dyDescent="0.25">
      <c r="B493" s="247" t="s">
        <v>53</v>
      </c>
      <c r="C493" s="223"/>
      <c r="D493" s="223"/>
      <c r="E493" s="223"/>
      <c r="F493" s="307">
        <v>13</v>
      </c>
      <c r="G493" s="296">
        <f>H493+I493</f>
        <v>874</v>
      </c>
      <c r="H493" s="1554">
        <v>549</v>
      </c>
      <c r="I493" s="1555">
        <v>325</v>
      </c>
    </row>
    <row r="494" spans="2:9" x14ac:dyDescent="0.25">
      <c r="B494" s="247" t="s">
        <v>54</v>
      </c>
      <c r="C494" s="223"/>
      <c r="D494" s="223"/>
      <c r="E494" s="223"/>
      <c r="F494" s="307">
        <v>14</v>
      </c>
      <c r="G494" s="296">
        <f>H494+I494</f>
        <v>2212</v>
      </c>
      <c r="H494" s="1554">
        <v>1775</v>
      </c>
      <c r="I494" s="1555">
        <v>437</v>
      </c>
    </row>
    <row r="495" spans="2:9" x14ac:dyDescent="0.25">
      <c r="B495" s="247" t="s">
        <v>55</v>
      </c>
      <c r="C495" s="223"/>
      <c r="D495" s="223"/>
      <c r="E495" s="223"/>
      <c r="F495" s="307">
        <v>15</v>
      </c>
      <c r="G495" s="296">
        <f>H495+I495</f>
        <v>1781</v>
      </c>
      <c r="H495" s="1554">
        <v>1516</v>
      </c>
      <c r="I495" s="1555">
        <v>265</v>
      </c>
    </row>
    <row r="496" spans="2:9" ht="15.75" thickBot="1" x14ac:dyDescent="0.3">
      <c r="B496" s="248" t="s">
        <v>56</v>
      </c>
      <c r="C496" s="224"/>
      <c r="D496" s="224"/>
      <c r="E496" s="224"/>
      <c r="F496" s="308">
        <v>16</v>
      </c>
      <c r="G496" s="309">
        <f>H496+I496</f>
        <v>2363</v>
      </c>
      <c r="H496" s="1558">
        <v>1910</v>
      </c>
      <c r="I496" s="1559">
        <v>453</v>
      </c>
    </row>
    <row r="497" spans="2:9" ht="16.5" thickTop="1" thickBot="1" x14ac:dyDescent="0.3">
      <c r="B497" s="236"/>
      <c r="C497" s="225"/>
      <c r="D497" s="225"/>
      <c r="E497" s="225"/>
      <c r="F497" s="310"/>
      <c r="G497" s="311"/>
      <c r="H497" s="312"/>
      <c r="I497" s="312"/>
    </row>
    <row r="498" spans="2:9" ht="15.75" thickTop="1" x14ac:dyDescent="0.25">
      <c r="B498" s="249" t="s">
        <v>184</v>
      </c>
      <c r="C498" s="227"/>
      <c r="D498" s="227"/>
      <c r="E498" s="227"/>
      <c r="F498" s="313"/>
      <c r="G498" s="314"/>
      <c r="H498" s="315"/>
      <c r="I498" s="316"/>
    </row>
    <row r="499" spans="2:9" x14ac:dyDescent="0.25">
      <c r="B499" s="245" t="s">
        <v>179</v>
      </c>
      <c r="C499" s="222"/>
      <c r="D499" s="222"/>
      <c r="E499" s="222"/>
      <c r="F499" s="297">
        <v>17</v>
      </c>
      <c r="G499" s="689">
        <f>H499+I499</f>
        <v>4163</v>
      </c>
      <c r="H499" s="689">
        <f>H501+H507</f>
        <v>3321</v>
      </c>
      <c r="I499" s="690">
        <f>I501+I507</f>
        <v>842</v>
      </c>
    </row>
    <row r="500" spans="2:9" x14ac:dyDescent="0.25">
      <c r="B500" s="233"/>
      <c r="C500" s="240" t="s">
        <v>49</v>
      </c>
      <c r="D500" s="225"/>
      <c r="E500" s="225"/>
      <c r="F500" s="286"/>
      <c r="G500" s="287"/>
      <c r="H500" s="288"/>
      <c r="I500" s="289"/>
    </row>
    <row r="501" spans="2:9" x14ac:dyDescent="0.25">
      <c r="B501" s="233"/>
      <c r="C501" s="222" t="s">
        <v>154</v>
      </c>
      <c r="D501" s="222"/>
      <c r="E501" s="222"/>
      <c r="F501" s="297">
        <v>18</v>
      </c>
      <c r="G501" s="689">
        <f>H501+I501</f>
        <v>4141</v>
      </c>
      <c r="H501" s="706">
        <f>SUM(H503:H506)</f>
        <v>3313</v>
      </c>
      <c r="I501" s="707">
        <f>SUM(I503:I506)</f>
        <v>828</v>
      </c>
    </row>
    <row r="502" spans="2:9" x14ac:dyDescent="0.25">
      <c r="B502" s="233"/>
      <c r="C502" s="225"/>
      <c r="D502" s="240" t="s">
        <v>155</v>
      </c>
      <c r="E502" s="225"/>
      <c r="F502" s="286"/>
      <c r="G502" s="287"/>
      <c r="H502" s="288"/>
      <c r="I502" s="289"/>
    </row>
    <row r="503" spans="2:9" x14ac:dyDescent="0.25">
      <c r="B503" s="233"/>
      <c r="C503" s="225"/>
      <c r="D503" s="222" t="s">
        <v>178</v>
      </c>
      <c r="E503" s="222"/>
      <c r="F503" s="297">
        <v>19</v>
      </c>
      <c r="G503" s="291">
        <f t="shared" ref="G503:G508" si="12">H503+I503</f>
        <v>3809</v>
      </c>
      <c r="H503" s="1550">
        <v>3021</v>
      </c>
      <c r="I503" s="1551">
        <v>788</v>
      </c>
    </row>
    <row r="504" spans="2:9" x14ac:dyDescent="0.25">
      <c r="B504" s="233"/>
      <c r="C504" s="225"/>
      <c r="D504" s="223" t="s">
        <v>151</v>
      </c>
      <c r="E504" s="223"/>
      <c r="F504" s="307">
        <v>20</v>
      </c>
      <c r="G504" s="296">
        <f t="shared" si="12"/>
        <v>313</v>
      </c>
      <c r="H504" s="1554">
        <v>278</v>
      </c>
      <c r="I504" s="1555">
        <v>35</v>
      </c>
    </row>
    <row r="505" spans="2:9" x14ac:dyDescent="0.25">
      <c r="B505" s="233"/>
      <c r="C505" s="225"/>
      <c r="D505" s="223" t="s">
        <v>149</v>
      </c>
      <c r="E505" s="223"/>
      <c r="F505" s="307">
        <v>21</v>
      </c>
      <c r="G505" s="296">
        <f t="shared" si="12"/>
        <v>9</v>
      </c>
      <c r="H505" s="1554">
        <v>4</v>
      </c>
      <c r="I505" s="1555">
        <v>5</v>
      </c>
    </row>
    <row r="506" spans="2:9" x14ac:dyDescent="0.25">
      <c r="B506" s="233"/>
      <c r="C506" s="225"/>
      <c r="D506" s="222" t="s">
        <v>152</v>
      </c>
      <c r="E506" s="222"/>
      <c r="F506" s="297">
        <v>22</v>
      </c>
      <c r="G506" s="291">
        <f t="shared" si="12"/>
        <v>10</v>
      </c>
      <c r="H506" s="1550">
        <v>10</v>
      </c>
      <c r="I506" s="1551">
        <v>0</v>
      </c>
    </row>
    <row r="507" spans="2:9" x14ac:dyDescent="0.25">
      <c r="B507" s="233"/>
      <c r="C507" s="222" t="s">
        <v>156</v>
      </c>
      <c r="D507" s="222"/>
      <c r="E507" s="222"/>
      <c r="F507" s="297">
        <v>23</v>
      </c>
      <c r="G507" s="291">
        <f t="shared" si="12"/>
        <v>22</v>
      </c>
      <c r="H507" s="1550">
        <v>8</v>
      </c>
      <c r="I507" s="1551">
        <v>14</v>
      </c>
    </row>
    <row r="508" spans="2:9" x14ac:dyDescent="0.25">
      <c r="B508" s="233"/>
      <c r="C508" s="223" t="s">
        <v>150</v>
      </c>
      <c r="D508" s="223"/>
      <c r="E508" s="223"/>
      <c r="F508" s="307">
        <v>24</v>
      </c>
      <c r="G508" s="296">
        <f t="shared" si="12"/>
        <v>92</v>
      </c>
      <c r="H508" s="1554">
        <v>87</v>
      </c>
      <c r="I508" s="1555">
        <v>5</v>
      </c>
    </row>
    <row r="509" spans="2:9" x14ac:dyDescent="0.25">
      <c r="B509" s="233"/>
      <c r="C509" s="250" t="s">
        <v>157</v>
      </c>
      <c r="D509" s="250"/>
      <c r="E509" s="250"/>
      <c r="F509" s="319"/>
      <c r="G509" s="320"/>
      <c r="H509" s="321"/>
      <c r="I509" s="322"/>
    </row>
    <row r="510" spans="2:9" ht="15.75" thickBot="1" x14ac:dyDescent="0.3">
      <c r="B510" s="244"/>
      <c r="C510" s="226" t="s">
        <v>148</v>
      </c>
      <c r="D510" s="226"/>
      <c r="E510" s="226"/>
      <c r="F510" s="299">
        <v>25</v>
      </c>
      <c r="G510" s="300">
        <f>H510+I510</f>
        <v>10</v>
      </c>
      <c r="H510" s="1556">
        <v>5</v>
      </c>
      <c r="I510" s="1557">
        <v>5</v>
      </c>
    </row>
    <row r="511" spans="2:9" ht="16.5" thickTop="1" thickBot="1" x14ac:dyDescent="0.3">
      <c r="F511" s="301"/>
      <c r="G511" s="302"/>
      <c r="H511" s="303"/>
      <c r="I511" s="303"/>
    </row>
    <row r="512" spans="2:9" ht="15.75" thickTop="1" x14ac:dyDescent="0.25">
      <c r="B512" s="261" t="s">
        <v>174</v>
      </c>
      <c r="C512" s="262"/>
      <c r="D512" s="263"/>
      <c r="E512" s="246"/>
      <c r="F512" s="323">
        <v>26</v>
      </c>
      <c r="G512" s="1109">
        <f>H512+I512</f>
        <v>3150</v>
      </c>
      <c r="H512" s="1109">
        <f>H514+H519</f>
        <v>2442</v>
      </c>
      <c r="I512" s="1108">
        <f>I514+I519</f>
        <v>708</v>
      </c>
    </row>
    <row r="513" spans="2:9" x14ac:dyDescent="0.25">
      <c r="B513" s="233"/>
      <c r="C513" s="240" t="s">
        <v>50</v>
      </c>
      <c r="D513" s="225"/>
      <c r="E513" s="225"/>
      <c r="F513" s="286"/>
      <c r="G513" s="287"/>
      <c r="H513" s="288"/>
      <c r="I513" s="289"/>
    </row>
    <row r="514" spans="2:9" x14ac:dyDescent="0.25">
      <c r="B514" s="233"/>
      <c r="C514" s="222" t="s">
        <v>185</v>
      </c>
      <c r="D514" s="222"/>
      <c r="E514" s="222"/>
      <c r="F514" s="297">
        <v>27</v>
      </c>
      <c r="G514" s="689">
        <f>H514+I514</f>
        <v>103</v>
      </c>
      <c r="H514" s="1560">
        <v>69</v>
      </c>
      <c r="I514" s="1566">
        <v>34</v>
      </c>
    </row>
    <row r="515" spans="2:9" x14ac:dyDescent="0.25">
      <c r="B515" s="233"/>
      <c r="C515" s="225"/>
      <c r="D515" s="240" t="s">
        <v>190</v>
      </c>
      <c r="E515" s="225"/>
      <c r="F515" s="286"/>
      <c r="G515" s="390" t="str">
        <f>IF(SUM(G516:G518)=G514, "", G514-SUM(G516:G518))</f>
        <v/>
      </c>
      <c r="H515" s="390" t="str">
        <f>IF(SUM(H516:H518)=H514, "", H514-SUM(H516:H518))</f>
        <v/>
      </c>
      <c r="I515" s="398" t="str">
        <f>IF(SUM(I516:I518)=I514, "", I514-SUM(I516:I518))</f>
        <v/>
      </c>
    </row>
    <row r="516" spans="2:9" x14ac:dyDescent="0.25">
      <c r="B516" s="233"/>
      <c r="C516" s="225"/>
      <c r="D516" s="222" t="s">
        <v>186</v>
      </c>
      <c r="E516" s="222"/>
      <c r="F516" s="297">
        <v>28</v>
      </c>
      <c r="G516" s="291">
        <f>H516+I516</f>
        <v>25</v>
      </c>
      <c r="H516" s="1560">
        <v>25</v>
      </c>
      <c r="I516" s="1551">
        <v>0</v>
      </c>
    </row>
    <row r="517" spans="2:9" x14ac:dyDescent="0.25">
      <c r="B517" s="233"/>
      <c r="C517" s="225"/>
      <c r="D517" s="223" t="s">
        <v>187</v>
      </c>
      <c r="E517" s="225"/>
      <c r="F517" s="297">
        <v>29</v>
      </c>
      <c r="G517" s="291">
        <f>H517+I517</f>
        <v>1</v>
      </c>
      <c r="H517" s="1560">
        <v>1</v>
      </c>
      <c r="I517" s="1551">
        <v>0</v>
      </c>
    </row>
    <row r="518" spans="2:9" x14ac:dyDescent="0.25">
      <c r="B518" s="233"/>
      <c r="C518" s="225"/>
      <c r="D518" s="223" t="s">
        <v>188</v>
      </c>
      <c r="E518" s="223"/>
      <c r="F518" s="307">
        <v>30</v>
      </c>
      <c r="G518" s="296">
        <f>H518+I518</f>
        <v>77</v>
      </c>
      <c r="H518" s="1561">
        <v>43</v>
      </c>
      <c r="I518" s="1555">
        <v>34</v>
      </c>
    </row>
    <row r="519" spans="2:9" x14ac:dyDescent="0.25">
      <c r="B519" s="233"/>
      <c r="C519" s="222" t="s">
        <v>189</v>
      </c>
      <c r="D519" s="222"/>
      <c r="E519" s="222"/>
      <c r="F519" s="297">
        <v>31</v>
      </c>
      <c r="G519" s="689">
        <f>H519+I519</f>
        <v>3047</v>
      </c>
      <c r="H519" s="689">
        <f>SUM(H521:H524)</f>
        <v>2373</v>
      </c>
      <c r="I519" s="690">
        <f>SUM(I521:I524)</f>
        <v>674</v>
      </c>
    </row>
    <row r="520" spans="2:9" x14ac:dyDescent="0.25">
      <c r="B520" s="233"/>
      <c r="C520" s="225"/>
      <c r="D520" s="240" t="s">
        <v>191</v>
      </c>
      <c r="E520" s="225"/>
      <c r="F520" s="286"/>
      <c r="G520" s="1202" t="str">
        <f>IF(SUM(G521:G524)=G519, "", G519-SUM(G521:G524))</f>
        <v/>
      </c>
      <c r="H520" s="693" t="str">
        <f>IF(SUM(H521:H524)=H519, "", H519-SUM(H521:H524))</f>
        <v/>
      </c>
      <c r="I520" s="1203" t="str">
        <f>IF(SUM(I521:I524)=I519, "", I519-SUM(I521:I524))</f>
        <v/>
      </c>
    </row>
    <row r="521" spans="2:9" x14ac:dyDescent="0.25">
      <c r="B521" s="233"/>
      <c r="C521" s="225"/>
      <c r="D521" s="222" t="s">
        <v>186</v>
      </c>
      <c r="E521" s="222"/>
      <c r="F521" s="297">
        <v>32</v>
      </c>
      <c r="G521" s="689">
        <f>H521+I521</f>
        <v>2786</v>
      </c>
      <c r="H521" s="1560">
        <v>2213</v>
      </c>
      <c r="I521" s="1551">
        <v>573</v>
      </c>
    </row>
    <row r="522" spans="2:9" x14ac:dyDescent="0.25">
      <c r="B522" s="233"/>
      <c r="C522" s="225"/>
      <c r="D522" s="222" t="s">
        <v>187</v>
      </c>
      <c r="E522" s="222"/>
      <c r="F522" s="297">
        <v>33</v>
      </c>
      <c r="G522" s="291">
        <f>H522+I522</f>
        <v>12</v>
      </c>
      <c r="H522" s="1560">
        <v>5</v>
      </c>
      <c r="I522" s="1551">
        <v>7</v>
      </c>
    </row>
    <row r="523" spans="2:9" x14ac:dyDescent="0.25">
      <c r="B523" s="233"/>
      <c r="C523" s="225"/>
      <c r="D523" s="222" t="s">
        <v>188</v>
      </c>
      <c r="E523" s="222"/>
      <c r="F523" s="297">
        <v>34</v>
      </c>
      <c r="G523" s="291">
        <f>H523+I523</f>
        <v>230</v>
      </c>
      <c r="H523" s="1560">
        <v>153</v>
      </c>
      <c r="I523" s="1551">
        <v>77</v>
      </c>
    </row>
    <row r="524" spans="2:9" ht="15.75" thickBot="1" x14ac:dyDescent="0.3">
      <c r="B524" s="234"/>
      <c r="C524" s="235"/>
      <c r="D524" s="259" t="s">
        <v>153</v>
      </c>
      <c r="E524" s="259"/>
      <c r="F524" s="325">
        <v>35</v>
      </c>
      <c r="G524" s="326">
        <f>H524+I524</f>
        <v>19</v>
      </c>
      <c r="H524" s="1562">
        <v>2</v>
      </c>
      <c r="I524" s="1563">
        <v>17</v>
      </c>
    </row>
    <row r="525" spans="2:9" x14ac:dyDescent="0.25">
      <c r="B525" s="260" t="s">
        <v>177</v>
      </c>
      <c r="C525" s="242"/>
      <c r="D525" s="242"/>
      <c r="E525" s="242"/>
      <c r="F525" s="327">
        <v>36</v>
      </c>
      <c r="G525" s="699">
        <f>H525+I525</f>
        <v>3118</v>
      </c>
      <c r="H525" s="699">
        <f>H516+H518+H521+H523</f>
        <v>2434</v>
      </c>
      <c r="I525" s="695">
        <f>I516+I518+I521+I523</f>
        <v>684</v>
      </c>
    </row>
    <row r="526" spans="2:9" x14ac:dyDescent="0.25">
      <c r="B526" s="233"/>
      <c r="C526" s="240" t="s">
        <v>155</v>
      </c>
      <c r="D526" s="225"/>
      <c r="E526" s="250"/>
      <c r="F526" s="286"/>
      <c r="G526" s="390" t="str">
        <f>IF(SUM(G527:G529)=G525, "", G525-SUM(G527:G529))</f>
        <v/>
      </c>
      <c r="H526" s="390" t="str">
        <f>IF(SUM(H527:H529)=H525, "", H525-SUM(H527:H529))</f>
        <v/>
      </c>
      <c r="I526" s="398" t="str">
        <f>IF(SUM(I527:I529)=I525, "", I525-SUM(I527:I529))</f>
        <v/>
      </c>
    </row>
    <row r="527" spans="2:9" x14ac:dyDescent="0.25">
      <c r="B527" s="233"/>
      <c r="C527" s="222" t="s">
        <v>178</v>
      </c>
      <c r="D527" s="222"/>
      <c r="E527" s="222"/>
      <c r="F527" s="297">
        <v>37</v>
      </c>
      <c r="G527" s="291">
        <f>H527+I527</f>
        <v>2724</v>
      </c>
      <c r="H527" s="1550">
        <v>2117</v>
      </c>
      <c r="I527" s="1551">
        <v>607</v>
      </c>
    </row>
    <row r="528" spans="2:9" x14ac:dyDescent="0.25">
      <c r="B528" s="233"/>
      <c r="C528" s="223" t="s">
        <v>151</v>
      </c>
      <c r="D528" s="223"/>
      <c r="E528" s="223"/>
      <c r="F528" s="307">
        <v>38</v>
      </c>
      <c r="G528" s="296">
        <f>H528+I528</f>
        <v>378</v>
      </c>
      <c r="H528" s="1554">
        <v>309</v>
      </c>
      <c r="I528" s="1555">
        <v>69</v>
      </c>
    </row>
    <row r="529" spans="1:9" ht="15.75" thickBot="1" x14ac:dyDescent="0.3">
      <c r="B529" s="244"/>
      <c r="C529" s="226" t="s">
        <v>152</v>
      </c>
      <c r="D529" s="226"/>
      <c r="E529" s="226"/>
      <c r="F529" s="299">
        <v>39</v>
      </c>
      <c r="G529" s="300">
        <f>H529+I529</f>
        <v>16</v>
      </c>
      <c r="H529" s="1556">
        <v>8</v>
      </c>
      <c r="I529" s="1557">
        <v>8</v>
      </c>
    </row>
    <row r="530" spans="1:9" ht="15.75" thickTop="1" x14ac:dyDescent="0.25">
      <c r="G530" s="412" t="str">
        <f>IF(SUM(G527:G529)=G525, "", SUM(G527:G529))</f>
        <v/>
      </c>
      <c r="H530" s="412" t="str">
        <f>IF(SUM(H527:H529)=H525, "", SUM(H527:H529))</f>
        <v/>
      </c>
      <c r="I530" s="412" t="str">
        <f>IF(SUM(I527:I529)=I525, "", SUM(I527:I529))</f>
        <v/>
      </c>
    </row>
    <row r="531" spans="1:9" x14ac:dyDescent="0.25">
      <c r="B531" s="221" t="s">
        <v>123</v>
      </c>
      <c r="D531" s="220" t="s">
        <v>180</v>
      </c>
      <c r="H531" t="s">
        <v>182</v>
      </c>
    </row>
    <row r="532" spans="1:9" x14ac:dyDescent="0.25">
      <c r="B532" s="221" t="s">
        <v>181</v>
      </c>
      <c r="D532" s="220" t="s">
        <v>180</v>
      </c>
      <c r="H532" s="256" t="s">
        <v>126</v>
      </c>
    </row>
    <row r="534" spans="1:9" ht="26.25" x14ac:dyDescent="0.4">
      <c r="A534" s="267" t="s">
        <v>199</v>
      </c>
      <c r="B534" s="221" t="s">
        <v>116</v>
      </c>
      <c r="C534" s="212"/>
      <c r="D534" s="220"/>
      <c r="E534" s="220"/>
      <c r="F534" s="212"/>
      <c r="G534" s="220"/>
      <c r="H534" s="220"/>
      <c r="I534" s="256" t="s">
        <v>175</v>
      </c>
    </row>
    <row r="535" spans="1:9" x14ac:dyDescent="0.25">
      <c r="B535" s="257" t="s">
        <v>129</v>
      </c>
      <c r="C535" s="212"/>
      <c r="D535" s="220"/>
      <c r="E535" s="257"/>
      <c r="F535" s="220"/>
      <c r="G535" s="220"/>
      <c r="H535" s="220"/>
      <c r="I535" s="220"/>
    </row>
    <row r="536" spans="1:9" ht="15.75" x14ac:dyDescent="0.25">
      <c r="B536" s="221" t="s">
        <v>128</v>
      </c>
      <c r="C536" s="212"/>
      <c r="D536" s="220"/>
      <c r="F536" s="220"/>
      <c r="G536" s="220"/>
      <c r="H536" s="1721" t="str">
        <f>$H$80</f>
        <v>Termin: 29 luty 2012 r.</v>
      </c>
      <c r="I536" s="1721"/>
    </row>
    <row r="537" spans="1:9" x14ac:dyDescent="0.25">
      <c r="B537" s="258"/>
      <c r="C537" s="212"/>
      <c r="D537" s="220"/>
      <c r="E537" s="220"/>
      <c r="F537" s="220"/>
      <c r="G537" s="220"/>
      <c r="H537" s="220"/>
      <c r="I537" s="220"/>
    </row>
    <row r="538" spans="1:9" x14ac:dyDescent="0.25">
      <c r="B538" s="221" t="s">
        <v>130</v>
      </c>
      <c r="C538" s="212"/>
      <c r="D538" s="220"/>
      <c r="E538" s="220"/>
      <c r="F538" s="220"/>
      <c r="G538" s="220"/>
      <c r="H538" s="220"/>
      <c r="I538" s="220"/>
    </row>
    <row r="539" spans="1:9" x14ac:dyDescent="0.25">
      <c r="B539" s="221" t="s">
        <v>131</v>
      </c>
      <c r="C539" s="212"/>
      <c r="D539" s="220"/>
      <c r="E539" s="220"/>
      <c r="F539" s="220"/>
      <c r="G539" s="220"/>
      <c r="H539" s="220"/>
      <c r="I539" s="220"/>
    </row>
    <row r="540" spans="1:9" ht="15.75" x14ac:dyDescent="0.25">
      <c r="B540" s="1"/>
      <c r="C540" s="255"/>
      <c r="D540" s="12"/>
      <c r="E540" s="12"/>
      <c r="F540" s="12"/>
      <c r="G540" s="12"/>
      <c r="H540" s="12"/>
      <c r="I540" s="12"/>
    </row>
    <row r="541" spans="1:9" ht="15.75" x14ac:dyDescent="0.25">
      <c r="B541" s="1"/>
      <c r="C541" s="255"/>
      <c r="D541" s="12"/>
      <c r="E541" s="1" t="s">
        <v>47</v>
      </c>
      <c r="F541" s="12"/>
      <c r="G541" s="12"/>
      <c r="H541" s="12"/>
      <c r="I541" s="12"/>
    </row>
    <row r="542" spans="1:9" ht="15.75" x14ac:dyDescent="0.25">
      <c r="B542" s="1"/>
      <c r="C542" s="255"/>
      <c r="D542" s="12"/>
      <c r="E542" s="1" t="s">
        <v>176</v>
      </c>
      <c r="F542" s="12"/>
      <c r="G542" s="12"/>
      <c r="H542" s="12"/>
      <c r="I542" s="12"/>
    </row>
    <row r="543" spans="1:9" ht="15.75" x14ac:dyDescent="0.25">
      <c r="B543" s="1"/>
      <c r="C543" s="255"/>
      <c r="D543" s="12"/>
      <c r="E543" s="1162" t="str">
        <f>$E$11</f>
        <v>SAMORZĄDÓW  POWIATOWYCH  I  PODMIOTÓW  NIEPUBLICZNYCH  W 2011 r.</v>
      </c>
      <c r="F543" s="12"/>
      <c r="G543" s="12"/>
      <c r="H543" s="12"/>
      <c r="I543" s="12"/>
    </row>
    <row r="544" spans="1:9" ht="15.75" x14ac:dyDescent="0.25">
      <c r="B544" s="1"/>
      <c r="C544" s="255"/>
      <c r="D544" s="12"/>
      <c r="E544" s="12"/>
      <c r="F544" s="12"/>
      <c r="G544" s="12"/>
      <c r="H544" s="12"/>
      <c r="I544" s="12"/>
    </row>
    <row r="545" spans="2:9" ht="15.75" thickBot="1" x14ac:dyDescent="0.3"/>
    <row r="546" spans="2:9" ht="16.5" thickTop="1" x14ac:dyDescent="0.25">
      <c r="B546" s="214"/>
      <c r="C546" s="227"/>
      <c r="D546" s="227"/>
      <c r="E546" s="227"/>
      <c r="F546" s="252"/>
      <c r="G546" s="229" t="s">
        <v>48</v>
      </c>
      <c r="H546" s="1722" t="s">
        <v>20</v>
      </c>
      <c r="I546" s="1723"/>
    </row>
    <row r="547" spans="2:9" ht="15.75" x14ac:dyDescent="0.25">
      <c r="B547" s="215"/>
      <c r="C547" s="225"/>
      <c r="D547" s="225"/>
      <c r="E547" s="225" t="s">
        <v>21</v>
      </c>
      <c r="F547" s="253"/>
      <c r="G547" s="230" t="s">
        <v>5</v>
      </c>
      <c r="H547" s="216" t="s">
        <v>22</v>
      </c>
      <c r="I547" s="217" t="s">
        <v>23</v>
      </c>
    </row>
    <row r="548" spans="2:9" ht="15.75" x14ac:dyDescent="0.25">
      <c r="B548" s="194"/>
      <c r="C548" s="225"/>
      <c r="D548" s="225"/>
      <c r="E548" s="225"/>
      <c r="F548" s="253"/>
      <c r="G548" s="218" t="s">
        <v>24</v>
      </c>
      <c r="H548" s="218" t="s">
        <v>25</v>
      </c>
      <c r="I548" s="219" t="s">
        <v>26</v>
      </c>
    </row>
    <row r="549" spans="2:9" ht="15.75" thickBot="1" x14ac:dyDescent="0.3">
      <c r="B549" s="61"/>
      <c r="C549" s="228"/>
      <c r="D549" s="228"/>
      <c r="E549" s="211">
        <v>0</v>
      </c>
      <c r="F549" s="254"/>
      <c r="G549" s="2">
        <v>1</v>
      </c>
      <c r="H549" s="2">
        <v>2</v>
      </c>
      <c r="I549" s="7">
        <v>3</v>
      </c>
    </row>
    <row r="550" spans="2:9" ht="16.5" thickTop="1" thickBot="1" x14ac:dyDescent="0.3">
      <c r="B550" s="231"/>
      <c r="G550" s="793"/>
      <c r="H550" s="793"/>
      <c r="I550" s="793"/>
    </row>
    <row r="551" spans="2:9" ht="16.5" thickTop="1" thickBot="1" x14ac:dyDescent="0.3">
      <c r="B551" s="1168" t="str">
        <f>$B$19</f>
        <v>Wg stanu na dzień 31.XII.2010 r.</v>
      </c>
      <c r="C551" s="232"/>
      <c r="D551" s="232"/>
      <c r="E551" s="232"/>
      <c r="F551" s="282" t="s">
        <v>165</v>
      </c>
      <c r="G551" s="698">
        <f>H551+I551</f>
        <v>8930</v>
      </c>
      <c r="H551" s="1564">
        <v>7784</v>
      </c>
      <c r="I551" s="1565">
        <v>1146</v>
      </c>
    </row>
    <row r="552" spans="2:9" x14ac:dyDescent="0.25">
      <c r="B552" s="1169" t="str">
        <f>$B$20</f>
        <v>Przyjętych w ciągu 2011 r.</v>
      </c>
      <c r="C552" s="242"/>
      <c r="D552" s="242"/>
      <c r="E552" s="242"/>
      <c r="F552" s="284" t="s">
        <v>166</v>
      </c>
      <c r="G552" s="285">
        <f>H552+I552</f>
        <v>1220</v>
      </c>
      <c r="H552" s="784">
        <f>H554+H555</f>
        <v>1072</v>
      </c>
      <c r="I552" s="785">
        <f>I554+I555</f>
        <v>148</v>
      </c>
    </row>
    <row r="553" spans="2:9" x14ac:dyDescent="0.25">
      <c r="B553" s="233"/>
      <c r="C553" s="241" t="s">
        <v>49</v>
      </c>
      <c r="D553" s="225"/>
      <c r="E553" s="225"/>
      <c r="F553" s="286"/>
      <c r="G553" s="287"/>
      <c r="H553" s="389" t="str">
        <f>IF(SUM(H554:H555)=H552, "", "?")</f>
        <v/>
      </c>
      <c r="I553" s="388" t="str">
        <f>IF(SUM(I554:I555)=I552, "", "?")</f>
        <v/>
      </c>
    </row>
    <row r="554" spans="2:9" x14ac:dyDescent="0.25">
      <c r="B554" s="233"/>
      <c r="C554" s="237" t="s">
        <v>158</v>
      </c>
      <c r="D554" s="222"/>
      <c r="E554" s="222"/>
      <c r="F554" s="290" t="s">
        <v>167</v>
      </c>
      <c r="G554" s="291">
        <f>H554+I554</f>
        <v>53</v>
      </c>
      <c r="H554" s="1550">
        <v>50</v>
      </c>
      <c r="I554" s="1551">
        <v>3</v>
      </c>
    </row>
    <row r="555" spans="2:9" ht="15.75" thickBot="1" x14ac:dyDescent="0.3">
      <c r="B555" s="234"/>
      <c r="C555" s="238" t="s">
        <v>159</v>
      </c>
      <c r="D555" s="235"/>
      <c r="E555" s="235"/>
      <c r="F555" s="292" t="s">
        <v>168</v>
      </c>
      <c r="G555" s="293">
        <f>H555+I555</f>
        <v>1167</v>
      </c>
      <c r="H555" s="1552">
        <v>1022</v>
      </c>
      <c r="I555" s="1553">
        <v>145</v>
      </c>
    </row>
    <row r="556" spans="2:9" x14ac:dyDescent="0.25">
      <c r="B556" s="1170" t="str">
        <f>$B$24</f>
        <v>Odeszło w ciągu 2011 r. (w.06 do w.09)</v>
      </c>
      <c r="C556" s="242"/>
      <c r="D556" s="242"/>
      <c r="E556" s="242"/>
      <c r="F556" s="284" t="s">
        <v>169</v>
      </c>
      <c r="G556" s="699">
        <f>H556+I556</f>
        <v>1130</v>
      </c>
      <c r="H556" s="699">
        <f>SUM(H558:H561)</f>
        <v>974</v>
      </c>
      <c r="I556" s="294">
        <f>SUM(I558:I561)</f>
        <v>156</v>
      </c>
    </row>
    <row r="557" spans="2:9" x14ac:dyDescent="0.25">
      <c r="B557" s="251"/>
      <c r="C557" s="240" t="s">
        <v>49</v>
      </c>
      <c r="D557" s="225"/>
      <c r="E557" s="225"/>
      <c r="F557" s="286"/>
      <c r="G557" s="287"/>
      <c r="H557" s="288"/>
      <c r="I557" s="289"/>
    </row>
    <row r="558" spans="2:9" x14ac:dyDescent="0.25">
      <c r="B558" s="233"/>
      <c r="C558" s="237" t="s">
        <v>160</v>
      </c>
      <c r="D558" s="222"/>
      <c r="E558" s="222"/>
      <c r="F558" s="290" t="s">
        <v>170</v>
      </c>
      <c r="G558" s="291">
        <f>H558+I558</f>
        <v>105</v>
      </c>
      <c r="H558" s="1550">
        <v>93</v>
      </c>
      <c r="I558" s="1551">
        <v>12</v>
      </c>
    </row>
    <row r="559" spans="2:9" x14ac:dyDescent="0.25">
      <c r="B559" s="233"/>
      <c r="C559" s="243" t="s">
        <v>161</v>
      </c>
      <c r="D559" s="223"/>
      <c r="E559" s="223"/>
      <c r="F559" s="295" t="s">
        <v>171</v>
      </c>
      <c r="G559" s="296">
        <f>H559+I559</f>
        <v>75</v>
      </c>
      <c r="H559" s="1554">
        <v>68</v>
      </c>
      <c r="I559" s="1555">
        <v>7</v>
      </c>
    </row>
    <row r="560" spans="2:9" x14ac:dyDescent="0.25">
      <c r="B560" s="233"/>
      <c r="C560" s="243" t="s">
        <v>162</v>
      </c>
      <c r="D560" s="223"/>
      <c r="E560" s="223"/>
      <c r="F560" s="295" t="s">
        <v>172</v>
      </c>
      <c r="G560" s="296">
        <f>H560+I560</f>
        <v>34</v>
      </c>
      <c r="H560" s="1554">
        <v>32</v>
      </c>
      <c r="I560" s="1555">
        <v>2</v>
      </c>
    </row>
    <row r="561" spans="2:9" ht="15.75" thickBot="1" x14ac:dyDescent="0.3">
      <c r="B561" s="234"/>
      <c r="C561" s="238" t="s">
        <v>163</v>
      </c>
      <c r="D561" s="235"/>
      <c r="E561" s="235"/>
      <c r="F561" s="292" t="s">
        <v>173</v>
      </c>
      <c r="G561" s="293">
        <f>H561+I561</f>
        <v>916</v>
      </c>
      <c r="H561" s="1552">
        <v>781</v>
      </c>
      <c r="I561" s="1553">
        <v>135</v>
      </c>
    </row>
    <row r="562" spans="2:9" x14ac:dyDescent="0.25">
      <c r="B562" s="1171" t="str">
        <f>$B$30</f>
        <v>Wg stanu na dzień 31.XII.2011 r.</v>
      </c>
      <c r="C562" s="225"/>
      <c r="D562" s="225"/>
      <c r="E562" s="225"/>
      <c r="F562" s="286"/>
      <c r="G562" s="922" t="str">
        <f>IF('Tab.2. l.d.m.m._Polska'!G273=G563,"","t2w1k3"&amp;"="&amp;'Tab.2. l.d.m.m._Polska'!G273)</f>
        <v/>
      </c>
      <c r="H562" s="922" t="str">
        <f>IF('Tab.2. l.d.m.m._Polska'!K273=H563,"","t2w1k6"&amp;"="&amp;'Tab.2. l.d.m.m._Polska'!K273)</f>
        <v/>
      </c>
      <c r="I562" s="923" t="str">
        <f>IF('Tab.2. l.d.m.m._Polska'!O273=I563,"","t2w1k9"&amp;"="&amp;'Tab.2. l.d.m.m._Polska'!O273)</f>
        <v/>
      </c>
    </row>
    <row r="563" spans="2:9" x14ac:dyDescent="0.25">
      <c r="B563" s="245" t="s">
        <v>194</v>
      </c>
      <c r="C563" s="222"/>
      <c r="D563" s="222"/>
      <c r="E563" s="222"/>
      <c r="F563" s="297">
        <v>10</v>
      </c>
      <c r="G563" s="689">
        <f>H563+I563</f>
        <v>9020</v>
      </c>
      <c r="H563" s="689">
        <f>IF(H551+H552-H556=SUM(H568:H572), H551+H552-H556, (H551+H552-H556)-SUM(H568:H572))</f>
        <v>7882</v>
      </c>
      <c r="I563" s="298">
        <f>IF(I551+I552-I556=SUM(I568:I572), I551+I552-I556, (I551+I552-I556)-SUM(I568:I572))</f>
        <v>1138</v>
      </c>
    </row>
    <row r="564" spans="2:9" x14ac:dyDescent="0.25">
      <c r="B564" s="233"/>
      <c r="C564" s="240" t="s">
        <v>50</v>
      </c>
      <c r="D564" s="225"/>
      <c r="E564" s="225"/>
      <c r="F564" s="286"/>
      <c r="G564" s="287"/>
      <c r="H564" s="288"/>
      <c r="I564" s="289"/>
    </row>
    <row r="565" spans="2:9" ht="15.75" thickBot="1" x14ac:dyDescent="0.3">
      <c r="B565" s="244"/>
      <c r="C565" s="239" t="s">
        <v>164</v>
      </c>
      <c r="D565" s="226"/>
      <c r="E565" s="226"/>
      <c r="F565" s="299">
        <v>11</v>
      </c>
      <c r="G565" s="300">
        <f>H565+I565</f>
        <v>959</v>
      </c>
      <c r="H565" s="1556">
        <v>798</v>
      </c>
      <c r="I565" s="1557">
        <v>161</v>
      </c>
    </row>
    <row r="566" spans="2:9" ht="16.5" thickTop="1" thickBot="1" x14ac:dyDescent="0.3">
      <c r="B566" s="236"/>
      <c r="F566" s="301"/>
      <c r="G566" s="405" t="str">
        <f>IF(SUM(G568:G572)=G563,"","Uwaga! "&amp;SUM(G568:G572))</f>
        <v/>
      </c>
      <c r="H566" s="405" t="str">
        <f>IF(SUM(H568:H572)=H563,"","Uwaga! "&amp;SUM(H568:H572))</f>
        <v/>
      </c>
      <c r="I566" s="405" t="str">
        <f>IF(SUM(I568:I572)=I563,"","Uwaga! "&amp;SUM(I568:I572))</f>
        <v/>
      </c>
    </row>
    <row r="567" spans="2:9" ht="15.75" thickTop="1" x14ac:dyDescent="0.25">
      <c r="B567" s="213" t="s">
        <v>183</v>
      </c>
      <c r="C567" s="246"/>
      <c r="D567" s="246"/>
      <c r="E567" s="246"/>
      <c r="F567" s="304"/>
      <c r="G567" s="305" t="s">
        <v>142</v>
      </c>
      <c r="H567" s="305" t="s">
        <v>142</v>
      </c>
      <c r="I567" s="306" t="s">
        <v>142</v>
      </c>
    </row>
    <row r="568" spans="2:9" x14ac:dyDescent="0.25">
      <c r="B568" s="247" t="s">
        <v>52</v>
      </c>
      <c r="C568" s="223"/>
      <c r="D568" s="223"/>
      <c r="E568" s="223"/>
      <c r="F568" s="307">
        <v>12</v>
      </c>
      <c r="G568" s="296">
        <f>H568+I568</f>
        <v>121</v>
      </c>
      <c r="H568" s="1554">
        <v>79</v>
      </c>
      <c r="I568" s="1555">
        <v>42</v>
      </c>
    </row>
    <row r="569" spans="2:9" x14ac:dyDescent="0.25">
      <c r="B569" s="247" t="s">
        <v>53</v>
      </c>
      <c r="C569" s="223"/>
      <c r="D569" s="223"/>
      <c r="E569" s="223"/>
      <c r="F569" s="307">
        <v>13</v>
      </c>
      <c r="G569" s="296">
        <f>H569+I569</f>
        <v>1336</v>
      </c>
      <c r="H569" s="1554">
        <v>1111</v>
      </c>
      <c r="I569" s="1555">
        <v>225</v>
      </c>
    </row>
    <row r="570" spans="2:9" x14ac:dyDescent="0.25">
      <c r="B570" s="247" t="s">
        <v>54</v>
      </c>
      <c r="C570" s="223"/>
      <c r="D570" s="223"/>
      <c r="E570" s="223"/>
      <c r="F570" s="307">
        <v>14</v>
      </c>
      <c r="G570" s="296">
        <f>H570+I570</f>
        <v>2846</v>
      </c>
      <c r="H570" s="1554">
        <v>2523</v>
      </c>
      <c r="I570" s="1555">
        <v>323</v>
      </c>
    </row>
    <row r="571" spans="2:9" x14ac:dyDescent="0.25">
      <c r="B571" s="247" t="s">
        <v>55</v>
      </c>
      <c r="C571" s="223"/>
      <c r="D571" s="223"/>
      <c r="E571" s="223"/>
      <c r="F571" s="307">
        <v>15</v>
      </c>
      <c r="G571" s="296">
        <f>H571+I571</f>
        <v>2039</v>
      </c>
      <c r="H571" s="1554">
        <v>1852</v>
      </c>
      <c r="I571" s="1555">
        <v>187</v>
      </c>
    </row>
    <row r="572" spans="2:9" ht="15.75" thickBot="1" x14ac:dyDescent="0.3">
      <c r="B572" s="248" t="s">
        <v>56</v>
      </c>
      <c r="C572" s="224"/>
      <c r="D572" s="224"/>
      <c r="E572" s="224"/>
      <c r="F572" s="308">
        <v>16</v>
      </c>
      <c r="G572" s="309">
        <f>H572+I572</f>
        <v>2678</v>
      </c>
      <c r="H572" s="1558">
        <v>2317</v>
      </c>
      <c r="I572" s="1559">
        <v>361</v>
      </c>
    </row>
    <row r="573" spans="2:9" ht="16.5" thickTop="1" thickBot="1" x14ac:dyDescent="0.3">
      <c r="B573" s="236"/>
      <c r="C573" s="225"/>
      <c r="D573" s="225"/>
      <c r="E573" s="225"/>
      <c r="F573" s="310"/>
      <c r="G573" s="311"/>
      <c r="H573" s="312"/>
      <c r="I573" s="312"/>
    </row>
    <row r="574" spans="2:9" ht="15.75" thickTop="1" x14ac:dyDescent="0.25">
      <c r="B574" s="249" t="s">
        <v>184</v>
      </c>
      <c r="C574" s="227"/>
      <c r="D574" s="227"/>
      <c r="E574" s="227"/>
      <c r="F574" s="313"/>
      <c r="G574" s="314"/>
      <c r="H574" s="315"/>
      <c r="I574" s="316"/>
    </row>
    <row r="575" spans="2:9" x14ac:dyDescent="0.25">
      <c r="B575" s="245" t="s">
        <v>179</v>
      </c>
      <c r="C575" s="222"/>
      <c r="D575" s="222"/>
      <c r="E575" s="222"/>
      <c r="F575" s="297">
        <v>17</v>
      </c>
      <c r="G575" s="291">
        <f>H575+I575</f>
        <v>5157</v>
      </c>
      <c r="H575" s="291">
        <f>H577+H583</f>
        <v>4506</v>
      </c>
      <c r="I575" s="298">
        <f>I577+I583</f>
        <v>651</v>
      </c>
    </row>
    <row r="576" spans="2:9" x14ac:dyDescent="0.25">
      <c r="B576" s="233"/>
      <c r="C576" s="240" t="s">
        <v>49</v>
      </c>
      <c r="D576" s="225"/>
      <c r="E576" s="225"/>
      <c r="F576" s="286"/>
      <c r="G576" s="287"/>
      <c r="H576" s="288"/>
      <c r="I576" s="289"/>
    </row>
    <row r="577" spans="2:9" x14ac:dyDescent="0.25">
      <c r="B577" s="233"/>
      <c r="C577" s="222" t="s">
        <v>154</v>
      </c>
      <c r="D577" s="222"/>
      <c r="E577" s="222"/>
      <c r="F577" s="297">
        <v>18</v>
      </c>
      <c r="G577" s="291">
        <f>H577+I577</f>
        <v>5129</v>
      </c>
      <c r="H577" s="317">
        <f>SUM(H579:H582)</f>
        <v>4484</v>
      </c>
      <c r="I577" s="318">
        <f>SUM(I579:I582)</f>
        <v>645</v>
      </c>
    </row>
    <row r="578" spans="2:9" x14ac:dyDescent="0.25">
      <c r="B578" s="233"/>
      <c r="C578" s="225"/>
      <c r="D578" s="240" t="s">
        <v>155</v>
      </c>
      <c r="E578" s="225"/>
      <c r="F578" s="286"/>
      <c r="G578" s="287"/>
      <c r="H578" s="288"/>
      <c r="I578" s="289"/>
    </row>
    <row r="579" spans="2:9" x14ac:dyDescent="0.25">
      <c r="B579" s="233"/>
      <c r="C579" s="225"/>
      <c r="D579" s="222" t="s">
        <v>178</v>
      </c>
      <c r="E579" s="222"/>
      <c r="F579" s="297">
        <v>19</v>
      </c>
      <c r="G579" s="291">
        <f t="shared" ref="G579:G584" si="13">H579+I579</f>
        <v>4748</v>
      </c>
      <c r="H579" s="1550">
        <v>4121</v>
      </c>
      <c r="I579" s="1551">
        <v>627</v>
      </c>
    </row>
    <row r="580" spans="2:9" x14ac:dyDescent="0.25">
      <c r="B580" s="233"/>
      <c r="C580" s="225"/>
      <c r="D580" s="223" t="s">
        <v>151</v>
      </c>
      <c r="E580" s="223"/>
      <c r="F580" s="307">
        <v>20</v>
      </c>
      <c r="G580" s="296">
        <f t="shared" si="13"/>
        <v>373</v>
      </c>
      <c r="H580" s="1554">
        <v>355</v>
      </c>
      <c r="I580" s="1555">
        <v>18</v>
      </c>
    </row>
    <row r="581" spans="2:9" x14ac:dyDescent="0.25">
      <c r="B581" s="233"/>
      <c r="C581" s="225"/>
      <c r="D581" s="223" t="s">
        <v>149</v>
      </c>
      <c r="E581" s="223"/>
      <c r="F581" s="307">
        <v>21</v>
      </c>
      <c r="G581" s="296">
        <f t="shared" si="13"/>
        <v>6</v>
      </c>
      <c r="H581" s="1554">
        <v>6</v>
      </c>
      <c r="I581" s="1555">
        <v>0</v>
      </c>
    </row>
    <row r="582" spans="2:9" x14ac:dyDescent="0.25">
      <c r="B582" s="233"/>
      <c r="C582" s="225"/>
      <c r="D582" s="222" t="s">
        <v>152</v>
      </c>
      <c r="E582" s="222"/>
      <c r="F582" s="297">
        <v>22</v>
      </c>
      <c r="G582" s="291">
        <f t="shared" si="13"/>
        <v>2</v>
      </c>
      <c r="H582" s="1550">
        <v>2</v>
      </c>
      <c r="I582" s="1551">
        <v>0</v>
      </c>
    </row>
    <row r="583" spans="2:9" x14ac:dyDescent="0.25">
      <c r="B583" s="233"/>
      <c r="C583" s="222" t="s">
        <v>156</v>
      </c>
      <c r="D583" s="222"/>
      <c r="E583" s="222"/>
      <c r="F583" s="297">
        <v>23</v>
      </c>
      <c r="G583" s="291">
        <f t="shared" si="13"/>
        <v>28</v>
      </c>
      <c r="H583" s="1550">
        <v>22</v>
      </c>
      <c r="I583" s="1551">
        <v>6</v>
      </c>
    </row>
    <row r="584" spans="2:9" x14ac:dyDescent="0.25">
      <c r="B584" s="233"/>
      <c r="C584" s="223" t="s">
        <v>150</v>
      </c>
      <c r="D584" s="223"/>
      <c r="E584" s="223"/>
      <c r="F584" s="307">
        <v>24</v>
      </c>
      <c r="G584" s="296">
        <f t="shared" si="13"/>
        <v>80</v>
      </c>
      <c r="H584" s="1554">
        <v>80</v>
      </c>
      <c r="I584" s="1555">
        <v>0</v>
      </c>
    </row>
    <row r="585" spans="2:9" x14ac:dyDescent="0.25">
      <c r="B585" s="233"/>
      <c r="C585" s="250" t="s">
        <v>157</v>
      </c>
      <c r="D585" s="250"/>
      <c r="E585" s="250"/>
      <c r="F585" s="319"/>
      <c r="G585" s="320"/>
      <c r="H585" s="321"/>
      <c r="I585" s="322"/>
    </row>
    <row r="586" spans="2:9" ht="15.75" thickBot="1" x14ac:dyDescent="0.3">
      <c r="B586" s="244"/>
      <c r="C586" s="226" t="s">
        <v>148</v>
      </c>
      <c r="D586" s="226"/>
      <c r="E586" s="226"/>
      <c r="F586" s="299">
        <v>25</v>
      </c>
      <c r="G586" s="300">
        <f>H586+I586</f>
        <v>4</v>
      </c>
      <c r="H586" s="1556">
        <v>4</v>
      </c>
      <c r="I586" s="1557">
        <v>0</v>
      </c>
    </row>
    <row r="587" spans="2:9" ht="16.5" thickTop="1" thickBot="1" x14ac:dyDescent="0.3">
      <c r="F587" s="301"/>
      <c r="G587" s="302"/>
      <c r="H587" s="303"/>
      <c r="I587" s="303"/>
    </row>
    <row r="588" spans="2:9" ht="15.75" thickTop="1" x14ac:dyDescent="0.25">
      <c r="B588" s="261" t="s">
        <v>174</v>
      </c>
      <c r="C588" s="262"/>
      <c r="D588" s="263"/>
      <c r="E588" s="246"/>
      <c r="F588" s="323">
        <v>26</v>
      </c>
      <c r="G588" s="1109">
        <f>H588+I588</f>
        <v>3863</v>
      </c>
      <c r="H588" s="1109">
        <f>H590+H595</f>
        <v>3376</v>
      </c>
      <c r="I588" s="1108">
        <f>I590+I595</f>
        <v>487</v>
      </c>
    </row>
    <row r="589" spans="2:9" x14ac:dyDescent="0.25">
      <c r="B589" s="233"/>
      <c r="C589" s="240" t="s">
        <v>50</v>
      </c>
      <c r="D589" s="225"/>
      <c r="E589" s="225"/>
      <c r="F589" s="286"/>
      <c r="G589" s="704"/>
      <c r="H589" s="705"/>
      <c r="I589" s="696"/>
    </row>
    <row r="590" spans="2:9" x14ac:dyDescent="0.25">
      <c r="B590" s="233"/>
      <c r="C590" s="222" t="s">
        <v>185</v>
      </c>
      <c r="D590" s="222"/>
      <c r="E590" s="222"/>
      <c r="F590" s="297">
        <v>27</v>
      </c>
      <c r="G590" s="689">
        <f>H590+I590</f>
        <v>157</v>
      </c>
      <c r="H590" s="689">
        <f>SUM(H592:H594)</f>
        <v>126</v>
      </c>
      <c r="I590" s="690">
        <f>SUM(I592:I594)</f>
        <v>31</v>
      </c>
    </row>
    <row r="591" spans="2:9" x14ac:dyDescent="0.25">
      <c r="B591" s="233"/>
      <c r="C591" s="225"/>
      <c r="D591" s="240" t="s">
        <v>190</v>
      </c>
      <c r="E591" s="225"/>
      <c r="F591" s="286"/>
      <c r="G591" s="390" t="str">
        <f>IF(SUM(G592:G594)=G590, "", G590-SUM(G592:G594))</f>
        <v/>
      </c>
      <c r="H591" s="390" t="str">
        <f>IF(SUM(H592:H594)=H590, "", H590-SUM(H592:H594))</f>
        <v/>
      </c>
      <c r="I591" s="398" t="str">
        <f>IF(SUM(I592:I594)=I590, "", I590-SUM(I592:I594))</f>
        <v/>
      </c>
    </row>
    <row r="592" spans="2:9" x14ac:dyDescent="0.25">
      <c r="B592" s="233"/>
      <c r="C592" s="225"/>
      <c r="D592" s="222" t="s">
        <v>186</v>
      </c>
      <c r="E592" s="222"/>
      <c r="F592" s="297">
        <v>28</v>
      </c>
      <c r="G592" s="291">
        <f>H592+I592</f>
        <v>58</v>
      </c>
      <c r="H592" s="1550">
        <v>52</v>
      </c>
      <c r="I592" s="1551">
        <v>6</v>
      </c>
    </row>
    <row r="593" spans="2:9" x14ac:dyDescent="0.25">
      <c r="B593" s="233"/>
      <c r="C593" s="225"/>
      <c r="D593" s="223" t="s">
        <v>187</v>
      </c>
      <c r="E593" s="225"/>
      <c r="F593" s="297">
        <v>29</v>
      </c>
      <c r="G593" s="291">
        <f>H593+I593</f>
        <v>6</v>
      </c>
      <c r="H593" s="1550">
        <v>0</v>
      </c>
      <c r="I593" s="1551">
        <v>6</v>
      </c>
    </row>
    <row r="594" spans="2:9" x14ac:dyDescent="0.25">
      <c r="B594" s="233"/>
      <c r="C594" s="225"/>
      <c r="D594" s="223" t="s">
        <v>188</v>
      </c>
      <c r="E594" s="223"/>
      <c r="F594" s="307">
        <v>30</v>
      </c>
      <c r="G594" s="296">
        <f>H594+I594</f>
        <v>93</v>
      </c>
      <c r="H594" s="1554">
        <v>74</v>
      </c>
      <c r="I594" s="1555">
        <v>19</v>
      </c>
    </row>
    <row r="595" spans="2:9" x14ac:dyDescent="0.25">
      <c r="B595" s="233"/>
      <c r="C595" s="222" t="s">
        <v>189</v>
      </c>
      <c r="D595" s="222"/>
      <c r="E595" s="222"/>
      <c r="F595" s="297">
        <v>31</v>
      </c>
      <c r="G595" s="689">
        <f>H595+I595</f>
        <v>3706</v>
      </c>
      <c r="H595" s="689">
        <f>SUM(H597:H600)</f>
        <v>3250</v>
      </c>
      <c r="I595" s="298">
        <f>SUM(I597:I600)</f>
        <v>456</v>
      </c>
    </row>
    <row r="596" spans="2:9" x14ac:dyDescent="0.25">
      <c r="B596" s="233"/>
      <c r="C596" s="225"/>
      <c r="D596" s="240" t="s">
        <v>191</v>
      </c>
      <c r="E596" s="225"/>
      <c r="F596" s="286"/>
      <c r="G596" s="287" t="str">
        <f>IF(SUM(G597:G600)=G595, "", G595-SUM(G597:G600))</f>
        <v/>
      </c>
      <c r="H596" s="288" t="str">
        <f>IF(SUM(H597:H600)=H595, "", H595-SUM(H597:H600))</f>
        <v/>
      </c>
      <c r="I596" s="289" t="str">
        <f>IF(SUM(I597:I600)=I595, "", I595-SUM(I597:I600))</f>
        <v/>
      </c>
    </row>
    <row r="597" spans="2:9" x14ac:dyDescent="0.25">
      <c r="B597" s="233"/>
      <c r="C597" s="225"/>
      <c r="D597" s="222" t="s">
        <v>186</v>
      </c>
      <c r="E597" s="222"/>
      <c r="F597" s="297">
        <v>32</v>
      </c>
      <c r="G597" s="689">
        <f>H597+I597</f>
        <v>3277</v>
      </c>
      <c r="H597" s="1550">
        <v>2926</v>
      </c>
      <c r="I597" s="1551">
        <v>351</v>
      </c>
    </row>
    <row r="598" spans="2:9" x14ac:dyDescent="0.25">
      <c r="B598" s="233"/>
      <c r="C598" s="225"/>
      <c r="D598" s="222" t="s">
        <v>187</v>
      </c>
      <c r="E598" s="222"/>
      <c r="F598" s="297">
        <v>33</v>
      </c>
      <c r="G598" s="291">
        <f>H598+I598</f>
        <v>11</v>
      </c>
      <c r="H598" s="1550">
        <v>4</v>
      </c>
      <c r="I598" s="1551">
        <v>7</v>
      </c>
    </row>
    <row r="599" spans="2:9" x14ac:dyDescent="0.25">
      <c r="B599" s="233"/>
      <c r="C599" s="225"/>
      <c r="D599" s="222" t="s">
        <v>188</v>
      </c>
      <c r="E599" s="222"/>
      <c r="F599" s="297">
        <v>34</v>
      </c>
      <c r="G599" s="291">
        <f>H599+I599</f>
        <v>339</v>
      </c>
      <c r="H599" s="1550">
        <v>295</v>
      </c>
      <c r="I599" s="1551">
        <v>44</v>
      </c>
    </row>
    <row r="600" spans="2:9" ht="15.75" thickBot="1" x14ac:dyDescent="0.3">
      <c r="B600" s="234"/>
      <c r="C600" s="235"/>
      <c r="D600" s="259" t="s">
        <v>153</v>
      </c>
      <c r="E600" s="259"/>
      <c r="F600" s="325">
        <v>35</v>
      </c>
      <c r="G600" s="326">
        <f>H600+I600</f>
        <v>79</v>
      </c>
      <c r="H600" s="1567">
        <v>25</v>
      </c>
      <c r="I600" s="1563">
        <v>54</v>
      </c>
    </row>
    <row r="601" spans="2:9" x14ac:dyDescent="0.25">
      <c r="B601" s="260" t="s">
        <v>177</v>
      </c>
      <c r="C601" s="242"/>
      <c r="D601" s="242"/>
      <c r="E601" s="242"/>
      <c r="F601" s="327">
        <v>36</v>
      </c>
      <c r="G601" s="285">
        <f>H601+I601</f>
        <v>3767</v>
      </c>
      <c r="H601" s="784">
        <f>H592+H594+H597+H599</f>
        <v>3347</v>
      </c>
      <c r="I601" s="328">
        <f>I592+I594+I597+I599</f>
        <v>420</v>
      </c>
    </row>
    <row r="602" spans="2:9" x14ac:dyDescent="0.25">
      <c r="B602" s="233"/>
      <c r="C602" s="240" t="s">
        <v>155</v>
      </c>
      <c r="D602" s="225"/>
      <c r="E602" s="250"/>
      <c r="F602" s="286"/>
      <c r="G602" s="390" t="str">
        <f>IF(SUM(G603:G605)=G601, "", G601-SUM(G603:G605))</f>
        <v/>
      </c>
      <c r="H602" s="390" t="str">
        <f>IF(SUM(H603:H605)=H601, "", H601-SUM(H603:H605))</f>
        <v/>
      </c>
      <c r="I602" s="398" t="str">
        <f>IF(SUM(I603:I605)=I601, "", I601-SUM(I603:I605))</f>
        <v/>
      </c>
    </row>
    <row r="603" spans="2:9" x14ac:dyDescent="0.25">
      <c r="B603" s="233"/>
      <c r="C603" s="222" t="s">
        <v>178</v>
      </c>
      <c r="D603" s="222"/>
      <c r="E603" s="222"/>
      <c r="F603" s="297">
        <v>37</v>
      </c>
      <c r="G603" s="291">
        <f>H603+I603</f>
        <v>3091</v>
      </c>
      <c r="H603" s="1550">
        <v>2717</v>
      </c>
      <c r="I603" s="1551">
        <v>374</v>
      </c>
    </row>
    <row r="604" spans="2:9" x14ac:dyDescent="0.25">
      <c r="B604" s="233"/>
      <c r="C604" s="223" t="s">
        <v>151</v>
      </c>
      <c r="D604" s="223"/>
      <c r="E604" s="223"/>
      <c r="F604" s="307">
        <v>38</v>
      </c>
      <c r="G604" s="296">
        <f>H604+I604</f>
        <v>636</v>
      </c>
      <c r="H604" s="1554">
        <v>592</v>
      </c>
      <c r="I604" s="1555">
        <v>44</v>
      </c>
    </row>
    <row r="605" spans="2:9" ht="15.75" thickBot="1" x14ac:dyDescent="0.3">
      <c r="B605" s="244"/>
      <c r="C605" s="226" t="s">
        <v>152</v>
      </c>
      <c r="D605" s="226"/>
      <c r="E605" s="226"/>
      <c r="F605" s="299">
        <v>39</v>
      </c>
      <c r="G605" s="300">
        <f>H605+I605</f>
        <v>40</v>
      </c>
      <c r="H605" s="1556">
        <v>38</v>
      </c>
      <c r="I605" s="1557">
        <v>2</v>
      </c>
    </row>
    <row r="606" spans="2:9" ht="15.75" thickTop="1" x14ac:dyDescent="0.25">
      <c r="G606" s="412" t="str">
        <f>IF(SUM(G603:G605)=G601, "", SUM(G603:G605))</f>
        <v/>
      </c>
      <c r="H606" s="412" t="str">
        <f>IF(SUM(H603:H605)=H601, "", SUM(H603:H605))</f>
        <v/>
      </c>
      <c r="I606" s="412" t="str">
        <f>IF(SUM(I603:I605)=I601, "", SUM(I603:I605))</f>
        <v/>
      </c>
    </row>
    <row r="607" spans="2:9" x14ac:dyDescent="0.25">
      <c r="B607" s="221" t="s">
        <v>123</v>
      </c>
      <c r="D607" s="220" t="s">
        <v>180</v>
      </c>
      <c r="H607" t="s">
        <v>182</v>
      </c>
    </row>
    <row r="608" spans="2:9" x14ac:dyDescent="0.25">
      <c r="B608" s="221" t="s">
        <v>181</v>
      </c>
      <c r="D608" s="220" t="s">
        <v>180</v>
      </c>
      <c r="H608" s="256" t="s">
        <v>126</v>
      </c>
    </row>
    <row r="610" spans="1:9" ht="26.25" x14ac:dyDescent="0.4">
      <c r="A610" s="267" t="s">
        <v>200</v>
      </c>
      <c r="B610" s="221" t="s">
        <v>116</v>
      </c>
      <c r="C610" s="212"/>
      <c r="D610" s="220"/>
      <c r="E610" s="220"/>
      <c r="F610" s="212"/>
      <c r="G610" s="220"/>
      <c r="H610" s="220"/>
      <c r="I610" s="256" t="s">
        <v>175</v>
      </c>
    </row>
    <row r="611" spans="1:9" x14ac:dyDescent="0.25">
      <c r="B611" s="257" t="s">
        <v>129</v>
      </c>
      <c r="C611" s="212"/>
      <c r="D611" s="220"/>
      <c r="E611" s="257"/>
      <c r="F611" s="220"/>
      <c r="G611" s="220"/>
      <c r="H611" s="220"/>
      <c r="I611" s="220"/>
    </row>
    <row r="612" spans="1:9" ht="15.75" x14ac:dyDescent="0.25">
      <c r="B612" s="221" t="s">
        <v>128</v>
      </c>
      <c r="C612" s="212"/>
      <c r="D612" s="220"/>
      <c r="F612" s="220"/>
      <c r="G612" s="220"/>
      <c r="H612" s="1721" t="str">
        <f>$H$80</f>
        <v>Termin: 29 luty 2012 r.</v>
      </c>
      <c r="I612" s="1721"/>
    </row>
    <row r="613" spans="1:9" x14ac:dyDescent="0.25">
      <c r="B613" s="258"/>
      <c r="C613" s="212"/>
      <c r="D613" s="220"/>
      <c r="E613" s="220"/>
      <c r="F613" s="220"/>
      <c r="G613" s="220"/>
      <c r="H613" s="220"/>
      <c r="I613" s="220"/>
    </row>
    <row r="614" spans="1:9" x14ac:dyDescent="0.25">
      <c r="B614" s="221" t="s">
        <v>130</v>
      </c>
      <c r="C614" s="212"/>
      <c r="D614" s="220"/>
      <c r="E614" s="220"/>
      <c r="F614" s="220"/>
      <c r="G614" s="220"/>
      <c r="H614" s="220"/>
      <c r="I614" s="220"/>
    </row>
    <row r="615" spans="1:9" x14ac:dyDescent="0.25">
      <c r="B615" s="221" t="s">
        <v>131</v>
      </c>
      <c r="C615" s="212"/>
      <c r="D615" s="220"/>
      <c r="E615" s="220"/>
      <c r="F615" s="220"/>
      <c r="G615" s="220"/>
      <c r="H615" s="220"/>
      <c r="I615" s="220"/>
    </row>
    <row r="616" spans="1:9" ht="15.75" x14ac:dyDescent="0.25">
      <c r="B616" s="1"/>
      <c r="C616" s="255"/>
      <c r="D616" s="12"/>
      <c r="E616" s="12"/>
      <c r="F616" s="12"/>
      <c r="G616" s="12"/>
      <c r="H616" s="12"/>
      <c r="I616" s="12"/>
    </row>
    <row r="617" spans="1:9" ht="15.75" x14ac:dyDescent="0.25">
      <c r="B617" s="1"/>
      <c r="C617" s="255"/>
      <c r="D617" s="12"/>
      <c r="E617" s="1" t="s">
        <v>47</v>
      </c>
      <c r="F617" s="12"/>
      <c r="G617" s="12"/>
      <c r="H617" s="12"/>
      <c r="I617" s="12"/>
    </row>
    <row r="618" spans="1:9" ht="15.75" x14ac:dyDescent="0.25">
      <c r="B618" s="1"/>
      <c r="C618" s="255"/>
      <c r="D618" s="12"/>
      <c r="E618" s="1" t="s">
        <v>176</v>
      </c>
      <c r="F618" s="12"/>
      <c r="G618" s="12"/>
      <c r="H618" s="12"/>
      <c r="I618" s="12"/>
    </row>
    <row r="619" spans="1:9" ht="15.75" x14ac:dyDescent="0.25">
      <c r="B619" s="1"/>
      <c r="C619" s="255"/>
      <c r="D619" s="12"/>
      <c r="E619" s="1162" t="str">
        <f>$E$11</f>
        <v>SAMORZĄDÓW  POWIATOWYCH  I  PODMIOTÓW  NIEPUBLICZNYCH  W 2011 r.</v>
      </c>
      <c r="F619" s="12"/>
      <c r="G619" s="12"/>
      <c r="H619" s="12"/>
      <c r="I619" s="12"/>
    </row>
    <row r="620" spans="1:9" ht="15.75" x14ac:dyDescent="0.25">
      <c r="B620" s="1"/>
      <c r="C620" s="255"/>
      <c r="D620" s="12"/>
      <c r="E620" s="12"/>
      <c r="F620" s="12"/>
      <c r="G620" s="12"/>
      <c r="H620" s="12"/>
      <c r="I620" s="12"/>
    </row>
    <row r="621" spans="1:9" ht="15.75" thickBot="1" x14ac:dyDescent="0.3"/>
    <row r="622" spans="1:9" ht="16.5" thickTop="1" x14ac:dyDescent="0.25">
      <c r="B622" s="214"/>
      <c r="C622" s="227"/>
      <c r="D622" s="227"/>
      <c r="E622" s="227"/>
      <c r="F622" s="252"/>
      <c r="G622" s="229" t="s">
        <v>48</v>
      </c>
      <c r="H622" s="1722" t="s">
        <v>20</v>
      </c>
      <c r="I622" s="1723"/>
    </row>
    <row r="623" spans="1:9" ht="15.75" x14ac:dyDescent="0.25">
      <c r="B623" s="215"/>
      <c r="C623" s="225"/>
      <c r="D623" s="225"/>
      <c r="E623" s="225" t="s">
        <v>21</v>
      </c>
      <c r="F623" s="253"/>
      <c r="G623" s="230" t="s">
        <v>5</v>
      </c>
      <c r="H623" s="216" t="s">
        <v>22</v>
      </c>
      <c r="I623" s="217" t="s">
        <v>23</v>
      </c>
    </row>
    <row r="624" spans="1:9" ht="15.75" x14ac:dyDescent="0.25">
      <c r="B624" s="194"/>
      <c r="C624" s="225"/>
      <c r="D624" s="225"/>
      <c r="E624" s="225"/>
      <c r="F624" s="253"/>
      <c r="G624" s="218" t="s">
        <v>24</v>
      </c>
      <c r="H624" s="218" t="s">
        <v>25</v>
      </c>
      <c r="I624" s="219" t="s">
        <v>26</v>
      </c>
    </row>
    <row r="625" spans="2:9" ht="15.75" thickBot="1" x14ac:dyDescent="0.3">
      <c r="B625" s="61"/>
      <c r="C625" s="228"/>
      <c r="D625" s="228"/>
      <c r="E625" s="211">
        <v>0</v>
      </c>
      <c r="F625" s="254"/>
      <c r="G625" s="2">
        <v>1</v>
      </c>
      <c r="H625" s="2">
        <v>2</v>
      </c>
      <c r="I625" s="7">
        <v>3</v>
      </c>
    </row>
    <row r="626" spans="2:9" ht="16.5" thickTop="1" thickBot="1" x14ac:dyDescent="0.3">
      <c r="B626" s="231"/>
      <c r="G626" s="793"/>
      <c r="H626" s="793"/>
      <c r="I626" s="793"/>
    </row>
    <row r="627" spans="2:9" ht="16.5" thickTop="1" thickBot="1" x14ac:dyDescent="0.3">
      <c r="B627" s="1168" t="str">
        <f>$B$19</f>
        <v>Wg stanu na dzień 31.XII.2010 r.</v>
      </c>
      <c r="C627" s="232"/>
      <c r="D627" s="232"/>
      <c r="E627" s="232"/>
      <c r="F627" s="282" t="s">
        <v>165</v>
      </c>
      <c r="G627" s="698">
        <f>H627+I627</f>
        <v>2765</v>
      </c>
      <c r="H627" s="1564">
        <v>1888</v>
      </c>
      <c r="I627" s="1565">
        <v>877</v>
      </c>
    </row>
    <row r="628" spans="2:9" x14ac:dyDescent="0.25">
      <c r="B628" s="1169" t="str">
        <f>$B$20</f>
        <v>Przyjętych w ciągu 2011 r.</v>
      </c>
      <c r="C628" s="242"/>
      <c r="D628" s="242"/>
      <c r="E628" s="242"/>
      <c r="F628" s="284" t="s">
        <v>166</v>
      </c>
      <c r="G628" s="285">
        <f>H628+I628</f>
        <v>493</v>
      </c>
      <c r="H628" s="784">
        <f>H630+H631</f>
        <v>392</v>
      </c>
      <c r="I628" s="785">
        <f>I630+I631</f>
        <v>101</v>
      </c>
    </row>
    <row r="629" spans="2:9" x14ac:dyDescent="0.25">
      <c r="B629" s="233"/>
      <c r="C629" s="241" t="s">
        <v>49</v>
      </c>
      <c r="D629" s="225"/>
      <c r="E629" s="225"/>
      <c r="F629" s="286"/>
      <c r="G629" s="287"/>
      <c r="H629" s="389" t="str">
        <f>IF(SUM(H630:H631)=H628, "", "?")</f>
        <v/>
      </c>
      <c r="I629" s="388" t="str">
        <f>IF(SUM(I630:I631)=I628, "", "?")</f>
        <v/>
      </c>
    </row>
    <row r="630" spans="2:9" x14ac:dyDescent="0.25">
      <c r="B630" s="233"/>
      <c r="C630" s="237" t="s">
        <v>158</v>
      </c>
      <c r="D630" s="222"/>
      <c r="E630" s="222"/>
      <c r="F630" s="290" t="s">
        <v>167</v>
      </c>
      <c r="G630" s="291">
        <f>H630+I630</f>
        <v>8</v>
      </c>
      <c r="H630" s="1550">
        <v>7</v>
      </c>
      <c r="I630" s="1551">
        <v>1</v>
      </c>
    </row>
    <row r="631" spans="2:9" ht="15.75" thickBot="1" x14ac:dyDescent="0.3">
      <c r="B631" s="234"/>
      <c r="C631" s="238" t="s">
        <v>159</v>
      </c>
      <c r="D631" s="235"/>
      <c r="E631" s="235"/>
      <c r="F631" s="292" t="s">
        <v>168</v>
      </c>
      <c r="G631" s="293">
        <f>H631+I631</f>
        <v>485</v>
      </c>
      <c r="H631" s="1552">
        <v>385</v>
      </c>
      <c r="I631" s="1553">
        <v>100</v>
      </c>
    </row>
    <row r="632" spans="2:9" x14ac:dyDescent="0.25">
      <c r="B632" s="1170" t="str">
        <f>$B$24</f>
        <v>Odeszło w ciągu 2011 r. (w.06 do w.09)</v>
      </c>
      <c r="C632" s="242"/>
      <c r="D632" s="242"/>
      <c r="E632" s="242"/>
      <c r="F632" s="284" t="s">
        <v>169</v>
      </c>
      <c r="G632" s="285">
        <f>H632+I632</f>
        <v>377</v>
      </c>
      <c r="H632" s="285">
        <f>SUM(H634:H637)</f>
        <v>280</v>
      </c>
      <c r="I632" s="294">
        <f>SUM(I634:I637)</f>
        <v>97</v>
      </c>
    </row>
    <row r="633" spans="2:9" x14ac:dyDescent="0.25">
      <c r="B633" s="251"/>
      <c r="C633" s="240" t="s">
        <v>49</v>
      </c>
      <c r="D633" s="225"/>
      <c r="E633" s="225"/>
      <c r="F633" s="286"/>
      <c r="G633" s="287"/>
      <c r="H633" s="288"/>
      <c r="I633" s="289"/>
    </row>
    <row r="634" spans="2:9" x14ac:dyDescent="0.25">
      <c r="B634" s="233"/>
      <c r="C634" s="237" t="s">
        <v>160</v>
      </c>
      <c r="D634" s="222"/>
      <c r="E634" s="222"/>
      <c r="F634" s="290" t="s">
        <v>170</v>
      </c>
      <c r="G634" s="291">
        <f>H634+I634</f>
        <v>30</v>
      </c>
      <c r="H634" s="1550">
        <v>25</v>
      </c>
      <c r="I634" s="1551">
        <v>5</v>
      </c>
    </row>
    <row r="635" spans="2:9" x14ac:dyDescent="0.25">
      <c r="B635" s="233"/>
      <c r="C635" s="243" t="s">
        <v>161</v>
      </c>
      <c r="D635" s="223"/>
      <c r="E635" s="223"/>
      <c r="F635" s="295" t="s">
        <v>171</v>
      </c>
      <c r="G635" s="296">
        <f>H635+I635</f>
        <v>38</v>
      </c>
      <c r="H635" s="1554">
        <v>27</v>
      </c>
      <c r="I635" s="1555">
        <v>11</v>
      </c>
    </row>
    <row r="636" spans="2:9" x14ac:dyDescent="0.25">
      <c r="B636" s="233"/>
      <c r="C636" s="243" t="s">
        <v>162</v>
      </c>
      <c r="D636" s="223"/>
      <c r="E636" s="223"/>
      <c r="F636" s="295" t="s">
        <v>172</v>
      </c>
      <c r="G636" s="296">
        <f>H636+I636</f>
        <v>3</v>
      </c>
      <c r="H636" s="1554">
        <v>2</v>
      </c>
      <c r="I636" s="1555">
        <v>1</v>
      </c>
    </row>
    <row r="637" spans="2:9" ht="15.75" thickBot="1" x14ac:dyDescent="0.3">
      <c r="B637" s="234"/>
      <c r="C637" s="238" t="s">
        <v>163</v>
      </c>
      <c r="D637" s="235"/>
      <c r="E637" s="235"/>
      <c r="F637" s="292" t="s">
        <v>173</v>
      </c>
      <c r="G637" s="293">
        <f>H637+I637</f>
        <v>306</v>
      </c>
      <c r="H637" s="1552">
        <v>226</v>
      </c>
      <c r="I637" s="1553">
        <v>80</v>
      </c>
    </row>
    <row r="638" spans="2:9" x14ac:dyDescent="0.25">
      <c r="B638" s="1171" t="str">
        <f>$B$30</f>
        <v>Wg stanu na dzień 31.XII.2011 r.</v>
      </c>
      <c r="C638" s="225"/>
      <c r="D638" s="225"/>
      <c r="E638" s="225"/>
      <c r="F638" s="286"/>
      <c r="G638" s="922" t="str">
        <f>IF('Tab.2. l.d.m.m._Polska'!G309=G639,"","t2w1k3"&amp;"="&amp;'Tab.2. l.d.m.m._Polska'!G309)</f>
        <v/>
      </c>
      <c r="H638" s="922" t="str">
        <f>IF('Tab.2. l.d.m.m._Polska'!K309=H639,"","t2w1k6"&amp;"="&amp;'Tab.2. l.d.m.m._Polska'!K309)</f>
        <v/>
      </c>
      <c r="I638" s="923" t="str">
        <f>IF('Tab.2. l.d.m.m._Polska'!O309=I639,"","t2w1k9"&amp;"="&amp;'Tab.2. l.d.m.m._Polska'!O309)</f>
        <v/>
      </c>
    </row>
    <row r="639" spans="2:9" x14ac:dyDescent="0.25">
      <c r="B639" s="245" t="s">
        <v>194</v>
      </c>
      <c r="C639" s="222"/>
      <c r="D639" s="222"/>
      <c r="E639" s="222"/>
      <c r="F639" s="297">
        <v>10</v>
      </c>
      <c r="G639" s="689">
        <f>H639+I639</f>
        <v>2881</v>
      </c>
      <c r="H639" s="689">
        <f>IF(H627+H628-H632=SUM(H644:H648), H627+H628-H632, (H627+H628-H632)-SUM(H644:H648))</f>
        <v>2000</v>
      </c>
      <c r="I639" s="298">
        <f>IF(I627+I628-I632=SUM(I644:I648), I627+I628-I632, (I627+I628-I632)-SUM(I644:I648))</f>
        <v>881</v>
      </c>
    </row>
    <row r="640" spans="2:9" x14ac:dyDescent="0.25">
      <c r="B640" s="233"/>
      <c r="C640" s="240" t="s">
        <v>50</v>
      </c>
      <c r="D640" s="225"/>
      <c r="E640" s="225"/>
      <c r="F640" s="286"/>
      <c r="G640" s="287"/>
      <c r="H640" s="288"/>
      <c r="I640" s="289"/>
    </row>
    <row r="641" spans="2:9" ht="15.75" thickBot="1" x14ac:dyDescent="0.3">
      <c r="B641" s="244"/>
      <c r="C641" s="239" t="s">
        <v>164</v>
      </c>
      <c r="D641" s="226"/>
      <c r="E641" s="226"/>
      <c r="F641" s="299">
        <v>11</v>
      </c>
      <c r="G641" s="300">
        <f>H641+I641</f>
        <v>261</v>
      </c>
      <c r="H641" s="1556">
        <v>122</v>
      </c>
      <c r="I641" s="1557">
        <v>139</v>
      </c>
    </row>
    <row r="642" spans="2:9" ht="16.5" thickTop="1" thickBot="1" x14ac:dyDescent="0.3">
      <c r="B642" s="236"/>
      <c r="F642" s="301"/>
      <c r="G642" s="405" t="str">
        <f>IF(SUM(G644:G648)=G639,"","Uwaga! "&amp;SUM(G644:G648))</f>
        <v/>
      </c>
      <c r="H642" s="405" t="str">
        <f>IF(SUM(H644:H648)=H639,"","Uwaga! "&amp;SUM(H644:H648))</f>
        <v/>
      </c>
      <c r="I642" s="405" t="str">
        <f>IF(SUM(I644:I648)=I639,"","Uwaga! "&amp;SUM(I644:I648))</f>
        <v/>
      </c>
    </row>
    <row r="643" spans="2:9" ht="15.75" thickTop="1" x14ac:dyDescent="0.25">
      <c r="B643" s="213" t="s">
        <v>183</v>
      </c>
      <c r="C643" s="246"/>
      <c r="D643" s="246"/>
      <c r="E643" s="246"/>
      <c r="F643" s="304"/>
      <c r="G643" s="305" t="s">
        <v>142</v>
      </c>
      <c r="H643" s="305" t="s">
        <v>142</v>
      </c>
      <c r="I643" s="306" t="s">
        <v>142</v>
      </c>
    </row>
    <row r="644" spans="2:9" x14ac:dyDescent="0.25">
      <c r="B644" s="247" t="s">
        <v>52</v>
      </c>
      <c r="C644" s="223"/>
      <c r="D644" s="223"/>
      <c r="E644" s="223"/>
      <c r="F644" s="307">
        <v>12</v>
      </c>
      <c r="G644" s="296">
        <f>H644+I644</f>
        <v>82</v>
      </c>
      <c r="H644" s="1554">
        <v>0</v>
      </c>
      <c r="I644" s="1555">
        <v>82</v>
      </c>
    </row>
    <row r="645" spans="2:9" x14ac:dyDescent="0.25">
      <c r="B645" s="247" t="s">
        <v>53</v>
      </c>
      <c r="C645" s="223"/>
      <c r="D645" s="223"/>
      <c r="E645" s="223"/>
      <c r="F645" s="307">
        <v>13</v>
      </c>
      <c r="G645" s="296">
        <f>H645+I645</f>
        <v>555</v>
      </c>
      <c r="H645" s="1554">
        <v>215</v>
      </c>
      <c r="I645" s="1555">
        <v>340</v>
      </c>
    </row>
    <row r="646" spans="2:9" x14ac:dyDescent="0.25">
      <c r="B646" s="247" t="s">
        <v>54</v>
      </c>
      <c r="C646" s="223"/>
      <c r="D646" s="223"/>
      <c r="E646" s="223"/>
      <c r="F646" s="307">
        <v>14</v>
      </c>
      <c r="G646" s="296">
        <f>H646+I646</f>
        <v>855</v>
      </c>
      <c r="H646" s="1554">
        <v>714</v>
      </c>
      <c r="I646" s="1555">
        <v>141</v>
      </c>
    </row>
    <row r="647" spans="2:9" x14ac:dyDescent="0.25">
      <c r="B647" s="247" t="s">
        <v>55</v>
      </c>
      <c r="C647" s="223"/>
      <c r="D647" s="223"/>
      <c r="E647" s="223"/>
      <c r="F647" s="307">
        <v>15</v>
      </c>
      <c r="G647" s="296">
        <f>H647+I647</f>
        <v>568</v>
      </c>
      <c r="H647" s="1554">
        <v>477</v>
      </c>
      <c r="I647" s="1555">
        <v>91</v>
      </c>
    </row>
    <row r="648" spans="2:9" ht="15.75" thickBot="1" x14ac:dyDescent="0.3">
      <c r="B648" s="248" t="s">
        <v>56</v>
      </c>
      <c r="C648" s="224"/>
      <c r="D648" s="224"/>
      <c r="E648" s="224"/>
      <c r="F648" s="308">
        <v>16</v>
      </c>
      <c r="G648" s="309">
        <f>H648+I648</f>
        <v>821</v>
      </c>
      <c r="H648" s="1558">
        <v>594</v>
      </c>
      <c r="I648" s="1559">
        <v>227</v>
      </c>
    </row>
    <row r="649" spans="2:9" ht="16.5" thickTop="1" thickBot="1" x14ac:dyDescent="0.3">
      <c r="B649" s="236"/>
      <c r="C649" s="225"/>
      <c r="D649" s="225"/>
      <c r="E649" s="225"/>
      <c r="F649" s="310"/>
      <c r="G649" s="311"/>
      <c r="H649" s="312"/>
      <c r="I649" s="312"/>
    </row>
    <row r="650" spans="2:9" ht="15.75" thickTop="1" x14ac:dyDescent="0.25">
      <c r="B650" s="249" t="s">
        <v>184</v>
      </c>
      <c r="C650" s="227"/>
      <c r="D650" s="227"/>
      <c r="E650" s="227"/>
      <c r="F650" s="313"/>
      <c r="G650" s="314"/>
      <c r="H650" s="315"/>
      <c r="I650" s="316"/>
    </row>
    <row r="651" spans="2:9" x14ac:dyDescent="0.25">
      <c r="B651" s="245" t="s">
        <v>179</v>
      </c>
      <c r="C651" s="222"/>
      <c r="D651" s="222"/>
      <c r="E651" s="222"/>
      <c r="F651" s="297">
        <v>17</v>
      </c>
      <c r="G651" s="291">
        <f>H651+I651</f>
        <v>1574</v>
      </c>
      <c r="H651" s="291">
        <f>H653+H659</f>
        <v>1027</v>
      </c>
      <c r="I651" s="298">
        <f>I653+I659</f>
        <v>547</v>
      </c>
    </row>
    <row r="652" spans="2:9" x14ac:dyDescent="0.25">
      <c r="B652" s="233"/>
      <c r="C652" s="240" t="s">
        <v>49</v>
      </c>
      <c r="D652" s="225"/>
      <c r="E652" s="225"/>
      <c r="F652" s="286"/>
      <c r="G652" s="287"/>
      <c r="H652" s="288"/>
      <c r="I652" s="289"/>
    </row>
    <row r="653" spans="2:9" x14ac:dyDescent="0.25">
      <c r="B653" s="233"/>
      <c r="C653" s="222" t="s">
        <v>154</v>
      </c>
      <c r="D653" s="222"/>
      <c r="E653" s="222"/>
      <c r="F653" s="297">
        <v>18</v>
      </c>
      <c r="G653" s="291">
        <f>H653+I653</f>
        <v>1549</v>
      </c>
      <c r="H653" s="317">
        <f>SUM(H655:H658)</f>
        <v>1026</v>
      </c>
      <c r="I653" s="318">
        <f>SUM(I655:I658)</f>
        <v>523</v>
      </c>
    </row>
    <row r="654" spans="2:9" x14ac:dyDescent="0.25">
      <c r="B654" s="233"/>
      <c r="C654" s="225"/>
      <c r="D654" s="240" t="s">
        <v>155</v>
      </c>
      <c r="E654" s="225"/>
      <c r="F654" s="286"/>
      <c r="G654" s="287"/>
      <c r="H654" s="288"/>
      <c r="I654" s="289"/>
    </row>
    <row r="655" spans="2:9" x14ac:dyDescent="0.25">
      <c r="B655" s="233"/>
      <c r="C655" s="225"/>
      <c r="D655" s="222" t="s">
        <v>178</v>
      </c>
      <c r="E655" s="222"/>
      <c r="F655" s="297">
        <v>19</v>
      </c>
      <c r="G655" s="291">
        <f t="shared" ref="G655:G660" si="14">H655+I655</f>
        <v>1459</v>
      </c>
      <c r="H655" s="1550">
        <v>953</v>
      </c>
      <c r="I655" s="1551">
        <v>506</v>
      </c>
    </row>
    <row r="656" spans="2:9" x14ac:dyDescent="0.25">
      <c r="B656" s="233"/>
      <c r="C656" s="225"/>
      <c r="D656" s="223" t="s">
        <v>151</v>
      </c>
      <c r="E656" s="223"/>
      <c r="F656" s="307">
        <v>20</v>
      </c>
      <c r="G656" s="296">
        <f t="shared" si="14"/>
        <v>84</v>
      </c>
      <c r="H656" s="1554">
        <v>73</v>
      </c>
      <c r="I656" s="1555">
        <v>11</v>
      </c>
    </row>
    <row r="657" spans="2:9" x14ac:dyDescent="0.25">
      <c r="B657" s="233"/>
      <c r="C657" s="225"/>
      <c r="D657" s="223" t="s">
        <v>149</v>
      </c>
      <c r="E657" s="223"/>
      <c r="F657" s="307">
        <v>21</v>
      </c>
      <c r="G657" s="296">
        <f t="shared" si="14"/>
        <v>6</v>
      </c>
      <c r="H657" s="1554">
        <v>0</v>
      </c>
      <c r="I657" s="1555">
        <v>6</v>
      </c>
    </row>
    <row r="658" spans="2:9" x14ac:dyDescent="0.25">
      <c r="B658" s="233"/>
      <c r="C658" s="225"/>
      <c r="D658" s="222" t="s">
        <v>152</v>
      </c>
      <c r="E658" s="222"/>
      <c r="F658" s="297">
        <v>22</v>
      </c>
      <c r="G658" s="291">
        <f t="shared" si="14"/>
        <v>0</v>
      </c>
      <c r="H658" s="1550">
        <v>0</v>
      </c>
      <c r="I658" s="1551">
        <v>0</v>
      </c>
    </row>
    <row r="659" spans="2:9" x14ac:dyDescent="0.25">
      <c r="B659" s="233"/>
      <c r="C659" s="222" t="s">
        <v>156</v>
      </c>
      <c r="D659" s="222"/>
      <c r="E659" s="222"/>
      <c r="F659" s="297">
        <v>23</v>
      </c>
      <c r="G659" s="291">
        <f t="shared" si="14"/>
        <v>25</v>
      </c>
      <c r="H659" s="1550">
        <v>1</v>
      </c>
      <c r="I659" s="1551">
        <v>24</v>
      </c>
    </row>
    <row r="660" spans="2:9" x14ac:dyDescent="0.25">
      <c r="B660" s="233"/>
      <c r="C660" s="223" t="s">
        <v>150</v>
      </c>
      <c r="D660" s="223"/>
      <c r="E660" s="223"/>
      <c r="F660" s="307">
        <v>24</v>
      </c>
      <c r="G660" s="296">
        <f t="shared" si="14"/>
        <v>20</v>
      </c>
      <c r="H660" s="1554">
        <v>20</v>
      </c>
      <c r="I660" s="1555">
        <v>0</v>
      </c>
    </row>
    <row r="661" spans="2:9" x14ac:dyDescent="0.25">
      <c r="B661" s="233"/>
      <c r="C661" s="250" t="s">
        <v>157</v>
      </c>
      <c r="D661" s="250"/>
      <c r="E661" s="250"/>
      <c r="F661" s="319"/>
      <c r="G661" s="320"/>
      <c r="H661" s="321"/>
      <c r="I661" s="322"/>
    </row>
    <row r="662" spans="2:9" ht="15.75" thickBot="1" x14ac:dyDescent="0.3">
      <c r="B662" s="244"/>
      <c r="C662" s="226" t="s">
        <v>148</v>
      </c>
      <c r="D662" s="226"/>
      <c r="E662" s="226"/>
      <c r="F662" s="299">
        <v>25</v>
      </c>
      <c r="G662" s="300">
        <f>H662+I662</f>
        <v>10</v>
      </c>
      <c r="H662" s="1556">
        <v>0</v>
      </c>
      <c r="I662" s="1557">
        <v>10</v>
      </c>
    </row>
    <row r="663" spans="2:9" ht="16.5" thickTop="1" thickBot="1" x14ac:dyDescent="0.3">
      <c r="F663" s="301"/>
      <c r="G663" s="302"/>
      <c r="H663" s="303"/>
      <c r="I663" s="303"/>
    </row>
    <row r="664" spans="2:9" ht="15.75" thickTop="1" x14ac:dyDescent="0.25">
      <c r="B664" s="261" t="s">
        <v>174</v>
      </c>
      <c r="C664" s="262"/>
      <c r="D664" s="263"/>
      <c r="E664" s="246"/>
      <c r="F664" s="323">
        <v>26</v>
      </c>
      <c r="G664" s="1109">
        <f>H664+I664</f>
        <v>1307</v>
      </c>
      <c r="H664" s="1109">
        <f>H666+H671</f>
        <v>973</v>
      </c>
      <c r="I664" s="1108">
        <f>I666+I671</f>
        <v>334</v>
      </c>
    </row>
    <row r="665" spans="2:9" x14ac:dyDescent="0.25">
      <c r="B665" s="233"/>
      <c r="C665" s="240" t="s">
        <v>50</v>
      </c>
      <c r="D665" s="225"/>
      <c r="E665" s="225"/>
      <c r="F665" s="286"/>
      <c r="G665" s="287"/>
      <c r="H665" s="288"/>
      <c r="I665" s="289"/>
    </row>
    <row r="666" spans="2:9" x14ac:dyDescent="0.25">
      <c r="B666" s="233"/>
      <c r="C666" s="222" t="s">
        <v>185</v>
      </c>
      <c r="D666" s="222"/>
      <c r="E666" s="222"/>
      <c r="F666" s="297">
        <v>27</v>
      </c>
      <c r="G666" s="689">
        <f>H666+I666</f>
        <v>134</v>
      </c>
      <c r="H666" s="689">
        <f>SUM(H668:H670)</f>
        <v>55</v>
      </c>
      <c r="I666" s="298">
        <f>SUM(I668:I670)</f>
        <v>79</v>
      </c>
    </row>
    <row r="667" spans="2:9" x14ac:dyDescent="0.25">
      <c r="B667" s="233"/>
      <c r="C667" s="225"/>
      <c r="D667" s="240" t="s">
        <v>190</v>
      </c>
      <c r="E667" s="225"/>
      <c r="F667" s="286"/>
      <c r="G667" s="390" t="str">
        <f>IF(SUM(G668:G670)=G666, "", G666-SUM(G668:G670))</f>
        <v/>
      </c>
      <c r="H667" s="390" t="str">
        <f>IF(SUM(H668:H670)=H666, "", H666-SUM(H668:H670))</f>
        <v/>
      </c>
      <c r="I667" s="398" t="str">
        <f>IF(SUM(I668:I670)=I666, "", I666-SUM(I668:I670))</f>
        <v/>
      </c>
    </row>
    <row r="668" spans="2:9" x14ac:dyDescent="0.25">
      <c r="B668" s="233"/>
      <c r="C668" s="225"/>
      <c r="D668" s="222" t="s">
        <v>186</v>
      </c>
      <c r="E668" s="222"/>
      <c r="F668" s="297">
        <v>28</v>
      </c>
      <c r="G668" s="291">
        <f>H668+I668</f>
        <v>19</v>
      </c>
      <c r="H668" s="1550">
        <v>15</v>
      </c>
      <c r="I668" s="1551">
        <v>4</v>
      </c>
    </row>
    <row r="669" spans="2:9" x14ac:dyDescent="0.25">
      <c r="B669" s="233"/>
      <c r="C669" s="225"/>
      <c r="D669" s="223" t="s">
        <v>187</v>
      </c>
      <c r="E669" s="225"/>
      <c r="F669" s="297">
        <v>29</v>
      </c>
      <c r="G669" s="291">
        <f>H669+I669</f>
        <v>6</v>
      </c>
      <c r="H669" s="1550">
        <v>1</v>
      </c>
      <c r="I669" s="1551">
        <v>5</v>
      </c>
    </row>
    <row r="670" spans="2:9" x14ac:dyDescent="0.25">
      <c r="B670" s="233"/>
      <c r="C670" s="225"/>
      <c r="D670" s="223" t="s">
        <v>188</v>
      </c>
      <c r="E670" s="223"/>
      <c r="F670" s="307">
        <v>30</v>
      </c>
      <c r="G670" s="296">
        <f>H670+I670</f>
        <v>109</v>
      </c>
      <c r="H670" s="1554">
        <v>39</v>
      </c>
      <c r="I670" s="1555">
        <v>70</v>
      </c>
    </row>
    <row r="671" spans="2:9" x14ac:dyDescent="0.25">
      <c r="B671" s="233"/>
      <c r="C671" s="222" t="s">
        <v>189</v>
      </c>
      <c r="D671" s="222"/>
      <c r="E671" s="222"/>
      <c r="F671" s="297">
        <v>31</v>
      </c>
      <c r="G671" s="689">
        <f>H671+I671</f>
        <v>1173</v>
      </c>
      <c r="H671" s="689">
        <f>SUM(H673:H676)</f>
        <v>918</v>
      </c>
      <c r="I671" s="690">
        <f>SUM(I673:I676)</f>
        <v>255</v>
      </c>
    </row>
    <row r="672" spans="2:9" x14ac:dyDescent="0.25">
      <c r="B672" s="233"/>
      <c r="C672" s="225"/>
      <c r="D672" s="240" t="s">
        <v>191</v>
      </c>
      <c r="E672" s="225"/>
      <c r="F672" s="286"/>
      <c r="G672" s="287" t="str">
        <f>IF(SUM(G673:G676)=G671, "", G671-SUM(G673:G676))</f>
        <v/>
      </c>
      <c r="H672" s="288" t="str">
        <f>IF(SUM(H673:H676)=H671, "", H671-SUM(H673:H676))</f>
        <v/>
      </c>
      <c r="I672" s="289" t="str">
        <f>IF(SUM(I673:I676)=I671, "", I671-SUM(I673:I676))</f>
        <v/>
      </c>
    </row>
    <row r="673" spans="1:9" x14ac:dyDescent="0.25">
      <c r="B673" s="233"/>
      <c r="C673" s="225"/>
      <c r="D673" s="222" t="s">
        <v>186</v>
      </c>
      <c r="E673" s="222"/>
      <c r="F673" s="297">
        <v>32</v>
      </c>
      <c r="G673" s="291">
        <f>H673+I673</f>
        <v>1099</v>
      </c>
      <c r="H673" s="1550">
        <v>877</v>
      </c>
      <c r="I673" s="1551">
        <v>222</v>
      </c>
    </row>
    <row r="674" spans="1:9" x14ac:dyDescent="0.25">
      <c r="B674" s="233"/>
      <c r="C674" s="225"/>
      <c r="D674" s="222" t="s">
        <v>187</v>
      </c>
      <c r="E674" s="222"/>
      <c r="F674" s="297">
        <v>33</v>
      </c>
      <c r="G674" s="291">
        <f>H674+I674</f>
        <v>4</v>
      </c>
      <c r="H674" s="1550">
        <v>0</v>
      </c>
      <c r="I674" s="1551">
        <v>4</v>
      </c>
    </row>
    <row r="675" spans="1:9" x14ac:dyDescent="0.25">
      <c r="B675" s="233"/>
      <c r="C675" s="225"/>
      <c r="D675" s="222" t="s">
        <v>188</v>
      </c>
      <c r="E675" s="222"/>
      <c r="F675" s="297">
        <v>34</v>
      </c>
      <c r="G675" s="291">
        <f>H675+I675</f>
        <v>60</v>
      </c>
      <c r="H675" s="1550">
        <v>41</v>
      </c>
      <c r="I675" s="1551">
        <v>19</v>
      </c>
    </row>
    <row r="676" spans="1:9" ht="15.75" thickBot="1" x14ac:dyDescent="0.3">
      <c r="B676" s="234"/>
      <c r="C676" s="235"/>
      <c r="D676" s="259" t="s">
        <v>153</v>
      </c>
      <c r="E676" s="259"/>
      <c r="F676" s="325">
        <v>35</v>
      </c>
      <c r="G676" s="326">
        <f>H676+I676</f>
        <v>10</v>
      </c>
      <c r="H676" s="1567">
        <v>0</v>
      </c>
      <c r="I676" s="1563">
        <v>10</v>
      </c>
    </row>
    <row r="677" spans="1:9" x14ac:dyDescent="0.25">
      <c r="B677" s="260" t="s">
        <v>177</v>
      </c>
      <c r="C677" s="242"/>
      <c r="D677" s="242"/>
      <c r="E677" s="242"/>
      <c r="F677" s="327">
        <v>36</v>
      </c>
      <c r="G677" s="285">
        <f>H677+I677</f>
        <v>1287</v>
      </c>
      <c r="H677" s="784">
        <f>H668+H670+H673+H675</f>
        <v>972</v>
      </c>
      <c r="I677" s="328">
        <f>I668+I670+I673+I675</f>
        <v>315</v>
      </c>
    </row>
    <row r="678" spans="1:9" x14ac:dyDescent="0.25">
      <c r="B678" s="233"/>
      <c r="C678" s="240" t="s">
        <v>155</v>
      </c>
      <c r="D678" s="225"/>
      <c r="E678" s="250"/>
      <c r="F678" s="286"/>
      <c r="G678" s="390" t="str">
        <f>IF(SUM(G679:G681)=G677, "", G677-SUM(G679:G681))</f>
        <v/>
      </c>
      <c r="H678" s="390" t="str">
        <f>IF(SUM(H679:H681)=H677, "", H677-SUM(H679:H681))</f>
        <v/>
      </c>
      <c r="I678" s="398" t="str">
        <f>IF(SUM(I679:I681)=I677, "", I677-SUM(I679:I681))</f>
        <v/>
      </c>
    </row>
    <row r="679" spans="1:9" x14ac:dyDescent="0.25">
      <c r="B679" s="233"/>
      <c r="C679" s="222" t="s">
        <v>178</v>
      </c>
      <c r="D679" s="222"/>
      <c r="E679" s="222"/>
      <c r="F679" s="297">
        <v>37</v>
      </c>
      <c r="G679" s="291">
        <f>H679+I679</f>
        <v>1100</v>
      </c>
      <c r="H679" s="1550">
        <v>825</v>
      </c>
      <c r="I679" s="1551">
        <v>275</v>
      </c>
    </row>
    <row r="680" spans="1:9" x14ac:dyDescent="0.25">
      <c r="B680" s="233"/>
      <c r="C680" s="223" t="s">
        <v>151</v>
      </c>
      <c r="D680" s="223"/>
      <c r="E680" s="223"/>
      <c r="F680" s="307">
        <v>38</v>
      </c>
      <c r="G680" s="296">
        <f>H680+I680</f>
        <v>158</v>
      </c>
      <c r="H680" s="1554">
        <v>146</v>
      </c>
      <c r="I680" s="1555">
        <v>12</v>
      </c>
    </row>
    <row r="681" spans="1:9" ht="15.75" thickBot="1" x14ac:dyDescent="0.3">
      <c r="B681" s="244"/>
      <c r="C681" s="226" t="s">
        <v>152</v>
      </c>
      <c r="D681" s="226"/>
      <c r="E681" s="226"/>
      <c r="F681" s="299">
        <v>39</v>
      </c>
      <c r="G681" s="300">
        <f>H681+I681</f>
        <v>29</v>
      </c>
      <c r="H681" s="1556">
        <v>1</v>
      </c>
      <c r="I681" s="1557">
        <v>28</v>
      </c>
    </row>
    <row r="682" spans="1:9" ht="15.75" thickTop="1" x14ac:dyDescent="0.25">
      <c r="G682" s="412" t="str">
        <f>IF(SUM(G679:G681)=G677, "", SUM(G679:G681))</f>
        <v/>
      </c>
      <c r="H682" s="412" t="str">
        <f>IF(SUM(H679:H681)=H677, "", SUM(H679:H681))</f>
        <v/>
      </c>
      <c r="I682" s="412" t="str">
        <f>IF(SUM(I679:I681)=I677, "", SUM(I679:I681))</f>
        <v/>
      </c>
    </row>
    <row r="683" spans="1:9" x14ac:dyDescent="0.25">
      <c r="B683" s="221" t="s">
        <v>123</v>
      </c>
      <c r="D683" s="220" t="s">
        <v>180</v>
      </c>
      <c r="H683" t="s">
        <v>182</v>
      </c>
    </row>
    <row r="684" spans="1:9" x14ac:dyDescent="0.25">
      <c r="B684" s="221" t="s">
        <v>181</v>
      </c>
      <c r="D684" s="220" t="s">
        <v>180</v>
      </c>
      <c r="H684" s="256" t="s">
        <v>126</v>
      </c>
    </row>
    <row r="686" spans="1:9" ht="26.25" x14ac:dyDescent="0.4">
      <c r="A686" s="267" t="s">
        <v>201</v>
      </c>
      <c r="B686" s="221" t="s">
        <v>116</v>
      </c>
      <c r="C686" s="212"/>
      <c r="D686" s="220"/>
      <c r="E686" s="220"/>
      <c r="F686" s="212"/>
      <c r="G686" s="220"/>
      <c r="H686" s="220"/>
      <c r="I686" s="256" t="s">
        <v>175</v>
      </c>
    </row>
    <row r="687" spans="1:9" x14ac:dyDescent="0.25">
      <c r="B687" s="257" t="s">
        <v>129</v>
      </c>
      <c r="C687" s="212"/>
      <c r="D687" s="220"/>
      <c r="E687" s="257"/>
      <c r="F687" s="220"/>
      <c r="G687" s="220"/>
      <c r="H687" s="220"/>
      <c r="I687" s="220"/>
    </row>
    <row r="688" spans="1:9" ht="15.75" x14ac:dyDescent="0.25">
      <c r="B688" s="221" t="s">
        <v>128</v>
      </c>
      <c r="C688" s="212"/>
      <c r="D688" s="220"/>
      <c r="F688" s="220"/>
      <c r="G688" s="220"/>
      <c r="H688" s="1721" t="str">
        <f>$H$80</f>
        <v>Termin: 29 luty 2012 r.</v>
      </c>
      <c r="I688" s="1721"/>
    </row>
    <row r="689" spans="2:9" x14ac:dyDescent="0.25">
      <c r="B689" s="258"/>
      <c r="C689" s="212"/>
      <c r="D689" s="220"/>
      <c r="E689" s="220"/>
      <c r="F689" s="220"/>
      <c r="G689" s="220"/>
      <c r="H689" s="220"/>
      <c r="I689" s="220"/>
    </row>
    <row r="690" spans="2:9" x14ac:dyDescent="0.25">
      <c r="B690" s="221" t="s">
        <v>130</v>
      </c>
      <c r="C690" s="212"/>
      <c r="D690" s="220"/>
      <c r="E690" s="220"/>
      <c r="F690" s="220"/>
      <c r="G690" s="220"/>
      <c r="H690" s="220"/>
      <c r="I690" s="220"/>
    </row>
    <row r="691" spans="2:9" x14ac:dyDescent="0.25">
      <c r="B691" s="221" t="s">
        <v>131</v>
      </c>
      <c r="C691" s="212"/>
      <c r="D691" s="220"/>
      <c r="E691" s="220"/>
      <c r="F691" s="220"/>
      <c r="G691" s="220"/>
      <c r="H691" s="220"/>
      <c r="I691" s="220"/>
    </row>
    <row r="692" spans="2:9" ht="15.75" x14ac:dyDescent="0.25">
      <c r="B692" s="1"/>
      <c r="C692" s="255"/>
      <c r="D692" s="12"/>
      <c r="E692" s="12"/>
      <c r="F692" s="12"/>
      <c r="G692" s="12"/>
      <c r="H692" s="12"/>
      <c r="I692" s="12"/>
    </row>
    <row r="693" spans="2:9" ht="15.75" x14ac:dyDescent="0.25">
      <c r="B693" s="1"/>
      <c r="C693" s="255"/>
      <c r="D693" s="12"/>
      <c r="E693" s="1" t="s">
        <v>47</v>
      </c>
      <c r="F693" s="12"/>
      <c r="G693" s="12"/>
      <c r="H693" s="12"/>
      <c r="I693" s="12"/>
    </row>
    <row r="694" spans="2:9" ht="15.75" x14ac:dyDescent="0.25">
      <c r="B694" s="1"/>
      <c r="C694" s="255"/>
      <c r="D694" s="12"/>
      <c r="E694" s="1" t="s">
        <v>176</v>
      </c>
      <c r="F694" s="12"/>
      <c r="G694" s="12"/>
      <c r="H694" s="12"/>
      <c r="I694" s="12"/>
    </row>
    <row r="695" spans="2:9" ht="15.75" x14ac:dyDescent="0.25">
      <c r="B695" s="1"/>
      <c r="C695" s="255"/>
      <c r="D695" s="12"/>
      <c r="E695" s="1162" t="str">
        <f>$E$11</f>
        <v>SAMORZĄDÓW  POWIATOWYCH  I  PODMIOTÓW  NIEPUBLICZNYCH  W 2011 r.</v>
      </c>
      <c r="F695" s="12"/>
      <c r="G695" s="12"/>
      <c r="H695" s="12"/>
      <c r="I695" s="12"/>
    </row>
    <row r="696" spans="2:9" ht="15.75" x14ac:dyDescent="0.25">
      <c r="B696" s="1"/>
      <c r="C696" s="255"/>
      <c r="D696" s="12"/>
      <c r="E696" s="12"/>
      <c r="F696" s="12"/>
      <c r="G696" s="12"/>
      <c r="H696" s="12"/>
      <c r="I696" s="12"/>
    </row>
    <row r="697" spans="2:9" ht="15.75" thickBot="1" x14ac:dyDescent="0.3"/>
    <row r="698" spans="2:9" ht="16.5" thickTop="1" x14ac:dyDescent="0.25">
      <c r="B698" s="214"/>
      <c r="C698" s="227"/>
      <c r="D698" s="227"/>
      <c r="E698" s="227"/>
      <c r="F698" s="252"/>
      <c r="G698" s="229" t="s">
        <v>48</v>
      </c>
      <c r="H698" s="1722" t="s">
        <v>20</v>
      </c>
      <c r="I698" s="1723"/>
    </row>
    <row r="699" spans="2:9" ht="15.75" x14ac:dyDescent="0.25">
      <c r="B699" s="215"/>
      <c r="C699" s="225"/>
      <c r="D699" s="225"/>
      <c r="E699" s="225" t="s">
        <v>21</v>
      </c>
      <c r="F699" s="253"/>
      <c r="G699" s="230" t="s">
        <v>5</v>
      </c>
      <c r="H699" s="216" t="s">
        <v>22</v>
      </c>
      <c r="I699" s="217" t="s">
        <v>23</v>
      </c>
    </row>
    <row r="700" spans="2:9" ht="15.75" x14ac:dyDescent="0.25">
      <c r="B700" s="194"/>
      <c r="C700" s="225"/>
      <c r="D700" s="225"/>
      <c r="E700" s="225"/>
      <c r="F700" s="253"/>
      <c r="G700" s="218" t="s">
        <v>24</v>
      </c>
      <c r="H700" s="218" t="s">
        <v>25</v>
      </c>
      <c r="I700" s="219" t="s">
        <v>26</v>
      </c>
    </row>
    <row r="701" spans="2:9" ht="15.75" thickBot="1" x14ac:dyDescent="0.3">
      <c r="B701" s="61"/>
      <c r="C701" s="228"/>
      <c r="D701" s="228"/>
      <c r="E701" s="211">
        <v>0</v>
      </c>
      <c r="F701" s="254"/>
      <c r="G701" s="2">
        <v>1</v>
      </c>
      <c r="H701" s="2">
        <v>2</v>
      </c>
      <c r="I701" s="7">
        <v>3</v>
      </c>
    </row>
    <row r="702" spans="2:9" ht="16.5" thickTop="1" thickBot="1" x14ac:dyDescent="0.3">
      <c r="B702" s="231"/>
      <c r="G702" s="793"/>
      <c r="H702" s="793"/>
      <c r="I702" s="793"/>
    </row>
    <row r="703" spans="2:9" ht="16.5" thickTop="1" thickBot="1" x14ac:dyDescent="0.3">
      <c r="B703" s="1168" t="str">
        <f>$B$19</f>
        <v>Wg stanu na dzień 31.XII.2010 r.</v>
      </c>
      <c r="C703" s="232"/>
      <c r="D703" s="232"/>
      <c r="E703" s="232"/>
      <c r="F703" s="282" t="s">
        <v>165</v>
      </c>
      <c r="G703" s="283">
        <f>H703+I703</f>
        <v>4366</v>
      </c>
      <c r="H703" s="1548">
        <v>3342</v>
      </c>
      <c r="I703" s="1549">
        <v>1024</v>
      </c>
    </row>
    <row r="704" spans="2:9" x14ac:dyDescent="0.25">
      <c r="B704" s="1169" t="str">
        <f>$B$20</f>
        <v>Przyjętych w ciągu 2011 r.</v>
      </c>
      <c r="C704" s="242"/>
      <c r="D704" s="242"/>
      <c r="E704" s="242"/>
      <c r="F704" s="284" t="s">
        <v>166</v>
      </c>
      <c r="G704" s="285">
        <f>H704+I704</f>
        <v>560</v>
      </c>
      <c r="H704" s="784">
        <f>H706+H707</f>
        <v>426</v>
      </c>
      <c r="I704" s="785">
        <f>I706+I707</f>
        <v>134</v>
      </c>
    </row>
    <row r="705" spans="2:9" x14ac:dyDescent="0.25">
      <c r="B705" s="233"/>
      <c r="C705" s="241" t="s">
        <v>49</v>
      </c>
      <c r="D705" s="225"/>
      <c r="E705" s="225"/>
      <c r="F705" s="286"/>
      <c r="G705" s="287"/>
      <c r="H705" s="389" t="str">
        <f>IF(SUM(H706:H707)=H704, "", "?")</f>
        <v/>
      </c>
      <c r="I705" s="388" t="str">
        <f>IF(SUM(I706:I707)=I704, "", "?")</f>
        <v/>
      </c>
    </row>
    <row r="706" spans="2:9" x14ac:dyDescent="0.25">
      <c r="B706" s="233"/>
      <c r="C706" s="237" t="s">
        <v>158</v>
      </c>
      <c r="D706" s="222"/>
      <c r="E706" s="222"/>
      <c r="F706" s="290" t="s">
        <v>167</v>
      </c>
      <c r="G706" s="291">
        <f>H706+I706</f>
        <v>21</v>
      </c>
      <c r="H706" s="1550">
        <v>18</v>
      </c>
      <c r="I706" s="1551">
        <v>3</v>
      </c>
    </row>
    <row r="707" spans="2:9" ht="15.75" thickBot="1" x14ac:dyDescent="0.3">
      <c r="B707" s="234"/>
      <c r="C707" s="238" t="s">
        <v>159</v>
      </c>
      <c r="D707" s="235"/>
      <c r="E707" s="235"/>
      <c r="F707" s="292" t="s">
        <v>168</v>
      </c>
      <c r="G707" s="293">
        <f>H707+I707</f>
        <v>539</v>
      </c>
      <c r="H707" s="1552">
        <v>408</v>
      </c>
      <c r="I707" s="1553">
        <v>131</v>
      </c>
    </row>
    <row r="708" spans="2:9" x14ac:dyDescent="0.25">
      <c r="B708" s="1170" t="str">
        <f>$B$24</f>
        <v>Odeszło w ciągu 2011 r. (w.06 do w.09)</v>
      </c>
      <c r="C708" s="242"/>
      <c r="D708" s="242"/>
      <c r="E708" s="242"/>
      <c r="F708" s="284" t="s">
        <v>169</v>
      </c>
      <c r="G708" s="285">
        <f>H708+I708</f>
        <v>496</v>
      </c>
      <c r="H708" s="285">
        <f>SUM(H710:H713)</f>
        <v>387</v>
      </c>
      <c r="I708" s="294">
        <f>SUM(I710:I713)</f>
        <v>109</v>
      </c>
    </row>
    <row r="709" spans="2:9" x14ac:dyDescent="0.25">
      <c r="B709" s="251"/>
      <c r="C709" s="240" t="s">
        <v>49</v>
      </c>
      <c r="D709" s="225"/>
      <c r="E709" s="225"/>
      <c r="F709" s="286"/>
      <c r="G709" s="287"/>
      <c r="H709" s="288"/>
      <c r="I709" s="289"/>
    </row>
    <row r="710" spans="2:9" x14ac:dyDescent="0.25">
      <c r="B710" s="233"/>
      <c r="C710" s="237" t="s">
        <v>160</v>
      </c>
      <c r="D710" s="222"/>
      <c r="E710" s="222"/>
      <c r="F710" s="290" t="s">
        <v>170</v>
      </c>
      <c r="G710" s="291">
        <f>H710+I710</f>
        <v>41</v>
      </c>
      <c r="H710" s="1550">
        <v>31</v>
      </c>
      <c r="I710" s="1551">
        <v>10</v>
      </c>
    </row>
    <row r="711" spans="2:9" x14ac:dyDescent="0.25">
      <c r="B711" s="233"/>
      <c r="C711" s="243" t="s">
        <v>161</v>
      </c>
      <c r="D711" s="223"/>
      <c r="E711" s="223"/>
      <c r="F711" s="295" t="s">
        <v>171</v>
      </c>
      <c r="G711" s="296">
        <f>H711+I711</f>
        <v>43</v>
      </c>
      <c r="H711" s="1554">
        <v>29</v>
      </c>
      <c r="I711" s="1555">
        <v>14</v>
      </c>
    </row>
    <row r="712" spans="2:9" x14ac:dyDescent="0.25">
      <c r="B712" s="233"/>
      <c r="C712" s="243" t="s">
        <v>162</v>
      </c>
      <c r="D712" s="223"/>
      <c r="E712" s="223"/>
      <c r="F712" s="295" t="s">
        <v>172</v>
      </c>
      <c r="G712" s="296">
        <f>H712+I712</f>
        <v>7</v>
      </c>
      <c r="H712" s="1554">
        <v>7</v>
      </c>
      <c r="I712" s="1555">
        <v>0</v>
      </c>
    </row>
    <row r="713" spans="2:9" ht="15.75" thickBot="1" x14ac:dyDescent="0.3">
      <c r="B713" s="234"/>
      <c r="C713" s="238" t="s">
        <v>163</v>
      </c>
      <c r="D713" s="235"/>
      <c r="E713" s="235"/>
      <c r="F713" s="292" t="s">
        <v>173</v>
      </c>
      <c r="G713" s="293">
        <f>H713+I713</f>
        <v>405</v>
      </c>
      <c r="H713" s="1552">
        <v>320</v>
      </c>
      <c r="I713" s="1553">
        <v>85</v>
      </c>
    </row>
    <row r="714" spans="2:9" x14ac:dyDescent="0.25">
      <c r="B714" s="1171" t="str">
        <f>$B$30</f>
        <v>Wg stanu na dzień 31.XII.2011 r.</v>
      </c>
      <c r="C714" s="225"/>
      <c r="D714" s="225"/>
      <c r="E714" s="225"/>
      <c r="F714" s="286"/>
      <c r="G714" s="922" t="str">
        <f>IF('Tab.2. l.d.m.m._Polska'!G345=G715,"","t2w1k3"&amp;"="&amp;'Tab.2. l.d.m.m._Polska'!G345)</f>
        <v/>
      </c>
      <c r="H714" s="922" t="str">
        <f>IF('Tab.2. l.d.m.m._Polska'!K345=H715,"","t2w1k6"&amp;"="&amp;'Tab.2. l.d.m.m._Polska'!K345)</f>
        <v/>
      </c>
      <c r="I714" s="923" t="str">
        <f>IF('Tab.2. l.d.m.m._Polska'!O345=I715,"","t2w1k9"&amp;"="&amp;'Tab.2. l.d.m.m._Polska'!O345)</f>
        <v/>
      </c>
    </row>
    <row r="715" spans="2:9" x14ac:dyDescent="0.25">
      <c r="B715" s="245" t="s">
        <v>194</v>
      </c>
      <c r="C715" s="222"/>
      <c r="D715" s="222"/>
      <c r="E715" s="222"/>
      <c r="F715" s="297">
        <v>10</v>
      </c>
      <c r="G715" s="291">
        <f>H715+I715</f>
        <v>4430</v>
      </c>
      <c r="H715" s="291">
        <f>IF(H703+H704-H708=SUM(H720:H724), H703+H704-H708, (H703+H704-H708)-SUM(H720:H724))</f>
        <v>3381</v>
      </c>
      <c r="I715" s="298">
        <f>IF(I703+I704-I708=SUM(I720:I724), I703+I704-I708, (I703+I704-I708)-SUM(I720:I724))</f>
        <v>1049</v>
      </c>
    </row>
    <row r="716" spans="2:9" x14ac:dyDescent="0.25">
      <c r="B716" s="233"/>
      <c r="C716" s="240" t="s">
        <v>50</v>
      </c>
      <c r="D716" s="225"/>
      <c r="E716" s="225"/>
      <c r="F716" s="286"/>
      <c r="G716" s="287"/>
      <c r="H716" s="288"/>
      <c r="I716" s="289"/>
    </row>
    <row r="717" spans="2:9" ht="15.75" thickBot="1" x14ac:dyDescent="0.3">
      <c r="B717" s="244"/>
      <c r="C717" s="239" t="s">
        <v>164</v>
      </c>
      <c r="D717" s="226"/>
      <c r="E717" s="226"/>
      <c r="F717" s="299">
        <v>11</v>
      </c>
      <c r="G717" s="300">
        <f>H717+I717</f>
        <v>552</v>
      </c>
      <c r="H717" s="1556">
        <v>375</v>
      </c>
      <c r="I717" s="1557">
        <v>177</v>
      </c>
    </row>
    <row r="718" spans="2:9" ht="16.5" thickTop="1" thickBot="1" x14ac:dyDescent="0.3">
      <c r="B718" s="236"/>
      <c r="F718" s="301"/>
      <c r="G718" s="405" t="str">
        <f>IF(SUM(G720:G724)=G715,"","Uwaga! "&amp;SUM(G720:G724))</f>
        <v/>
      </c>
      <c r="H718" s="405" t="str">
        <f>IF(SUM(H720:H724)=H715,"","Uwaga! "&amp;SUM(H720:H724))</f>
        <v/>
      </c>
      <c r="I718" s="405" t="str">
        <f>IF(SUM(I720:I724)=I715,"","Uwaga! "&amp;SUM(I720:I724))</f>
        <v/>
      </c>
    </row>
    <row r="719" spans="2:9" ht="15.75" thickTop="1" x14ac:dyDescent="0.25">
      <c r="B719" s="213" t="s">
        <v>183</v>
      </c>
      <c r="C719" s="246"/>
      <c r="D719" s="246"/>
      <c r="E719" s="246"/>
      <c r="F719" s="304"/>
      <c r="G719" s="305" t="s">
        <v>142</v>
      </c>
      <c r="H719" s="305" t="s">
        <v>142</v>
      </c>
      <c r="I719" s="306" t="s">
        <v>142</v>
      </c>
    </row>
    <row r="720" spans="2:9" x14ac:dyDescent="0.25">
      <c r="B720" s="247" t="s">
        <v>52</v>
      </c>
      <c r="C720" s="223"/>
      <c r="D720" s="223"/>
      <c r="E720" s="223"/>
      <c r="F720" s="307">
        <v>12</v>
      </c>
      <c r="G720" s="296">
        <f>H720+I720</f>
        <v>82</v>
      </c>
      <c r="H720" s="1554">
        <v>4</v>
      </c>
      <c r="I720" s="1555">
        <v>78</v>
      </c>
    </row>
    <row r="721" spans="2:9" x14ac:dyDescent="0.25">
      <c r="B721" s="247" t="s">
        <v>53</v>
      </c>
      <c r="C721" s="223"/>
      <c r="D721" s="223"/>
      <c r="E721" s="223"/>
      <c r="F721" s="307">
        <v>13</v>
      </c>
      <c r="G721" s="296">
        <f>H721+I721</f>
        <v>619</v>
      </c>
      <c r="H721" s="1554">
        <v>303</v>
      </c>
      <c r="I721" s="1555">
        <v>316</v>
      </c>
    </row>
    <row r="722" spans="2:9" x14ac:dyDescent="0.25">
      <c r="B722" s="247" t="s">
        <v>54</v>
      </c>
      <c r="C722" s="223"/>
      <c r="D722" s="223"/>
      <c r="E722" s="223"/>
      <c r="F722" s="307">
        <v>14</v>
      </c>
      <c r="G722" s="296">
        <f>H722+I722</f>
        <v>1371</v>
      </c>
      <c r="H722" s="1554">
        <v>1164</v>
      </c>
      <c r="I722" s="1555">
        <v>207</v>
      </c>
    </row>
    <row r="723" spans="2:9" x14ac:dyDescent="0.25">
      <c r="B723" s="247" t="s">
        <v>55</v>
      </c>
      <c r="C723" s="223"/>
      <c r="D723" s="223"/>
      <c r="E723" s="223"/>
      <c r="F723" s="307">
        <v>15</v>
      </c>
      <c r="G723" s="296">
        <f>H723+I723</f>
        <v>1086</v>
      </c>
      <c r="H723" s="1554">
        <v>941</v>
      </c>
      <c r="I723" s="1555">
        <v>145</v>
      </c>
    </row>
    <row r="724" spans="2:9" ht="15.75" thickBot="1" x14ac:dyDescent="0.3">
      <c r="B724" s="248" t="s">
        <v>56</v>
      </c>
      <c r="C724" s="224"/>
      <c r="D724" s="224"/>
      <c r="E724" s="224"/>
      <c r="F724" s="308">
        <v>16</v>
      </c>
      <c r="G724" s="309">
        <f>H724+I724</f>
        <v>1272</v>
      </c>
      <c r="H724" s="1558">
        <v>969</v>
      </c>
      <c r="I724" s="1559">
        <v>303</v>
      </c>
    </row>
    <row r="725" spans="2:9" ht="16.5" thickTop="1" thickBot="1" x14ac:dyDescent="0.3">
      <c r="B725" s="236"/>
      <c r="C725" s="225"/>
      <c r="D725" s="225"/>
      <c r="E725" s="225"/>
      <c r="F725" s="310"/>
      <c r="G725" s="311"/>
      <c r="H725" s="312"/>
      <c r="I725" s="312"/>
    </row>
    <row r="726" spans="2:9" ht="15.75" thickTop="1" x14ac:dyDescent="0.25">
      <c r="B726" s="249" t="s">
        <v>184</v>
      </c>
      <c r="C726" s="227"/>
      <c r="D726" s="227"/>
      <c r="E726" s="227"/>
      <c r="F726" s="313"/>
      <c r="G726" s="314"/>
      <c r="H726" s="315"/>
      <c r="I726" s="316"/>
    </row>
    <row r="727" spans="2:9" x14ac:dyDescent="0.25">
      <c r="B727" s="245" t="s">
        <v>179</v>
      </c>
      <c r="C727" s="222"/>
      <c r="D727" s="222"/>
      <c r="E727" s="222"/>
      <c r="F727" s="297">
        <v>17</v>
      </c>
      <c r="G727" s="689">
        <f>H727+I727</f>
        <v>2703</v>
      </c>
      <c r="H727" s="689">
        <f>H729+H735</f>
        <v>2019</v>
      </c>
      <c r="I727" s="690">
        <f>I729+I735</f>
        <v>684</v>
      </c>
    </row>
    <row r="728" spans="2:9" x14ac:dyDescent="0.25">
      <c r="B728" s="233"/>
      <c r="C728" s="240" t="s">
        <v>49</v>
      </c>
      <c r="D728" s="225"/>
      <c r="E728" s="225"/>
      <c r="F728" s="286"/>
      <c r="G728" s="287"/>
      <c r="H728" s="288"/>
      <c r="I728" s="289"/>
    </row>
    <row r="729" spans="2:9" x14ac:dyDescent="0.25">
      <c r="B729" s="233"/>
      <c r="C729" s="222" t="s">
        <v>154</v>
      </c>
      <c r="D729" s="222"/>
      <c r="E729" s="222"/>
      <c r="F729" s="297">
        <v>18</v>
      </c>
      <c r="G729" s="689">
        <f>H729+I729</f>
        <v>2674</v>
      </c>
      <c r="H729" s="706">
        <f>SUM(H731:H734)</f>
        <v>2016</v>
      </c>
      <c r="I729" s="707">
        <f>SUM(I731:I734)</f>
        <v>658</v>
      </c>
    </row>
    <row r="730" spans="2:9" x14ac:dyDescent="0.25">
      <c r="B730" s="233"/>
      <c r="C730" s="225"/>
      <c r="D730" s="240" t="s">
        <v>155</v>
      </c>
      <c r="E730" s="225"/>
      <c r="F730" s="286"/>
      <c r="G730" s="287"/>
      <c r="H730" s="288"/>
      <c r="I730" s="289"/>
    </row>
    <row r="731" spans="2:9" x14ac:dyDescent="0.25">
      <c r="B731" s="233"/>
      <c r="C731" s="225"/>
      <c r="D731" s="222" t="s">
        <v>178</v>
      </c>
      <c r="E731" s="222"/>
      <c r="F731" s="297">
        <v>19</v>
      </c>
      <c r="G731" s="291">
        <f t="shared" ref="G731:G736" si="15">H731+I731</f>
        <v>2473</v>
      </c>
      <c r="H731" s="1550">
        <v>1843</v>
      </c>
      <c r="I731" s="1551">
        <v>630</v>
      </c>
    </row>
    <row r="732" spans="2:9" x14ac:dyDescent="0.25">
      <c r="B732" s="233"/>
      <c r="C732" s="225"/>
      <c r="D732" s="223" t="s">
        <v>151</v>
      </c>
      <c r="E732" s="223"/>
      <c r="F732" s="307">
        <v>20</v>
      </c>
      <c r="G732" s="296">
        <f t="shared" si="15"/>
        <v>195</v>
      </c>
      <c r="H732" s="1554">
        <v>172</v>
      </c>
      <c r="I732" s="1555">
        <v>23</v>
      </c>
    </row>
    <row r="733" spans="2:9" x14ac:dyDescent="0.25">
      <c r="B733" s="233"/>
      <c r="C733" s="225"/>
      <c r="D733" s="223" t="s">
        <v>149</v>
      </c>
      <c r="E733" s="223"/>
      <c r="F733" s="307">
        <v>21</v>
      </c>
      <c r="G733" s="296">
        <f t="shared" si="15"/>
        <v>5</v>
      </c>
      <c r="H733" s="1554">
        <v>0</v>
      </c>
      <c r="I733" s="1555">
        <v>5</v>
      </c>
    </row>
    <row r="734" spans="2:9" x14ac:dyDescent="0.25">
      <c r="B734" s="233"/>
      <c r="C734" s="225"/>
      <c r="D734" s="222" t="s">
        <v>152</v>
      </c>
      <c r="E734" s="222"/>
      <c r="F734" s="297">
        <v>22</v>
      </c>
      <c r="G734" s="291">
        <f t="shared" si="15"/>
        <v>1</v>
      </c>
      <c r="H734" s="1550">
        <v>1</v>
      </c>
      <c r="I734" s="1551">
        <v>0</v>
      </c>
    </row>
    <row r="735" spans="2:9" x14ac:dyDescent="0.25">
      <c r="B735" s="233"/>
      <c r="C735" s="222" t="s">
        <v>156</v>
      </c>
      <c r="D735" s="222"/>
      <c r="E735" s="222"/>
      <c r="F735" s="297">
        <v>23</v>
      </c>
      <c r="G735" s="291">
        <f t="shared" si="15"/>
        <v>29</v>
      </c>
      <c r="H735" s="1550">
        <v>3</v>
      </c>
      <c r="I735" s="1551">
        <v>26</v>
      </c>
    </row>
    <row r="736" spans="2:9" x14ac:dyDescent="0.25">
      <c r="B736" s="233"/>
      <c r="C736" s="223" t="s">
        <v>150</v>
      </c>
      <c r="D736" s="223"/>
      <c r="E736" s="223"/>
      <c r="F736" s="307">
        <v>24</v>
      </c>
      <c r="G736" s="296">
        <f t="shared" si="15"/>
        <v>196</v>
      </c>
      <c r="H736" s="1554">
        <v>195</v>
      </c>
      <c r="I736" s="1555">
        <v>1</v>
      </c>
    </row>
    <row r="737" spans="2:9" x14ac:dyDescent="0.25">
      <c r="B737" s="233"/>
      <c r="C737" s="250" t="s">
        <v>157</v>
      </c>
      <c r="D737" s="250"/>
      <c r="E737" s="250"/>
      <c r="F737" s="319"/>
      <c r="G737" s="320"/>
      <c r="H737" s="321"/>
      <c r="I737" s="322"/>
    </row>
    <row r="738" spans="2:9" ht="15.75" thickBot="1" x14ac:dyDescent="0.3">
      <c r="B738" s="244"/>
      <c r="C738" s="226" t="s">
        <v>148</v>
      </c>
      <c r="D738" s="226"/>
      <c r="E738" s="226"/>
      <c r="F738" s="299">
        <v>25</v>
      </c>
      <c r="G738" s="300">
        <f>H738+I738</f>
        <v>6</v>
      </c>
      <c r="H738" s="1556">
        <v>6</v>
      </c>
      <c r="I738" s="1557">
        <v>0</v>
      </c>
    </row>
    <row r="739" spans="2:9" ht="16.5" thickTop="1" thickBot="1" x14ac:dyDescent="0.3">
      <c r="F739" s="301"/>
      <c r="G739" s="302"/>
      <c r="H739" s="303"/>
      <c r="I739" s="303"/>
    </row>
    <row r="740" spans="2:9" ht="15.75" thickTop="1" x14ac:dyDescent="0.25">
      <c r="B740" s="261" t="s">
        <v>174</v>
      </c>
      <c r="C740" s="262"/>
      <c r="D740" s="263"/>
      <c r="E740" s="246"/>
      <c r="F740" s="323">
        <v>26</v>
      </c>
      <c r="G740" s="324">
        <f>H740+I740</f>
        <v>1727</v>
      </c>
      <c r="H740" s="324">
        <f>H742+H747</f>
        <v>1362</v>
      </c>
      <c r="I740" s="329">
        <f>I742+I747</f>
        <v>365</v>
      </c>
    </row>
    <row r="741" spans="2:9" x14ac:dyDescent="0.25">
      <c r="B741" s="233"/>
      <c r="C741" s="240" t="s">
        <v>50</v>
      </c>
      <c r="D741" s="225"/>
      <c r="E741" s="225"/>
      <c r="F741" s="286"/>
      <c r="G741" s="287"/>
      <c r="H741" s="288"/>
      <c r="I741" s="289"/>
    </row>
    <row r="742" spans="2:9" x14ac:dyDescent="0.25">
      <c r="B742" s="233"/>
      <c r="C742" s="222" t="s">
        <v>185</v>
      </c>
      <c r="D742" s="222"/>
      <c r="E742" s="222"/>
      <c r="F742" s="297">
        <v>27</v>
      </c>
      <c r="G742" s="291">
        <f>H742+I742</f>
        <v>114</v>
      </c>
      <c r="H742" s="291">
        <f>SUM(H744:H746)</f>
        <v>74</v>
      </c>
      <c r="I742" s="298">
        <f>SUM(I744:I746)</f>
        <v>40</v>
      </c>
    </row>
    <row r="743" spans="2:9" x14ac:dyDescent="0.25">
      <c r="B743" s="233"/>
      <c r="C743" s="225"/>
      <c r="D743" s="240" t="s">
        <v>190</v>
      </c>
      <c r="E743" s="225"/>
      <c r="F743" s="286"/>
      <c r="G743" s="390" t="str">
        <f>IF(SUM(G744:G746)=G742, "", G742-SUM(G744:G746))</f>
        <v/>
      </c>
      <c r="H743" s="390" t="str">
        <f>IF(SUM(H744:H746)=H742, "", H742-SUM(H744:H746))</f>
        <v/>
      </c>
      <c r="I743" s="398" t="str">
        <f>IF(SUM(I744:I746)=I742, "", I742-SUM(I744:I746))</f>
        <v/>
      </c>
    </row>
    <row r="744" spans="2:9" x14ac:dyDescent="0.25">
      <c r="B744" s="233"/>
      <c r="C744" s="225"/>
      <c r="D744" s="222" t="s">
        <v>186</v>
      </c>
      <c r="E744" s="222"/>
      <c r="F744" s="297">
        <v>28</v>
      </c>
      <c r="G744" s="291">
        <f>H744+I744</f>
        <v>33</v>
      </c>
      <c r="H744" s="1550">
        <v>21</v>
      </c>
      <c r="I744" s="1551">
        <v>12</v>
      </c>
    </row>
    <row r="745" spans="2:9" x14ac:dyDescent="0.25">
      <c r="B745" s="233"/>
      <c r="C745" s="225"/>
      <c r="D745" s="223" t="s">
        <v>187</v>
      </c>
      <c r="E745" s="225"/>
      <c r="F745" s="297">
        <v>29</v>
      </c>
      <c r="G745" s="291">
        <f>H745+I745</f>
        <v>1</v>
      </c>
      <c r="H745" s="1550">
        <v>0</v>
      </c>
      <c r="I745" s="1551">
        <v>1</v>
      </c>
    </row>
    <row r="746" spans="2:9" x14ac:dyDescent="0.25">
      <c r="B746" s="233"/>
      <c r="C746" s="225"/>
      <c r="D746" s="223" t="s">
        <v>188</v>
      </c>
      <c r="E746" s="223"/>
      <c r="F746" s="307">
        <v>30</v>
      </c>
      <c r="G746" s="296">
        <f>H746+I746</f>
        <v>80</v>
      </c>
      <c r="H746" s="1554">
        <v>53</v>
      </c>
      <c r="I746" s="1555">
        <v>27</v>
      </c>
    </row>
    <row r="747" spans="2:9" x14ac:dyDescent="0.25">
      <c r="B747" s="233"/>
      <c r="C747" s="222" t="s">
        <v>189</v>
      </c>
      <c r="D747" s="222"/>
      <c r="E747" s="222"/>
      <c r="F747" s="297">
        <v>31</v>
      </c>
      <c r="G747" s="291">
        <f>H747+I747</f>
        <v>1613</v>
      </c>
      <c r="H747" s="291">
        <f>SUM(H749:H752)</f>
        <v>1288</v>
      </c>
      <c r="I747" s="298">
        <f>SUM(I749:I752)</f>
        <v>325</v>
      </c>
    </row>
    <row r="748" spans="2:9" x14ac:dyDescent="0.25">
      <c r="B748" s="233"/>
      <c r="C748" s="225"/>
      <c r="D748" s="240" t="s">
        <v>191</v>
      </c>
      <c r="E748" s="225"/>
      <c r="F748" s="286"/>
      <c r="G748" s="287" t="str">
        <f>IF(SUM(G749:G752)=G747, "", G747-SUM(G749:G752))</f>
        <v/>
      </c>
      <c r="H748" s="288" t="str">
        <f>IF(SUM(H749:H752)=H747, "", H747-SUM(H749:H752))</f>
        <v/>
      </c>
      <c r="I748" s="289" t="str">
        <f>IF(SUM(I749:I752)=I747, "", I747-SUM(I749:I752))</f>
        <v/>
      </c>
    </row>
    <row r="749" spans="2:9" x14ac:dyDescent="0.25">
      <c r="B749" s="233"/>
      <c r="C749" s="225"/>
      <c r="D749" s="222" t="s">
        <v>186</v>
      </c>
      <c r="E749" s="222"/>
      <c r="F749" s="297">
        <v>32</v>
      </c>
      <c r="G749" s="291">
        <f>H749+I749</f>
        <v>1485</v>
      </c>
      <c r="H749" s="1550">
        <v>1206</v>
      </c>
      <c r="I749" s="1551">
        <v>279</v>
      </c>
    </row>
    <row r="750" spans="2:9" x14ac:dyDescent="0.25">
      <c r="B750" s="233"/>
      <c r="C750" s="225"/>
      <c r="D750" s="222" t="s">
        <v>187</v>
      </c>
      <c r="E750" s="222"/>
      <c r="F750" s="297">
        <v>33</v>
      </c>
      <c r="G750" s="291">
        <f>H750+I750</f>
        <v>3</v>
      </c>
      <c r="H750" s="1550">
        <v>0</v>
      </c>
      <c r="I750" s="1551">
        <v>3</v>
      </c>
    </row>
    <row r="751" spans="2:9" x14ac:dyDescent="0.25">
      <c r="B751" s="233"/>
      <c r="C751" s="225"/>
      <c r="D751" s="222" t="s">
        <v>188</v>
      </c>
      <c r="E751" s="222"/>
      <c r="F751" s="297">
        <v>34</v>
      </c>
      <c r="G751" s="291">
        <f>H751+I751</f>
        <v>101</v>
      </c>
      <c r="H751" s="1550">
        <v>80</v>
      </c>
      <c r="I751" s="1551">
        <v>21</v>
      </c>
    </row>
    <row r="752" spans="2:9" ht="15.75" thickBot="1" x14ac:dyDescent="0.3">
      <c r="B752" s="234"/>
      <c r="C752" s="235"/>
      <c r="D752" s="259" t="s">
        <v>153</v>
      </c>
      <c r="E752" s="259"/>
      <c r="F752" s="325">
        <v>35</v>
      </c>
      <c r="G752" s="326">
        <f>H752+I752</f>
        <v>24</v>
      </c>
      <c r="H752" s="1567">
        <v>2</v>
      </c>
      <c r="I752" s="1563">
        <v>22</v>
      </c>
    </row>
    <row r="753" spans="1:9" x14ac:dyDescent="0.25">
      <c r="B753" s="260" t="s">
        <v>177</v>
      </c>
      <c r="C753" s="242"/>
      <c r="D753" s="242"/>
      <c r="E753" s="242"/>
      <c r="F753" s="327">
        <v>36</v>
      </c>
      <c r="G753" s="285">
        <f>H753+I753</f>
        <v>1699</v>
      </c>
      <c r="H753" s="784">
        <f>H744+H746+H749+H751</f>
        <v>1360</v>
      </c>
      <c r="I753" s="328">
        <f>I744+I746+I749+I751</f>
        <v>339</v>
      </c>
    </row>
    <row r="754" spans="1:9" x14ac:dyDescent="0.25">
      <c r="B754" s="233"/>
      <c r="C754" s="240" t="s">
        <v>155</v>
      </c>
      <c r="D754" s="225"/>
      <c r="E754" s="250"/>
      <c r="F754" s="286"/>
      <c r="G754" s="390" t="str">
        <f>IF(SUM(G755:G757)=G753, "", G753-SUM(G755:G757))</f>
        <v/>
      </c>
      <c r="H754" s="390" t="str">
        <f>IF(SUM(H755:H757)=H753, "", H753-SUM(H755:H757))</f>
        <v/>
      </c>
      <c r="I754" s="398" t="str">
        <f>IF(SUM(I755:I757)=I753, "", I753-SUM(I755:I757))</f>
        <v/>
      </c>
    </row>
    <row r="755" spans="1:9" x14ac:dyDescent="0.25">
      <c r="B755" s="233"/>
      <c r="C755" s="222" t="s">
        <v>178</v>
      </c>
      <c r="D755" s="222"/>
      <c r="E755" s="222"/>
      <c r="F755" s="297">
        <v>37</v>
      </c>
      <c r="G755" s="291">
        <f>H755+I755</f>
        <v>1435</v>
      </c>
      <c r="H755" s="1550">
        <v>1140</v>
      </c>
      <c r="I755" s="1551">
        <v>295</v>
      </c>
    </row>
    <row r="756" spans="1:9" x14ac:dyDescent="0.25">
      <c r="B756" s="233"/>
      <c r="C756" s="223" t="s">
        <v>151</v>
      </c>
      <c r="D756" s="223"/>
      <c r="E756" s="223"/>
      <c r="F756" s="307">
        <v>38</v>
      </c>
      <c r="G756" s="296">
        <f>H756+I756</f>
        <v>237</v>
      </c>
      <c r="H756" s="1554">
        <v>218</v>
      </c>
      <c r="I756" s="1555">
        <v>19</v>
      </c>
    </row>
    <row r="757" spans="1:9" ht="15.75" thickBot="1" x14ac:dyDescent="0.3">
      <c r="B757" s="244"/>
      <c r="C757" s="226" t="s">
        <v>152</v>
      </c>
      <c r="D757" s="226"/>
      <c r="E757" s="226"/>
      <c r="F757" s="299">
        <v>39</v>
      </c>
      <c r="G757" s="300">
        <f>H757+I757</f>
        <v>27</v>
      </c>
      <c r="H757" s="1556">
        <v>2</v>
      </c>
      <c r="I757" s="1557">
        <v>25</v>
      </c>
    </row>
    <row r="758" spans="1:9" ht="15.75" thickTop="1" x14ac:dyDescent="0.25">
      <c r="G758" s="412" t="str">
        <f>IF(SUM(G755:G757)=G753, "", SUM(G755:G757))</f>
        <v/>
      </c>
      <c r="H758" s="412" t="str">
        <f>IF(SUM(H755:H757)=H753, "", SUM(H755:H757))</f>
        <v/>
      </c>
      <c r="I758" s="412" t="str">
        <f>IF(SUM(I755:I757)=I753, "", SUM(I755:I757))</f>
        <v/>
      </c>
    </row>
    <row r="759" spans="1:9" x14ac:dyDescent="0.25">
      <c r="B759" s="221" t="s">
        <v>123</v>
      </c>
      <c r="D759" s="220" t="s">
        <v>180</v>
      </c>
      <c r="H759" t="s">
        <v>182</v>
      </c>
    </row>
    <row r="760" spans="1:9" x14ac:dyDescent="0.25">
      <c r="B760" s="221" t="s">
        <v>181</v>
      </c>
      <c r="D760" s="220" t="s">
        <v>180</v>
      </c>
      <c r="H760" s="256" t="s">
        <v>126</v>
      </c>
    </row>
    <row r="762" spans="1:9" x14ac:dyDescent="0.25">
      <c r="B762" s="221" t="s">
        <v>116</v>
      </c>
      <c r="C762" s="212"/>
      <c r="D762" s="220"/>
      <c r="E762" s="220"/>
      <c r="F762" s="212"/>
      <c r="G762" s="220"/>
      <c r="H762" s="220"/>
      <c r="I762" s="256" t="s">
        <v>175</v>
      </c>
    </row>
    <row r="763" spans="1:9" x14ac:dyDescent="0.25">
      <c r="B763" s="257" t="s">
        <v>129</v>
      </c>
      <c r="C763" s="212"/>
      <c r="D763" s="220"/>
      <c r="E763" s="257"/>
      <c r="F763" s="220"/>
      <c r="G763" s="220"/>
      <c r="H763" s="220"/>
      <c r="I763" s="220"/>
    </row>
    <row r="764" spans="1:9" ht="15.75" x14ac:dyDescent="0.25">
      <c r="B764" s="221" t="s">
        <v>128</v>
      </c>
      <c r="C764" s="212"/>
      <c r="D764" s="220"/>
      <c r="F764" s="220"/>
      <c r="G764" s="220"/>
      <c r="H764" s="1721" t="str">
        <f>$H$80</f>
        <v>Termin: 29 luty 2012 r.</v>
      </c>
      <c r="I764" s="1721"/>
    </row>
    <row r="765" spans="1:9" x14ac:dyDescent="0.25">
      <c r="B765" s="258"/>
      <c r="C765" s="212"/>
      <c r="D765" s="220"/>
      <c r="E765" s="220"/>
      <c r="F765" s="220"/>
      <c r="G765" s="220"/>
      <c r="H765" s="220"/>
      <c r="I765" s="220"/>
    </row>
    <row r="766" spans="1:9" ht="26.25" x14ac:dyDescent="0.4">
      <c r="A766" s="267" t="s">
        <v>202</v>
      </c>
      <c r="B766" s="221" t="s">
        <v>130</v>
      </c>
      <c r="C766" s="212"/>
      <c r="D766" s="220"/>
      <c r="E766" s="220"/>
      <c r="F766" s="220"/>
      <c r="G766" s="220"/>
      <c r="H766" s="220"/>
      <c r="I766" s="220"/>
    </row>
    <row r="767" spans="1:9" x14ac:dyDescent="0.25">
      <c r="B767" s="221" t="s">
        <v>131</v>
      </c>
      <c r="C767" s="212"/>
      <c r="D767" s="220"/>
      <c r="E767" s="220"/>
      <c r="F767" s="220"/>
      <c r="G767" s="220"/>
      <c r="H767" s="220"/>
      <c r="I767" s="220"/>
    </row>
    <row r="768" spans="1:9" ht="15.75" x14ac:dyDescent="0.25">
      <c r="B768" s="1"/>
      <c r="C768" s="255"/>
      <c r="D768" s="12"/>
      <c r="E768" s="12"/>
      <c r="F768" s="12"/>
      <c r="G768" s="12"/>
      <c r="H768" s="12"/>
      <c r="I768" s="12"/>
    </row>
    <row r="769" spans="2:9" ht="15.75" x14ac:dyDescent="0.25">
      <c r="B769" s="1"/>
      <c r="C769" s="255"/>
      <c r="D769" s="12"/>
      <c r="E769" s="1" t="s">
        <v>47</v>
      </c>
      <c r="F769" s="12"/>
      <c r="G769" s="12"/>
      <c r="H769" s="12"/>
      <c r="I769" s="12"/>
    </row>
    <row r="770" spans="2:9" ht="15.75" x14ac:dyDescent="0.25">
      <c r="B770" s="1"/>
      <c r="C770" s="255"/>
      <c r="D770" s="12"/>
      <c r="E770" s="1" t="s">
        <v>176</v>
      </c>
      <c r="F770" s="12"/>
      <c r="G770" s="12"/>
      <c r="H770" s="12"/>
      <c r="I770" s="12"/>
    </row>
    <row r="771" spans="2:9" ht="15.75" x14ac:dyDescent="0.25">
      <c r="B771" s="1"/>
      <c r="C771" s="255"/>
      <c r="D771" s="12"/>
      <c r="E771" s="1162" t="str">
        <f>$E$11</f>
        <v>SAMORZĄDÓW  POWIATOWYCH  I  PODMIOTÓW  NIEPUBLICZNYCH  W 2011 r.</v>
      </c>
      <c r="F771" s="12"/>
      <c r="G771" s="12"/>
      <c r="H771" s="12"/>
      <c r="I771" s="12"/>
    </row>
    <row r="772" spans="2:9" ht="15.75" x14ac:dyDescent="0.25">
      <c r="B772" s="1"/>
      <c r="C772" s="255"/>
      <c r="D772" s="12"/>
      <c r="E772" s="12"/>
      <c r="F772" s="12"/>
      <c r="G772" s="12"/>
      <c r="H772" s="12"/>
      <c r="I772" s="12"/>
    </row>
    <row r="773" spans="2:9" ht="15.75" thickBot="1" x14ac:dyDescent="0.3"/>
    <row r="774" spans="2:9" ht="16.5" thickTop="1" x14ac:dyDescent="0.25">
      <c r="B774" s="214"/>
      <c r="C774" s="227"/>
      <c r="D774" s="227"/>
      <c r="E774" s="227"/>
      <c r="F774" s="252"/>
      <c r="G774" s="229" t="s">
        <v>48</v>
      </c>
      <c r="H774" s="1722" t="s">
        <v>20</v>
      </c>
      <c r="I774" s="1723"/>
    </row>
    <row r="775" spans="2:9" ht="15.75" x14ac:dyDescent="0.25">
      <c r="B775" s="215"/>
      <c r="C775" s="225"/>
      <c r="D775" s="225"/>
      <c r="E775" s="225" t="s">
        <v>21</v>
      </c>
      <c r="F775" s="253"/>
      <c r="G775" s="230" t="s">
        <v>5</v>
      </c>
      <c r="H775" s="216" t="s">
        <v>22</v>
      </c>
      <c r="I775" s="217" t="s">
        <v>23</v>
      </c>
    </row>
    <row r="776" spans="2:9" ht="15.75" x14ac:dyDescent="0.25">
      <c r="B776" s="194"/>
      <c r="C776" s="225"/>
      <c r="D776" s="225"/>
      <c r="E776" s="225"/>
      <c r="F776" s="253"/>
      <c r="G776" s="218" t="s">
        <v>24</v>
      </c>
      <c r="H776" s="218" t="s">
        <v>25</v>
      </c>
      <c r="I776" s="219" t="s">
        <v>26</v>
      </c>
    </row>
    <row r="777" spans="2:9" ht="15.75" thickBot="1" x14ac:dyDescent="0.3">
      <c r="B777" s="61"/>
      <c r="C777" s="228"/>
      <c r="D777" s="228"/>
      <c r="E777" s="211">
        <v>0</v>
      </c>
      <c r="F777" s="254"/>
      <c r="G777" s="2">
        <v>1</v>
      </c>
      <c r="H777" s="2">
        <v>2</v>
      </c>
      <c r="I777" s="7">
        <v>3</v>
      </c>
    </row>
    <row r="778" spans="2:9" ht="16.5" thickTop="1" thickBot="1" x14ac:dyDescent="0.3">
      <c r="B778" s="231"/>
      <c r="G778" s="793"/>
      <c r="H778" s="793"/>
      <c r="I778" s="793"/>
    </row>
    <row r="779" spans="2:9" ht="16.5" thickTop="1" thickBot="1" x14ac:dyDescent="0.3">
      <c r="B779" s="1168" t="str">
        <f>$B$19</f>
        <v>Wg stanu na dzień 31.XII.2010 r.</v>
      </c>
      <c r="C779" s="232"/>
      <c r="D779" s="232"/>
      <c r="E779" s="232"/>
      <c r="F779" s="282" t="s">
        <v>165</v>
      </c>
      <c r="G779" s="283">
        <f>H779+I779</f>
        <v>2270</v>
      </c>
      <c r="H779" s="1548">
        <v>1840</v>
      </c>
      <c r="I779" s="1549">
        <v>430</v>
      </c>
    </row>
    <row r="780" spans="2:9" x14ac:dyDescent="0.25">
      <c r="B780" s="1169" t="str">
        <f>$B$20</f>
        <v>Przyjętych w ciągu 2011 r.</v>
      </c>
      <c r="C780" s="242"/>
      <c r="D780" s="242"/>
      <c r="E780" s="242"/>
      <c r="F780" s="284" t="s">
        <v>166</v>
      </c>
      <c r="G780" s="285">
        <f>H780+I780</f>
        <v>256</v>
      </c>
      <c r="H780" s="784">
        <f>H782+H783</f>
        <v>226</v>
      </c>
      <c r="I780" s="785">
        <f>I782+I783</f>
        <v>30</v>
      </c>
    </row>
    <row r="781" spans="2:9" x14ac:dyDescent="0.25">
      <c r="B781" s="233"/>
      <c r="C781" s="241" t="s">
        <v>49</v>
      </c>
      <c r="D781" s="225"/>
      <c r="E781" s="225"/>
      <c r="F781" s="286"/>
      <c r="G781" s="287"/>
      <c r="H781" s="389" t="str">
        <f>IF(SUM(H782:H783)=H780, "", "?")</f>
        <v/>
      </c>
      <c r="I781" s="388"/>
    </row>
    <row r="782" spans="2:9" x14ac:dyDescent="0.25">
      <c r="B782" s="233"/>
      <c r="C782" s="237" t="s">
        <v>158</v>
      </c>
      <c r="D782" s="222"/>
      <c r="E782" s="222"/>
      <c r="F782" s="290" t="s">
        <v>167</v>
      </c>
      <c r="G782" s="291">
        <f>H782+I782</f>
        <v>0</v>
      </c>
      <c r="H782" s="1550">
        <v>0</v>
      </c>
      <c r="I782" s="1551">
        <v>0</v>
      </c>
    </row>
    <row r="783" spans="2:9" ht="15.75" thickBot="1" x14ac:dyDescent="0.3">
      <c r="B783" s="234"/>
      <c r="C783" s="238" t="s">
        <v>159</v>
      </c>
      <c r="D783" s="235"/>
      <c r="E783" s="235"/>
      <c r="F783" s="292" t="s">
        <v>168</v>
      </c>
      <c r="G783" s="293">
        <f>H783+I783</f>
        <v>256</v>
      </c>
      <c r="H783" s="1552">
        <v>226</v>
      </c>
      <c r="I783" s="1553">
        <v>30</v>
      </c>
    </row>
    <row r="784" spans="2:9" x14ac:dyDescent="0.25">
      <c r="B784" s="1170" t="str">
        <f>$B$24</f>
        <v>Odeszło w ciągu 2011 r. (w.06 do w.09)</v>
      </c>
      <c r="C784" s="242"/>
      <c r="D784" s="242"/>
      <c r="E784" s="242"/>
      <c r="F784" s="284" t="s">
        <v>169</v>
      </c>
      <c r="G784" s="285">
        <f>H784+I784</f>
        <v>242</v>
      </c>
      <c r="H784" s="285">
        <f>SUM(H786:H789)</f>
        <v>216</v>
      </c>
      <c r="I784" s="294">
        <f>SUM(I786:I789)</f>
        <v>26</v>
      </c>
    </row>
    <row r="785" spans="2:9" x14ac:dyDescent="0.25">
      <c r="B785" s="251"/>
      <c r="C785" s="240" t="s">
        <v>49</v>
      </c>
      <c r="D785" s="225"/>
      <c r="E785" s="225"/>
      <c r="F785" s="286"/>
      <c r="G785" s="287"/>
      <c r="H785" s="288"/>
      <c r="I785" s="289"/>
    </row>
    <row r="786" spans="2:9" x14ac:dyDescent="0.25">
      <c r="B786" s="233"/>
      <c r="C786" s="237" t="s">
        <v>160</v>
      </c>
      <c r="D786" s="222"/>
      <c r="E786" s="222"/>
      <c r="F786" s="290" t="s">
        <v>170</v>
      </c>
      <c r="G786" s="291">
        <f>H786+I786</f>
        <v>20</v>
      </c>
      <c r="H786" s="1550">
        <v>18</v>
      </c>
      <c r="I786" s="1551">
        <v>2</v>
      </c>
    </row>
    <row r="787" spans="2:9" x14ac:dyDescent="0.25">
      <c r="B787" s="233"/>
      <c r="C787" s="243" t="s">
        <v>161</v>
      </c>
      <c r="D787" s="223"/>
      <c r="E787" s="223"/>
      <c r="F787" s="295" t="s">
        <v>171</v>
      </c>
      <c r="G787" s="296">
        <f>H787+I787</f>
        <v>18</v>
      </c>
      <c r="H787" s="1554">
        <v>17</v>
      </c>
      <c r="I787" s="1555">
        <v>1</v>
      </c>
    </row>
    <row r="788" spans="2:9" x14ac:dyDescent="0.25">
      <c r="B788" s="233"/>
      <c r="C788" s="243" t="s">
        <v>162</v>
      </c>
      <c r="D788" s="223"/>
      <c r="E788" s="223"/>
      <c r="F788" s="295" t="s">
        <v>172</v>
      </c>
      <c r="G788" s="296">
        <f>H788+I788</f>
        <v>5</v>
      </c>
      <c r="H788" s="1554">
        <v>5</v>
      </c>
      <c r="I788" s="1555">
        <v>0</v>
      </c>
    </row>
    <row r="789" spans="2:9" ht="15.75" thickBot="1" x14ac:dyDescent="0.3">
      <c r="B789" s="234"/>
      <c r="C789" s="238" t="s">
        <v>163</v>
      </c>
      <c r="D789" s="235"/>
      <c r="E789" s="235"/>
      <c r="F789" s="292" t="s">
        <v>173</v>
      </c>
      <c r="G789" s="293">
        <f>H789+I789</f>
        <v>199</v>
      </c>
      <c r="H789" s="1552">
        <v>176</v>
      </c>
      <c r="I789" s="1553">
        <v>23</v>
      </c>
    </row>
    <row r="790" spans="2:9" x14ac:dyDescent="0.25">
      <c r="B790" s="1171" t="str">
        <f>$B$30</f>
        <v>Wg stanu na dzień 31.XII.2011 r.</v>
      </c>
      <c r="C790" s="225"/>
      <c r="D790" s="225"/>
      <c r="E790" s="225"/>
      <c r="F790" s="286"/>
      <c r="G790" s="922" t="str">
        <f>IF('Tab.2. l.d.m.m._Polska'!G381=G791,"","t2w1k3"&amp;"="&amp;'Tab.2. l.d.m.m._Polska'!G381)</f>
        <v/>
      </c>
      <c r="H790" s="922" t="str">
        <f>IF('Tab.2. l.d.m.m._Polska'!K381=H791,"","t2w1k6"&amp;"="&amp;'Tab.2. l.d.m.m._Polska'!K381)</f>
        <v/>
      </c>
      <c r="I790" s="923" t="str">
        <f>IF('Tab.2. l.d.m.m._Polska'!O381=I791,"","t2w1k9"&amp;"="&amp;'Tab.2. l.d.m.m._Polska'!O381)</f>
        <v/>
      </c>
    </row>
    <row r="791" spans="2:9" x14ac:dyDescent="0.25">
      <c r="B791" s="245" t="s">
        <v>194</v>
      </c>
      <c r="C791" s="222"/>
      <c r="D791" s="222"/>
      <c r="E791" s="222"/>
      <c r="F791" s="297">
        <v>10</v>
      </c>
      <c r="G791" s="291">
        <f>H791+I791</f>
        <v>2284</v>
      </c>
      <c r="H791" s="291">
        <f>IF(H779+H780-H784=SUM(H796:H800), H779+H780-H784, (H779+H780-H784)-SUM(H796:H800))</f>
        <v>1850</v>
      </c>
      <c r="I791" s="298">
        <f>IF(I779+I780-I784=SUM(I796:I800), I779+I780-I784, (I779+I780-I784)-SUM(I796:I800))</f>
        <v>434</v>
      </c>
    </row>
    <row r="792" spans="2:9" x14ac:dyDescent="0.25">
      <c r="B792" s="233"/>
      <c r="C792" s="240" t="s">
        <v>50</v>
      </c>
      <c r="D792" s="225"/>
      <c r="E792" s="225"/>
      <c r="F792" s="286"/>
      <c r="G792" s="287"/>
      <c r="H792" s="288"/>
      <c r="I792" s="289"/>
    </row>
    <row r="793" spans="2:9" ht="15.75" thickBot="1" x14ac:dyDescent="0.3">
      <c r="B793" s="244"/>
      <c r="C793" s="239" t="s">
        <v>164</v>
      </c>
      <c r="D793" s="226"/>
      <c r="E793" s="226"/>
      <c r="F793" s="299">
        <v>11</v>
      </c>
      <c r="G793" s="300">
        <f>H793+I793</f>
        <v>303</v>
      </c>
      <c r="H793" s="1556">
        <v>262</v>
      </c>
      <c r="I793" s="1557">
        <v>41</v>
      </c>
    </row>
    <row r="794" spans="2:9" ht="16.5" thickTop="1" thickBot="1" x14ac:dyDescent="0.3">
      <c r="B794" s="236"/>
      <c r="F794" s="301"/>
      <c r="G794" s="405" t="str">
        <f>IF(SUM(G796:G800)=G791,"","Uwaga! "&amp;SUM(G796:G800))</f>
        <v/>
      </c>
      <c r="H794" s="405" t="str">
        <f>IF(SUM(H796:H800)=H791,"","Uwaga! "&amp;SUM(H796:H800))</f>
        <v/>
      </c>
      <c r="I794" s="405" t="str">
        <f>IF(SUM(I796:I800)=I791,"","Uwaga! "&amp;SUM(I796:I800))</f>
        <v/>
      </c>
    </row>
    <row r="795" spans="2:9" ht="15.75" thickTop="1" x14ac:dyDescent="0.25">
      <c r="B795" s="213" t="s">
        <v>183</v>
      </c>
      <c r="C795" s="246"/>
      <c r="D795" s="246"/>
      <c r="E795" s="246"/>
      <c r="F795" s="304"/>
      <c r="G795" s="305" t="s">
        <v>142</v>
      </c>
      <c r="H795" s="305" t="s">
        <v>142</v>
      </c>
      <c r="I795" s="306" t="s">
        <v>142</v>
      </c>
    </row>
    <row r="796" spans="2:9" x14ac:dyDescent="0.25">
      <c r="B796" s="247" t="s">
        <v>52</v>
      </c>
      <c r="C796" s="223"/>
      <c r="D796" s="223"/>
      <c r="E796" s="223"/>
      <c r="F796" s="307">
        <v>12</v>
      </c>
      <c r="G796" s="296">
        <f>H796+I796</f>
        <v>50</v>
      </c>
      <c r="H796" s="1554">
        <v>35</v>
      </c>
      <c r="I796" s="1555">
        <v>15</v>
      </c>
    </row>
    <row r="797" spans="2:9" x14ac:dyDescent="0.25">
      <c r="B797" s="247" t="s">
        <v>53</v>
      </c>
      <c r="C797" s="223"/>
      <c r="D797" s="223"/>
      <c r="E797" s="223"/>
      <c r="F797" s="307">
        <v>13</v>
      </c>
      <c r="G797" s="296">
        <f>H797+I797</f>
        <v>454</v>
      </c>
      <c r="H797" s="1554">
        <v>346</v>
      </c>
      <c r="I797" s="1555">
        <v>108</v>
      </c>
    </row>
    <row r="798" spans="2:9" x14ac:dyDescent="0.25">
      <c r="B798" s="247" t="s">
        <v>54</v>
      </c>
      <c r="C798" s="223"/>
      <c r="D798" s="223"/>
      <c r="E798" s="223"/>
      <c r="F798" s="307">
        <v>14</v>
      </c>
      <c r="G798" s="296">
        <f>H798+I798</f>
        <v>722</v>
      </c>
      <c r="H798" s="1554">
        <v>555</v>
      </c>
      <c r="I798" s="1555">
        <v>167</v>
      </c>
    </row>
    <row r="799" spans="2:9" x14ac:dyDescent="0.25">
      <c r="B799" s="247" t="s">
        <v>55</v>
      </c>
      <c r="C799" s="223"/>
      <c r="D799" s="223"/>
      <c r="E799" s="223"/>
      <c r="F799" s="307">
        <v>15</v>
      </c>
      <c r="G799" s="296">
        <f>H799+I799</f>
        <v>495</v>
      </c>
      <c r="H799" s="1554">
        <v>419</v>
      </c>
      <c r="I799" s="1555">
        <v>76</v>
      </c>
    </row>
    <row r="800" spans="2:9" ht="15.75" thickBot="1" x14ac:dyDescent="0.3">
      <c r="B800" s="248" t="s">
        <v>56</v>
      </c>
      <c r="C800" s="224"/>
      <c r="D800" s="224"/>
      <c r="E800" s="224"/>
      <c r="F800" s="308">
        <v>16</v>
      </c>
      <c r="G800" s="309">
        <f>H800+I800</f>
        <v>563</v>
      </c>
      <c r="H800" s="1558">
        <v>495</v>
      </c>
      <c r="I800" s="1559">
        <v>68</v>
      </c>
    </row>
    <row r="801" spans="2:9" ht="16.5" thickTop="1" thickBot="1" x14ac:dyDescent="0.3">
      <c r="B801" s="236"/>
      <c r="C801" s="225"/>
      <c r="D801" s="225"/>
      <c r="E801" s="225"/>
      <c r="F801" s="310"/>
      <c r="G801" s="311"/>
      <c r="H801" s="312"/>
      <c r="I801" s="312"/>
    </row>
    <row r="802" spans="2:9" ht="15.75" thickTop="1" x14ac:dyDescent="0.25">
      <c r="B802" s="249" t="s">
        <v>184</v>
      </c>
      <c r="C802" s="227"/>
      <c r="D802" s="227"/>
      <c r="E802" s="227"/>
      <c r="F802" s="313"/>
      <c r="G802" s="314"/>
      <c r="H802" s="315"/>
      <c r="I802" s="316"/>
    </row>
    <row r="803" spans="2:9" x14ac:dyDescent="0.25">
      <c r="B803" s="245" t="s">
        <v>179</v>
      </c>
      <c r="C803" s="222"/>
      <c r="D803" s="222"/>
      <c r="E803" s="222"/>
      <c r="F803" s="297">
        <v>17</v>
      </c>
      <c r="G803" s="291">
        <f>H803+I803</f>
        <v>1336</v>
      </c>
      <c r="H803" s="291">
        <f>H805+H811</f>
        <v>1039</v>
      </c>
      <c r="I803" s="298">
        <f>I805+I811</f>
        <v>297</v>
      </c>
    </row>
    <row r="804" spans="2:9" x14ac:dyDescent="0.25">
      <c r="B804" s="233"/>
      <c r="C804" s="240" t="s">
        <v>49</v>
      </c>
      <c r="D804" s="225"/>
      <c r="E804" s="225"/>
      <c r="F804" s="286"/>
      <c r="G804" s="287"/>
      <c r="H804" s="288"/>
      <c r="I804" s="289"/>
    </row>
    <row r="805" spans="2:9" x14ac:dyDescent="0.25">
      <c r="B805" s="233"/>
      <c r="C805" s="222" t="s">
        <v>154</v>
      </c>
      <c r="D805" s="222"/>
      <c r="E805" s="222"/>
      <c r="F805" s="297">
        <v>18</v>
      </c>
      <c r="G805" s="291">
        <f>H805+I805</f>
        <v>1331</v>
      </c>
      <c r="H805" s="317">
        <f>SUM(H807:H810)</f>
        <v>1038</v>
      </c>
      <c r="I805" s="318">
        <f>SUM(I807:I810)</f>
        <v>293</v>
      </c>
    </row>
    <row r="806" spans="2:9" x14ac:dyDescent="0.25">
      <c r="B806" s="233"/>
      <c r="C806" s="225"/>
      <c r="D806" s="240" t="s">
        <v>155</v>
      </c>
      <c r="E806" s="225"/>
      <c r="F806" s="286"/>
      <c r="G806" s="287"/>
      <c r="H806" s="288"/>
      <c r="I806" s="289"/>
    </row>
    <row r="807" spans="2:9" x14ac:dyDescent="0.25">
      <c r="B807" s="233"/>
      <c r="C807" s="225"/>
      <c r="D807" s="222" t="s">
        <v>178</v>
      </c>
      <c r="E807" s="222"/>
      <c r="F807" s="297">
        <v>19</v>
      </c>
      <c r="G807" s="291">
        <f t="shared" ref="G807:G812" si="16">H807+I807</f>
        <v>1206</v>
      </c>
      <c r="H807" s="1550">
        <v>946</v>
      </c>
      <c r="I807" s="1551">
        <v>260</v>
      </c>
    </row>
    <row r="808" spans="2:9" x14ac:dyDescent="0.25">
      <c r="B808" s="233"/>
      <c r="C808" s="225"/>
      <c r="D808" s="223" t="s">
        <v>151</v>
      </c>
      <c r="E808" s="223"/>
      <c r="F808" s="307">
        <v>20</v>
      </c>
      <c r="G808" s="296">
        <f t="shared" si="16"/>
        <v>116</v>
      </c>
      <c r="H808" s="1554">
        <v>83</v>
      </c>
      <c r="I808" s="1555">
        <v>33</v>
      </c>
    </row>
    <row r="809" spans="2:9" x14ac:dyDescent="0.25">
      <c r="B809" s="233"/>
      <c r="C809" s="225"/>
      <c r="D809" s="223" t="s">
        <v>149</v>
      </c>
      <c r="E809" s="223"/>
      <c r="F809" s="307">
        <v>21</v>
      </c>
      <c r="G809" s="296">
        <f t="shared" si="16"/>
        <v>1</v>
      </c>
      <c r="H809" s="1554">
        <v>1</v>
      </c>
      <c r="I809" s="1555">
        <v>0</v>
      </c>
    </row>
    <row r="810" spans="2:9" x14ac:dyDescent="0.25">
      <c r="B810" s="233"/>
      <c r="C810" s="225"/>
      <c r="D810" s="222" t="s">
        <v>152</v>
      </c>
      <c r="E810" s="222"/>
      <c r="F810" s="297">
        <v>22</v>
      </c>
      <c r="G810" s="291">
        <f t="shared" si="16"/>
        <v>8</v>
      </c>
      <c r="H810" s="1550">
        <v>8</v>
      </c>
      <c r="I810" s="1551">
        <v>0</v>
      </c>
    </row>
    <row r="811" spans="2:9" x14ac:dyDescent="0.25">
      <c r="B811" s="233"/>
      <c r="C811" s="222" t="s">
        <v>156</v>
      </c>
      <c r="D811" s="222"/>
      <c r="E811" s="222"/>
      <c r="F811" s="297">
        <v>23</v>
      </c>
      <c r="G811" s="291">
        <f t="shared" si="16"/>
        <v>5</v>
      </c>
      <c r="H811" s="1550">
        <v>1</v>
      </c>
      <c r="I811" s="1551">
        <v>4</v>
      </c>
    </row>
    <row r="812" spans="2:9" x14ac:dyDescent="0.25">
      <c r="B812" s="233"/>
      <c r="C812" s="223" t="s">
        <v>150</v>
      </c>
      <c r="D812" s="223"/>
      <c r="E812" s="223"/>
      <c r="F812" s="307">
        <v>24</v>
      </c>
      <c r="G812" s="296">
        <f t="shared" si="16"/>
        <v>9</v>
      </c>
      <c r="H812" s="1554">
        <v>9</v>
      </c>
      <c r="I812" s="1555">
        <v>0</v>
      </c>
    </row>
    <row r="813" spans="2:9" x14ac:dyDescent="0.25">
      <c r="B813" s="233"/>
      <c r="C813" s="250" t="s">
        <v>157</v>
      </c>
      <c r="D813" s="250"/>
      <c r="E813" s="250"/>
      <c r="F813" s="319"/>
      <c r="G813" s="320"/>
      <c r="H813" s="321"/>
      <c r="I813" s="322"/>
    </row>
    <row r="814" spans="2:9" ht="15.75" thickBot="1" x14ac:dyDescent="0.3">
      <c r="B814" s="244"/>
      <c r="C814" s="226" t="s">
        <v>148</v>
      </c>
      <c r="D814" s="226"/>
      <c r="E814" s="226"/>
      <c r="F814" s="299">
        <v>25</v>
      </c>
      <c r="G814" s="300">
        <f>H814+I814</f>
        <v>0</v>
      </c>
      <c r="H814" s="1556">
        <v>0</v>
      </c>
      <c r="I814" s="1557">
        <v>0</v>
      </c>
    </row>
    <row r="815" spans="2:9" ht="16.5" thickTop="1" thickBot="1" x14ac:dyDescent="0.3">
      <c r="F815" s="301"/>
      <c r="G815" s="302"/>
      <c r="H815" s="303"/>
      <c r="I815" s="303"/>
    </row>
    <row r="816" spans="2:9" ht="15.75" thickTop="1" x14ac:dyDescent="0.25">
      <c r="B816" s="261" t="s">
        <v>174</v>
      </c>
      <c r="C816" s="262"/>
      <c r="D816" s="263"/>
      <c r="E816" s="246"/>
      <c r="F816" s="323">
        <v>26</v>
      </c>
      <c r="G816" s="324">
        <f>H816+I816</f>
        <v>948</v>
      </c>
      <c r="H816" s="324">
        <f>H818+H823</f>
        <v>811</v>
      </c>
      <c r="I816" s="329">
        <f>I818+I823</f>
        <v>137</v>
      </c>
    </row>
    <row r="817" spans="2:9" x14ac:dyDescent="0.25">
      <c r="B817" s="233"/>
      <c r="C817" s="240" t="s">
        <v>50</v>
      </c>
      <c r="D817" s="225"/>
      <c r="E817" s="225"/>
      <c r="F817" s="286"/>
      <c r="G817" s="287"/>
      <c r="H817" s="288"/>
      <c r="I817" s="289"/>
    </row>
    <row r="818" spans="2:9" x14ac:dyDescent="0.25">
      <c r="B818" s="233"/>
      <c r="C818" s="222" t="s">
        <v>185</v>
      </c>
      <c r="D818" s="222"/>
      <c r="E818" s="222"/>
      <c r="F818" s="297">
        <v>27</v>
      </c>
      <c r="G818" s="291">
        <f>H818+I818</f>
        <v>32</v>
      </c>
      <c r="H818" s="291">
        <f>SUM(H820:H822)</f>
        <v>32</v>
      </c>
      <c r="I818" s="298">
        <f>SUM(I820:I822)</f>
        <v>0</v>
      </c>
    </row>
    <row r="819" spans="2:9" x14ac:dyDescent="0.25">
      <c r="B819" s="233"/>
      <c r="C819" s="225"/>
      <c r="D819" s="240" t="s">
        <v>190</v>
      </c>
      <c r="E819" s="225"/>
      <c r="F819" s="286"/>
      <c r="G819" s="390" t="str">
        <f>IF(SUM(G820:G822)=G818, "", G818-SUM(G820:G822))</f>
        <v/>
      </c>
      <c r="H819" s="390" t="str">
        <f>IF(SUM(H820:H822)=H818, "", H818-SUM(H820:H822))</f>
        <v/>
      </c>
      <c r="I819" s="398" t="str">
        <f>IF(SUM(I820:I822)=I818, "", I818-SUM(I820:I822))</f>
        <v/>
      </c>
    </row>
    <row r="820" spans="2:9" x14ac:dyDescent="0.25">
      <c r="B820" s="233"/>
      <c r="C820" s="225"/>
      <c r="D820" s="222" t="s">
        <v>186</v>
      </c>
      <c r="E820" s="222"/>
      <c r="F820" s="297">
        <v>28</v>
      </c>
      <c r="G820" s="291">
        <f>H820+I820</f>
        <v>4</v>
      </c>
      <c r="H820" s="1550">
        <v>4</v>
      </c>
      <c r="I820" s="1551">
        <v>0</v>
      </c>
    </row>
    <row r="821" spans="2:9" x14ac:dyDescent="0.25">
      <c r="B821" s="233"/>
      <c r="C821" s="225"/>
      <c r="D821" s="223" t="s">
        <v>187</v>
      </c>
      <c r="E821" s="225"/>
      <c r="F821" s="297">
        <v>29</v>
      </c>
      <c r="G821" s="291">
        <f>H821+I821</f>
        <v>0</v>
      </c>
      <c r="H821" s="1550">
        <v>0</v>
      </c>
      <c r="I821" s="1551">
        <v>0</v>
      </c>
    </row>
    <row r="822" spans="2:9" x14ac:dyDescent="0.25">
      <c r="B822" s="233"/>
      <c r="C822" s="225"/>
      <c r="D822" s="223" t="s">
        <v>188</v>
      </c>
      <c r="E822" s="223"/>
      <c r="F822" s="307">
        <v>30</v>
      </c>
      <c r="G822" s="296">
        <f>H822+I822</f>
        <v>28</v>
      </c>
      <c r="H822" s="1554">
        <v>28</v>
      </c>
      <c r="I822" s="1555">
        <v>0</v>
      </c>
    </row>
    <row r="823" spans="2:9" x14ac:dyDescent="0.25">
      <c r="B823" s="233"/>
      <c r="C823" s="222" t="s">
        <v>189</v>
      </c>
      <c r="D823" s="222"/>
      <c r="E823" s="222"/>
      <c r="F823" s="297">
        <v>31</v>
      </c>
      <c r="G823" s="291">
        <f>H823+I823</f>
        <v>916</v>
      </c>
      <c r="H823" s="291">
        <f>SUM(H825:H828)</f>
        <v>779</v>
      </c>
      <c r="I823" s="298">
        <f>SUM(I825:I828)</f>
        <v>137</v>
      </c>
    </row>
    <row r="824" spans="2:9" x14ac:dyDescent="0.25">
      <c r="B824" s="233"/>
      <c r="C824" s="225"/>
      <c r="D824" s="240" t="s">
        <v>191</v>
      </c>
      <c r="E824" s="225"/>
      <c r="F824" s="286"/>
      <c r="G824" s="287" t="str">
        <f>IF(SUM(G825:G828)=G823, "", G823-SUM(G825:G828))</f>
        <v/>
      </c>
      <c r="H824" s="288" t="str">
        <f>IF(SUM(H825:H828)=H823, "", H823-SUM(H825:H828))</f>
        <v/>
      </c>
      <c r="I824" s="289" t="str">
        <f>IF(SUM(I825:I828)=I823, "", I823-SUM(I825:I828))</f>
        <v/>
      </c>
    </row>
    <row r="825" spans="2:9" x14ac:dyDescent="0.25">
      <c r="B825" s="233"/>
      <c r="C825" s="225"/>
      <c r="D825" s="222" t="s">
        <v>186</v>
      </c>
      <c r="E825" s="222"/>
      <c r="F825" s="297">
        <v>32</v>
      </c>
      <c r="G825" s="291">
        <f>H825+I825</f>
        <v>839</v>
      </c>
      <c r="H825" s="1550">
        <v>724</v>
      </c>
      <c r="I825" s="1551">
        <v>115</v>
      </c>
    </row>
    <row r="826" spans="2:9" x14ac:dyDescent="0.25">
      <c r="B826" s="233"/>
      <c r="C826" s="225"/>
      <c r="D826" s="222" t="s">
        <v>187</v>
      </c>
      <c r="E826" s="222"/>
      <c r="F826" s="297">
        <v>33</v>
      </c>
      <c r="G826" s="291">
        <f>H826+I826</f>
        <v>3</v>
      </c>
      <c r="H826" s="1550">
        <v>3</v>
      </c>
      <c r="I826" s="1551">
        <v>0</v>
      </c>
    </row>
    <row r="827" spans="2:9" x14ac:dyDescent="0.25">
      <c r="B827" s="233"/>
      <c r="C827" s="225"/>
      <c r="D827" s="222" t="s">
        <v>188</v>
      </c>
      <c r="E827" s="222"/>
      <c r="F827" s="297">
        <v>34</v>
      </c>
      <c r="G827" s="291">
        <f>H827+I827</f>
        <v>38</v>
      </c>
      <c r="H827" s="1550">
        <v>36</v>
      </c>
      <c r="I827" s="1551">
        <v>2</v>
      </c>
    </row>
    <row r="828" spans="2:9" ht="15.75" thickBot="1" x14ac:dyDescent="0.3">
      <c r="B828" s="234"/>
      <c r="C828" s="235"/>
      <c r="D828" s="259" t="s">
        <v>153</v>
      </c>
      <c r="E828" s="259"/>
      <c r="F828" s="325">
        <v>35</v>
      </c>
      <c r="G828" s="326">
        <f>H828+I828</f>
        <v>36</v>
      </c>
      <c r="H828" s="1567">
        <v>16</v>
      </c>
      <c r="I828" s="1563">
        <v>20</v>
      </c>
    </row>
    <row r="829" spans="2:9" x14ac:dyDescent="0.25">
      <c r="B829" s="260" t="s">
        <v>177</v>
      </c>
      <c r="C829" s="242"/>
      <c r="D829" s="242"/>
      <c r="E829" s="242"/>
      <c r="F829" s="327">
        <v>36</v>
      </c>
      <c r="G829" s="285">
        <f>H829+I829</f>
        <v>909</v>
      </c>
      <c r="H829" s="784">
        <f>H820+H822+H825+H827</f>
        <v>792</v>
      </c>
      <c r="I829" s="328">
        <f>I820+I822+I825+I827</f>
        <v>117</v>
      </c>
    </row>
    <row r="830" spans="2:9" x14ac:dyDescent="0.25">
      <c r="B830" s="233"/>
      <c r="C830" s="240" t="s">
        <v>155</v>
      </c>
      <c r="D830" s="225"/>
      <c r="E830" s="250"/>
      <c r="F830" s="286"/>
      <c r="G830" s="390" t="str">
        <f>IF(SUM(G831:G833)=G829, "", G829-SUM(G831:G833))</f>
        <v/>
      </c>
      <c r="H830" s="390" t="str">
        <f>IF(SUM(H831:H833)=H829, "", H829-SUM(H831:H833))</f>
        <v/>
      </c>
      <c r="I830" s="398" t="str">
        <f>IF(SUM(I831:I833)=I829, "", I829-SUM(I831:I833))</f>
        <v/>
      </c>
    </row>
    <row r="831" spans="2:9" x14ac:dyDescent="0.25">
      <c r="B831" s="233"/>
      <c r="C831" s="222" t="s">
        <v>178</v>
      </c>
      <c r="D831" s="222"/>
      <c r="E831" s="222"/>
      <c r="F831" s="297">
        <v>37</v>
      </c>
      <c r="G831" s="291">
        <f>H831+I831</f>
        <v>727</v>
      </c>
      <c r="H831" s="1550">
        <v>634</v>
      </c>
      <c r="I831" s="1551">
        <v>93</v>
      </c>
    </row>
    <row r="832" spans="2:9" x14ac:dyDescent="0.25">
      <c r="B832" s="233"/>
      <c r="C832" s="223" t="s">
        <v>151</v>
      </c>
      <c r="D832" s="223"/>
      <c r="E832" s="223"/>
      <c r="F832" s="307">
        <v>38</v>
      </c>
      <c r="G832" s="296">
        <f>H832+I832</f>
        <v>173</v>
      </c>
      <c r="H832" s="1554">
        <v>153</v>
      </c>
      <c r="I832" s="1555">
        <v>20</v>
      </c>
    </row>
    <row r="833" spans="1:9" ht="15.75" thickBot="1" x14ac:dyDescent="0.3">
      <c r="B833" s="244"/>
      <c r="C833" s="226" t="s">
        <v>152</v>
      </c>
      <c r="D833" s="226"/>
      <c r="E833" s="226"/>
      <c r="F833" s="299">
        <v>39</v>
      </c>
      <c r="G833" s="300">
        <f>H833+I833</f>
        <v>9</v>
      </c>
      <c r="H833" s="1556">
        <v>5</v>
      </c>
      <c r="I833" s="1557">
        <v>4</v>
      </c>
    </row>
    <row r="834" spans="1:9" ht="15.75" thickTop="1" x14ac:dyDescent="0.25">
      <c r="G834" s="412" t="str">
        <f>IF(SUM(G831:G833)=G829, "", SUM(G831:G833))</f>
        <v/>
      </c>
      <c r="H834" s="412" t="str">
        <f>IF(SUM(H831:H833)=H829, "", SUM(H831:H833))</f>
        <v/>
      </c>
      <c r="I834" s="412" t="str">
        <f>IF(SUM(I831:I833)=I829, "", SUM(I831:I833))</f>
        <v/>
      </c>
    </row>
    <row r="835" spans="1:9" x14ac:dyDescent="0.25">
      <c r="B835" s="221" t="s">
        <v>123</v>
      </c>
      <c r="D835" s="220" t="s">
        <v>180</v>
      </c>
      <c r="H835" t="s">
        <v>182</v>
      </c>
    </row>
    <row r="836" spans="1:9" x14ac:dyDescent="0.25">
      <c r="B836" s="221" t="s">
        <v>181</v>
      </c>
      <c r="D836" s="220" t="s">
        <v>180</v>
      </c>
      <c r="H836" s="256" t="s">
        <v>126</v>
      </c>
    </row>
    <row r="838" spans="1:9" x14ac:dyDescent="0.25">
      <c r="B838" s="221" t="s">
        <v>116</v>
      </c>
      <c r="C838" s="212"/>
      <c r="D838" s="220"/>
      <c r="E838" s="220"/>
      <c r="F838" s="212"/>
      <c r="G838" s="220"/>
      <c r="H838" s="220"/>
      <c r="I838" s="256" t="s">
        <v>175</v>
      </c>
    </row>
    <row r="839" spans="1:9" x14ac:dyDescent="0.25">
      <c r="B839" s="257" t="s">
        <v>129</v>
      </c>
      <c r="C839" s="212"/>
      <c r="D839" s="220"/>
      <c r="E839" s="257"/>
      <c r="F839" s="220"/>
      <c r="G839" s="220"/>
      <c r="H839" s="220"/>
      <c r="I839" s="220"/>
    </row>
    <row r="840" spans="1:9" ht="15.75" x14ac:dyDescent="0.25">
      <c r="B840" s="221" t="s">
        <v>128</v>
      </c>
      <c r="C840" s="212"/>
      <c r="D840" s="220"/>
      <c r="F840" s="220"/>
      <c r="G840" s="220"/>
      <c r="H840" s="1721" t="str">
        <f>$H$80</f>
        <v>Termin: 29 luty 2012 r.</v>
      </c>
      <c r="I840" s="1721"/>
    </row>
    <row r="841" spans="1:9" x14ac:dyDescent="0.25">
      <c r="B841" s="258"/>
      <c r="C841" s="212"/>
      <c r="D841" s="220"/>
      <c r="E841" s="220"/>
      <c r="F841" s="220"/>
      <c r="G841" s="220"/>
      <c r="H841" s="220"/>
      <c r="I841" s="220"/>
    </row>
    <row r="842" spans="1:9" ht="26.25" x14ac:dyDescent="0.4">
      <c r="A842" s="267" t="s">
        <v>203</v>
      </c>
      <c r="B842" s="221" t="s">
        <v>130</v>
      </c>
      <c r="C842" s="212"/>
      <c r="D842" s="220"/>
      <c r="E842" s="220"/>
      <c r="F842" s="220"/>
      <c r="G842" s="220"/>
      <c r="H842" s="220"/>
      <c r="I842" s="220"/>
    </row>
    <row r="843" spans="1:9" x14ac:dyDescent="0.25">
      <c r="B843" s="221" t="s">
        <v>131</v>
      </c>
      <c r="C843" s="212"/>
      <c r="D843" s="220"/>
      <c r="E843" s="220"/>
      <c r="F843" s="220"/>
      <c r="G843" s="220"/>
      <c r="H843" s="220"/>
      <c r="I843" s="220"/>
    </row>
    <row r="844" spans="1:9" ht="15.75" x14ac:dyDescent="0.25">
      <c r="B844" s="1"/>
      <c r="C844" s="255"/>
      <c r="D844" s="12"/>
      <c r="E844" s="12"/>
      <c r="F844" s="12"/>
      <c r="G844" s="12"/>
      <c r="H844" s="12"/>
      <c r="I844" s="12"/>
    </row>
    <row r="845" spans="1:9" ht="15.75" x14ac:dyDescent="0.25">
      <c r="B845" s="1"/>
      <c r="C845" s="255"/>
      <c r="D845" s="12"/>
      <c r="E845" s="1" t="s">
        <v>47</v>
      </c>
      <c r="F845" s="12"/>
      <c r="G845" s="12"/>
      <c r="H845" s="12"/>
      <c r="I845" s="12"/>
    </row>
    <row r="846" spans="1:9" ht="15.75" x14ac:dyDescent="0.25">
      <c r="B846" s="1"/>
      <c r="C846" s="255"/>
      <c r="D846" s="12"/>
      <c r="E846" s="1" t="s">
        <v>176</v>
      </c>
      <c r="F846" s="12"/>
      <c r="G846" s="12"/>
      <c r="H846" s="12"/>
      <c r="I846" s="12"/>
    </row>
    <row r="847" spans="1:9" ht="15.75" x14ac:dyDescent="0.25">
      <c r="B847" s="1"/>
      <c r="C847" s="255"/>
      <c r="D847" s="12"/>
      <c r="E847" s="1162" t="str">
        <f>$E$11</f>
        <v>SAMORZĄDÓW  POWIATOWYCH  I  PODMIOTÓW  NIEPUBLICZNYCH  W 2011 r.</v>
      </c>
      <c r="F847" s="12"/>
      <c r="G847" s="12"/>
      <c r="H847" s="12"/>
      <c r="I847" s="12"/>
    </row>
    <row r="848" spans="1:9" ht="15.75" x14ac:dyDescent="0.25">
      <c r="B848" s="1"/>
      <c r="C848" s="255"/>
      <c r="D848" s="12"/>
      <c r="E848" s="12"/>
      <c r="F848" s="12"/>
      <c r="G848" s="12"/>
      <c r="H848" s="12"/>
      <c r="I848" s="12"/>
    </row>
    <row r="849" spans="2:9" ht="15.75" thickBot="1" x14ac:dyDescent="0.3"/>
    <row r="850" spans="2:9" ht="16.5" thickTop="1" x14ac:dyDescent="0.25">
      <c r="B850" s="214"/>
      <c r="C850" s="227"/>
      <c r="D850" s="227"/>
      <c r="E850" s="227"/>
      <c r="F850" s="252"/>
      <c r="G850" s="229" t="s">
        <v>48</v>
      </c>
      <c r="H850" s="1722" t="s">
        <v>20</v>
      </c>
      <c r="I850" s="1723"/>
    </row>
    <row r="851" spans="2:9" ht="15.75" x14ac:dyDescent="0.25">
      <c r="B851" s="215"/>
      <c r="C851" s="225"/>
      <c r="D851" s="225"/>
      <c r="E851" s="225" t="s">
        <v>21</v>
      </c>
      <c r="F851" s="253"/>
      <c r="G851" s="230" t="s">
        <v>5</v>
      </c>
      <c r="H851" s="216" t="s">
        <v>22</v>
      </c>
      <c r="I851" s="217" t="s">
        <v>23</v>
      </c>
    </row>
    <row r="852" spans="2:9" ht="15.75" x14ac:dyDescent="0.25">
      <c r="B852" s="194"/>
      <c r="C852" s="225"/>
      <c r="D852" s="225"/>
      <c r="E852" s="225"/>
      <c r="F852" s="253"/>
      <c r="G852" s="218" t="s">
        <v>24</v>
      </c>
      <c r="H852" s="218" t="s">
        <v>25</v>
      </c>
      <c r="I852" s="219" t="s">
        <v>26</v>
      </c>
    </row>
    <row r="853" spans="2:9" ht="15.75" thickBot="1" x14ac:dyDescent="0.3">
      <c r="B853" s="61"/>
      <c r="C853" s="228"/>
      <c r="D853" s="228"/>
      <c r="E853" s="211">
        <v>0</v>
      </c>
      <c r="F853" s="254"/>
      <c r="G853" s="2">
        <v>1</v>
      </c>
      <c r="H853" s="2">
        <v>2</v>
      </c>
      <c r="I853" s="7">
        <v>3</v>
      </c>
    </row>
    <row r="854" spans="2:9" ht="16.5" thickTop="1" thickBot="1" x14ac:dyDescent="0.3">
      <c r="B854" s="231"/>
      <c r="G854" s="793"/>
      <c r="H854" s="793"/>
      <c r="I854" s="793"/>
    </row>
    <row r="855" spans="2:9" ht="16.5" thickTop="1" thickBot="1" x14ac:dyDescent="0.3">
      <c r="B855" s="1168" t="str">
        <f>$B$19</f>
        <v>Wg stanu na dzień 31.XII.2010 r.</v>
      </c>
      <c r="C855" s="232"/>
      <c r="D855" s="232"/>
      <c r="E855" s="232"/>
      <c r="F855" s="282" t="s">
        <v>165</v>
      </c>
      <c r="G855" s="283">
        <f>H855+I855</f>
        <v>3802</v>
      </c>
      <c r="H855" s="1548">
        <v>3261</v>
      </c>
      <c r="I855" s="1549">
        <v>541</v>
      </c>
    </row>
    <row r="856" spans="2:9" x14ac:dyDescent="0.25">
      <c r="B856" s="1169" t="str">
        <f>$B$20</f>
        <v>Przyjętych w ciągu 2011 r.</v>
      </c>
      <c r="C856" s="242"/>
      <c r="D856" s="242"/>
      <c r="E856" s="242"/>
      <c r="F856" s="284" t="s">
        <v>166</v>
      </c>
      <c r="G856" s="285">
        <f>H856+I856</f>
        <v>467</v>
      </c>
      <c r="H856" s="784">
        <f>H858+H859</f>
        <v>402</v>
      </c>
      <c r="I856" s="785">
        <f>I858+I859</f>
        <v>65</v>
      </c>
    </row>
    <row r="857" spans="2:9" x14ac:dyDescent="0.25">
      <c r="B857" s="233"/>
      <c r="C857" s="241" t="s">
        <v>49</v>
      </c>
      <c r="D857" s="225"/>
      <c r="E857" s="225"/>
      <c r="F857" s="286"/>
      <c r="G857" s="287"/>
      <c r="H857" s="389" t="str">
        <f>IF(SUM(H858:H859)=H856, "", "?")</f>
        <v/>
      </c>
      <c r="I857" s="388" t="str">
        <f>IF(SUM(I858:I859)=I856, "", "?")</f>
        <v/>
      </c>
    </row>
    <row r="858" spans="2:9" x14ac:dyDescent="0.25">
      <c r="B858" s="233"/>
      <c r="C858" s="237" t="s">
        <v>158</v>
      </c>
      <c r="D858" s="222"/>
      <c r="E858" s="222"/>
      <c r="F858" s="290" t="s">
        <v>167</v>
      </c>
      <c r="G858" s="291">
        <f>H858+I858</f>
        <v>14</v>
      </c>
      <c r="H858" s="1550">
        <v>14</v>
      </c>
      <c r="I858" s="1551">
        <v>0</v>
      </c>
    </row>
    <row r="859" spans="2:9" ht="15.75" thickBot="1" x14ac:dyDescent="0.3">
      <c r="B859" s="234"/>
      <c r="C859" s="238" t="s">
        <v>159</v>
      </c>
      <c r="D859" s="235"/>
      <c r="E859" s="235"/>
      <c r="F859" s="292" t="s">
        <v>168</v>
      </c>
      <c r="G859" s="293">
        <f>H859+I859</f>
        <v>453</v>
      </c>
      <c r="H859" s="1552">
        <v>388</v>
      </c>
      <c r="I859" s="1553">
        <v>65</v>
      </c>
    </row>
    <row r="860" spans="2:9" x14ac:dyDescent="0.25">
      <c r="B860" s="1170" t="str">
        <f>$B$24</f>
        <v>Odeszło w ciągu 2011 r. (w.06 do w.09)</v>
      </c>
      <c r="C860" s="242"/>
      <c r="D860" s="242"/>
      <c r="E860" s="242"/>
      <c r="F860" s="284" t="s">
        <v>169</v>
      </c>
      <c r="G860" s="285">
        <f>H860+I860</f>
        <v>418</v>
      </c>
      <c r="H860" s="285">
        <f>SUM(H862:H865)</f>
        <v>355</v>
      </c>
      <c r="I860" s="294">
        <f>SUM(I862:I865)</f>
        <v>63</v>
      </c>
    </row>
    <row r="861" spans="2:9" x14ac:dyDescent="0.25">
      <c r="B861" s="251"/>
      <c r="C861" s="240" t="s">
        <v>49</v>
      </c>
      <c r="D861" s="225"/>
      <c r="E861" s="225"/>
      <c r="F861" s="286"/>
      <c r="G861" s="287"/>
      <c r="H861" s="288"/>
      <c r="I861" s="289"/>
    </row>
    <row r="862" spans="2:9" x14ac:dyDescent="0.25">
      <c r="B862" s="233"/>
      <c r="C862" s="237" t="s">
        <v>160</v>
      </c>
      <c r="D862" s="222"/>
      <c r="E862" s="222"/>
      <c r="F862" s="290" t="s">
        <v>170</v>
      </c>
      <c r="G862" s="291">
        <f>H862+I862</f>
        <v>39</v>
      </c>
      <c r="H862" s="1550">
        <v>34</v>
      </c>
      <c r="I862" s="1551">
        <v>5</v>
      </c>
    </row>
    <row r="863" spans="2:9" x14ac:dyDescent="0.25">
      <c r="B863" s="233"/>
      <c r="C863" s="243" t="s">
        <v>161</v>
      </c>
      <c r="D863" s="223"/>
      <c r="E863" s="223"/>
      <c r="F863" s="295" t="s">
        <v>171</v>
      </c>
      <c r="G863" s="296">
        <f>H863+I863</f>
        <v>30</v>
      </c>
      <c r="H863" s="1554">
        <v>20</v>
      </c>
      <c r="I863" s="1555">
        <v>10</v>
      </c>
    </row>
    <row r="864" spans="2:9" x14ac:dyDescent="0.25">
      <c r="B864" s="233"/>
      <c r="C864" s="243" t="s">
        <v>162</v>
      </c>
      <c r="D864" s="223"/>
      <c r="E864" s="223"/>
      <c r="F864" s="295" t="s">
        <v>172</v>
      </c>
      <c r="G864" s="296">
        <f>H864+I864</f>
        <v>11</v>
      </c>
      <c r="H864" s="1554">
        <v>11</v>
      </c>
      <c r="I864" s="1555">
        <v>0</v>
      </c>
    </row>
    <row r="865" spans="2:9" ht="15.75" thickBot="1" x14ac:dyDescent="0.3">
      <c r="B865" s="234"/>
      <c r="C865" s="238" t="s">
        <v>163</v>
      </c>
      <c r="D865" s="235"/>
      <c r="E865" s="235"/>
      <c r="F865" s="292" t="s">
        <v>173</v>
      </c>
      <c r="G865" s="293">
        <f>H865+I865</f>
        <v>338</v>
      </c>
      <c r="H865" s="1552">
        <v>290</v>
      </c>
      <c r="I865" s="1553">
        <v>48</v>
      </c>
    </row>
    <row r="866" spans="2:9" x14ac:dyDescent="0.25">
      <c r="B866" s="1171" t="str">
        <f>$B$30</f>
        <v>Wg stanu na dzień 31.XII.2011 r.</v>
      </c>
      <c r="C866" s="225"/>
      <c r="D866" s="225"/>
      <c r="E866" s="225"/>
      <c r="F866" s="286"/>
      <c r="G866" s="922" t="str">
        <f>IF('Tab.2. l.d.m.m._Polska'!G417=G867,"","t2w1k3"&amp;"="&amp;'Tab.2. l.d.m.m._Polska'!G417)</f>
        <v/>
      </c>
      <c r="H866" s="922" t="str">
        <f>IF('Tab.2. l.d.m.m._Polska'!K417=H867,"","t2w1k6"&amp;"="&amp;'Tab.2. l.d.m.m._Polska'!K417)</f>
        <v/>
      </c>
      <c r="I866" s="923" t="str">
        <f>IF('Tab.2. l.d.m.m._Polska'!O417=I867,"","t2w1k9"&amp;"="&amp;'Tab.2. l.d.m.m._Polska'!O417)</f>
        <v/>
      </c>
    </row>
    <row r="867" spans="2:9" x14ac:dyDescent="0.25">
      <c r="B867" s="245" t="s">
        <v>194</v>
      </c>
      <c r="C867" s="222"/>
      <c r="D867" s="222"/>
      <c r="E867" s="222"/>
      <c r="F867" s="297">
        <v>10</v>
      </c>
      <c r="G867" s="291">
        <f>H867+I867</f>
        <v>3851</v>
      </c>
      <c r="H867" s="291">
        <f>IF(H855+H856-H860=SUM(H872:H876), H855+H856-H860, (H855+H856-H860)-SUM(H872:H876))</f>
        <v>3308</v>
      </c>
      <c r="I867" s="298">
        <f>IF(I855+I856-I860=SUM(I872:I876), I855+I856-I860, (I855+I856-I860)-SUM(I872:I876))</f>
        <v>543</v>
      </c>
    </row>
    <row r="868" spans="2:9" x14ac:dyDescent="0.25">
      <c r="B868" s="233"/>
      <c r="C868" s="240" t="s">
        <v>50</v>
      </c>
      <c r="D868" s="225"/>
      <c r="E868" s="225"/>
      <c r="F868" s="286"/>
      <c r="G868" s="287"/>
      <c r="H868" s="288"/>
      <c r="I868" s="289"/>
    </row>
    <row r="869" spans="2:9" ht="15.75" thickBot="1" x14ac:dyDescent="0.3">
      <c r="B869" s="244"/>
      <c r="C869" s="239" t="s">
        <v>164</v>
      </c>
      <c r="D869" s="226"/>
      <c r="E869" s="226"/>
      <c r="F869" s="299">
        <v>11</v>
      </c>
      <c r="G869" s="300">
        <f>H869+I869</f>
        <v>377</v>
      </c>
      <c r="H869" s="1556">
        <v>320</v>
      </c>
      <c r="I869" s="1557">
        <v>57</v>
      </c>
    </row>
    <row r="870" spans="2:9" ht="16.5" thickTop="1" thickBot="1" x14ac:dyDescent="0.3">
      <c r="B870" s="236"/>
      <c r="F870" s="301"/>
      <c r="G870" s="405" t="str">
        <f>IF(SUM(G872:G876)=G867,"","Uwaga! "&amp;SUM(G872:G876))</f>
        <v/>
      </c>
      <c r="H870" s="405" t="str">
        <f>IF(SUM(H872:H876)=H867,"","Uwaga! "&amp;SUM(H872:H876))</f>
        <v/>
      </c>
      <c r="I870" s="405" t="str">
        <f>IF(SUM(I872:I876)=I867,"","Uwaga! "&amp;SUM(I872:I876))</f>
        <v/>
      </c>
    </row>
    <row r="871" spans="2:9" ht="15.75" thickTop="1" x14ac:dyDescent="0.25">
      <c r="B871" s="213" t="s">
        <v>183</v>
      </c>
      <c r="C871" s="246"/>
      <c r="D871" s="246"/>
      <c r="E871" s="246"/>
      <c r="F871" s="304"/>
      <c r="G871" s="305" t="s">
        <v>142</v>
      </c>
      <c r="H871" s="305" t="s">
        <v>142</v>
      </c>
      <c r="I871" s="306" t="s">
        <v>142</v>
      </c>
    </row>
    <row r="872" spans="2:9" x14ac:dyDescent="0.25">
      <c r="B872" s="247" t="s">
        <v>52</v>
      </c>
      <c r="C872" s="223"/>
      <c r="D872" s="223"/>
      <c r="E872" s="223"/>
      <c r="F872" s="307">
        <v>12</v>
      </c>
      <c r="G872" s="296">
        <f>H872+I872</f>
        <v>84</v>
      </c>
      <c r="H872" s="1554">
        <v>25</v>
      </c>
      <c r="I872" s="1555">
        <v>59</v>
      </c>
    </row>
    <row r="873" spans="2:9" x14ac:dyDescent="0.25">
      <c r="B873" s="247" t="s">
        <v>53</v>
      </c>
      <c r="C873" s="223"/>
      <c r="D873" s="223"/>
      <c r="E873" s="223"/>
      <c r="F873" s="307">
        <v>13</v>
      </c>
      <c r="G873" s="296">
        <f>H873+I873</f>
        <v>662</v>
      </c>
      <c r="H873" s="1554">
        <v>472</v>
      </c>
      <c r="I873" s="1555">
        <v>190</v>
      </c>
    </row>
    <row r="874" spans="2:9" x14ac:dyDescent="0.25">
      <c r="B874" s="247" t="s">
        <v>54</v>
      </c>
      <c r="C874" s="223"/>
      <c r="D874" s="223"/>
      <c r="E874" s="223"/>
      <c r="F874" s="307">
        <v>14</v>
      </c>
      <c r="G874" s="296">
        <f>H874+I874</f>
        <v>1426</v>
      </c>
      <c r="H874" s="1554">
        <v>1304</v>
      </c>
      <c r="I874" s="1555">
        <v>122</v>
      </c>
    </row>
    <row r="875" spans="2:9" x14ac:dyDescent="0.25">
      <c r="B875" s="247" t="s">
        <v>55</v>
      </c>
      <c r="C875" s="223"/>
      <c r="D875" s="223"/>
      <c r="E875" s="223"/>
      <c r="F875" s="307">
        <v>15</v>
      </c>
      <c r="G875" s="296">
        <f>H875+I875</f>
        <v>872</v>
      </c>
      <c r="H875" s="1554">
        <v>797</v>
      </c>
      <c r="I875" s="1555">
        <v>75</v>
      </c>
    </row>
    <row r="876" spans="2:9" ht="15.75" thickBot="1" x14ac:dyDescent="0.3">
      <c r="B876" s="248" t="s">
        <v>56</v>
      </c>
      <c r="C876" s="224"/>
      <c r="D876" s="224"/>
      <c r="E876" s="224"/>
      <c r="F876" s="308">
        <v>16</v>
      </c>
      <c r="G876" s="309">
        <f>H876+I876</f>
        <v>807</v>
      </c>
      <c r="H876" s="1558">
        <v>710</v>
      </c>
      <c r="I876" s="1559">
        <v>97</v>
      </c>
    </row>
    <row r="877" spans="2:9" ht="16.5" thickTop="1" thickBot="1" x14ac:dyDescent="0.3">
      <c r="B877" s="236"/>
      <c r="C877" s="225"/>
      <c r="D877" s="225"/>
      <c r="E877" s="225"/>
      <c r="F877" s="310"/>
      <c r="G877" s="311"/>
      <c r="H877" s="312"/>
      <c r="I877" s="312"/>
    </row>
    <row r="878" spans="2:9" ht="15.75" thickTop="1" x14ac:dyDescent="0.25">
      <c r="B878" s="249" t="s">
        <v>184</v>
      </c>
      <c r="C878" s="227"/>
      <c r="D878" s="227"/>
      <c r="E878" s="227"/>
      <c r="F878" s="313"/>
      <c r="G878" s="314"/>
      <c r="H878" s="315"/>
      <c r="I878" s="316"/>
    </row>
    <row r="879" spans="2:9" x14ac:dyDescent="0.25">
      <c r="B879" s="245" t="s">
        <v>179</v>
      </c>
      <c r="C879" s="222"/>
      <c r="D879" s="222"/>
      <c r="E879" s="222"/>
      <c r="F879" s="297">
        <v>17</v>
      </c>
      <c r="G879" s="291">
        <f>H879+I879</f>
        <v>2219</v>
      </c>
      <c r="H879" s="291">
        <f>H881+H887</f>
        <v>1867</v>
      </c>
      <c r="I879" s="298">
        <f>I881+I887</f>
        <v>352</v>
      </c>
    </row>
    <row r="880" spans="2:9" x14ac:dyDescent="0.25">
      <c r="B880" s="233"/>
      <c r="C880" s="240" t="s">
        <v>49</v>
      </c>
      <c r="D880" s="225"/>
      <c r="E880" s="225"/>
      <c r="F880" s="286"/>
      <c r="G880" s="287"/>
      <c r="H880" s="288"/>
      <c r="I880" s="289"/>
    </row>
    <row r="881" spans="2:9" x14ac:dyDescent="0.25">
      <c r="B881" s="233"/>
      <c r="C881" s="222" t="s">
        <v>154</v>
      </c>
      <c r="D881" s="222"/>
      <c r="E881" s="222"/>
      <c r="F881" s="297">
        <v>18</v>
      </c>
      <c r="G881" s="291">
        <f>H881+I881</f>
        <v>2211</v>
      </c>
      <c r="H881" s="317">
        <f>SUM(H883:H886)</f>
        <v>1866</v>
      </c>
      <c r="I881" s="318">
        <f>SUM(I883:I886)</f>
        <v>345</v>
      </c>
    </row>
    <row r="882" spans="2:9" x14ac:dyDescent="0.25">
      <c r="B882" s="233"/>
      <c r="C882" s="225"/>
      <c r="D882" s="240" t="s">
        <v>155</v>
      </c>
      <c r="E882" s="225"/>
      <c r="F882" s="286"/>
      <c r="G882" s="287"/>
      <c r="H882" s="288"/>
      <c r="I882" s="289"/>
    </row>
    <row r="883" spans="2:9" x14ac:dyDescent="0.25">
      <c r="B883" s="233"/>
      <c r="C883" s="225"/>
      <c r="D883" s="222" t="s">
        <v>178</v>
      </c>
      <c r="E883" s="222"/>
      <c r="F883" s="297">
        <v>19</v>
      </c>
      <c r="G883" s="291">
        <f t="shared" ref="G883:G888" si="17">H883+I883</f>
        <v>2026</v>
      </c>
      <c r="H883" s="1550">
        <v>1690</v>
      </c>
      <c r="I883" s="1551">
        <v>336</v>
      </c>
    </row>
    <row r="884" spans="2:9" x14ac:dyDescent="0.25">
      <c r="B884" s="233"/>
      <c r="C884" s="225"/>
      <c r="D884" s="223" t="s">
        <v>151</v>
      </c>
      <c r="E884" s="223"/>
      <c r="F884" s="307">
        <v>20</v>
      </c>
      <c r="G884" s="296">
        <f t="shared" si="17"/>
        <v>178</v>
      </c>
      <c r="H884" s="1554">
        <v>172</v>
      </c>
      <c r="I884" s="1555">
        <v>6</v>
      </c>
    </row>
    <row r="885" spans="2:9" x14ac:dyDescent="0.25">
      <c r="B885" s="233"/>
      <c r="C885" s="225"/>
      <c r="D885" s="223" t="s">
        <v>149</v>
      </c>
      <c r="E885" s="223"/>
      <c r="F885" s="307">
        <v>21</v>
      </c>
      <c r="G885" s="296">
        <f t="shared" si="17"/>
        <v>4</v>
      </c>
      <c r="H885" s="1554">
        <v>2</v>
      </c>
      <c r="I885" s="1555">
        <v>2</v>
      </c>
    </row>
    <row r="886" spans="2:9" x14ac:dyDescent="0.25">
      <c r="B886" s="233"/>
      <c r="C886" s="225"/>
      <c r="D886" s="222" t="s">
        <v>152</v>
      </c>
      <c r="E886" s="222"/>
      <c r="F886" s="297">
        <v>22</v>
      </c>
      <c r="G886" s="291">
        <f t="shared" si="17"/>
        <v>3</v>
      </c>
      <c r="H886" s="1550">
        <v>2</v>
      </c>
      <c r="I886" s="1551">
        <v>1</v>
      </c>
    </row>
    <row r="887" spans="2:9" x14ac:dyDescent="0.25">
      <c r="B887" s="233"/>
      <c r="C887" s="222" t="s">
        <v>156</v>
      </c>
      <c r="D887" s="222"/>
      <c r="E887" s="222"/>
      <c r="F887" s="297">
        <v>23</v>
      </c>
      <c r="G887" s="291">
        <f t="shared" si="17"/>
        <v>8</v>
      </c>
      <c r="H887" s="1550">
        <v>1</v>
      </c>
      <c r="I887" s="1551">
        <v>7</v>
      </c>
    </row>
    <row r="888" spans="2:9" x14ac:dyDescent="0.25">
      <c r="B888" s="233"/>
      <c r="C888" s="223" t="s">
        <v>150</v>
      </c>
      <c r="D888" s="223"/>
      <c r="E888" s="223"/>
      <c r="F888" s="307">
        <v>24</v>
      </c>
      <c r="G888" s="296">
        <f t="shared" si="17"/>
        <v>49</v>
      </c>
      <c r="H888" s="1554">
        <v>49</v>
      </c>
      <c r="I888" s="1555">
        <v>0</v>
      </c>
    </row>
    <row r="889" spans="2:9" x14ac:dyDescent="0.25">
      <c r="B889" s="233"/>
      <c r="C889" s="250" t="s">
        <v>157</v>
      </c>
      <c r="D889" s="250"/>
      <c r="E889" s="250"/>
      <c r="F889" s="319"/>
      <c r="G889" s="320"/>
      <c r="H889" s="321"/>
      <c r="I889" s="322"/>
    </row>
    <row r="890" spans="2:9" ht="15.75" thickBot="1" x14ac:dyDescent="0.3">
      <c r="B890" s="244"/>
      <c r="C890" s="226" t="s">
        <v>148</v>
      </c>
      <c r="D890" s="226"/>
      <c r="E890" s="226"/>
      <c r="F890" s="299">
        <v>25</v>
      </c>
      <c r="G890" s="300">
        <f>H890+I890</f>
        <v>0</v>
      </c>
      <c r="H890" s="1556">
        <v>0</v>
      </c>
      <c r="I890" s="1557">
        <v>0</v>
      </c>
    </row>
    <row r="891" spans="2:9" ht="16.5" thickTop="1" thickBot="1" x14ac:dyDescent="0.3">
      <c r="F891" s="301"/>
      <c r="G891" s="302"/>
      <c r="H891" s="303"/>
      <c r="I891" s="303"/>
    </row>
    <row r="892" spans="2:9" ht="15.75" thickTop="1" x14ac:dyDescent="0.25">
      <c r="B892" s="261" t="s">
        <v>174</v>
      </c>
      <c r="C892" s="262"/>
      <c r="D892" s="263"/>
      <c r="E892" s="246"/>
      <c r="F892" s="323">
        <v>26</v>
      </c>
      <c r="G892" s="324">
        <f>H892+I892</f>
        <v>1632</v>
      </c>
      <c r="H892" s="324">
        <f>H894+H899</f>
        <v>1441</v>
      </c>
      <c r="I892" s="329">
        <f>I894+I899</f>
        <v>191</v>
      </c>
    </row>
    <row r="893" spans="2:9" x14ac:dyDescent="0.25">
      <c r="B893" s="233"/>
      <c r="C893" s="240" t="s">
        <v>50</v>
      </c>
      <c r="D893" s="225"/>
      <c r="E893" s="225"/>
      <c r="F893" s="286"/>
      <c r="G893" s="287"/>
      <c r="H893" s="288"/>
      <c r="I893" s="289"/>
    </row>
    <row r="894" spans="2:9" x14ac:dyDescent="0.25">
      <c r="B894" s="233"/>
      <c r="C894" s="222" t="s">
        <v>185</v>
      </c>
      <c r="D894" s="222"/>
      <c r="E894" s="222"/>
      <c r="F894" s="297">
        <v>27</v>
      </c>
      <c r="G894" s="291">
        <f>H894+I894</f>
        <v>51</v>
      </c>
      <c r="H894" s="291">
        <f>SUM(H896:H898)</f>
        <v>43</v>
      </c>
      <c r="I894" s="298">
        <f>SUM(I896:I898)</f>
        <v>8</v>
      </c>
    </row>
    <row r="895" spans="2:9" x14ac:dyDescent="0.25">
      <c r="B895" s="233"/>
      <c r="C895" s="225"/>
      <c r="D895" s="240" t="s">
        <v>190</v>
      </c>
      <c r="E895" s="225"/>
      <c r="F895" s="286"/>
      <c r="G895" s="390" t="str">
        <f>IF(SUM(G896:G898)=G894, "", G894-SUM(G896:G898))</f>
        <v/>
      </c>
      <c r="H895" s="390" t="str">
        <f>IF(SUM(H896:H898)=H894, "", H894-SUM(H896:H898))</f>
        <v/>
      </c>
      <c r="I895" s="398" t="str">
        <f>IF(SUM(I896:I898)=I894, "", I894-SUM(I896:I898))</f>
        <v/>
      </c>
    </row>
    <row r="896" spans="2:9" x14ac:dyDescent="0.25">
      <c r="B896" s="233"/>
      <c r="C896" s="225"/>
      <c r="D896" s="222" t="s">
        <v>186</v>
      </c>
      <c r="E896" s="222"/>
      <c r="F896" s="297">
        <v>28</v>
      </c>
      <c r="G896" s="291">
        <f>H896+I896</f>
        <v>12</v>
      </c>
      <c r="H896" s="1550">
        <v>10</v>
      </c>
      <c r="I896" s="1551">
        <v>2</v>
      </c>
    </row>
    <row r="897" spans="2:9" x14ac:dyDescent="0.25">
      <c r="B897" s="233"/>
      <c r="C897" s="225"/>
      <c r="D897" s="223" t="s">
        <v>187</v>
      </c>
      <c r="E897" s="225"/>
      <c r="F897" s="297">
        <v>29</v>
      </c>
      <c r="G897" s="291">
        <f>H897+I897</f>
        <v>3</v>
      </c>
      <c r="H897" s="1550">
        <v>0</v>
      </c>
      <c r="I897" s="1551">
        <v>3</v>
      </c>
    </row>
    <row r="898" spans="2:9" x14ac:dyDescent="0.25">
      <c r="B898" s="233"/>
      <c r="C898" s="225"/>
      <c r="D898" s="223" t="s">
        <v>188</v>
      </c>
      <c r="E898" s="223"/>
      <c r="F898" s="307">
        <v>30</v>
      </c>
      <c r="G898" s="296">
        <f>H898+I898</f>
        <v>36</v>
      </c>
      <c r="H898" s="1554">
        <v>33</v>
      </c>
      <c r="I898" s="1555">
        <v>3</v>
      </c>
    </row>
    <row r="899" spans="2:9" x14ac:dyDescent="0.25">
      <c r="B899" s="233"/>
      <c r="C899" s="222" t="s">
        <v>189</v>
      </c>
      <c r="D899" s="222"/>
      <c r="E899" s="222"/>
      <c r="F899" s="297">
        <v>31</v>
      </c>
      <c r="G899" s="291">
        <f>H899+I899</f>
        <v>1581</v>
      </c>
      <c r="H899" s="291">
        <f>SUM(H901:H904)</f>
        <v>1398</v>
      </c>
      <c r="I899" s="298">
        <f>SUM(I901:I904)</f>
        <v>183</v>
      </c>
    </row>
    <row r="900" spans="2:9" x14ac:dyDescent="0.25">
      <c r="B900" s="233"/>
      <c r="C900" s="225"/>
      <c r="D900" s="240" t="s">
        <v>191</v>
      </c>
      <c r="E900" s="225"/>
      <c r="F900" s="286"/>
      <c r="G900" s="287" t="str">
        <f>IF(SUM(G901:G904)=G899, "", G899-SUM(G901:G904))</f>
        <v/>
      </c>
      <c r="H900" s="288" t="str">
        <f>IF(SUM(H901:H904)=H899, "", H899-SUM(H901:H904))</f>
        <v/>
      </c>
      <c r="I900" s="289" t="str">
        <f>IF(SUM(I901:I904)=I899, "", I899-SUM(I901:I904))</f>
        <v/>
      </c>
    </row>
    <row r="901" spans="2:9" x14ac:dyDescent="0.25">
      <c r="B901" s="233"/>
      <c r="C901" s="225"/>
      <c r="D901" s="222" t="s">
        <v>186</v>
      </c>
      <c r="E901" s="222"/>
      <c r="F901" s="297">
        <v>32</v>
      </c>
      <c r="G901" s="291">
        <f>H901+I901</f>
        <v>1453</v>
      </c>
      <c r="H901" s="1550">
        <v>1296</v>
      </c>
      <c r="I901" s="1551">
        <v>157</v>
      </c>
    </row>
    <row r="902" spans="2:9" x14ac:dyDescent="0.25">
      <c r="B902" s="233"/>
      <c r="C902" s="225"/>
      <c r="D902" s="222" t="s">
        <v>187</v>
      </c>
      <c r="E902" s="222"/>
      <c r="F902" s="297">
        <v>33</v>
      </c>
      <c r="G902" s="291">
        <f>H902+I902</f>
        <v>2</v>
      </c>
      <c r="H902" s="1550">
        <v>0</v>
      </c>
      <c r="I902" s="1551">
        <v>2</v>
      </c>
    </row>
    <row r="903" spans="2:9" x14ac:dyDescent="0.25">
      <c r="B903" s="233"/>
      <c r="C903" s="225"/>
      <c r="D903" s="222" t="s">
        <v>188</v>
      </c>
      <c r="E903" s="222"/>
      <c r="F903" s="297">
        <v>34</v>
      </c>
      <c r="G903" s="291">
        <f>H903+I903</f>
        <v>89</v>
      </c>
      <c r="H903" s="1550">
        <v>83</v>
      </c>
      <c r="I903" s="1551">
        <v>6</v>
      </c>
    </row>
    <row r="904" spans="2:9" ht="15.75" thickBot="1" x14ac:dyDescent="0.3">
      <c r="B904" s="234"/>
      <c r="C904" s="235"/>
      <c r="D904" s="259" t="s">
        <v>153</v>
      </c>
      <c r="E904" s="259"/>
      <c r="F904" s="325">
        <v>35</v>
      </c>
      <c r="G904" s="326">
        <f>H904+I904</f>
        <v>37</v>
      </c>
      <c r="H904" s="1567">
        <v>19</v>
      </c>
      <c r="I904" s="1563">
        <v>18</v>
      </c>
    </row>
    <row r="905" spans="2:9" x14ac:dyDescent="0.25">
      <c r="B905" s="260" t="s">
        <v>177</v>
      </c>
      <c r="C905" s="242"/>
      <c r="D905" s="242"/>
      <c r="E905" s="242"/>
      <c r="F905" s="327">
        <v>36</v>
      </c>
      <c r="G905" s="285">
        <f>H905+I905</f>
        <v>1590</v>
      </c>
      <c r="H905" s="784">
        <f>H896+H898+H901+H903</f>
        <v>1422</v>
      </c>
      <c r="I905" s="328">
        <f>I896+I898+I901+I903</f>
        <v>168</v>
      </c>
    </row>
    <row r="906" spans="2:9" x14ac:dyDescent="0.25">
      <c r="B906" s="233"/>
      <c r="C906" s="240" t="s">
        <v>155</v>
      </c>
      <c r="D906" s="225"/>
      <c r="E906" s="250"/>
      <c r="F906" s="286"/>
      <c r="G906" s="390" t="str">
        <f>IF(SUM(G907:G909)=G905, "", G905-SUM(G907:G909))</f>
        <v/>
      </c>
      <c r="H906" s="390" t="str">
        <f>IF(SUM(H907:H909)=H905, "", H905-SUM(H907:H909))</f>
        <v/>
      </c>
      <c r="I906" s="398" t="str">
        <f>IF(SUM(I907:I909)=I905, "", I905-SUM(I907:I909))</f>
        <v/>
      </c>
    </row>
    <row r="907" spans="2:9" x14ac:dyDescent="0.25">
      <c r="B907" s="233"/>
      <c r="C907" s="222" t="s">
        <v>178</v>
      </c>
      <c r="D907" s="222"/>
      <c r="E907" s="222"/>
      <c r="F907" s="297">
        <v>37</v>
      </c>
      <c r="G907" s="291">
        <f>H907+I907</f>
        <v>1287</v>
      </c>
      <c r="H907" s="1550">
        <v>1162</v>
      </c>
      <c r="I907" s="1551">
        <v>125</v>
      </c>
    </row>
    <row r="908" spans="2:9" x14ac:dyDescent="0.25">
      <c r="B908" s="233"/>
      <c r="C908" s="223" t="s">
        <v>151</v>
      </c>
      <c r="D908" s="223"/>
      <c r="E908" s="223"/>
      <c r="F908" s="307">
        <v>38</v>
      </c>
      <c r="G908" s="296">
        <f>H908+I908</f>
        <v>271</v>
      </c>
      <c r="H908" s="1554">
        <v>251</v>
      </c>
      <c r="I908" s="1555">
        <v>20</v>
      </c>
    </row>
    <row r="909" spans="2:9" ht="15.75" thickBot="1" x14ac:dyDescent="0.3">
      <c r="B909" s="244"/>
      <c r="C909" s="226" t="s">
        <v>152</v>
      </c>
      <c r="D909" s="226"/>
      <c r="E909" s="226"/>
      <c r="F909" s="299">
        <v>39</v>
      </c>
      <c r="G909" s="300">
        <f>H909+I909</f>
        <v>32</v>
      </c>
      <c r="H909" s="1556">
        <v>9</v>
      </c>
      <c r="I909" s="1557">
        <v>23</v>
      </c>
    </row>
    <row r="910" spans="2:9" ht="15.75" thickTop="1" x14ac:dyDescent="0.25">
      <c r="G910" s="412" t="str">
        <f>IF(SUM(G907:G909)=G905, "", SUM(G907:G909))</f>
        <v/>
      </c>
      <c r="H910" s="412" t="str">
        <f>IF(SUM(H907:H909)=H905, "", SUM(H907:H909))</f>
        <v/>
      </c>
      <c r="I910" s="412" t="str">
        <f>IF(SUM(I907:I909)=I905, "", SUM(I907:I909))</f>
        <v/>
      </c>
    </row>
    <row r="911" spans="2:9" x14ac:dyDescent="0.25">
      <c r="B911" s="221" t="s">
        <v>123</v>
      </c>
      <c r="D911" s="220" t="s">
        <v>180</v>
      </c>
      <c r="H911" t="s">
        <v>182</v>
      </c>
    </row>
    <row r="912" spans="2:9" x14ac:dyDescent="0.25">
      <c r="B912" s="221" t="s">
        <v>181</v>
      </c>
      <c r="D912" s="220" t="s">
        <v>180</v>
      </c>
      <c r="H912" s="256" t="s">
        <v>126</v>
      </c>
    </row>
    <row r="914" spans="1:9" x14ac:dyDescent="0.25">
      <c r="B914" s="221" t="s">
        <v>116</v>
      </c>
      <c r="C914" s="212"/>
      <c r="D914" s="220"/>
      <c r="E914" s="220"/>
      <c r="F914" s="212"/>
      <c r="G914" s="220"/>
      <c r="H914" s="220"/>
      <c r="I914" s="256" t="s">
        <v>175</v>
      </c>
    </row>
    <row r="915" spans="1:9" x14ac:dyDescent="0.25">
      <c r="B915" s="257" t="s">
        <v>129</v>
      </c>
      <c r="C915" s="212"/>
      <c r="D915" s="220"/>
      <c r="E915" s="257"/>
      <c r="F915" s="220"/>
      <c r="G915" s="220"/>
      <c r="H915" s="220"/>
      <c r="I915" s="220"/>
    </row>
    <row r="916" spans="1:9" ht="15.75" x14ac:dyDescent="0.25">
      <c r="B916" s="221" t="s">
        <v>128</v>
      </c>
      <c r="C916" s="212"/>
      <c r="D916" s="220"/>
      <c r="F916" s="220"/>
      <c r="G916" s="220"/>
      <c r="H916" s="1721" t="str">
        <f>$H$80</f>
        <v>Termin: 29 luty 2012 r.</v>
      </c>
      <c r="I916" s="1721"/>
    </row>
    <row r="917" spans="1:9" ht="26.25" x14ac:dyDescent="0.4">
      <c r="A917" s="267" t="s">
        <v>204</v>
      </c>
      <c r="B917" s="258"/>
      <c r="C917" s="212"/>
      <c r="D917" s="220"/>
      <c r="E917" s="220"/>
      <c r="F917" s="220"/>
      <c r="G917" s="220"/>
      <c r="H917" s="220"/>
      <c r="I917" s="220"/>
    </row>
    <row r="918" spans="1:9" x14ac:dyDescent="0.25">
      <c r="B918" s="221" t="s">
        <v>130</v>
      </c>
      <c r="C918" s="212"/>
      <c r="D918" s="220"/>
      <c r="E918" s="220"/>
      <c r="F918" s="220"/>
      <c r="G918" s="220"/>
      <c r="H918" s="220"/>
      <c r="I918" s="220"/>
    </row>
    <row r="919" spans="1:9" x14ac:dyDescent="0.25">
      <c r="B919" s="221" t="s">
        <v>131</v>
      </c>
      <c r="C919" s="212"/>
      <c r="D919" s="220"/>
      <c r="E919" s="220"/>
      <c r="F919" s="220"/>
      <c r="G919" s="220"/>
      <c r="H919" s="220"/>
      <c r="I919" s="220"/>
    </row>
    <row r="920" spans="1:9" ht="15.75" x14ac:dyDescent="0.25">
      <c r="B920" s="1"/>
      <c r="C920" s="255"/>
      <c r="D920" s="12"/>
      <c r="E920" s="12"/>
      <c r="F920" s="12"/>
      <c r="G920" s="12"/>
      <c r="H920" s="12"/>
      <c r="I920" s="12"/>
    </row>
    <row r="921" spans="1:9" ht="15.75" x14ac:dyDescent="0.25">
      <c r="B921" s="1"/>
      <c r="C921" s="255"/>
      <c r="D921" s="12"/>
      <c r="E921" s="1" t="s">
        <v>47</v>
      </c>
      <c r="F921" s="12"/>
      <c r="G921" s="12"/>
      <c r="H921" s="12"/>
      <c r="I921" s="12"/>
    </row>
    <row r="922" spans="1:9" ht="15.75" x14ac:dyDescent="0.25">
      <c r="B922" s="1"/>
      <c r="C922" s="255"/>
      <c r="D922" s="12"/>
      <c r="E922" s="1" t="s">
        <v>176</v>
      </c>
      <c r="F922" s="12"/>
      <c r="G922" s="12"/>
      <c r="H922" s="12"/>
      <c r="I922" s="12"/>
    </row>
    <row r="923" spans="1:9" ht="15.75" x14ac:dyDescent="0.25">
      <c r="B923" s="1"/>
      <c r="C923" s="255"/>
      <c r="D923" s="12"/>
      <c r="E923" s="1162" t="str">
        <f>$E$11</f>
        <v>SAMORZĄDÓW  POWIATOWYCH  I  PODMIOTÓW  NIEPUBLICZNYCH  W 2011 r.</v>
      </c>
      <c r="F923" s="12"/>
      <c r="G923" s="12"/>
      <c r="H923" s="12"/>
      <c r="I923" s="12"/>
    </row>
    <row r="924" spans="1:9" ht="15.75" x14ac:dyDescent="0.25">
      <c r="B924" s="1"/>
      <c r="C924" s="255"/>
      <c r="D924" s="12"/>
      <c r="E924" s="12"/>
      <c r="F924" s="12"/>
      <c r="G924" s="12"/>
      <c r="H924" s="12"/>
      <c r="I924" s="12"/>
    </row>
    <row r="925" spans="1:9" ht="15.75" thickBot="1" x14ac:dyDescent="0.3"/>
    <row r="926" spans="1:9" ht="16.5" thickTop="1" x14ac:dyDescent="0.25">
      <c r="B926" s="214"/>
      <c r="C926" s="227"/>
      <c r="D926" s="227"/>
      <c r="E926" s="227"/>
      <c r="F926" s="252"/>
      <c r="G926" s="229" t="s">
        <v>48</v>
      </c>
      <c r="H926" s="1722" t="s">
        <v>20</v>
      </c>
      <c r="I926" s="1723"/>
    </row>
    <row r="927" spans="1:9" ht="15.75" x14ac:dyDescent="0.25">
      <c r="B927" s="215"/>
      <c r="C927" s="225"/>
      <c r="D927" s="225"/>
      <c r="E927" s="225" t="s">
        <v>21</v>
      </c>
      <c r="F927" s="253"/>
      <c r="G927" s="230" t="s">
        <v>5</v>
      </c>
      <c r="H927" s="216" t="s">
        <v>22</v>
      </c>
      <c r="I927" s="217" t="s">
        <v>23</v>
      </c>
    </row>
    <row r="928" spans="1:9" ht="15.75" x14ac:dyDescent="0.25">
      <c r="B928" s="194"/>
      <c r="C928" s="225"/>
      <c r="D928" s="225"/>
      <c r="E928" s="225"/>
      <c r="F928" s="253"/>
      <c r="G928" s="218" t="s">
        <v>24</v>
      </c>
      <c r="H928" s="218" t="s">
        <v>25</v>
      </c>
      <c r="I928" s="219" t="s">
        <v>26</v>
      </c>
    </row>
    <row r="929" spans="2:9" ht="15.75" thickBot="1" x14ac:dyDescent="0.3">
      <c r="B929" s="61"/>
      <c r="C929" s="228"/>
      <c r="D929" s="228"/>
      <c r="E929" s="211">
        <v>0</v>
      </c>
      <c r="F929" s="254"/>
      <c r="G929" s="2">
        <v>1</v>
      </c>
      <c r="H929" s="2">
        <v>2</v>
      </c>
      <c r="I929" s="7">
        <v>3</v>
      </c>
    </row>
    <row r="930" spans="2:9" ht="16.5" thickTop="1" thickBot="1" x14ac:dyDescent="0.3">
      <c r="B930" s="231"/>
      <c r="G930" s="793"/>
      <c r="H930" s="793"/>
      <c r="I930" s="793"/>
    </row>
    <row r="931" spans="2:9" ht="16.5" thickTop="1" thickBot="1" x14ac:dyDescent="0.3">
      <c r="B931" s="1168" t="str">
        <f>$B$19</f>
        <v>Wg stanu na dzień 31.XII.2010 r.</v>
      </c>
      <c r="C931" s="232"/>
      <c r="D931" s="232"/>
      <c r="E931" s="232"/>
      <c r="F931" s="282" t="s">
        <v>165</v>
      </c>
      <c r="G931" s="283">
        <f>H931+I931</f>
        <v>7727</v>
      </c>
      <c r="H931" s="1548">
        <v>4876</v>
      </c>
      <c r="I931" s="1549">
        <v>2851</v>
      </c>
    </row>
    <row r="932" spans="2:9" x14ac:dyDescent="0.25">
      <c r="B932" s="1169" t="str">
        <f>$B$20</f>
        <v>Przyjętych w ciągu 2011 r.</v>
      </c>
      <c r="C932" s="242"/>
      <c r="D932" s="242"/>
      <c r="E932" s="242"/>
      <c r="F932" s="284" t="s">
        <v>166</v>
      </c>
      <c r="G932" s="285">
        <f>H932+I932</f>
        <v>1132</v>
      </c>
      <c r="H932" s="784">
        <f>H934+H935</f>
        <v>758</v>
      </c>
      <c r="I932" s="785">
        <f>I934+I935</f>
        <v>374</v>
      </c>
    </row>
    <row r="933" spans="2:9" x14ac:dyDescent="0.25">
      <c r="B933" s="233"/>
      <c r="C933" s="241" t="s">
        <v>49</v>
      </c>
      <c r="D933" s="225"/>
      <c r="E933" s="225"/>
      <c r="F933" s="286"/>
      <c r="G933" s="287"/>
      <c r="H933" s="389" t="str">
        <f>IF(SUM(H934:H935)=H932, "", "?")</f>
        <v/>
      </c>
      <c r="I933" s="388" t="str">
        <f>IF(SUM(I934:I935)=I932, "", "?")</f>
        <v/>
      </c>
    </row>
    <row r="934" spans="2:9" x14ac:dyDescent="0.25">
      <c r="B934" s="233"/>
      <c r="C934" s="237" t="s">
        <v>158</v>
      </c>
      <c r="D934" s="222"/>
      <c r="E934" s="222"/>
      <c r="F934" s="290" t="s">
        <v>167</v>
      </c>
      <c r="G934" s="291">
        <f>H934+I934</f>
        <v>23</v>
      </c>
      <c r="H934" s="1550">
        <v>18</v>
      </c>
      <c r="I934" s="1551">
        <v>5</v>
      </c>
    </row>
    <row r="935" spans="2:9" ht="15.75" thickBot="1" x14ac:dyDescent="0.3">
      <c r="B935" s="234"/>
      <c r="C935" s="238" t="s">
        <v>159</v>
      </c>
      <c r="D935" s="235"/>
      <c r="E935" s="235"/>
      <c r="F935" s="292" t="s">
        <v>168</v>
      </c>
      <c r="G935" s="293">
        <f>H935+I935</f>
        <v>1109</v>
      </c>
      <c r="H935" s="1552">
        <v>740</v>
      </c>
      <c r="I935" s="1553">
        <v>369</v>
      </c>
    </row>
    <row r="936" spans="2:9" x14ac:dyDescent="0.25">
      <c r="B936" s="1170" t="str">
        <f>$B$24</f>
        <v>Odeszło w ciągu 2011 r. (w.06 do w.09)</v>
      </c>
      <c r="C936" s="242"/>
      <c r="D936" s="242"/>
      <c r="E936" s="242"/>
      <c r="F936" s="284" t="s">
        <v>169</v>
      </c>
      <c r="G936" s="285">
        <f>H936+I936</f>
        <v>1076</v>
      </c>
      <c r="H936" s="285">
        <f>SUM(H938:H941)</f>
        <v>758</v>
      </c>
      <c r="I936" s="294">
        <f>SUM(I938:I941)</f>
        <v>318</v>
      </c>
    </row>
    <row r="937" spans="2:9" x14ac:dyDescent="0.25">
      <c r="B937" s="251"/>
      <c r="C937" s="240" t="s">
        <v>49</v>
      </c>
      <c r="D937" s="225"/>
      <c r="E937" s="225"/>
      <c r="F937" s="286"/>
      <c r="G937" s="287"/>
      <c r="H937" s="288"/>
      <c r="I937" s="289"/>
    </row>
    <row r="938" spans="2:9" x14ac:dyDescent="0.25">
      <c r="B938" s="233"/>
      <c r="C938" s="237" t="s">
        <v>160</v>
      </c>
      <c r="D938" s="222"/>
      <c r="E938" s="222"/>
      <c r="F938" s="290" t="s">
        <v>170</v>
      </c>
      <c r="G938" s="291">
        <f>H938+I938</f>
        <v>97</v>
      </c>
      <c r="H938" s="1550">
        <v>65</v>
      </c>
      <c r="I938" s="1551">
        <v>32</v>
      </c>
    </row>
    <row r="939" spans="2:9" x14ac:dyDescent="0.25">
      <c r="B939" s="233"/>
      <c r="C939" s="243" t="s">
        <v>161</v>
      </c>
      <c r="D939" s="223"/>
      <c r="E939" s="223"/>
      <c r="F939" s="295" t="s">
        <v>171</v>
      </c>
      <c r="G939" s="296">
        <f>H939+I939</f>
        <v>58</v>
      </c>
      <c r="H939" s="1554">
        <v>41</v>
      </c>
      <c r="I939" s="1555">
        <v>17</v>
      </c>
    </row>
    <row r="940" spans="2:9" x14ac:dyDescent="0.25">
      <c r="B940" s="233"/>
      <c r="C940" s="243" t="s">
        <v>162</v>
      </c>
      <c r="D940" s="223"/>
      <c r="E940" s="223"/>
      <c r="F940" s="295" t="s">
        <v>172</v>
      </c>
      <c r="G940" s="296">
        <f>H940+I940</f>
        <v>16</v>
      </c>
      <c r="H940" s="1554">
        <v>11</v>
      </c>
      <c r="I940" s="1555">
        <v>5</v>
      </c>
    </row>
    <row r="941" spans="2:9" ht="15.75" thickBot="1" x14ac:dyDescent="0.3">
      <c r="B941" s="234"/>
      <c r="C941" s="238" t="s">
        <v>163</v>
      </c>
      <c r="D941" s="235"/>
      <c r="E941" s="235"/>
      <c r="F941" s="292" t="s">
        <v>173</v>
      </c>
      <c r="G941" s="293">
        <f>H941+I941</f>
        <v>905</v>
      </c>
      <c r="H941" s="1552">
        <v>641</v>
      </c>
      <c r="I941" s="1553">
        <v>264</v>
      </c>
    </row>
    <row r="942" spans="2:9" x14ac:dyDescent="0.25">
      <c r="B942" s="1171" t="str">
        <f>$B$30</f>
        <v>Wg stanu na dzień 31.XII.2011 r.</v>
      </c>
      <c r="C942" s="225"/>
      <c r="D942" s="225"/>
      <c r="E942" s="225"/>
      <c r="F942" s="286"/>
      <c r="G942" s="922" t="str">
        <f>IF('Tab.2. l.d.m.m._Polska'!G453=G943,"","t2w1k3"&amp;"="&amp;'Tab.2. l.d.m.m._Polska'!G453)</f>
        <v/>
      </c>
      <c r="H942" s="922" t="str">
        <f>IF('Tab.2. l.d.m.m._Polska'!K453=H943,"","t2w1k6"&amp;"="&amp;'Tab.2. l.d.m.m._Polska'!K453)</f>
        <v/>
      </c>
      <c r="I942" s="923" t="str">
        <f>IF('Tab.2. l.d.m.m._Polska'!O453=I943,"","t2w1k9"&amp;"="&amp;'Tab.2. l.d.m.m._Polska'!O453)</f>
        <v/>
      </c>
    </row>
    <row r="943" spans="2:9" x14ac:dyDescent="0.25">
      <c r="B943" s="245" t="s">
        <v>194</v>
      </c>
      <c r="C943" s="222"/>
      <c r="D943" s="222"/>
      <c r="E943" s="222"/>
      <c r="F943" s="297">
        <v>10</v>
      </c>
      <c r="G943" s="291">
        <f>H943+I943</f>
        <v>7783</v>
      </c>
      <c r="H943" s="291">
        <f>IF(H931+H932-H936=SUM(H948:H952), H931+H932-H936, (H931+H932-H936)-SUM(H948:H952))</f>
        <v>4876</v>
      </c>
      <c r="I943" s="298">
        <f>IF(I931+I932-I936=SUM(I948:I952), I931+I932-I936, (I931+I932-I936)-SUM(I948:I952))</f>
        <v>2907</v>
      </c>
    </row>
    <row r="944" spans="2:9" x14ac:dyDescent="0.25">
      <c r="B944" s="233"/>
      <c r="C944" s="240" t="s">
        <v>50</v>
      </c>
      <c r="D944" s="225"/>
      <c r="E944" s="225"/>
      <c r="F944" s="286"/>
      <c r="G944" s="287"/>
      <c r="H944" s="288"/>
      <c r="I944" s="289"/>
    </row>
    <row r="945" spans="2:9" ht="15.75" thickBot="1" x14ac:dyDescent="0.3">
      <c r="B945" s="244"/>
      <c r="C945" s="239" t="s">
        <v>164</v>
      </c>
      <c r="D945" s="226"/>
      <c r="E945" s="226"/>
      <c r="F945" s="299">
        <v>11</v>
      </c>
      <c r="G945" s="300">
        <f>H945+I945</f>
        <v>1084</v>
      </c>
      <c r="H945" s="1556">
        <v>732</v>
      </c>
      <c r="I945" s="1557">
        <v>352</v>
      </c>
    </row>
    <row r="946" spans="2:9" ht="16.5" thickTop="1" thickBot="1" x14ac:dyDescent="0.3">
      <c r="B946" s="236"/>
      <c r="F946" s="301"/>
      <c r="G946" s="405" t="str">
        <f>IF(SUM(G948:G952)=G943,"","Uwaga! "&amp;SUM(G948:G952))</f>
        <v/>
      </c>
      <c r="H946" s="405" t="str">
        <f>IF(SUM(H948:H952)=H943,"","Uwaga! "&amp;SUM(H948:H952))</f>
        <v/>
      </c>
      <c r="I946" s="405" t="str">
        <f>IF(SUM(I948:I952)=I943,"","Uwaga! "&amp;SUM(I948:I952))</f>
        <v/>
      </c>
    </row>
    <row r="947" spans="2:9" ht="15.75" thickTop="1" x14ac:dyDescent="0.25">
      <c r="B947" s="213" t="s">
        <v>183</v>
      </c>
      <c r="C947" s="246"/>
      <c r="D947" s="246"/>
      <c r="E947" s="246"/>
      <c r="F947" s="304"/>
      <c r="G947" s="305" t="s">
        <v>142</v>
      </c>
      <c r="H947" s="305" t="s">
        <v>142</v>
      </c>
      <c r="I947" s="306" t="s">
        <v>142</v>
      </c>
    </row>
    <row r="948" spans="2:9" x14ac:dyDescent="0.25">
      <c r="B948" s="247" t="s">
        <v>52</v>
      </c>
      <c r="C948" s="223"/>
      <c r="D948" s="223"/>
      <c r="E948" s="223"/>
      <c r="F948" s="307">
        <v>12</v>
      </c>
      <c r="G948" s="296">
        <f>H948+I948</f>
        <v>155</v>
      </c>
      <c r="H948" s="1554">
        <v>16</v>
      </c>
      <c r="I948" s="1555">
        <v>139</v>
      </c>
    </row>
    <row r="949" spans="2:9" x14ac:dyDescent="0.25">
      <c r="B949" s="247" t="s">
        <v>53</v>
      </c>
      <c r="C949" s="223"/>
      <c r="D949" s="223"/>
      <c r="E949" s="223"/>
      <c r="F949" s="307">
        <v>13</v>
      </c>
      <c r="G949" s="296">
        <f>H949+I949</f>
        <v>1064</v>
      </c>
      <c r="H949" s="1554">
        <v>450</v>
      </c>
      <c r="I949" s="1555">
        <v>614</v>
      </c>
    </row>
    <row r="950" spans="2:9" x14ac:dyDescent="0.25">
      <c r="B950" s="247" t="s">
        <v>54</v>
      </c>
      <c r="C950" s="223"/>
      <c r="D950" s="223"/>
      <c r="E950" s="223"/>
      <c r="F950" s="307">
        <v>14</v>
      </c>
      <c r="G950" s="296">
        <f>H950+I950</f>
        <v>2339</v>
      </c>
      <c r="H950" s="1554">
        <v>1487</v>
      </c>
      <c r="I950" s="1555">
        <v>852</v>
      </c>
    </row>
    <row r="951" spans="2:9" x14ac:dyDescent="0.25">
      <c r="B951" s="247" t="s">
        <v>55</v>
      </c>
      <c r="C951" s="223"/>
      <c r="D951" s="223"/>
      <c r="E951" s="223"/>
      <c r="F951" s="307">
        <v>15</v>
      </c>
      <c r="G951" s="296">
        <f>H951+I951</f>
        <v>1842</v>
      </c>
      <c r="H951" s="1554">
        <v>1308</v>
      </c>
      <c r="I951" s="1555">
        <v>534</v>
      </c>
    </row>
    <row r="952" spans="2:9" ht="15.75" thickBot="1" x14ac:dyDescent="0.3">
      <c r="B952" s="248" t="s">
        <v>56</v>
      </c>
      <c r="C952" s="224"/>
      <c r="D952" s="224"/>
      <c r="E952" s="224"/>
      <c r="F952" s="308">
        <v>16</v>
      </c>
      <c r="G952" s="309">
        <f>H952+I952</f>
        <v>2383</v>
      </c>
      <c r="H952" s="1558">
        <v>1615</v>
      </c>
      <c r="I952" s="1559">
        <v>768</v>
      </c>
    </row>
    <row r="953" spans="2:9" ht="16.5" thickTop="1" thickBot="1" x14ac:dyDescent="0.3">
      <c r="B953" s="236"/>
      <c r="C953" s="225"/>
      <c r="D953" s="225"/>
      <c r="E953" s="225"/>
      <c r="F953" s="310"/>
      <c r="G953" s="311"/>
      <c r="H953" s="312"/>
      <c r="I953" s="312"/>
    </row>
    <row r="954" spans="2:9" ht="15.75" thickTop="1" x14ac:dyDescent="0.25">
      <c r="B954" s="249" t="s">
        <v>184</v>
      </c>
      <c r="C954" s="227"/>
      <c r="D954" s="227"/>
      <c r="E954" s="227"/>
      <c r="F954" s="313"/>
      <c r="G954" s="314"/>
      <c r="H954" s="315"/>
      <c r="I954" s="316"/>
    </row>
    <row r="955" spans="2:9" x14ac:dyDescent="0.25">
      <c r="B955" s="245" t="s">
        <v>179</v>
      </c>
      <c r="C955" s="222"/>
      <c r="D955" s="222"/>
      <c r="E955" s="222"/>
      <c r="F955" s="297">
        <v>17</v>
      </c>
      <c r="G955" s="291">
        <f>H955+I955</f>
        <v>3990</v>
      </c>
      <c r="H955" s="291">
        <f>H957+H963</f>
        <v>2359</v>
      </c>
      <c r="I955" s="298">
        <f>I957+I963</f>
        <v>1631</v>
      </c>
    </row>
    <row r="956" spans="2:9" x14ac:dyDescent="0.25">
      <c r="B956" s="233"/>
      <c r="C956" s="240" t="s">
        <v>49</v>
      </c>
      <c r="D956" s="225"/>
      <c r="E956" s="225"/>
      <c r="F956" s="286"/>
      <c r="G956" s="287"/>
      <c r="H956" s="288"/>
      <c r="I956" s="289"/>
    </row>
    <row r="957" spans="2:9" x14ac:dyDescent="0.25">
      <c r="B957" s="233"/>
      <c r="C957" s="222" t="s">
        <v>154</v>
      </c>
      <c r="D957" s="222"/>
      <c r="E957" s="222"/>
      <c r="F957" s="297">
        <v>18</v>
      </c>
      <c r="G957" s="291">
        <f>H957+I957</f>
        <v>3955</v>
      </c>
      <c r="H957" s="317">
        <f>SUM(H959:H962)</f>
        <v>2355</v>
      </c>
      <c r="I957" s="318">
        <f>SUM(I959:I962)</f>
        <v>1600</v>
      </c>
    </row>
    <row r="958" spans="2:9" x14ac:dyDescent="0.25">
      <c r="B958" s="233"/>
      <c r="C958" s="225"/>
      <c r="D958" s="240" t="s">
        <v>155</v>
      </c>
      <c r="E958" s="225"/>
      <c r="F958" s="286"/>
      <c r="G958" s="287"/>
      <c r="H958" s="288"/>
      <c r="I958" s="289"/>
    </row>
    <row r="959" spans="2:9" x14ac:dyDescent="0.25">
      <c r="B959" s="233"/>
      <c r="C959" s="225"/>
      <c r="D959" s="222" t="s">
        <v>178</v>
      </c>
      <c r="E959" s="222"/>
      <c r="F959" s="297">
        <v>19</v>
      </c>
      <c r="G959" s="291">
        <f t="shared" ref="G959:G964" si="18">H959+I959</f>
        <v>3685</v>
      </c>
      <c r="H959" s="1550">
        <v>2155</v>
      </c>
      <c r="I959" s="1551">
        <v>1530</v>
      </c>
    </row>
    <row r="960" spans="2:9" x14ac:dyDescent="0.25">
      <c r="B960" s="233"/>
      <c r="C960" s="225"/>
      <c r="D960" s="223" t="s">
        <v>151</v>
      </c>
      <c r="E960" s="223"/>
      <c r="F960" s="307">
        <v>20</v>
      </c>
      <c r="G960" s="296">
        <f t="shared" si="18"/>
        <v>241</v>
      </c>
      <c r="H960" s="1554">
        <v>192</v>
      </c>
      <c r="I960" s="1555">
        <v>49</v>
      </c>
    </row>
    <row r="961" spans="2:9" x14ac:dyDescent="0.25">
      <c r="B961" s="233"/>
      <c r="C961" s="225"/>
      <c r="D961" s="223" t="s">
        <v>149</v>
      </c>
      <c r="E961" s="223"/>
      <c r="F961" s="307">
        <v>21</v>
      </c>
      <c r="G961" s="296">
        <f t="shared" si="18"/>
        <v>10</v>
      </c>
      <c r="H961" s="1554">
        <v>3</v>
      </c>
      <c r="I961" s="1555">
        <v>7</v>
      </c>
    </row>
    <row r="962" spans="2:9" x14ac:dyDescent="0.25">
      <c r="B962" s="233"/>
      <c r="C962" s="225"/>
      <c r="D962" s="222" t="s">
        <v>152</v>
      </c>
      <c r="E962" s="222"/>
      <c r="F962" s="297">
        <v>22</v>
      </c>
      <c r="G962" s="291">
        <f t="shared" si="18"/>
        <v>19</v>
      </c>
      <c r="H962" s="1550">
        <v>5</v>
      </c>
      <c r="I962" s="1551">
        <v>14</v>
      </c>
    </row>
    <row r="963" spans="2:9" x14ac:dyDescent="0.25">
      <c r="B963" s="233"/>
      <c r="C963" s="222" t="s">
        <v>156</v>
      </c>
      <c r="D963" s="222"/>
      <c r="E963" s="222"/>
      <c r="F963" s="297">
        <v>23</v>
      </c>
      <c r="G963" s="291">
        <f t="shared" si="18"/>
        <v>35</v>
      </c>
      <c r="H963" s="1550">
        <v>4</v>
      </c>
      <c r="I963" s="1551">
        <v>31</v>
      </c>
    </row>
    <row r="964" spans="2:9" x14ac:dyDescent="0.25">
      <c r="B964" s="233"/>
      <c r="C964" s="223" t="s">
        <v>150</v>
      </c>
      <c r="D964" s="223"/>
      <c r="E964" s="223"/>
      <c r="F964" s="307">
        <v>24</v>
      </c>
      <c r="G964" s="296">
        <f t="shared" si="18"/>
        <v>185</v>
      </c>
      <c r="H964" s="1554">
        <v>98</v>
      </c>
      <c r="I964" s="1555">
        <v>87</v>
      </c>
    </row>
    <row r="965" spans="2:9" x14ac:dyDescent="0.25">
      <c r="B965" s="233"/>
      <c r="C965" s="250" t="s">
        <v>157</v>
      </c>
      <c r="D965" s="250"/>
      <c r="E965" s="250"/>
      <c r="F965" s="319"/>
      <c r="G965" s="320"/>
      <c r="H965" s="321"/>
      <c r="I965" s="322"/>
    </row>
    <row r="966" spans="2:9" ht="15.75" thickBot="1" x14ac:dyDescent="0.3">
      <c r="B966" s="244"/>
      <c r="C966" s="226" t="s">
        <v>148</v>
      </c>
      <c r="D966" s="226"/>
      <c r="E966" s="226"/>
      <c r="F966" s="299">
        <v>25</v>
      </c>
      <c r="G966" s="300">
        <f>H966+I966</f>
        <v>7</v>
      </c>
      <c r="H966" s="1556">
        <v>7</v>
      </c>
      <c r="I966" s="1557">
        <v>0</v>
      </c>
    </row>
    <row r="967" spans="2:9" ht="16.5" thickTop="1" thickBot="1" x14ac:dyDescent="0.3">
      <c r="F967" s="301"/>
      <c r="G967" s="302"/>
      <c r="H967" s="303"/>
      <c r="I967" s="303"/>
    </row>
    <row r="968" spans="2:9" ht="15.75" thickTop="1" x14ac:dyDescent="0.25">
      <c r="B968" s="261" t="s">
        <v>174</v>
      </c>
      <c r="C968" s="262"/>
      <c r="D968" s="263"/>
      <c r="E968" s="246"/>
      <c r="F968" s="323">
        <v>26</v>
      </c>
      <c r="G968" s="1109">
        <f>H968+I968</f>
        <v>3793</v>
      </c>
      <c r="H968" s="324">
        <f>H970+H975</f>
        <v>2517</v>
      </c>
      <c r="I968" s="1108">
        <f>I970+I975</f>
        <v>1276</v>
      </c>
    </row>
    <row r="969" spans="2:9" x14ac:dyDescent="0.25">
      <c r="B969" s="233"/>
      <c r="C969" s="240" t="s">
        <v>50</v>
      </c>
      <c r="D969" s="225"/>
      <c r="E969" s="225"/>
      <c r="F969" s="286"/>
      <c r="G969" s="287"/>
      <c r="H969" s="288"/>
      <c r="I969" s="289"/>
    </row>
    <row r="970" spans="2:9" x14ac:dyDescent="0.25">
      <c r="B970" s="233"/>
      <c r="C970" s="222" t="s">
        <v>185</v>
      </c>
      <c r="D970" s="222"/>
      <c r="E970" s="222"/>
      <c r="F970" s="297">
        <v>27</v>
      </c>
      <c r="G970" s="689">
        <f>H970+I970</f>
        <v>167</v>
      </c>
      <c r="H970" s="689">
        <f>SUM(H972:H974)</f>
        <v>119</v>
      </c>
      <c r="I970" s="690">
        <f>SUM(I972:I974)</f>
        <v>48</v>
      </c>
    </row>
    <row r="971" spans="2:9" x14ac:dyDescent="0.25">
      <c r="B971" s="233"/>
      <c r="C971" s="225"/>
      <c r="D971" s="240" t="s">
        <v>190</v>
      </c>
      <c r="E971" s="225"/>
      <c r="F971" s="286"/>
      <c r="G971" s="390" t="str">
        <f>IF(SUM(G972:G974)=G970, "", G970-SUM(G972:G974))</f>
        <v/>
      </c>
      <c r="H971" s="390" t="str">
        <f>IF(SUM(H972:H974)=H970, "", H970-SUM(H972:H974))</f>
        <v/>
      </c>
      <c r="I971" s="398" t="str">
        <f>IF(SUM(I972:I974)=I970, "", I970-SUM(I972:I974))</f>
        <v/>
      </c>
    </row>
    <row r="972" spans="2:9" x14ac:dyDescent="0.25">
      <c r="B972" s="233"/>
      <c r="C972" s="225"/>
      <c r="D972" s="222" t="s">
        <v>186</v>
      </c>
      <c r="E972" s="222"/>
      <c r="F972" s="297">
        <v>28</v>
      </c>
      <c r="G972" s="689">
        <f>H972+I972</f>
        <v>75</v>
      </c>
      <c r="H972" s="1550">
        <v>60</v>
      </c>
      <c r="I972" s="1566">
        <v>15</v>
      </c>
    </row>
    <row r="973" spans="2:9" x14ac:dyDescent="0.25">
      <c r="B973" s="233"/>
      <c r="C973" s="225"/>
      <c r="D973" s="223" t="s">
        <v>187</v>
      </c>
      <c r="E973" s="225"/>
      <c r="F973" s="297">
        <v>29</v>
      </c>
      <c r="G973" s="291">
        <f>H973+I973</f>
        <v>0</v>
      </c>
      <c r="H973" s="1550">
        <v>0</v>
      </c>
      <c r="I973" s="1566">
        <v>0</v>
      </c>
    </row>
    <row r="974" spans="2:9" x14ac:dyDescent="0.25">
      <c r="B974" s="233"/>
      <c r="C974" s="225"/>
      <c r="D974" s="223" t="s">
        <v>188</v>
      </c>
      <c r="E974" s="223"/>
      <c r="F974" s="307">
        <v>30</v>
      </c>
      <c r="G974" s="296">
        <f>H974+I974</f>
        <v>92</v>
      </c>
      <c r="H974" s="1554">
        <v>59</v>
      </c>
      <c r="I974" s="1568">
        <v>33</v>
      </c>
    </row>
    <row r="975" spans="2:9" x14ac:dyDescent="0.25">
      <c r="B975" s="233"/>
      <c r="C975" s="222" t="s">
        <v>189</v>
      </c>
      <c r="D975" s="222"/>
      <c r="E975" s="222"/>
      <c r="F975" s="297">
        <v>31</v>
      </c>
      <c r="G975" s="689">
        <f>H975+I975</f>
        <v>3626</v>
      </c>
      <c r="H975" s="689">
        <f>SUM(H977:H980)</f>
        <v>2398</v>
      </c>
      <c r="I975" s="690">
        <f>SUM(I977:I980)</f>
        <v>1228</v>
      </c>
    </row>
    <row r="976" spans="2:9" x14ac:dyDescent="0.25">
      <c r="B976" s="233"/>
      <c r="C976" s="225"/>
      <c r="D976" s="240" t="s">
        <v>191</v>
      </c>
      <c r="E976" s="225"/>
      <c r="F976" s="286"/>
      <c r="G976" s="287" t="str">
        <f>IF(SUM(G977:G980)=G975, "", G975-SUM(G977:G980))</f>
        <v/>
      </c>
      <c r="H976" s="288" t="str">
        <f>IF(SUM(H977:H980)=H975, "", H975-SUM(H977:H980))</f>
        <v/>
      </c>
      <c r="I976" s="696" t="str">
        <f>IF(SUM(I977:I980)=I975, "", I975-SUM(I977:I980))</f>
        <v/>
      </c>
    </row>
    <row r="977" spans="1:9" x14ac:dyDescent="0.25">
      <c r="B977" s="233"/>
      <c r="C977" s="225"/>
      <c r="D977" s="222" t="s">
        <v>186</v>
      </c>
      <c r="E977" s="222"/>
      <c r="F977" s="297">
        <v>32</v>
      </c>
      <c r="G977" s="291">
        <f>H977+I977</f>
        <v>3279</v>
      </c>
      <c r="H977" s="1550">
        <v>2209</v>
      </c>
      <c r="I977" s="1566">
        <v>1070</v>
      </c>
    </row>
    <row r="978" spans="1:9" x14ac:dyDescent="0.25">
      <c r="B978" s="233"/>
      <c r="C978" s="225"/>
      <c r="D978" s="222" t="s">
        <v>187</v>
      </c>
      <c r="E978" s="222"/>
      <c r="F978" s="297">
        <v>33</v>
      </c>
      <c r="G978" s="291">
        <f>H978+I978</f>
        <v>14</v>
      </c>
      <c r="H978" s="1550">
        <v>0</v>
      </c>
      <c r="I978" s="1566">
        <v>14</v>
      </c>
    </row>
    <row r="979" spans="1:9" x14ac:dyDescent="0.25">
      <c r="B979" s="233"/>
      <c r="C979" s="225"/>
      <c r="D979" s="222" t="s">
        <v>188</v>
      </c>
      <c r="E979" s="222"/>
      <c r="F979" s="297">
        <v>34</v>
      </c>
      <c r="G979" s="291">
        <f>H979+I979</f>
        <v>277</v>
      </c>
      <c r="H979" s="1550">
        <v>178</v>
      </c>
      <c r="I979" s="1566">
        <v>99</v>
      </c>
    </row>
    <row r="980" spans="1:9" ht="15.75" thickBot="1" x14ac:dyDescent="0.3">
      <c r="B980" s="234"/>
      <c r="C980" s="235"/>
      <c r="D980" s="259" t="s">
        <v>153</v>
      </c>
      <c r="E980" s="259"/>
      <c r="F980" s="325">
        <v>35</v>
      </c>
      <c r="G980" s="326">
        <f>H980+I980</f>
        <v>56</v>
      </c>
      <c r="H980" s="1567">
        <v>11</v>
      </c>
      <c r="I980" s="1563">
        <v>45</v>
      </c>
    </row>
    <row r="981" spans="1:9" x14ac:dyDescent="0.25">
      <c r="B981" s="260" t="s">
        <v>177</v>
      </c>
      <c r="C981" s="242"/>
      <c r="D981" s="242"/>
      <c r="E981" s="242"/>
      <c r="F981" s="327">
        <v>36</v>
      </c>
      <c r="G981" s="699">
        <f>H981+I981</f>
        <v>3723</v>
      </c>
      <c r="H981" s="784">
        <f>H972+H974+H977+H979</f>
        <v>2506</v>
      </c>
      <c r="I981" s="328">
        <f>I972+I974+I977+I979</f>
        <v>1217</v>
      </c>
    </row>
    <row r="982" spans="1:9" x14ac:dyDescent="0.25">
      <c r="B982" s="233"/>
      <c r="C982" s="240" t="s">
        <v>155</v>
      </c>
      <c r="D982" s="225"/>
      <c r="E982" s="250"/>
      <c r="F982" s="286"/>
      <c r="G982" s="390" t="str">
        <f>IF(SUM(G983:G985)=G981, "", G981-SUM(G983:G985))</f>
        <v/>
      </c>
      <c r="H982" s="390" t="str">
        <f>IF(SUM(H983:H985)=H981, "", H981-SUM(H983:H985))</f>
        <v/>
      </c>
      <c r="I982" s="398" t="str">
        <f>IF(SUM(I983:I985)=I981, "", I981-SUM(I983:I985))</f>
        <v/>
      </c>
    </row>
    <row r="983" spans="1:9" x14ac:dyDescent="0.25">
      <c r="B983" s="233"/>
      <c r="C983" s="222" t="s">
        <v>178</v>
      </c>
      <c r="D983" s="222"/>
      <c r="E983" s="222"/>
      <c r="F983" s="297">
        <v>37</v>
      </c>
      <c r="G983" s="291">
        <f>H983+I983</f>
        <v>3191</v>
      </c>
      <c r="H983" s="1550">
        <v>2139</v>
      </c>
      <c r="I983" s="1551">
        <v>1052</v>
      </c>
    </row>
    <row r="984" spans="1:9" x14ac:dyDescent="0.25">
      <c r="B984" s="233"/>
      <c r="C984" s="223" t="s">
        <v>151</v>
      </c>
      <c r="D984" s="223"/>
      <c r="E984" s="223"/>
      <c r="F984" s="307">
        <v>38</v>
      </c>
      <c r="G984" s="296">
        <f>H984+I984</f>
        <v>469</v>
      </c>
      <c r="H984" s="1554">
        <v>346</v>
      </c>
      <c r="I984" s="1555">
        <v>123</v>
      </c>
    </row>
    <row r="985" spans="1:9" ht="15.75" thickBot="1" x14ac:dyDescent="0.3">
      <c r="B985" s="244"/>
      <c r="C985" s="226" t="s">
        <v>152</v>
      </c>
      <c r="D985" s="226"/>
      <c r="E985" s="226"/>
      <c r="F985" s="299">
        <v>39</v>
      </c>
      <c r="G985" s="1105">
        <f>H985+I985</f>
        <v>63</v>
      </c>
      <c r="H985" s="1556">
        <v>21</v>
      </c>
      <c r="I985" s="1557">
        <v>42</v>
      </c>
    </row>
    <row r="986" spans="1:9" ht="15.75" thickTop="1" x14ac:dyDescent="0.25">
      <c r="G986" s="412" t="str">
        <f>IF(SUM(G983:G985)=G981, "", SUM(G983:G985))</f>
        <v/>
      </c>
      <c r="H986" s="412" t="str">
        <f>IF(SUM(H983:H985)=H981, "", SUM(H983:H985))</f>
        <v/>
      </c>
      <c r="I986" s="412" t="str">
        <f>IF(SUM(I983:I985)=I981, "", SUM(I983:I985))</f>
        <v/>
      </c>
    </row>
    <row r="987" spans="1:9" x14ac:dyDescent="0.25">
      <c r="B987" s="221" t="s">
        <v>123</v>
      </c>
      <c r="D987" s="220" t="s">
        <v>180</v>
      </c>
      <c r="H987" t="s">
        <v>182</v>
      </c>
    </row>
    <row r="988" spans="1:9" x14ac:dyDescent="0.25">
      <c r="B988" s="221" t="s">
        <v>181</v>
      </c>
      <c r="D988" s="220" t="s">
        <v>180</v>
      </c>
      <c r="H988" s="256" t="s">
        <v>126</v>
      </c>
    </row>
    <row r="990" spans="1:9" ht="26.25" x14ac:dyDescent="0.4">
      <c r="A990" s="267" t="s">
        <v>205</v>
      </c>
      <c r="B990" s="221" t="s">
        <v>116</v>
      </c>
      <c r="C990" s="212"/>
      <c r="D990" s="220"/>
      <c r="E990" s="220"/>
      <c r="F990" s="212"/>
      <c r="G990" s="220"/>
      <c r="H990" s="220"/>
      <c r="I990" s="256" t="s">
        <v>175</v>
      </c>
    </row>
    <row r="991" spans="1:9" x14ac:dyDescent="0.25">
      <c r="B991" s="257" t="s">
        <v>129</v>
      </c>
      <c r="C991" s="212"/>
      <c r="D991" s="220"/>
      <c r="E991" s="257"/>
      <c r="F991" s="220"/>
      <c r="G991" s="220"/>
      <c r="H991" s="220"/>
      <c r="I991" s="220"/>
    </row>
    <row r="992" spans="1:9" ht="15.75" x14ac:dyDescent="0.25">
      <c r="B992" s="221" t="s">
        <v>128</v>
      </c>
      <c r="C992" s="212"/>
      <c r="D992" s="220"/>
      <c r="F992" s="220"/>
      <c r="G992" s="220"/>
      <c r="H992" s="1721" t="str">
        <f>$H$80</f>
        <v>Termin: 29 luty 2012 r.</v>
      </c>
      <c r="I992" s="1721"/>
    </row>
    <row r="993" spans="2:9" x14ac:dyDescent="0.25">
      <c r="B993" s="258"/>
      <c r="C993" s="212"/>
      <c r="D993" s="220"/>
      <c r="E993" s="220"/>
      <c r="F993" s="220"/>
      <c r="G993" s="220"/>
      <c r="H993" s="220"/>
      <c r="I993" s="220"/>
    </row>
    <row r="994" spans="2:9" x14ac:dyDescent="0.25">
      <c r="B994" s="221" t="s">
        <v>130</v>
      </c>
      <c r="C994" s="212"/>
      <c r="D994" s="220"/>
      <c r="E994" s="220"/>
      <c r="F994" s="220"/>
      <c r="G994" s="220"/>
      <c r="H994" s="220"/>
      <c r="I994" s="220"/>
    </row>
    <row r="995" spans="2:9" x14ac:dyDescent="0.25">
      <c r="B995" s="221" t="s">
        <v>131</v>
      </c>
      <c r="C995" s="212"/>
      <c r="D995" s="220"/>
      <c r="E995" s="220"/>
      <c r="F995" s="220"/>
      <c r="G995" s="220"/>
      <c r="H995" s="220"/>
      <c r="I995" s="220"/>
    </row>
    <row r="996" spans="2:9" ht="15.75" x14ac:dyDescent="0.25">
      <c r="B996" s="1"/>
      <c r="C996" s="255"/>
      <c r="D996" s="12"/>
      <c r="E996" s="12"/>
      <c r="F996" s="12"/>
      <c r="G996" s="12"/>
      <c r="H996" s="12"/>
      <c r="I996" s="12"/>
    </row>
    <row r="997" spans="2:9" ht="15.75" x14ac:dyDescent="0.25">
      <c r="B997" s="1"/>
      <c r="C997" s="255"/>
      <c r="D997" s="12"/>
      <c r="E997" s="1" t="s">
        <v>47</v>
      </c>
      <c r="F997" s="12"/>
      <c r="G997" s="12"/>
      <c r="H997" s="12"/>
      <c r="I997" s="12"/>
    </row>
    <row r="998" spans="2:9" ht="15.75" x14ac:dyDescent="0.25">
      <c r="B998" s="1"/>
      <c r="C998" s="255"/>
      <c r="D998" s="12"/>
      <c r="E998" s="1" t="s">
        <v>176</v>
      </c>
      <c r="F998" s="12"/>
      <c r="G998" s="12"/>
      <c r="H998" s="12"/>
      <c r="I998" s="12"/>
    </row>
    <row r="999" spans="2:9" ht="15.75" x14ac:dyDescent="0.25">
      <c r="B999" s="1"/>
      <c r="C999" s="255"/>
      <c r="D999" s="12"/>
      <c r="E999" s="1162" t="str">
        <f>$E$11</f>
        <v>SAMORZĄDÓW  POWIATOWYCH  I  PODMIOTÓW  NIEPUBLICZNYCH  W 2011 r.</v>
      </c>
      <c r="F999" s="12"/>
      <c r="G999" s="12"/>
      <c r="H999" s="12"/>
      <c r="I999" s="12"/>
    </row>
    <row r="1000" spans="2:9" ht="15.75" x14ac:dyDescent="0.25">
      <c r="B1000" s="1"/>
      <c r="C1000" s="255"/>
      <c r="D1000" s="12"/>
      <c r="E1000" s="12"/>
      <c r="F1000" s="12"/>
      <c r="G1000" s="12"/>
      <c r="H1000" s="12"/>
      <c r="I1000" s="12"/>
    </row>
    <row r="1001" spans="2:9" ht="15.75" thickBot="1" x14ac:dyDescent="0.3"/>
    <row r="1002" spans="2:9" ht="16.5" thickTop="1" x14ac:dyDescent="0.25">
      <c r="B1002" s="214"/>
      <c r="C1002" s="227"/>
      <c r="D1002" s="227"/>
      <c r="E1002" s="227"/>
      <c r="F1002" s="252"/>
      <c r="G1002" s="229" t="s">
        <v>48</v>
      </c>
      <c r="H1002" s="1722" t="s">
        <v>20</v>
      </c>
      <c r="I1002" s="1723"/>
    </row>
    <row r="1003" spans="2:9" ht="15.75" x14ac:dyDescent="0.25">
      <c r="B1003" s="215"/>
      <c r="C1003" s="225"/>
      <c r="D1003" s="225"/>
      <c r="E1003" s="225" t="s">
        <v>21</v>
      </c>
      <c r="F1003" s="253"/>
      <c r="G1003" s="230" t="s">
        <v>5</v>
      </c>
      <c r="H1003" s="216" t="s">
        <v>22</v>
      </c>
      <c r="I1003" s="217" t="s">
        <v>23</v>
      </c>
    </row>
    <row r="1004" spans="2:9" ht="15.75" x14ac:dyDescent="0.25">
      <c r="B1004" s="194"/>
      <c r="C1004" s="225"/>
      <c r="D1004" s="225"/>
      <c r="E1004" s="225"/>
      <c r="F1004" s="253"/>
      <c r="G1004" s="218" t="s">
        <v>24</v>
      </c>
      <c r="H1004" s="218" t="s">
        <v>25</v>
      </c>
      <c r="I1004" s="219" t="s">
        <v>26</v>
      </c>
    </row>
    <row r="1005" spans="2:9" ht="15.75" thickBot="1" x14ac:dyDescent="0.3">
      <c r="B1005" s="61"/>
      <c r="C1005" s="228"/>
      <c r="D1005" s="228"/>
      <c r="E1005" s="211">
        <v>0</v>
      </c>
      <c r="F1005" s="254"/>
      <c r="G1005" s="2">
        <v>1</v>
      </c>
      <c r="H1005" s="2">
        <v>2</v>
      </c>
      <c r="I1005" s="7">
        <v>3</v>
      </c>
    </row>
    <row r="1006" spans="2:9" ht="16.5" thickTop="1" thickBot="1" x14ac:dyDescent="0.3">
      <c r="B1006" s="231"/>
      <c r="G1006" s="793"/>
      <c r="H1006" s="793"/>
      <c r="I1006" s="793"/>
    </row>
    <row r="1007" spans="2:9" ht="16.5" thickTop="1" thickBot="1" x14ac:dyDescent="0.3">
      <c r="B1007" s="1168" t="str">
        <f>$B$19</f>
        <v>Wg stanu na dzień 31.XII.2010 r.</v>
      </c>
      <c r="C1007" s="232"/>
      <c r="D1007" s="232"/>
      <c r="E1007" s="232"/>
      <c r="F1007" s="282" t="s">
        <v>165</v>
      </c>
      <c r="G1007" s="698">
        <f>H1007+I1007</f>
        <v>3217</v>
      </c>
      <c r="H1007" s="1564">
        <v>2834</v>
      </c>
      <c r="I1007" s="1565">
        <v>383</v>
      </c>
    </row>
    <row r="1008" spans="2:9" x14ac:dyDescent="0.25">
      <c r="B1008" s="1169" t="str">
        <f>$B$20</f>
        <v>Przyjętych w ciągu 2011 r.</v>
      </c>
      <c r="C1008" s="242"/>
      <c r="D1008" s="242"/>
      <c r="E1008" s="242"/>
      <c r="F1008" s="284" t="s">
        <v>166</v>
      </c>
      <c r="G1008" s="285">
        <f>H1008+I1008</f>
        <v>479</v>
      </c>
      <c r="H1008" s="784">
        <f>H1010+H1011</f>
        <v>382</v>
      </c>
      <c r="I1008" s="785">
        <f>I1010+I1011</f>
        <v>97</v>
      </c>
    </row>
    <row r="1009" spans="2:9" x14ac:dyDescent="0.25">
      <c r="B1009" s="233"/>
      <c r="C1009" s="241" t="s">
        <v>49</v>
      </c>
      <c r="D1009" s="225"/>
      <c r="E1009" s="225"/>
      <c r="F1009" s="286"/>
      <c r="G1009" s="287"/>
      <c r="H1009" s="389" t="str">
        <f>IF(SUM(H1010:H1011)=H1008, "", "?")</f>
        <v/>
      </c>
      <c r="I1009" s="388" t="str">
        <f>IF(SUM(I1010:I1011)=I1008, "", "?")</f>
        <v/>
      </c>
    </row>
    <row r="1010" spans="2:9" x14ac:dyDescent="0.25">
      <c r="B1010" s="233"/>
      <c r="C1010" s="237" t="s">
        <v>158</v>
      </c>
      <c r="D1010" s="222"/>
      <c r="E1010" s="222"/>
      <c r="F1010" s="290" t="s">
        <v>167</v>
      </c>
      <c r="G1010" s="291">
        <f>H1010+I1010</f>
        <v>13</v>
      </c>
      <c r="H1010" s="1550">
        <v>8</v>
      </c>
      <c r="I1010" s="1551">
        <v>5</v>
      </c>
    </row>
    <row r="1011" spans="2:9" ht="15.75" thickBot="1" x14ac:dyDescent="0.3">
      <c r="B1011" s="234"/>
      <c r="C1011" s="238" t="s">
        <v>159</v>
      </c>
      <c r="D1011" s="235"/>
      <c r="E1011" s="235"/>
      <c r="F1011" s="292" t="s">
        <v>168</v>
      </c>
      <c r="G1011" s="293">
        <f>H1011+I1011</f>
        <v>466</v>
      </c>
      <c r="H1011" s="1552">
        <v>374</v>
      </c>
      <c r="I1011" s="1553">
        <v>92</v>
      </c>
    </row>
    <row r="1012" spans="2:9" x14ac:dyDescent="0.25">
      <c r="B1012" s="1170" t="str">
        <f>$B$24</f>
        <v>Odeszło w ciągu 2011 r. (w.06 do w.09)</v>
      </c>
      <c r="C1012" s="242"/>
      <c r="D1012" s="242"/>
      <c r="E1012" s="242"/>
      <c r="F1012" s="284" t="s">
        <v>169</v>
      </c>
      <c r="G1012" s="285">
        <f>H1012+I1012</f>
        <v>485</v>
      </c>
      <c r="H1012" s="285">
        <f>SUM(H1014:H1017)</f>
        <v>387</v>
      </c>
      <c r="I1012" s="294">
        <f>SUM(I1014:I1017)</f>
        <v>98</v>
      </c>
    </row>
    <row r="1013" spans="2:9" x14ac:dyDescent="0.25">
      <c r="B1013" s="251"/>
      <c r="C1013" s="240" t="s">
        <v>49</v>
      </c>
      <c r="D1013" s="225"/>
      <c r="E1013" s="225"/>
      <c r="F1013" s="286"/>
      <c r="G1013" s="287"/>
      <c r="H1013" s="288"/>
      <c r="I1013" s="289"/>
    </row>
    <row r="1014" spans="2:9" x14ac:dyDescent="0.25">
      <c r="B1014" s="233"/>
      <c r="C1014" s="237" t="s">
        <v>160</v>
      </c>
      <c r="D1014" s="222"/>
      <c r="E1014" s="222"/>
      <c r="F1014" s="290" t="s">
        <v>170</v>
      </c>
      <c r="G1014" s="291">
        <f>H1014+I1014</f>
        <v>50</v>
      </c>
      <c r="H1014" s="1550">
        <v>25</v>
      </c>
      <c r="I1014" s="1551">
        <f>5+20</f>
        <v>25</v>
      </c>
    </row>
    <row r="1015" spans="2:9" x14ac:dyDescent="0.25">
      <c r="B1015" s="233"/>
      <c r="C1015" s="243" t="s">
        <v>161</v>
      </c>
      <c r="D1015" s="223"/>
      <c r="E1015" s="223"/>
      <c r="F1015" s="295" t="s">
        <v>171</v>
      </c>
      <c r="G1015" s="296">
        <f>H1015+I1015</f>
        <v>44</v>
      </c>
      <c r="H1015" s="1554">
        <v>31</v>
      </c>
      <c r="I1015" s="1555">
        <v>13</v>
      </c>
    </row>
    <row r="1016" spans="2:9" x14ac:dyDescent="0.25">
      <c r="B1016" s="233"/>
      <c r="C1016" s="243" t="s">
        <v>162</v>
      </c>
      <c r="D1016" s="223"/>
      <c r="E1016" s="223"/>
      <c r="F1016" s="295" t="s">
        <v>172</v>
      </c>
      <c r="G1016" s="296">
        <f>H1016+I1016</f>
        <v>8</v>
      </c>
      <c r="H1016" s="1554">
        <v>8</v>
      </c>
      <c r="I1016" s="1555">
        <v>0</v>
      </c>
    </row>
    <row r="1017" spans="2:9" ht="15.75" thickBot="1" x14ac:dyDescent="0.3">
      <c r="B1017" s="234"/>
      <c r="C1017" s="238" t="s">
        <v>163</v>
      </c>
      <c r="D1017" s="235"/>
      <c r="E1017" s="235"/>
      <c r="F1017" s="292" t="s">
        <v>173</v>
      </c>
      <c r="G1017" s="293">
        <f>H1017+I1017</f>
        <v>383</v>
      </c>
      <c r="H1017" s="1552">
        <v>323</v>
      </c>
      <c r="I1017" s="1553">
        <v>60</v>
      </c>
    </row>
    <row r="1018" spans="2:9" x14ac:dyDescent="0.25">
      <c r="B1018" s="1171" t="str">
        <f>$B$30</f>
        <v>Wg stanu na dzień 31.XII.2011 r.</v>
      </c>
      <c r="C1018" s="225"/>
      <c r="D1018" s="225"/>
      <c r="E1018" s="225"/>
      <c r="F1018" s="286"/>
      <c r="G1018" s="922" t="str">
        <f>IF('Tab.2. l.d.m.m._Polska'!G489=G1019,"","t2w1k3"&amp;"="&amp;'Tab.2. l.d.m.m._Polska'!G489)</f>
        <v/>
      </c>
      <c r="H1018" s="922" t="str">
        <f>IF('Tab.2. l.d.m.m._Polska'!K489=H1019,"","t2w1k6"&amp;"="&amp;'Tab.2. l.d.m.m._Polska'!K489)</f>
        <v/>
      </c>
      <c r="I1018" s="923" t="str">
        <f>IF('Tab.2. l.d.m.m._Polska'!O489=I1019,"","t2w1k9"&amp;"="&amp;'Tab.2. l.d.m.m._Polska'!O489)</f>
        <v/>
      </c>
    </row>
    <row r="1019" spans="2:9" x14ac:dyDescent="0.25">
      <c r="B1019" s="245" t="s">
        <v>194</v>
      </c>
      <c r="C1019" s="222"/>
      <c r="D1019" s="222"/>
      <c r="E1019" s="222"/>
      <c r="F1019" s="297">
        <v>10</v>
      </c>
      <c r="G1019" s="689">
        <f>H1019+I1019</f>
        <v>3211</v>
      </c>
      <c r="H1019" s="689">
        <f>IF(H1007+H1008-H1012=SUM(H1024:H1028), H1007+H1008-H1012, (H1007+H1008-H1012)-SUM(H1024:H1028))</f>
        <v>2829</v>
      </c>
      <c r="I1019" s="690">
        <f>IF(I1007+I1008-I1012=SUM(I1024:I1028), I1007+I1008-I1012, (I1007+I1008-I1012)-SUM(I1024:I1028))</f>
        <v>382</v>
      </c>
    </row>
    <row r="1020" spans="2:9" x14ac:dyDescent="0.25">
      <c r="B1020" s="233"/>
      <c r="C1020" s="240" t="s">
        <v>50</v>
      </c>
      <c r="D1020" s="225"/>
      <c r="E1020" s="225"/>
      <c r="F1020" s="286"/>
      <c r="G1020" s="287"/>
      <c r="H1020" s="288"/>
      <c r="I1020" s="289"/>
    </row>
    <row r="1021" spans="2:9" ht="15.75" thickBot="1" x14ac:dyDescent="0.3">
      <c r="B1021" s="244"/>
      <c r="C1021" s="239" t="s">
        <v>164</v>
      </c>
      <c r="D1021" s="226"/>
      <c r="E1021" s="226"/>
      <c r="F1021" s="299">
        <v>11</v>
      </c>
      <c r="G1021" s="300">
        <f>H1021+I1021</f>
        <v>421</v>
      </c>
      <c r="H1021" s="1556">
        <v>368</v>
      </c>
      <c r="I1021" s="1557">
        <v>53</v>
      </c>
    </row>
    <row r="1022" spans="2:9" ht="16.5" thickTop="1" thickBot="1" x14ac:dyDescent="0.3">
      <c r="B1022" s="236"/>
      <c r="F1022" s="301"/>
      <c r="G1022" s="405" t="str">
        <f>IF(SUM(G1024:G1028)=G1019,"","Uwaga! "&amp;SUM(G1024:G1028))</f>
        <v/>
      </c>
      <c r="H1022" s="405" t="str">
        <f>IF(SUM(H1024:H1028)=H1019,"","Uwaga! "&amp;SUM(H1024:H1028))</f>
        <v/>
      </c>
      <c r="I1022" s="405" t="str">
        <f>IF(SUM(I1024:I1028)=I1019,"","Uwaga! "&amp;SUM(I1024:I1028))</f>
        <v/>
      </c>
    </row>
    <row r="1023" spans="2:9" ht="15.75" thickTop="1" x14ac:dyDescent="0.25">
      <c r="B1023" s="213" t="s">
        <v>183</v>
      </c>
      <c r="C1023" s="246"/>
      <c r="D1023" s="246"/>
      <c r="E1023" s="246"/>
      <c r="F1023" s="304"/>
      <c r="G1023" s="305" t="s">
        <v>142</v>
      </c>
      <c r="H1023" s="305" t="s">
        <v>142</v>
      </c>
      <c r="I1023" s="306" t="s">
        <v>142</v>
      </c>
    </row>
    <row r="1024" spans="2:9" x14ac:dyDescent="0.25">
      <c r="B1024" s="247" t="s">
        <v>52</v>
      </c>
      <c r="C1024" s="223"/>
      <c r="D1024" s="223"/>
      <c r="E1024" s="223"/>
      <c r="F1024" s="307">
        <v>12</v>
      </c>
      <c r="G1024" s="1111">
        <f>H1024+I1024</f>
        <v>14</v>
      </c>
      <c r="H1024" s="1561">
        <v>14</v>
      </c>
      <c r="I1024" s="1568">
        <v>0</v>
      </c>
    </row>
    <row r="1025" spans="2:9" x14ac:dyDescent="0.25">
      <c r="B1025" s="247" t="s">
        <v>53</v>
      </c>
      <c r="C1025" s="223"/>
      <c r="D1025" s="223"/>
      <c r="E1025" s="223"/>
      <c r="F1025" s="307">
        <v>13</v>
      </c>
      <c r="G1025" s="1111">
        <f>H1025+I1025</f>
        <v>452</v>
      </c>
      <c r="H1025" s="1561">
        <v>432</v>
      </c>
      <c r="I1025" s="1568">
        <v>20</v>
      </c>
    </row>
    <row r="1026" spans="2:9" x14ac:dyDescent="0.25">
      <c r="B1026" s="247" t="s">
        <v>54</v>
      </c>
      <c r="C1026" s="223"/>
      <c r="D1026" s="223"/>
      <c r="E1026" s="223"/>
      <c r="F1026" s="307">
        <v>14</v>
      </c>
      <c r="G1026" s="1111">
        <f>H1026+I1026</f>
        <v>1014</v>
      </c>
      <c r="H1026" s="1561">
        <v>944</v>
      </c>
      <c r="I1026" s="1568">
        <v>70</v>
      </c>
    </row>
    <row r="1027" spans="2:9" x14ac:dyDescent="0.25">
      <c r="B1027" s="247" t="s">
        <v>55</v>
      </c>
      <c r="C1027" s="223"/>
      <c r="D1027" s="223"/>
      <c r="E1027" s="223"/>
      <c r="F1027" s="307">
        <v>15</v>
      </c>
      <c r="G1027" s="1111">
        <f>H1027+I1027</f>
        <v>777</v>
      </c>
      <c r="H1027" s="1561">
        <v>675</v>
      </c>
      <c r="I1027" s="1568">
        <v>102</v>
      </c>
    </row>
    <row r="1028" spans="2:9" ht="15.75" thickBot="1" x14ac:dyDescent="0.3">
      <c r="B1028" s="248" t="s">
        <v>56</v>
      </c>
      <c r="C1028" s="224"/>
      <c r="D1028" s="224"/>
      <c r="E1028" s="224"/>
      <c r="F1028" s="308">
        <v>16</v>
      </c>
      <c r="G1028" s="1112">
        <f>H1028+I1028</f>
        <v>954</v>
      </c>
      <c r="H1028" s="1569">
        <v>764</v>
      </c>
      <c r="I1028" s="1570">
        <v>190</v>
      </c>
    </row>
    <row r="1029" spans="2:9" ht="16.5" thickTop="1" thickBot="1" x14ac:dyDescent="0.3">
      <c r="B1029" s="236"/>
      <c r="C1029" s="225"/>
      <c r="D1029" s="225"/>
      <c r="E1029" s="225"/>
      <c r="F1029" s="310"/>
      <c r="G1029" s="311"/>
      <c r="H1029" s="312"/>
      <c r="I1029" s="312"/>
    </row>
    <row r="1030" spans="2:9" ht="15.75" thickTop="1" x14ac:dyDescent="0.25">
      <c r="B1030" s="249" t="s">
        <v>184</v>
      </c>
      <c r="C1030" s="227"/>
      <c r="D1030" s="227"/>
      <c r="E1030" s="227"/>
      <c r="F1030" s="313"/>
      <c r="G1030" s="314"/>
      <c r="H1030" s="315"/>
      <c r="I1030" s="316"/>
    </row>
    <row r="1031" spans="2:9" x14ac:dyDescent="0.25">
      <c r="B1031" s="245" t="s">
        <v>179</v>
      </c>
      <c r="C1031" s="222"/>
      <c r="D1031" s="222"/>
      <c r="E1031" s="222"/>
      <c r="F1031" s="297">
        <v>17</v>
      </c>
      <c r="G1031" s="689">
        <f>H1031+I1031</f>
        <v>1731</v>
      </c>
      <c r="H1031" s="689">
        <f>H1033+H1039</f>
        <v>1577</v>
      </c>
      <c r="I1031" s="690">
        <f>I1033+I1039</f>
        <v>154</v>
      </c>
    </row>
    <row r="1032" spans="2:9" x14ac:dyDescent="0.25">
      <c r="B1032" s="233"/>
      <c r="C1032" s="240" t="s">
        <v>49</v>
      </c>
      <c r="D1032" s="225"/>
      <c r="E1032" s="225"/>
      <c r="F1032" s="286"/>
      <c r="G1032" s="287"/>
      <c r="H1032" s="288"/>
      <c r="I1032" s="289"/>
    </row>
    <row r="1033" spans="2:9" x14ac:dyDescent="0.25">
      <c r="B1033" s="233"/>
      <c r="C1033" s="222" t="s">
        <v>154</v>
      </c>
      <c r="D1033" s="222"/>
      <c r="E1033" s="222"/>
      <c r="F1033" s="297">
        <v>18</v>
      </c>
      <c r="G1033" s="291">
        <f>H1033+I1033</f>
        <v>1726</v>
      </c>
      <c r="H1033" s="317">
        <f>SUM(H1035:H1038)</f>
        <v>1572</v>
      </c>
      <c r="I1033" s="318">
        <f>SUM(I1035:I1038)</f>
        <v>154</v>
      </c>
    </row>
    <row r="1034" spans="2:9" x14ac:dyDescent="0.25">
      <c r="B1034" s="233"/>
      <c r="C1034" s="225"/>
      <c r="D1034" s="240" t="s">
        <v>155</v>
      </c>
      <c r="E1034" s="225"/>
      <c r="F1034" s="286"/>
      <c r="G1034" s="287"/>
      <c r="H1034" s="288"/>
      <c r="I1034" s="289"/>
    </row>
    <row r="1035" spans="2:9" x14ac:dyDescent="0.25">
      <c r="B1035" s="233"/>
      <c r="C1035" s="225"/>
      <c r="D1035" s="222" t="s">
        <v>178</v>
      </c>
      <c r="E1035" s="222"/>
      <c r="F1035" s="297">
        <v>19</v>
      </c>
      <c r="G1035" s="291">
        <f t="shared" ref="G1035:G1040" si="19">H1035+I1035</f>
        <v>1591</v>
      </c>
      <c r="H1035" s="1550">
        <v>1449</v>
      </c>
      <c r="I1035" s="1551">
        <v>142</v>
      </c>
    </row>
    <row r="1036" spans="2:9" x14ac:dyDescent="0.25">
      <c r="B1036" s="233"/>
      <c r="C1036" s="225"/>
      <c r="D1036" s="223" t="s">
        <v>151</v>
      </c>
      <c r="E1036" s="223"/>
      <c r="F1036" s="307">
        <v>20</v>
      </c>
      <c r="G1036" s="296">
        <f t="shared" si="19"/>
        <v>132</v>
      </c>
      <c r="H1036" s="1554">
        <v>120</v>
      </c>
      <c r="I1036" s="1555">
        <v>12</v>
      </c>
    </row>
    <row r="1037" spans="2:9" x14ac:dyDescent="0.25">
      <c r="B1037" s="233"/>
      <c r="C1037" s="225"/>
      <c r="D1037" s="223" t="s">
        <v>149</v>
      </c>
      <c r="E1037" s="223"/>
      <c r="F1037" s="307">
        <v>21</v>
      </c>
      <c r="G1037" s="296">
        <f t="shared" si="19"/>
        <v>0</v>
      </c>
      <c r="H1037" s="1554">
        <v>0</v>
      </c>
      <c r="I1037" s="1555">
        <v>0</v>
      </c>
    </row>
    <row r="1038" spans="2:9" x14ac:dyDescent="0.25">
      <c r="B1038" s="233"/>
      <c r="C1038" s="225"/>
      <c r="D1038" s="222" t="s">
        <v>152</v>
      </c>
      <c r="E1038" s="222"/>
      <c r="F1038" s="297">
        <v>22</v>
      </c>
      <c r="G1038" s="291">
        <f t="shared" si="19"/>
        <v>3</v>
      </c>
      <c r="H1038" s="1550">
        <v>3</v>
      </c>
      <c r="I1038" s="1551">
        <v>0</v>
      </c>
    </row>
    <row r="1039" spans="2:9" x14ac:dyDescent="0.25">
      <c r="B1039" s="233"/>
      <c r="C1039" s="222" t="s">
        <v>156</v>
      </c>
      <c r="D1039" s="222"/>
      <c r="E1039" s="222"/>
      <c r="F1039" s="297">
        <v>23</v>
      </c>
      <c r="G1039" s="291">
        <f t="shared" si="19"/>
        <v>5</v>
      </c>
      <c r="H1039" s="1550">
        <v>5</v>
      </c>
      <c r="I1039" s="1551">
        <v>0</v>
      </c>
    </row>
    <row r="1040" spans="2:9" x14ac:dyDescent="0.25">
      <c r="B1040" s="233"/>
      <c r="C1040" s="223" t="s">
        <v>150</v>
      </c>
      <c r="D1040" s="223"/>
      <c r="E1040" s="223"/>
      <c r="F1040" s="307">
        <v>24</v>
      </c>
      <c r="G1040" s="296">
        <f t="shared" si="19"/>
        <v>79</v>
      </c>
      <c r="H1040" s="1554">
        <v>69</v>
      </c>
      <c r="I1040" s="1555">
        <v>10</v>
      </c>
    </row>
    <row r="1041" spans="2:9" x14ac:dyDescent="0.25">
      <c r="B1041" s="233"/>
      <c r="C1041" s="250" t="s">
        <v>157</v>
      </c>
      <c r="D1041" s="250"/>
      <c r="E1041" s="250"/>
      <c r="F1041" s="319"/>
      <c r="G1041" s="320"/>
      <c r="H1041" s="321"/>
      <c r="I1041" s="322"/>
    </row>
    <row r="1042" spans="2:9" ht="15.75" thickBot="1" x14ac:dyDescent="0.3">
      <c r="B1042" s="244"/>
      <c r="C1042" s="226" t="s">
        <v>148</v>
      </c>
      <c r="D1042" s="226"/>
      <c r="E1042" s="226"/>
      <c r="F1042" s="299">
        <v>25</v>
      </c>
      <c r="G1042" s="300">
        <f>H1042+I1042</f>
        <v>0</v>
      </c>
      <c r="H1042" s="1556">
        <v>0</v>
      </c>
      <c r="I1042" s="1557">
        <v>0</v>
      </c>
    </row>
    <row r="1043" spans="2:9" ht="16.5" thickTop="1" thickBot="1" x14ac:dyDescent="0.3">
      <c r="F1043" s="301"/>
      <c r="G1043" s="302"/>
      <c r="H1043" s="303"/>
      <c r="I1043" s="303"/>
    </row>
    <row r="1044" spans="2:9" ht="15.75" thickTop="1" x14ac:dyDescent="0.25">
      <c r="B1044" s="261" t="s">
        <v>174</v>
      </c>
      <c r="C1044" s="262"/>
      <c r="D1044" s="263"/>
      <c r="E1044" s="246"/>
      <c r="F1044" s="323">
        <v>26</v>
      </c>
      <c r="G1044" s="1109">
        <f>H1044+I1044</f>
        <v>1480</v>
      </c>
      <c r="H1044" s="1109">
        <f>H1046+H1051</f>
        <v>1252</v>
      </c>
      <c r="I1044" s="1108">
        <f>I1046+I1051</f>
        <v>228</v>
      </c>
    </row>
    <row r="1045" spans="2:9" x14ac:dyDescent="0.25">
      <c r="B1045" s="233"/>
      <c r="C1045" s="240" t="s">
        <v>50</v>
      </c>
      <c r="D1045" s="225"/>
      <c r="E1045" s="225"/>
      <c r="F1045" s="286"/>
      <c r="G1045" s="287"/>
      <c r="H1045" s="288"/>
      <c r="I1045" s="289"/>
    </row>
    <row r="1046" spans="2:9" x14ac:dyDescent="0.25">
      <c r="B1046" s="233"/>
      <c r="C1046" s="222" t="s">
        <v>185</v>
      </c>
      <c r="D1046" s="222"/>
      <c r="E1046" s="222"/>
      <c r="F1046" s="297">
        <v>27</v>
      </c>
      <c r="G1046" s="291">
        <f>H1046+I1046</f>
        <v>44</v>
      </c>
      <c r="H1046" s="291">
        <f>SUM(H1048:H1050)</f>
        <v>28</v>
      </c>
      <c r="I1046" s="298">
        <f>SUM(I1048:I1050)</f>
        <v>16</v>
      </c>
    </row>
    <row r="1047" spans="2:9" x14ac:dyDescent="0.25">
      <c r="B1047" s="233"/>
      <c r="C1047" s="225"/>
      <c r="D1047" s="240" t="s">
        <v>190</v>
      </c>
      <c r="E1047" s="225"/>
      <c r="F1047" s="286"/>
      <c r="G1047" s="390" t="str">
        <f>IF(SUM(G1048:G1050)=G1046, "", G1046-SUM(G1048:G1050))</f>
        <v/>
      </c>
      <c r="H1047" s="390" t="str">
        <f>IF(SUM(H1048:H1050)=H1046, "", H1046-SUM(H1048:H1050))</f>
        <v/>
      </c>
      <c r="I1047" s="398" t="str">
        <f>IF(SUM(I1048:I1050)=I1046, "", I1046-SUM(I1048:I1050))</f>
        <v/>
      </c>
    </row>
    <row r="1048" spans="2:9" x14ac:dyDescent="0.25">
      <c r="B1048" s="233"/>
      <c r="C1048" s="225"/>
      <c r="D1048" s="222" t="s">
        <v>186</v>
      </c>
      <c r="E1048" s="222"/>
      <c r="F1048" s="297">
        <v>28</v>
      </c>
      <c r="G1048" s="291">
        <f>H1048+I1048</f>
        <v>12</v>
      </c>
      <c r="H1048" s="1550">
        <v>7</v>
      </c>
      <c r="I1048" s="1551">
        <v>5</v>
      </c>
    </row>
    <row r="1049" spans="2:9" x14ac:dyDescent="0.25">
      <c r="B1049" s="233"/>
      <c r="C1049" s="225"/>
      <c r="D1049" s="223" t="s">
        <v>187</v>
      </c>
      <c r="E1049" s="225"/>
      <c r="F1049" s="297">
        <v>29</v>
      </c>
      <c r="G1049" s="291">
        <f>H1049+I1049</f>
        <v>0</v>
      </c>
      <c r="H1049" s="1550">
        <v>0</v>
      </c>
      <c r="I1049" s="1551">
        <v>0</v>
      </c>
    </row>
    <row r="1050" spans="2:9" x14ac:dyDescent="0.25">
      <c r="B1050" s="233"/>
      <c r="C1050" s="225"/>
      <c r="D1050" s="223" t="s">
        <v>188</v>
      </c>
      <c r="E1050" s="223"/>
      <c r="F1050" s="307">
        <v>30</v>
      </c>
      <c r="G1050" s="296">
        <f>H1050+I1050</f>
        <v>32</v>
      </c>
      <c r="H1050" s="1554">
        <v>21</v>
      </c>
      <c r="I1050" s="1555">
        <v>11</v>
      </c>
    </row>
    <row r="1051" spans="2:9" x14ac:dyDescent="0.25">
      <c r="B1051" s="233"/>
      <c r="C1051" s="222" t="s">
        <v>189</v>
      </c>
      <c r="D1051" s="222"/>
      <c r="E1051" s="222"/>
      <c r="F1051" s="297">
        <v>31</v>
      </c>
      <c r="G1051" s="689">
        <f>H1051+I1051</f>
        <v>1436</v>
      </c>
      <c r="H1051" s="689">
        <f>SUM(H1053:H1056)</f>
        <v>1224</v>
      </c>
      <c r="I1051" s="690">
        <f>SUM(I1053:I1056)</f>
        <v>212</v>
      </c>
    </row>
    <row r="1052" spans="2:9" x14ac:dyDescent="0.25">
      <c r="B1052" s="233"/>
      <c r="C1052" s="225"/>
      <c r="D1052" s="240" t="s">
        <v>191</v>
      </c>
      <c r="E1052" s="225"/>
      <c r="F1052" s="286"/>
      <c r="G1052" s="287" t="str">
        <f>IF(SUM(G1053:G1056)=G1051, "", G1051-SUM(G1053:G1056))</f>
        <v/>
      </c>
      <c r="H1052" s="288" t="str">
        <f>IF(SUM(H1053:H1056)=H1051, "", H1051-SUM(H1053:H1056))</f>
        <v/>
      </c>
      <c r="I1052" s="289" t="str">
        <f>IF(SUM(I1053:I1056)=I1051, "", I1051-SUM(I1053:I1056))</f>
        <v/>
      </c>
    </row>
    <row r="1053" spans="2:9" x14ac:dyDescent="0.25">
      <c r="B1053" s="233"/>
      <c r="C1053" s="225"/>
      <c r="D1053" s="222" t="s">
        <v>186</v>
      </c>
      <c r="E1053" s="222"/>
      <c r="F1053" s="297">
        <v>32</v>
      </c>
      <c r="G1053" s="291">
        <f>H1053+I1053</f>
        <v>1321</v>
      </c>
      <c r="H1053" s="1550">
        <v>1130</v>
      </c>
      <c r="I1053" s="1551">
        <v>191</v>
      </c>
    </row>
    <row r="1054" spans="2:9" x14ac:dyDescent="0.25">
      <c r="B1054" s="233"/>
      <c r="C1054" s="225"/>
      <c r="D1054" s="222" t="s">
        <v>187</v>
      </c>
      <c r="E1054" s="222"/>
      <c r="F1054" s="297">
        <v>33</v>
      </c>
      <c r="G1054" s="291">
        <f>H1054+I1054</f>
        <v>4</v>
      </c>
      <c r="H1054" s="1550">
        <v>4</v>
      </c>
      <c r="I1054" s="1551">
        <v>0</v>
      </c>
    </row>
    <row r="1055" spans="2:9" x14ac:dyDescent="0.25">
      <c r="B1055" s="233"/>
      <c r="C1055" s="225"/>
      <c r="D1055" s="222" t="s">
        <v>188</v>
      </c>
      <c r="E1055" s="222"/>
      <c r="F1055" s="297">
        <v>34</v>
      </c>
      <c r="G1055" s="291">
        <f>H1055+I1055</f>
        <v>109</v>
      </c>
      <c r="H1055" s="1550">
        <v>88</v>
      </c>
      <c r="I1055" s="1551">
        <v>21</v>
      </c>
    </row>
    <row r="1056" spans="2:9" ht="15.75" thickBot="1" x14ac:dyDescent="0.3">
      <c r="B1056" s="234"/>
      <c r="C1056" s="235"/>
      <c r="D1056" s="259" t="s">
        <v>153</v>
      </c>
      <c r="E1056" s="259"/>
      <c r="F1056" s="325">
        <v>35</v>
      </c>
      <c r="G1056" s="697">
        <f>H1056+I1056</f>
        <v>2</v>
      </c>
      <c r="H1056" s="1567">
        <v>2</v>
      </c>
      <c r="I1056" s="1563">
        <v>0</v>
      </c>
    </row>
    <row r="1057" spans="1:9" x14ac:dyDescent="0.25">
      <c r="B1057" s="260" t="s">
        <v>177</v>
      </c>
      <c r="C1057" s="242"/>
      <c r="D1057" s="242"/>
      <c r="E1057" s="242"/>
      <c r="F1057" s="327">
        <v>36</v>
      </c>
      <c r="G1057" s="285">
        <f>H1057+I1057</f>
        <v>1474</v>
      </c>
      <c r="H1057" s="784">
        <f>H1048+H1050+H1053+H1055</f>
        <v>1246</v>
      </c>
      <c r="I1057" s="328">
        <f>I1048+I1050+I1053+I1055</f>
        <v>228</v>
      </c>
    </row>
    <row r="1058" spans="1:9" x14ac:dyDescent="0.25">
      <c r="B1058" s="233"/>
      <c r="C1058" s="240" t="s">
        <v>155</v>
      </c>
      <c r="D1058" s="225"/>
      <c r="E1058" s="250"/>
      <c r="F1058" s="286"/>
      <c r="G1058" s="390" t="str">
        <f>IF(SUM(G1059:G1061)=G1057, "", G1057-SUM(G1059:G1061))</f>
        <v/>
      </c>
      <c r="H1058" s="390" t="str">
        <f>IF(SUM(H1059:H1061)=H1057, "", H1057-SUM(H1059:H1061))</f>
        <v/>
      </c>
      <c r="I1058" s="398" t="str">
        <f>IF(SUM(I1059:I1061)=I1057, "", I1057-SUM(I1059:I1061))</f>
        <v/>
      </c>
    </row>
    <row r="1059" spans="1:9" x14ac:dyDescent="0.25">
      <c r="B1059" s="233"/>
      <c r="C1059" s="222" t="s">
        <v>178</v>
      </c>
      <c r="D1059" s="222"/>
      <c r="E1059" s="222"/>
      <c r="F1059" s="297">
        <v>37</v>
      </c>
      <c r="G1059" s="291">
        <f>H1059+I1059</f>
        <v>1228</v>
      </c>
      <c r="H1059" s="1550">
        <v>1027</v>
      </c>
      <c r="I1059" s="1551">
        <v>201</v>
      </c>
    </row>
    <row r="1060" spans="1:9" x14ac:dyDescent="0.25">
      <c r="B1060" s="233"/>
      <c r="C1060" s="223" t="s">
        <v>151</v>
      </c>
      <c r="D1060" s="223"/>
      <c r="E1060" s="223"/>
      <c r="F1060" s="307">
        <v>38</v>
      </c>
      <c r="G1060" s="296">
        <f>H1060+I1060</f>
        <v>231</v>
      </c>
      <c r="H1060" s="1554">
        <v>209</v>
      </c>
      <c r="I1060" s="1555">
        <v>22</v>
      </c>
    </row>
    <row r="1061" spans="1:9" ht="15.75" thickBot="1" x14ac:dyDescent="0.3">
      <c r="B1061" s="244"/>
      <c r="C1061" s="226" t="s">
        <v>152</v>
      </c>
      <c r="D1061" s="226"/>
      <c r="E1061" s="226"/>
      <c r="F1061" s="299">
        <v>39</v>
      </c>
      <c r="G1061" s="300">
        <f>H1061+I1061</f>
        <v>15</v>
      </c>
      <c r="H1061" s="1556">
        <v>10</v>
      </c>
      <c r="I1061" s="1557">
        <v>5</v>
      </c>
    </row>
    <row r="1062" spans="1:9" ht="15.75" thickTop="1" x14ac:dyDescent="0.25">
      <c r="G1062" s="412" t="str">
        <f>IF(SUM(G1059:G1061)=G1057, "", SUM(G1059:G1061))</f>
        <v/>
      </c>
      <c r="H1062" s="412" t="str">
        <f>IF(SUM(H1059:H1061)=H1057, "", SUM(H1059:H1061))</f>
        <v/>
      </c>
      <c r="I1062" s="412" t="str">
        <f>IF(SUM(I1059:I1061)=I1057, "", SUM(I1059:I1061))</f>
        <v/>
      </c>
    </row>
    <row r="1063" spans="1:9" x14ac:dyDescent="0.25">
      <c r="B1063" s="221" t="s">
        <v>123</v>
      </c>
      <c r="D1063" s="220" t="s">
        <v>180</v>
      </c>
      <c r="H1063" t="s">
        <v>182</v>
      </c>
    </row>
    <row r="1064" spans="1:9" x14ac:dyDescent="0.25">
      <c r="B1064" s="221" t="s">
        <v>181</v>
      </c>
      <c r="D1064" s="220" t="s">
        <v>180</v>
      </c>
      <c r="H1064" s="256" t="s">
        <v>126</v>
      </c>
    </row>
    <row r="1066" spans="1:9" ht="26.25" x14ac:dyDescent="0.4">
      <c r="A1066" s="267" t="s">
        <v>206</v>
      </c>
      <c r="B1066" s="221" t="s">
        <v>116</v>
      </c>
      <c r="C1066" s="212"/>
      <c r="D1066" s="220"/>
      <c r="E1066" s="220"/>
      <c r="F1066" s="212"/>
      <c r="G1066" s="220"/>
      <c r="H1066" s="220"/>
      <c r="I1066" s="256" t="s">
        <v>175</v>
      </c>
    </row>
    <row r="1067" spans="1:9" x14ac:dyDescent="0.25">
      <c r="B1067" s="257" t="s">
        <v>129</v>
      </c>
      <c r="C1067" s="212"/>
      <c r="D1067" s="220"/>
      <c r="E1067" s="257"/>
      <c r="F1067" s="220"/>
      <c r="G1067" s="220"/>
      <c r="H1067" s="220"/>
      <c r="I1067" s="220"/>
    </row>
    <row r="1068" spans="1:9" ht="15.75" x14ac:dyDescent="0.25">
      <c r="B1068" s="221" t="s">
        <v>128</v>
      </c>
      <c r="C1068" s="212"/>
      <c r="D1068" s="220"/>
      <c r="F1068" s="220"/>
      <c r="G1068" s="220"/>
      <c r="H1068" s="1721" t="str">
        <f>$H$80</f>
        <v>Termin: 29 luty 2012 r.</v>
      </c>
      <c r="I1068" s="1721"/>
    </row>
    <row r="1069" spans="1:9" x14ac:dyDescent="0.25">
      <c r="B1069" s="258"/>
      <c r="C1069" s="212"/>
      <c r="D1069" s="220"/>
      <c r="E1069" s="220"/>
      <c r="F1069" s="220"/>
      <c r="G1069" s="220"/>
      <c r="H1069" s="220"/>
      <c r="I1069" s="220"/>
    </row>
    <row r="1070" spans="1:9" x14ac:dyDescent="0.25">
      <c r="B1070" s="221" t="s">
        <v>130</v>
      </c>
      <c r="C1070" s="212"/>
      <c r="D1070" s="220"/>
      <c r="E1070" s="220"/>
      <c r="F1070" s="220"/>
      <c r="G1070" s="220"/>
      <c r="H1070" s="220"/>
      <c r="I1070" s="220"/>
    </row>
    <row r="1071" spans="1:9" x14ac:dyDescent="0.25">
      <c r="B1071" s="221" t="s">
        <v>131</v>
      </c>
      <c r="C1071" s="212"/>
      <c r="D1071" s="220"/>
      <c r="E1071" s="220"/>
      <c r="F1071" s="220"/>
      <c r="G1071" s="220"/>
      <c r="H1071" s="220"/>
      <c r="I1071" s="220"/>
    </row>
    <row r="1072" spans="1:9" ht="15.75" x14ac:dyDescent="0.25">
      <c r="B1072" s="1"/>
      <c r="C1072" s="255"/>
      <c r="D1072" s="12"/>
      <c r="E1072" s="12"/>
      <c r="F1072" s="12"/>
      <c r="G1072" s="12"/>
      <c r="H1072" s="12"/>
      <c r="I1072" s="12"/>
    </row>
    <row r="1073" spans="2:9" ht="15.75" x14ac:dyDescent="0.25">
      <c r="B1073" s="1"/>
      <c r="C1073" s="255"/>
      <c r="D1073" s="12"/>
      <c r="E1073" s="1" t="s">
        <v>47</v>
      </c>
      <c r="F1073" s="12"/>
      <c r="G1073" s="12"/>
      <c r="H1073" s="12"/>
      <c r="I1073" s="12"/>
    </row>
    <row r="1074" spans="2:9" ht="15.75" x14ac:dyDescent="0.25">
      <c r="B1074" s="1"/>
      <c r="C1074" s="255"/>
      <c r="D1074" s="12"/>
      <c r="E1074" s="1" t="s">
        <v>176</v>
      </c>
      <c r="F1074" s="12"/>
      <c r="G1074" s="12"/>
      <c r="H1074" s="12"/>
      <c r="I1074" s="12"/>
    </row>
    <row r="1075" spans="2:9" ht="15.75" x14ac:dyDescent="0.25">
      <c r="B1075" s="1"/>
      <c r="C1075" s="255"/>
      <c r="D1075" s="12"/>
      <c r="E1075" s="1162" t="str">
        <f>$E$11</f>
        <v>SAMORZĄDÓW  POWIATOWYCH  I  PODMIOTÓW  NIEPUBLICZNYCH  W 2011 r.</v>
      </c>
      <c r="F1075" s="12"/>
      <c r="G1075" s="12"/>
      <c r="H1075" s="12"/>
      <c r="I1075" s="12"/>
    </row>
    <row r="1076" spans="2:9" ht="15.75" x14ac:dyDescent="0.25">
      <c r="B1076" s="1"/>
      <c r="C1076" s="255"/>
      <c r="D1076" s="12"/>
      <c r="E1076" s="12"/>
      <c r="F1076" s="12"/>
      <c r="G1076" s="12"/>
      <c r="H1076" s="12"/>
      <c r="I1076" s="12"/>
    </row>
    <row r="1077" spans="2:9" ht="15.75" thickBot="1" x14ac:dyDescent="0.3"/>
    <row r="1078" spans="2:9" ht="16.5" thickTop="1" x14ac:dyDescent="0.25">
      <c r="B1078" s="214"/>
      <c r="C1078" s="227"/>
      <c r="D1078" s="227"/>
      <c r="E1078" s="227"/>
      <c r="F1078" s="252"/>
      <c r="G1078" s="229" t="s">
        <v>48</v>
      </c>
      <c r="H1078" s="1722" t="s">
        <v>20</v>
      </c>
      <c r="I1078" s="1723"/>
    </row>
    <row r="1079" spans="2:9" ht="15.75" x14ac:dyDescent="0.25">
      <c r="B1079" s="215"/>
      <c r="C1079" s="225"/>
      <c r="D1079" s="225"/>
      <c r="E1079" s="225" t="s">
        <v>21</v>
      </c>
      <c r="F1079" s="253"/>
      <c r="G1079" s="230" t="s">
        <v>5</v>
      </c>
      <c r="H1079" s="216" t="s">
        <v>22</v>
      </c>
      <c r="I1079" s="217" t="s">
        <v>23</v>
      </c>
    </row>
    <row r="1080" spans="2:9" ht="15.75" x14ac:dyDescent="0.25">
      <c r="B1080" s="194"/>
      <c r="C1080" s="225"/>
      <c r="D1080" s="225"/>
      <c r="E1080" s="225"/>
      <c r="F1080" s="253"/>
      <c r="G1080" s="218" t="s">
        <v>24</v>
      </c>
      <c r="H1080" s="218" t="s">
        <v>25</v>
      </c>
      <c r="I1080" s="219" t="s">
        <v>26</v>
      </c>
    </row>
    <row r="1081" spans="2:9" ht="15.75" thickBot="1" x14ac:dyDescent="0.3">
      <c r="B1081" s="61"/>
      <c r="C1081" s="228"/>
      <c r="D1081" s="228"/>
      <c r="E1081" s="211">
        <v>0</v>
      </c>
      <c r="F1081" s="254"/>
      <c r="G1081" s="2">
        <v>1</v>
      </c>
      <c r="H1081" s="2">
        <v>2</v>
      </c>
      <c r="I1081" s="7">
        <v>3</v>
      </c>
    </row>
    <row r="1082" spans="2:9" ht="16.5" thickTop="1" thickBot="1" x14ac:dyDescent="0.3">
      <c r="B1082" s="231"/>
      <c r="G1082" s="793"/>
      <c r="H1082" s="793"/>
      <c r="I1082" s="793"/>
    </row>
    <row r="1083" spans="2:9" ht="16.5" thickTop="1" thickBot="1" x14ac:dyDescent="0.3">
      <c r="B1083" s="1168" t="str">
        <f>$B$19</f>
        <v>Wg stanu na dzień 31.XII.2010 r.</v>
      </c>
      <c r="C1083" s="232"/>
      <c r="D1083" s="232"/>
      <c r="E1083" s="232"/>
      <c r="F1083" s="282" t="s">
        <v>165</v>
      </c>
      <c r="G1083" s="698">
        <f>H1083+I1083</f>
        <v>3453</v>
      </c>
      <c r="H1083" s="1564">
        <v>2832</v>
      </c>
      <c r="I1083" s="1565">
        <v>621</v>
      </c>
    </row>
    <row r="1084" spans="2:9" x14ac:dyDescent="0.25">
      <c r="B1084" s="1169" t="str">
        <f>$B$20</f>
        <v>Przyjętych w ciągu 2011 r.</v>
      </c>
      <c r="C1084" s="242"/>
      <c r="D1084" s="242"/>
      <c r="E1084" s="242"/>
      <c r="F1084" s="284" t="s">
        <v>166</v>
      </c>
      <c r="G1084" s="699">
        <f>H1084+I1084</f>
        <v>447</v>
      </c>
      <c r="H1084" s="1113">
        <f>H1086+H1087</f>
        <v>352</v>
      </c>
      <c r="I1084" s="785">
        <f>I1086+I1087</f>
        <v>95</v>
      </c>
    </row>
    <row r="1085" spans="2:9" x14ac:dyDescent="0.25">
      <c r="B1085" s="233"/>
      <c r="C1085" s="241" t="s">
        <v>49</v>
      </c>
      <c r="D1085" s="225"/>
      <c r="E1085" s="225"/>
      <c r="F1085" s="286"/>
      <c r="G1085" s="700" t="str">
        <f>IF(SUM(G1086:G1087)=G1084, "", SUM(G1086:G1087))</f>
        <v/>
      </c>
      <c r="H1085" s="701" t="str">
        <f>IF(SUM(H1086:H1087)=H1084, "", SUM(H1086:H1087))</f>
        <v/>
      </c>
      <c r="I1085" s="702"/>
    </row>
    <row r="1086" spans="2:9" x14ac:dyDescent="0.25">
      <c r="B1086" s="233"/>
      <c r="C1086" s="237" t="s">
        <v>158</v>
      </c>
      <c r="D1086" s="222"/>
      <c r="E1086" s="222"/>
      <c r="F1086" s="290" t="s">
        <v>167</v>
      </c>
      <c r="G1086" s="689">
        <f>H1086+I1086</f>
        <v>16</v>
      </c>
      <c r="H1086" s="1560">
        <v>14</v>
      </c>
      <c r="I1086" s="1566">
        <v>2</v>
      </c>
    </row>
    <row r="1087" spans="2:9" ht="15.75" thickBot="1" x14ac:dyDescent="0.3">
      <c r="B1087" s="234"/>
      <c r="C1087" s="238" t="s">
        <v>159</v>
      </c>
      <c r="D1087" s="235"/>
      <c r="E1087" s="235"/>
      <c r="F1087" s="292" t="s">
        <v>168</v>
      </c>
      <c r="G1087" s="703">
        <f>H1087+I1087</f>
        <v>431</v>
      </c>
      <c r="H1087" s="1571">
        <v>338</v>
      </c>
      <c r="I1087" s="1572">
        <v>93</v>
      </c>
    </row>
    <row r="1088" spans="2:9" x14ac:dyDescent="0.25">
      <c r="B1088" s="1170" t="str">
        <f>$B$24</f>
        <v>Odeszło w ciągu 2011 r. (w.06 do w.09)</v>
      </c>
      <c r="C1088" s="242"/>
      <c r="D1088" s="242"/>
      <c r="E1088" s="242"/>
      <c r="F1088" s="284" t="s">
        <v>169</v>
      </c>
      <c r="G1088" s="285">
        <f>H1088+I1088</f>
        <v>476</v>
      </c>
      <c r="H1088" s="285">
        <f>SUM(H1090:H1093)</f>
        <v>348</v>
      </c>
      <c r="I1088" s="294">
        <f>SUM(I1090:I1093)</f>
        <v>128</v>
      </c>
    </row>
    <row r="1089" spans="2:9" x14ac:dyDescent="0.25">
      <c r="B1089" s="251"/>
      <c r="C1089" s="240" t="s">
        <v>49</v>
      </c>
      <c r="D1089" s="225"/>
      <c r="E1089" s="225"/>
      <c r="F1089" s="286"/>
      <c r="G1089" s="287"/>
      <c r="H1089" s="288"/>
      <c r="I1089" s="289"/>
    </row>
    <row r="1090" spans="2:9" x14ac:dyDescent="0.25">
      <c r="B1090" s="233"/>
      <c r="C1090" s="237" t="s">
        <v>160</v>
      </c>
      <c r="D1090" s="222"/>
      <c r="E1090" s="222"/>
      <c r="F1090" s="290" t="s">
        <v>170</v>
      </c>
      <c r="G1090" s="291">
        <f>H1090+I1090</f>
        <v>99</v>
      </c>
      <c r="H1090" s="1550">
        <v>38</v>
      </c>
      <c r="I1090" s="1551">
        <v>61</v>
      </c>
    </row>
    <row r="1091" spans="2:9" x14ac:dyDescent="0.25">
      <c r="B1091" s="233"/>
      <c r="C1091" s="243" t="s">
        <v>161</v>
      </c>
      <c r="D1091" s="223"/>
      <c r="E1091" s="223"/>
      <c r="F1091" s="295" t="s">
        <v>171</v>
      </c>
      <c r="G1091" s="296">
        <f>H1091+I1091</f>
        <v>27</v>
      </c>
      <c r="H1091" s="1554">
        <v>16</v>
      </c>
      <c r="I1091" s="1555">
        <v>11</v>
      </c>
    </row>
    <row r="1092" spans="2:9" x14ac:dyDescent="0.25">
      <c r="B1092" s="233"/>
      <c r="C1092" s="243" t="s">
        <v>162</v>
      </c>
      <c r="D1092" s="223"/>
      <c r="E1092" s="223"/>
      <c r="F1092" s="295" t="s">
        <v>172</v>
      </c>
      <c r="G1092" s="296">
        <f>H1092+I1092</f>
        <v>16</v>
      </c>
      <c r="H1092" s="1554">
        <v>14</v>
      </c>
      <c r="I1092" s="1555">
        <v>2</v>
      </c>
    </row>
    <row r="1093" spans="2:9" ht="15.75" thickBot="1" x14ac:dyDescent="0.3">
      <c r="B1093" s="234"/>
      <c r="C1093" s="238" t="s">
        <v>163</v>
      </c>
      <c r="D1093" s="235"/>
      <c r="E1093" s="235"/>
      <c r="F1093" s="292" t="s">
        <v>173</v>
      </c>
      <c r="G1093" s="293">
        <f>H1093+I1093</f>
        <v>334</v>
      </c>
      <c r="H1093" s="1552">
        <v>280</v>
      </c>
      <c r="I1093" s="1553">
        <v>54</v>
      </c>
    </row>
    <row r="1094" spans="2:9" x14ac:dyDescent="0.25">
      <c r="B1094" s="1171" t="str">
        <f>$B$30</f>
        <v>Wg stanu na dzień 31.XII.2011 r.</v>
      </c>
      <c r="C1094" s="225"/>
      <c r="D1094" s="225"/>
      <c r="E1094" s="225"/>
      <c r="F1094" s="286"/>
      <c r="G1094" s="922" t="str">
        <f>IF('Tab.2. l.d.m.m._Polska'!G525=G1095,"","t2w1k3"&amp;"="&amp;'Tab.2. l.d.m.m._Polska'!G525)</f>
        <v/>
      </c>
      <c r="H1094" s="922" t="str">
        <f>IF('Tab.2. l.d.m.m._Polska'!K525=H1095,"","t2w1k6"&amp;"="&amp;'Tab.2. l.d.m.m._Polska'!K525)</f>
        <v/>
      </c>
      <c r="I1094" s="923" t="str">
        <f>IF('Tab.2. l.d.m.m._Polska'!O525=I1095,"","t2w1k9"&amp;"="&amp;'Tab.2. l.d.m.m._Polska'!O525)</f>
        <v/>
      </c>
    </row>
    <row r="1095" spans="2:9" x14ac:dyDescent="0.25">
      <c r="B1095" s="245" t="s">
        <v>194</v>
      </c>
      <c r="C1095" s="222"/>
      <c r="D1095" s="222"/>
      <c r="E1095" s="222"/>
      <c r="F1095" s="297">
        <v>10</v>
      </c>
      <c r="G1095" s="794">
        <f>H1095+I1095</f>
        <v>3424</v>
      </c>
      <c r="H1095" s="794">
        <f>IF(H1083+H1084-H1088=SUM(H1100:H1104), H1083+H1084-H1088, (H1083+H1084-H1088)-SUM(H1100:H1104))</f>
        <v>2836</v>
      </c>
      <c r="I1095" s="795">
        <f>IF(I1083+I1084-I1088=SUM(I1100:I1104), I1083+I1084-I1088, ((I1083+I1084)-I1088)-SUM(I1100:I1104))</f>
        <v>588</v>
      </c>
    </row>
    <row r="1096" spans="2:9" x14ac:dyDescent="0.25">
      <c r="B1096" s="233"/>
      <c r="C1096" s="240" t="s">
        <v>50</v>
      </c>
      <c r="D1096" s="225"/>
      <c r="E1096" s="225"/>
      <c r="F1096" s="286"/>
      <c r="G1096" s="1456">
        <f>(G1083+G1084)-G1088</f>
        <v>3424</v>
      </c>
      <c r="H1096" s="1456">
        <f>(H1083+H1084)-H1088</f>
        <v>2836</v>
      </c>
      <c r="I1096" s="1457">
        <f>(I1083+I1084)-I1088</f>
        <v>588</v>
      </c>
    </row>
    <row r="1097" spans="2:9" ht="15.75" thickBot="1" x14ac:dyDescent="0.3">
      <c r="B1097" s="244"/>
      <c r="C1097" s="239" t="s">
        <v>164</v>
      </c>
      <c r="D1097" s="226"/>
      <c r="E1097" s="226"/>
      <c r="F1097" s="299">
        <v>11</v>
      </c>
      <c r="G1097" s="300">
        <f>H1097+I1097</f>
        <v>502</v>
      </c>
      <c r="H1097" s="1556">
        <v>408</v>
      </c>
      <c r="I1097" s="1557">
        <v>94</v>
      </c>
    </row>
    <row r="1098" spans="2:9" ht="16.5" thickTop="1" thickBot="1" x14ac:dyDescent="0.3">
      <c r="B1098" s="236"/>
      <c r="F1098" s="301"/>
      <c r="G1098" s="405" t="str">
        <f>IF(SUM(G1100:G1104)=G1095,"","Uwaga! "&amp;SUM(G1100:G1104))</f>
        <v/>
      </c>
      <c r="H1098" s="405" t="str">
        <f>IF(SUM(H1100:H1104)=H1095,"","Uwaga! "&amp;SUM(H1100:H1104))</f>
        <v/>
      </c>
      <c r="I1098" s="405" t="str">
        <f>IF(SUM(I1100:I1104)=I1095,"","Uwaga! "&amp;SUM(I1100:I1104))</f>
        <v/>
      </c>
    </row>
    <row r="1099" spans="2:9" ht="15.75" thickTop="1" x14ac:dyDescent="0.25">
      <c r="B1099" s="213" t="s">
        <v>183</v>
      </c>
      <c r="C1099" s="246"/>
      <c r="D1099" s="246"/>
      <c r="E1099" s="246"/>
      <c r="F1099" s="304"/>
      <c r="G1099" s="305" t="s">
        <v>142</v>
      </c>
      <c r="H1099" s="305" t="s">
        <v>142</v>
      </c>
      <c r="I1099" s="306" t="s">
        <v>142</v>
      </c>
    </row>
    <row r="1100" spans="2:9" x14ac:dyDescent="0.25">
      <c r="B1100" s="247" t="s">
        <v>52</v>
      </c>
      <c r="C1100" s="223"/>
      <c r="D1100" s="223"/>
      <c r="E1100" s="223"/>
      <c r="F1100" s="307">
        <v>12</v>
      </c>
      <c r="G1100" s="296">
        <f>H1100+I1100</f>
        <v>115</v>
      </c>
      <c r="H1100" s="1554">
        <v>39</v>
      </c>
      <c r="I1100" s="1555">
        <v>76</v>
      </c>
    </row>
    <row r="1101" spans="2:9" x14ac:dyDescent="0.25">
      <c r="B1101" s="247" t="s">
        <v>53</v>
      </c>
      <c r="C1101" s="223"/>
      <c r="D1101" s="223"/>
      <c r="E1101" s="223"/>
      <c r="F1101" s="307">
        <v>13</v>
      </c>
      <c r="G1101" s="296">
        <f>H1101+I1101</f>
        <v>520</v>
      </c>
      <c r="H1101" s="1554">
        <v>382</v>
      </c>
      <c r="I1101" s="1555">
        <v>138</v>
      </c>
    </row>
    <row r="1102" spans="2:9" x14ac:dyDescent="0.25">
      <c r="B1102" s="247" t="s">
        <v>54</v>
      </c>
      <c r="C1102" s="223"/>
      <c r="D1102" s="223"/>
      <c r="E1102" s="223"/>
      <c r="F1102" s="307">
        <v>14</v>
      </c>
      <c r="G1102" s="296">
        <f>H1102+I1102</f>
        <v>1078</v>
      </c>
      <c r="H1102" s="1554">
        <v>944</v>
      </c>
      <c r="I1102" s="1555">
        <v>134</v>
      </c>
    </row>
    <row r="1103" spans="2:9" x14ac:dyDescent="0.25">
      <c r="B1103" s="247" t="s">
        <v>55</v>
      </c>
      <c r="C1103" s="223"/>
      <c r="D1103" s="223"/>
      <c r="E1103" s="223"/>
      <c r="F1103" s="307">
        <v>15</v>
      </c>
      <c r="G1103" s="296">
        <f>H1103+I1103</f>
        <v>771</v>
      </c>
      <c r="H1103" s="1554">
        <v>676</v>
      </c>
      <c r="I1103" s="1555">
        <v>95</v>
      </c>
    </row>
    <row r="1104" spans="2:9" ht="15.75" thickBot="1" x14ac:dyDescent="0.3">
      <c r="B1104" s="248" t="s">
        <v>56</v>
      </c>
      <c r="C1104" s="224"/>
      <c r="D1104" s="224"/>
      <c r="E1104" s="224"/>
      <c r="F1104" s="308">
        <v>16</v>
      </c>
      <c r="G1104" s="309">
        <f>H1104+I1104</f>
        <v>940</v>
      </c>
      <c r="H1104" s="1558">
        <v>795</v>
      </c>
      <c r="I1104" s="1559">
        <v>145</v>
      </c>
    </row>
    <row r="1105" spans="2:9" ht="16.5" thickTop="1" thickBot="1" x14ac:dyDescent="0.3">
      <c r="B1105" s="236"/>
      <c r="C1105" s="225"/>
      <c r="D1105" s="225"/>
      <c r="E1105" s="225"/>
      <c r="F1105" s="310"/>
      <c r="G1105" s="311"/>
      <c r="H1105" s="312"/>
      <c r="I1105" s="312"/>
    </row>
    <row r="1106" spans="2:9" ht="15.75" thickTop="1" x14ac:dyDescent="0.25">
      <c r="B1106" s="249" t="s">
        <v>184</v>
      </c>
      <c r="C1106" s="227"/>
      <c r="D1106" s="227"/>
      <c r="E1106" s="227"/>
      <c r="F1106" s="313"/>
      <c r="G1106" s="314"/>
      <c r="H1106" s="315"/>
      <c r="I1106" s="316"/>
    </row>
    <row r="1107" spans="2:9" x14ac:dyDescent="0.25">
      <c r="B1107" s="245" t="s">
        <v>179</v>
      </c>
      <c r="C1107" s="222"/>
      <c r="D1107" s="222"/>
      <c r="E1107" s="222"/>
      <c r="F1107" s="297">
        <v>17</v>
      </c>
      <c r="G1107" s="689">
        <f>H1107+I1107</f>
        <v>2012</v>
      </c>
      <c r="H1107" s="689">
        <f>H1109+H1115</f>
        <v>1689</v>
      </c>
      <c r="I1107" s="690">
        <f>I1109+I1115</f>
        <v>323</v>
      </c>
    </row>
    <row r="1108" spans="2:9" x14ac:dyDescent="0.25">
      <c r="B1108" s="233"/>
      <c r="C1108" s="240" t="s">
        <v>49</v>
      </c>
      <c r="D1108" s="225"/>
      <c r="E1108" s="225"/>
      <c r="F1108" s="286"/>
      <c r="G1108" s="704"/>
      <c r="H1108" s="705"/>
      <c r="I1108" s="696"/>
    </row>
    <row r="1109" spans="2:9" x14ac:dyDescent="0.25">
      <c r="B1109" s="233"/>
      <c r="C1109" s="222" t="s">
        <v>154</v>
      </c>
      <c r="D1109" s="222"/>
      <c r="E1109" s="222"/>
      <c r="F1109" s="297">
        <v>18</v>
      </c>
      <c r="G1109" s="689">
        <f>H1109+I1109</f>
        <v>1971</v>
      </c>
      <c r="H1109" s="706">
        <f>SUM(H1111:H1114)</f>
        <v>1677</v>
      </c>
      <c r="I1109" s="707">
        <f>SUM(I1111:I1114)</f>
        <v>294</v>
      </c>
    </row>
    <row r="1110" spans="2:9" x14ac:dyDescent="0.25">
      <c r="B1110" s="233"/>
      <c r="C1110" s="225"/>
      <c r="D1110" s="240" t="s">
        <v>155</v>
      </c>
      <c r="E1110" s="225"/>
      <c r="F1110" s="286"/>
      <c r="G1110" s="287"/>
      <c r="H1110" s="288"/>
      <c r="I1110" s="289"/>
    </row>
    <row r="1111" spans="2:9" x14ac:dyDescent="0.25">
      <c r="B1111" s="233"/>
      <c r="C1111" s="225"/>
      <c r="D1111" s="222" t="s">
        <v>178</v>
      </c>
      <c r="E1111" s="222"/>
      <c r="F1111" s="297">
        <v>19</v>
      </c>
      <c r="G1111" s="291">
        <f t="shared" ref="G1111:G1116" si="20">H1111+I1111</f>
        <v>1795</v>
      </c>
      <c r="H1111" s="1550">
        <v>1525</v>
      </c>
      <c r="I1111" s="1551">
        <v>270</v>
      </c>
    </row>
    <row r="1112" spans="2:9" x14ac:dyDescent="0.25">
      <c r="B1112" s="233"/>
      <c r="C1112" s="225"/>
      <c r="D1112" s="223" t="s">
        <v>151</v>
      </c>
      <c r="E1112" s="223"/>
      <c r="F1112" s="307">
        <v>20</v>
      </c>
      <c r="G1112" s="296">
        <f t="shared" si="20"/>
        <v>160</v>
      </c>
      <c r="H1112" s="1554">
        <v>150</v>
      </c>
      <c r="I1112" s="1555">
        <v>10</v>
      </c>
    </row>
    <row r="1113" spans="2:9" x14ac:dyDescent="0.25">
      <c r="B1113" s="233"/>
      <c r="C1113" s="225"/>
      <c r="D1113" s="223" t="s">
        <v>149</v>
      </c>
      <c r="E1113" s="223"/>
      <c r="F1113" s="307">
        <v>21</v>
      </c>
      <c r="G1113" s="296">
        <f t="shared" si="20"/>
        <v>3</v>
      </c>
      <c r="H1113" s="1554">
        <v>1</v>
      </c>
      <c r="I1113" s="1555">
        <v>2</v>
      </c>
    </row>
    <row r="1114" spans="2:9" x14ac:dyDescent="0.25">
      <c r="B1114" s="233"/>
      <c r="C1114" s="225"/>
      <c r="D1114" s="222" t="s">
        <v>152</v>
      </c>
      <c r="E1114" s="222"/>
      <c r="F1114" s="297">
        <v>22</v>
      </c>
      <c r="G1114" s="291">
        <f t="shared" si="20"/>
        <v>13</v>
      </c>
      <c r="H1114" s="1550">
        <v>1</v>
      </c>
      <c r="I1114" s="1551">
        <v>12</v>
      </c>
    </row>
    <row r="1115" spans="2:9" x14ac:dyDescent="0.25">
      <c r="B1115" s="233"/>
      <c r="C1115" s="222" t="s">
        <v>156</v>
      </c>
      <c r="D1115" s="222"/>
      <c r="E1115" s="222"/>
      <c r="F1115" s="297">
        <v>23</v>
      </c>
      <c r="G1115" s="291">
        <f t="shared" si="20"/>
        <v>41</v>
      </c>
      <c r="H1115" s="1550">
        <v>12</v>
      </c>
      <c r="I1115" s="1551">
        <v>29</v>
      </c>
    </row>
    <row r="1116" spans="2:9" x14ac:dyDescent="0.25">
      <c r="B1116" s="233"/>
      <c r="C1116" s="223" t="s">
        <v>150</v>
      </c>
      <c r="D1116" s="223"/>
      <c r="E1116" s="223"/>
      <c r="F1116" s="307">
        <v>24</v>
      </c>
      <c r="G1116" s="296">
        <f t="shared" si="20"/>
        <v>1</v>
      </c>
      <c r="H1116" s="1554">
        <v>1</v>
      </c>
      <c r="I1116" s="1555">
        <v>0</v>
      </c>
    </row>
    <row r="1117" spans="2:9" x14ac:dyDescent="0.25">
      <c r="B1117" s="233"/>
      <c r="C1117" s="250" t="s">
        <v>157</v>
      </c>
      <c r="D1117" s="250"/>
      <c r="E1117" s="250"/>
      <c r="F1117" s="319"/>
      <c r="G1117" s="320"/>
      <c r="H1117" s="321"/>
      <c r="I1117" s="322"/>
    </row>
    <row r="1118" spans="2:9" ht="15.75" thickBot="1" x14ac:dyDescent="0.3">
      <c r="B1118" s="244"/>
      <c r="C1118" s="226" t="s">
        <v>148</v>
      </c>
      <c r="D1118" s="226"/>
      <c r="E1118" s="226"/>
      <c r="F1118" s="299">
        <v>25</v>
      </c>
      <c r="G1118" s="300">
        <f>H1118+I1118</f>
        <v>0</v>
      </c>
      <c r="H1118" s="1556">
        <v>0</v>
      </c>
      <c r="I1118" s="1557">
        <v>0</v>
      </c>
    </row>
    <row r="1119" spans="2:9" ht="16.5" thickTop="1" thickBot="1" x14ac:dyDescent="0.3">
      <c r="F1119" s="301"/>
      <c r="G1119" s="302"/>
      <c r="H1119" s="303"/>
      <c r="I1119" s="303"/>
    </row>
    <row r="1120" spans="2:9" ht="15.75" thickTop="1" x14ac:dyDescent="0.25">
      <c r="B1120" s="261" t="s">
        <v>174</v>
      </c>
      <c r="C1120" s="262"/>
      <c r="D1120" s="263"/>
      <c r="E1120" s="246"/>
      <c r="F1120" s="323">
        <v>26</v>
      </c>
      <c r="G1120" s="1109">
        <f>H1120+I1120</f>
        <v>1412</v>
      </c>
      <c r="H1120" s="1109">
        <f>H1122+H1127</f>
        <v>1147</v>
      </c>
      <c r="I1120" s="329">
        <f>I1122+I1127</f>
        <v>265</v>
      </c>
    </row>
    <row r="1121" spans="2:9" x14ac:dyDescent="0.25">
      <c r="B1121" s="233"/>
      <c r="C1121" s="240" t="s">
        <v>50</v>
      </c>
      <c r="D1121" s="225"/>
      <c r="E1121" s="225"/>
      <c r="F1121" s="286"/>
      <c r="G1121" s="287"/>
      <c r="H1121" s="288"/>
      <c r="I1121" s="289"/>
    </row>
    <row r="1122" spans="2:9" x14ac:dyDescent="0.25">
      <c r="B1122" s="233"/>
      <c r="C1122" s="222" t="s">
        <v>185</v>
      </c>
      <c r="D1122" s="222"/>
      <c r="E1122" s="222"/>
      <c r="F1122" s="297">
        <v>27</v>
      </c>
      <c r="G1122" s="689">
        <f>H1122+I1122</f>
        <v>34</v>
      </c>
      <c r="H1122" s="689">
        <f>SUM(H1124:H1126)</f>
        <v>21</v>
      </c>
      <c r="I1122" s="690">
        <f>SUM(I1124:I1126)</f>
        <v>13</v>
      </c>
    </row>
    <row r="1123" spans="2:9" x14ac:dyDescent="0.25">
      <c r="B1123" s="233"/>
      <c r="C1123" s="225"/>
      <c r="D1123" s="240" t="s">
        <v>190</v>
      </c>
      <c r="E1123" s="225"/>
      <c r="F1123" s="286"/>
      <c r="G1123" s="390" t="str">
        <f>IF(SUM(G1124:G1126)=G1122, "", G1122-SUM(G1124:G1126))</f>
        <v/>
      </c>
      <c r="H1123" s="390" t="str">
        <f>IF(SUM(H1124:H1126)=H1122, "", H1122-SUM(H1124:H1126))</f>
        <v/>
      </c>
      <c r="I1123" s="398" t="str">
        <f>IF(SUM(I1124:I1126)=I1122, "", I1122-SUM(I1124:I1126))</f>
        <v/>
      </c>
    </row>
    <row r="1124" spans="2:9" x14ac:dyDescent="0.25">
      <c r="B1124" s="233"/>
      <c r="C1124" s="225"/>
      <c r="D1124" s="222" t="s">
        <v>186</v>
      </c>
      <c r="E1124" s="222"/>
      <c r="F1124" s="297">
        <v>28</v>
      </c>
      <c r="G1124" s="291">
        <f>H1124+I1124</f>
        <v>12</v>
      </c>
      <c r="H1124" s="1550">
        <v>8</v>
      </c>
      <c r="I1124" s="1551">
        <v>4</v>
      </c>
    </row>
    <row r="1125" spans="2:9" x14ac:dyDescent="0.25">
      <c r="B1125" s="233"/>
      <c r="C1125" s="225"/>
      <c r="D1125" s="223" t="s">
        <v>187</v>
      </c>
      <c r="E1125" s="225"/>
      <c r="F1125" s="297">
        <v>29</v>
      </c>
      <c r="G1125" s="291">
        <f>H1125+I1125</f>
        <v>3</v>
      </c>
      <c r="H1125" s="1550">
        <v>1</v>
      </c>
      <c r="I1125" s="1551">
        <v>2</v>
      </c>
    </row>
    <row r="1126" spans="2:9" x14ac:dyDescent="0.25">
      <c r="B1126" s="233"/>
      <c r="C1126" s="225"/>
      <c r="D1126" s="223" t="s">
        <v>188</v>
      </c>
      <c r="E1126" s="223"/>
      <c r="F1126" s="307">
        <v>30</v>
      </c>
      <c r="G1126" s="296">
        <f>H1126+I1126</f>
        <v>19</v>
      </c>
      <c r="H1126" s="1554">
        <v>12</v>
      </c>
      <c r="I1126" s="1555">
        <v>7</v>
      </c>
    </row>
    <row r="1127" spans="2:9" x14ac:dyDescent="0.25">
      <c r="B1127" s="233"/>
      <c r="C1127" s="222" t="s">
        <v>189</v>
      </c>
      <c r="D1127" s="222"/>
      <c r="E1127" s="222"/>
      <c r="F1127" s="297">
        <v>31</v>
      </c>
      <c r="G1127" s="689">
        <f>H1127+I1127</f>
        <v>1378</v>
      </c>
      <c r="H1127" s="689">
        <f>SUM(H1129:H1132)</f>
        <v>1126</v>
      </c>
      <c r="I1127" s="690">
        <f>SUM(I1129:I1132)</f>
        <v>252</v>
      </c>
    </row>
    <row r="1128" spans="2:9" x14ac:dyDescent="0.25">
      <c r="B1128" s="233"/>
      <c r="C1128" s="225"/>
      <c r="D1128" s="240" t="s">
        <v>191</v>
      </c>
      <c r="E1128" s="225"/>
      <c r="F1128" s="286"/>
      <c r="G1128" s="287" t="str">
        <f>IF(SUM(G1129:G1132)=G1127, "", G1127-SUM(G1129:G1132))</f>
        <v/>
      </c>
      <c r="H1128" s="288" t="str">
        <f>IF(SUM(H1129:H1132)=H1127, "", H1127-SUM(H1129:H1132))</f>
        <v/>
      </c>
      <c r="I1128" s="289" t="str">
        <f>IF(SUM(I1129:I1132)=I1127, "", I1127-SUM(I1129:I1132))</f>
        <v/>
      </c>
    </row>
    <row r="1129" spans="2:9" x14ac:dyDescent="0.25">
      <c r="B1129" s="233"/>
      <c r="C1129" s="225"/>
      <c r="D1129" s="222" t="s">
        <v>186</v>
      </c>
      <c r="E1129" s="222"/>
      <c r="F1129" s="297">
        <v>32</v>
      </c>
      <c r="G1129" s="291">
        <f>H1129+I1129</f>
        <v>1184</v>
      </c>
      <c r="H1129" s="1550">
        <v>992</v>
      </c>
      <c r="I1129" s="1551">
        <v>192</v>
      </c>
    </row>
    <row r="1130" spans="2:9" x14ac:dyDescent="0.25">
      <c r="B1130" s="233"/>
      <c r="C1130" s="225"/>
      <c r="D1130" s="222" t="s">
        <v>187</v>
      </c>
      <c r="E1130" s="222"/>
      <c r="F1130" s="297">
        <v>33</v>
      </c>
      <c r="G1130" s="291">
        <f>H1130+I1130</f>
        <v>12</v>
      </c>
      <c r="H1130" s="1550">
        <v>8</v>
      </c>
      <c r="I1130" s="1551">
        <v>4</v>
      </c>
    </row>
    <row r="1131" spans="2:9" x14ac:dyDescent="0.25">
      <c r="B1131" s="233"/>
      <c r="C1131" s="225"/>
      <c r="D1131" s="222" t="s">
        <v>188</v>
      </c>
      <c r="E1131" s="222"/>
      <c r="F1131" s="297">
        <v>34</v>
      </c>
      <c r="G1131" s="291">
        <f>H1131+I1131</f>
        <v>132</v>
      </c>
      <c r="H1131" s="1550">
        <v>113</v>
      </c>
      <c r="I1131" s="1551">
        <v>19</v>
      </c>
    </row>
    <row r="1132" spans="2:9" ht="15.75" thickBot="1" x14ac:dyDescent="0.3">
      <c r="B1132" s="234"/>
      <c r="C1132" s="235"/>
      <c r="D1132" s="259" t="s">
        <v>153</v>
      </c>
      <c r="E1132" s="259"/>
      <c r="F1132" s="325">
        <v>35</v>
      </c>
      <c r="G1132" s="326">
        <f>H1132+I1132</f>
        <v>50</v>
      </c>
      <c r="H1132" s="1567">
        <v>13</v>
      </c>
      <c r="I1132" s="1563">
        <v>37</v>
      </c>
    </row>
    <row r="1133" spans="2:9" x14ac:dyDescent="0.25">
      <c r="B1133" s="260" t="s">
        <v>177</v>
      </c>
      <c r="C1133" s="242"/>
      <c r="D1133" s="242"/>
      <c r="E1133" s="242"/>
      <c r="F1133" s="327">
        <v>36</v>
      </c>
      <c r="G1133" s="285">
        <f>H1133+I1133</f>
        <v>1347</v>
      </c>
      <c r="H1133" s="798">
        <f>H1124+H1126+H1129+H1131</f>
        <v>1125</v>
      </c>
      <c r="I1133" s="328">
        <f>I1124+I1126+I1129+I1131</f>
        <v>222</v>
      </c>
    </row>
    <row r="1134" spans="2:9" x14ac:dyDescent="0.25">
      <c r="B1134" s="233"/>
      <c r="C1134" s="240" t="s">
        <v>155</v>
      </c>
      <c r="D1134" s="225"/>
      <c r="E1134" s="250"/>
      <c r="F1134" s="286"/>
      <c r="G1134" s="390" t="str">
        <f>IF(SUM(G1135:G1137)=G1133, "", G1133-SUM(G1135:G1137))</f>
        <v/>
      </c>
      <c r="H1134" s="390" t="str">
        <f>IF(SUM(H1135:H1137)=H1133, "", H1133-SUM(H1135:H1137))</f>
        <v/>
      </c>
      <c r="I1134" s="398" t="str">
        <f>IF(SUM(I1135:I1137)=I1133, "", I1133-SUM(I1135:I1137))</f>
        <v/>
      </c>
    </row>
    <row r="1135" spans="2:9" x14ac:dyDescent="0.25">
      <c r="B1135" s="233"/>
      <c r="C1135" s="222" t="s">
        <v>178</v>
      </c>
      <c r="D1135" s="222"/>
      <c r="E1135" s="222"/>
      <c r="F1135" s="297">
        <v>37</v>
      </c>
      <c r="G1135" s="291">
        <f>H1135+I1135</f>
        <v>1172</v>
      </c>
      <c r="H1135" s="1550">
        <v>985</v>
      </c>
      <c r="I1135" s="1551">
        <v>187</v>
      </c>
    </row>
    <row r="1136" spans="2:9" x14ac:dyDescent="0.25">
      <c r="B1136" s="233"/>
      <c r="C1136" s="223" t="s">
        <v>151</v>
      </c>
      <c r="D1136" s="223"/>
      <c r="E1136" s="223"/>
      <c r="F1136" s="307">
        <v>38</v>
      </c>
      <c r="G1136" s="296">
        <f>H1136+I1136</f>
        <v>171</v>
      </c>
      <c r="H1136" s="1554">
        <v>139</v>
      </c>
      <c r="I1136" s="1555">
        <v>32</v>
      </c>
    </row>
    <row r="1137" spans="1:9" ht="15.75" thickBot="1" x14ac:dyDescent="0.3">
      <c r="B1137" s="244"/>
      <c r="C1137" s="226" t="s">
        <v>152</v>
      </c>
      <c r="D1137" s="226"/>
      <c r="E1137" s="226"/>
      <c r="F1137" s="299">
        <v>39</v>
      </c>
      <c r="G1137" s="300">
        <f>H1137+I1137</f>
        <v>4</v>
      </c>
      <c r="H1137" s="1556">
        <v>1</v>
      </c>
      <c r="I1137" s="1557">
        <v>3</v>
      </c>
    </row>
    <row r="1138" spans="1:9" ht="15.75" thickTop="1" x14ac:dyDescent="0.25">
      <c r="G1138" s="412" t="str">
        <f>IF(SUM(G1135:G1137)=G1133, "", SUM(G1135:G1137))</f>
        <v/>
      </c>
      <c r="H1138" s="412" t="str">
        <f>IF(SUM(H1135:H1137)=H1133, "", SUM(H1135:H1137))</f>
        <v/>
      </c>
      <c r="I1138" s="412" t="str">
        <f>IF(SUM(I1135:I1137)=I1133, "", SUM(I1135:I1137))</f>
        <v/>
      </c>
    </row>
    <row r="1139" spans="1:9" x14ac:dyDescent="0.25">
      <c r="B1139" s="221" t="s">
        <v>123</v>
      </c>
      <c r="D1139" s="220" t="s">
        <v>180</v>
      </c>
      <c r="H1139" t="s">
        <v>182</v>
      </c>
    </row>
    <row r="1140" spans="1:9" x14ac:dyDescent="0.25">
      <c r="B1140" s="221" t="s">
        <v>181</v>
      </c>
      <c r="D1140" s="220" t="s">
        <v>180</v>
      </c>
      <c r="H1140" s="256" t="s">
        <v>126</v>
      </c>
    </row>
    <row r="1142" spans="1:9" x14ac:dyDescent="0.25">
      <c r="B1142" s="221" t="s">
        <v>116</v>
      </c>
      <c r="C1142" s="212"/>
      <c r="D1142" s="220"/>
      <c r="E1142" s="220"/>
      <c r="F1142" s="212"/>
      <c r="G1142" s="220"/>
      <c r="H1142" s="220"/>
      <c r="I1142" s="256" t="s">
        <v>175</v>
      </c>
    </row>
    <row r="1143" spans="1:9" x14ac:dyDescent="0.25">
      <c r="B1143" s="257" t="s">
        <v>129</v>
      </c>
      <c r="C1143" s="212"/>
      <c r="D1143" s="220"/>
      <c r="E1143" s="257"/>
      <c r="F1143" s="220"/>
      <c r="G1143" s="220"/>
      <c r="H1143" s="220"/>
      <c r="I1143" s="220"/>
    </row>
    <row r="1144" spans="1:9" ht="15.75" x14ac:dyDescent="0.25">
      <c r="B1144" s="221" t="s">
        <v>128</v>
      </c>
      <c r="C1144" s="212"/>
      <c r="D1144" s="220"/>
      <c r="F1144" s="220"/>
      <c r="G1144" s="220"/>
      <c r="H1144" s="1721" t="str">
        <f>$H$80</f>
        <v>Termin: 29 luty 2012 r.</v>
      </c>
      <c r="I1144" s="1721"/>
    </row>
    <row r="1145" spans="1:9" x14ac:dyDescent="0.25">
      <c r="B1145" s="258"/>
      <c r="C1145" s="212"/>
      <c r="D1145" s="220"/>
      <c r="E1145" s="220"/>
      <c r="F1145" s="220"/>
      <c r="G1145" s="220"/>
      <c r="H1145" s="220"/>
      <c r="I1145" s="220"/>
    </row>
    <row r="1146" spans="1:9" ht="26.25" x14ac:dyDescent="0.4">
      <c r="A1146" s="267" t="s">
        <v>207</v>
      </c>
      <c r="B1146" s="221" t="s">
        <v>130</v>
      </c>
      <c r="C1146" s="212"/>
      <c r="D1146" s="220"/>
      <c r="E1146" s="220"/>
      <c r="F1146" s="220"/>
      <c r="G1146" s="220"/>
      <c r="H1146" s="220"/>
      <c r="I1146" s="220"/>
    </row>
    <row r="1147" spans="1:9" x14ac:dyDescent="0.25">
      <c r="B1147" s="221" t="s">
        <v>131</v>
      </c>
      <c r="C1147" s="212"/>
      <c r="D1147" s="220"/>
      <c r="E1147" s="220"/>
      <c r="F1147" s="220"/>
      <c r="G1147" s="220"/>
      <c r="H1147" s="220"/>
      <c r="I1147" s="220"/>
    </row>
    <row r="1148" spans="1:9" ht="15.75" x14ac:dyDescent="0.25">
      <c r="B1148" s="1"/>
      <c r="C1148" s="255"/>
      <c r="D1148" s="12"/>
      <c r="E1148" s="12"/>
      <c r="F1148" s="12"/>
      <c r="G1148" s="12"/>
      <c r="H1148" s="12"/>
      <c r="I1148" s="12"/>
    </row>
    <row r="1149" spans="1:9" ht="15.75" x14ac:dyDescent="0.25">
      <c r="B1149" s="1"/>
      <c r="C1149" s="255"/>
      <c r="D1149" s="12"/>
      <c r="E1149" s="1" t="s">
        <v>47</v>
      </c>
      <c r="F1149" s="12"/>
      <c r="G1149" s="12"/>
      <c r="H1149" s="12"/>
      <c r="I1149" s="12"/>
    </row>
    <row r="1150" spans="1:9" ht="15.75" x14ac:dyDescent="0.25">
      <c r="B1150" s="1"/>
      <c r="C1150" s="255"/>
      <c r="D1150" s="12"/>
      <c r="E1150" s="1" t="s">
        <v>176</v>
      </c>
      <c r="F1150" s="12"/>
      <c r="G1150" s="12"/>
      <c r="H1150" s="12"/>
      <c r="I1150" s="12"/>
    </row>
    <row r="1151" spans="1:9" ht="15.75" x14ac:dyDescent="0.25">
      <c r="B1151" s="1"/>
      <c r="C1151" s="255"/>
      <c r="D1151" s="12"/>
      <c r="E1151" s="1162" t="str">
        <f>$E$11</f>
        <v>SAMORZĄDÓW  POWIATOWYCH  I  PODMIOTÓW  NIEPUBLICZNYCH  W 2011 r.</v>
      </c>
      <c r="F1151" s="12"/>
      <c r="G1151" s="12"/>
      <c r="H1151" s="12"/>
      <c r="I1151" s="12"/>
    </row>
    <row r="1152" spans="1:9" ht="15.75" x14ac:dyDescent="0.25">
      <c r="B1152" s="1"/>
      <c r="C1152" s="255"/>
      <c r="D1152" s="12"/>
      <c r="E1152" s="12"/>
      <c r="F1152" s="12"/>
      <c r="G1152" s="12"/>
      <c r="H1152" s="12"/>
      <c r="I1152" s="12"/>
    </row>
    <row r="1153" spans="2:9" ht="15.75" thickBot="1" x14ac:dyDescent="0.3"/>
    <row r="1154" spans="2:9" ht="16.5" thickTop="1" x14ac:dyDescent="0.25">
      <c r="B1154" s="214"/>
      <c r="C1154" s="227"/>
      <c r="D1154" s="227"/>
      <c r="E1154" s="227"/>
      <c r="F1154" s="252"/>
      <c r="G1154" s="229" t="s">
        <v>48</v>
      </c>
      <c r="H1154" s="1722" t="s">
        <v>20</v>
      </c>
      <c r="I1154" s="1723"/>
    </row>
    <row r="1155" spans="2:9" ht="15.75" x14ac:dyDescent="0.25">
      <c r="B1155" s="215"/>
      <c r="C1155" s="225"/>
      <c r="D1155" s="225"/>
      <c r="E1155" s="225" t="s">
        <v>21</v>
      </c>
      <c r="F1155" s="253"/>
      <c r="G1155" s="230" t="s">
        <v>5</v>
      </c>
      <c r="H1155" s="216" t="s">
        <v>22</v>
      </c>
      <c r="I1155" s="217" t="s">
        <v>23</v>
      </c>
    </row>
    <row r="1156" spans="2:9" ht="15.75" x14ac:dyDescent="0.25">
      <c r="B1156" s="194"/>
      <c r="C1156" s="225"/>
      <c r="D1156" s="225"/>
      <c r="E1156" s="225"/>
      <c r="F1156" s="253"/>
      <c r="G1156" s="218" t="s">
        <v>24</v>
      </c>
      <c r="H1156" s="218" t="s">
        <v>25</v>
      </c>
      <c r="I1156" s="219" t="s">
        <v>26</v>
      </c>
    </row>
    <row r="1157" spans="2:9" ht="15.75" thickBot="1" x14ac:dyDescent="0.3">
      <c r="B1157" s="61"/>
      <c r="C1157" s="228"/>
      <c r="D1157" s="228"/>
      <c r="E1157" s="211">
        <v>0</v>
      </c>
      <c r="F1157" s="254"/>
      <c r="G1157" s="2">
        <v>1</v>
      </c>
      <c r="H1157" s="2">
        <v>2</v>
      </c>
      <c r="I1157" s="7">
        <v>3</v>
      </c>
    </row>
    <row r="1158" spans="2:9" ht="16.5" thickTop="1" thickBot="1" x14ac:dyDescent="0.3">
      <c r="B1158" s="231"/>
      <c r="G1158" s="793"/>
      <c r="H1158" s="793"/>
      <c r="I1158" s="793"/>
    </row>
    <row r="1159" spans="2:9" ht="16.5" thickTop="1" thickBot="1" x14ac:dyDescent="0.3">
      <c r="B1159" s="1168" t="str">
        <f>$B$19</f>
        <v>Wg stanu na dzień 31.XII.2010 r.</v>
      </c>
      <c r="C1159" s="232"/>
      <c r="D1159" s="232"/>
      <c r="E1159" s="232"/>
      <c r="F1159" s="282" t="s">
        <v>165</v>
      </c>
      <c r="G1159" s="283">
        <f>H1159+I1159</f>
        <v>6165</v>
      </c>
      <c r="H1159" s="1548">
        <v>5154</v>
      </c>
      <c r="I1159" s="1549">
        <v>1011</v>
      </c>
    </row>
    <row r="1160" spans="2:9" x14ac:dyDescent="0.25">
      <c r="B1160" s="1169" t="str">
        <f>$B$20</f>
        <v>Przyjętych w ciągu 2011 r.</v>
      </c>
      <c r="C1160" s="242"/>
      <c r="D1160" s="242"/>
      <c r="E1160" s="242"/>
      <c r="F1160" s="284" t="s">
        <v>166</v>
      </c>
      <c r="G1160" s="285">
        <f>H1160+I1160</f>
        <v>900</v>
      </c>
      <c r="H1160" s="784">
        <f>H1162+H1163</f>
        <v>770</v>
      </c>
      <c r="I1160" s="785">
        <f>I1162+I1163</f>
        <v>130</v>
      </c>
    </row>
    <row r="1161" spans="2:9" x14ac:dyDescent="0.25">
      <c r="B1161" s="233"/>
      <c r="C1161" s="241" t="s">
        <v>49</v>
      </c>
      <c r="D1161" s="225"/>
      <c r="E1161" s="225"/>
      <c r="F1161" s="286"/>
      <c r="G1161" s="287"/>
      <c r="H1161" s="389" t="str">
        <f>IF(SUM(H1162:H1163)=H1160, "", "?")</f>
        <v/>
      </c>
      <c r="I1161" s="388" t="str">
        <f>IF(SUM(I1162:I1163)=I1160, "", "?")</f>
        <v/>
      </c>
    </row>
    <row r="1162" spans="2:9" x14ac:dyDescent="0.25">
      <c r="B1162" s="233"/>
      <c r="C1162" s="237" t="s">
        <v>158</v>
      </c>
      <c r="D1162" s="222"/>
      <c r="E1162" s="222"/>
      <c r="F1162" s="290" t="s">
        <v>167</v>
      </c>
      <c r="G1162" s="291">
        <f>H1162+I1162</f>
        <v>26</v>
      </c>
      <c r="H1162" s="1550">
        <v>26</v>
      </c>
      <c r="I1162" s="1551">
        <v>0</v>
      </c>
    </row>
    <row r="1163" spans="2:9" ht="15.75" thickBot="1" x14ac:dyDescent="0.3">
      <c r="B1163" s="234"/>
      <c r="C1163" s="238" t="s">
        <v>159</v>
      </c>
      <c r="D1163" s="235"/>
      <c r="E1163" s="235"/>
      <c r="F1163" s="292" t="s">
        <v>168</v>
      </c>
      <c r="G1163" s="293">
        <f>H1163+I1163</f>
        <v>874</v>
      </c>
      <c r="H1163" s="1552">
        <v>744</v>
      </c>
      <c r="I1163" s="1553">
        <v>130</v>
      </c>
    </row>
    <row r="1164" spans="2:9" x14ac:dyDescent="0.25">
      <c r="B1164" s="1170" t="str">
        <f>$B$24</f>
        <v>Odeszło w ciągu 2011 r. (w.06 do w.09)</v>
      </c>
      <c r="C1164" s="242"/>
      <c r="D1164" s="242"/>
      <c r="E1164" s="242"/>
      <c r="F1164" s="284" t="s">
        <v>169</v>
      </c>
      <c r="G1164" s="285">
        <f>H1164+I1164</f>
        <v>881</v>
      </c>
      <c r="H1164" s="285">
        <f>SUM(H1166:H1169)</f>
        <v>744</v>
      </c>
      <c r="I1164" s="294">
        <f>SUM(I1166:I1169)</f>
        <v>137</v>
      </c>
    </row>
    <row r="1165" spans="2:9" x14ac:dyDescent="0.25">
      <c r="B1165" s="251"/>
      <c r="C1165" s="240" t="s">
        <v>49</v>
      </c>
      <c r="D1165" s="225"/>
      <c r="E1165" s="225"/>
      <c r="F1165" s="286"/>
      <c r="G1165" s="287"/>
      <c r="H1165" s="288"/>
      <c r="I1165" s="289"/>
    </row>
    <row r="1166" spans="2:9" x14ac:dyDescent="0.25">
      <c r="B1166" s="233"/>
      <c r="C1166" s="237" t="s">
        <v>160</v>
      </c>
      <c r="D1166" s="222"/>
      <c r="E1166" s="222"/>
      <c r="F1166" s="290" t="s">
        <v>170</v>
      </c>
      <c r="G1166" s="291">
        <f>H1166+I1166</f>
        <v>73</v>
      </c>
      <c r="H1166" s="1550">
        <v>55</v>
      </c>
      <c r="I1166" s="1551">
        <v>18</v>
      </c>
    </row>
    <row r="1167" spans="2:9" x14ac:dyDescent="0.25">
      <c r="B1167" s="233"/>
      <c r="C1167" s="243" t="s">
        <v>161</v>
      </c>
      <c r="D1167" s="223"/>
      <c r="E1167" s="223"/>
      <c r="F1167" s="295" t="s">
        <v>171</v>
      </c>
      <c r="G1167" s="296">
        <f>H1167+I1167</f>
        <v>51</v>
      </c>
      <c r="H1167" s="1554">
        <v>46</v>
      </c>
      <c r="I1167" s="1555">
        <v>5</v>
      </c>
    </row>
    <row r="1168" spans="2:9" x14ac:dyDescent="0.25">
      <c r="B1168" s="233"/>
      <c r="C1168" s="243" t="s">
        <v>162</v>
      </c>
      <c r="D1168" s="223"/>
      <c r="E1168" s="223"/>
      <c r="F1168" s="295" t="s">
        <v>172</v>
      </c>
      <c r="G1168" s="296">
        <f>H1168+I1168</f>
        <v>20</v>
      </c>
      <c r="H1168" s="1554">
        <v>19</v>
      </c>
      <c r="I1168" s="1555">
        <v>1</v>
      </c>
    </row>
    <row r="1169" spans="2:9" ht="15.75" thickBot="1" x14ac:dyDescent="0.3">
      <c r="B1169" s="234"/>
      <c r="C1169" s="238" t="s">
        <v>163</v>
      </c>
      <c r="D1169" s="235"/>
      <c r="E1169" s="235"/>
      <c r="F1169" s="292" t="s">
        <v>173</v>
      </c>
      <c r="G1169" s="293">
        <f>H1169+I1169</f>
        <v>737</v>
      </c>
      <c r="H1169" s="1552">
        <v>624</v>
      </c>
      <c r="I1169" s="1553">
        <v>113</v>
      </c>
    </row>
    <row r="1170" spans="2:9" x14ac:dyDescent="0.25">
      <c r="B1170" s="1171" t="str">
        <f>$B$30</f>
        <v>Wg stanu na dzień 31.XII.2011 r.</v>
      </c>
      <c r="C1170" s="225"/>
      <c r="D1170" s="225"/>
      <c r="E1170" s="225"/>
      <c r="F1170" s="286"/>
      <c r="G1170" s="922" t="str">
        <f>IF('Tab.2. l.d.m.m._Polska'!G561=G1171,"","t2w1k3"&amp;"="&amp;'Tab.2. l.d.m.m._Polska'!G561)</f>
        <v/>
      </c>
      <c r="H1170" s="922" t="str">
        <f>IF('Tab.2. l.d.m.m._Polska'!K561=H1171,"","t2w1k6"&amp;"="&amp;'Tab.2. l.d.m.m._Polska'!K561)</f>
        <v/>
      </c>
      <c r="I1170" s="923" t="str">
        <f>IF('Tab.2. l.d.m.m._Polska'!O561=I1171,"","t2w1k9"&amp;"="&amp;'Tab.2. l.d.m.m._Polska'!O561)</f>
        <v/>
      </c>
    </row>
    <row r="1171" spans="2:9" x14ac:dyDescent="0.25">
      <c r="B1171" s="245" t="s">
        <v>194</v>
      </c>
      <c r="C1171" s="222"/>
      <c r="D1171" s="222"/>
      <c r="E1171" s="222"/>
      <c r="F1171" s="297">
        <v>10</v>
      </c>
      <c r="G1171" s="291">
        <f>H1171+I1171</f>
        <v>6184</v>
      </c>
      <c r="H1171" s="291">
        <f>IF(H1159+H1160-H1164=SUM(H1176:H1180), H1159+H1160-H1164, (H1159+H1160-H1164)-SUM(H1176:H1180))</f>
        <v>5180</v>
      </c>
      <c r="I1171" s="298">
        <f>IF(I1159+I1160-I1164=SUM(I1176:I1180), I1159+I1160-I1164, (I1159+I1160-I1164)-SUM(I1176:I1180))</f>
        <v>1004</v>
      </c>
    </row>
    <row r="1172" spans="2:9" x14ac:dyDescent="0.25">
      <c r="B1172" s="233"/>
      <c r="C1172" s="240" t="s">
        <v>50</v>
      </c>
      <c r="D1172" s="225"/>
      <c r="E1172" s="225"/>
      <c r="F1172" s="286"/>
      <c r="G1172" s="287"/>
      <c r="H1172" s="288"/>
      <c r="I1172" s="289"/>
    </row>
    <row r="1173" spans="2:9" ht="15.75" thickBot="1" x14ac:dyDescent="0.3">
      <c r="B1173" s="244"/>
      <c r="C1173" s="239" t="s">
        <v>164</v>
      </c>
      <c r="D1173" s="226"/>
      <c r="E1173" s="226"/>
      <c r="F1173" s="299">
        <v>11</v>
      </c>
      <c r="G1173" s="300">
        <f>H1173+I1173</f>
        <v>854</v>
      </c>
      <c r="H1173" s="1540">
        <v>597</v>
      </c>
      <c r="I1173" s="1541">
        <v>257</v>
      </c>
    </row>
    <row r="1174" spans="2:9" ht="16.5" thickTop="1" thickBot="1" x14ac:dyDescent="0.3">
      <c r="B1174" s="236"/>
      <c r="F1174" s="301"/>
      <c r="G1174" s="405" t="str">
        <f>IF(SUM(G1176:G1180)=G1171,"","Uwaga! "&amp;SUM(G1176:G1180))</f>
        <v/>
      </c>
      <c r="H1174" s="405" t="str">
        <f>IF(SUM(H1176:H1180)=H1171,"","Uwaga! "&amp;SUM(H1176:H1180))</f>
        <v/>
      </c>
      <c r="I1174" s="405" t="str">
        <f>IF(SUM(I1176:I1180)=I1171,"","Uwaga! "&amp;SUM(I1176:I1180))</f>
        <v/>
      </c>
    </row>
    <row r="1175" spans="2:9" ht="15.75" thickTop="1" x14ac:dyDescent="0.25">
      <c r="B1175" s="213" t="s">
        <v>183</v>
      </c>
      <c r="C1175" s="246"/>
      <c r="D1175" s="246"/>
      <c r="E1175" s="246"/>
      <c r="F1175" s="304"/>
      <c r="G1175" s="305" t="s">
        <v>142</v>
      </c>
      <c r="H1175" s="305" t="s">
        <v>142</v>
      </c>
      <c r="I1175" s="306" t="s">
        <v>142</v>
      </c>
    </row>
    <row r="1176" spans="2:9" x14ac:dyDescent="0.25">
      <c r="B1176" s="247" t="s">
        <v>52</v>
      </c>
      <c r="C1176" s="223"/>
      <c r="D1176" s="223"/>
      <c r="E1176" s="223"/>
      <c r="F1176" s="307">
        <v>12</v>
      </c>
      <c r="G1176" s="296">
        <f>H1176+I1176</f>
        <v>114</v>
      </c>
      <c r="H1176" s="1554">
        <v>12</v>
      </c>
      <c r="I1176" s="1555">
        <v>102</v>
      </c>
    </row>
    <row r="1177" spans="2:9" x14ac:dyDescent="0.25">
      <c r="B1177" s="247" t="s">
        <v>53</v>
      </c>
      <c r="C1177" s="223"/>
      <c r="D1177" s="223"/>
      <c r="E1177" s="223"/>
      <c r="F1177" s="307">
        <v>13</v>
      </c>
      <c r="G1177" s="296">
        <f>H1177+I1177</f>
        <v>789</v>
      </c>
      <c r="H1177" s="1554">
        <v>583</v>
      </c>
      <c r="I1177" s="1555">
        <v>206</v>
      </c>
    </row>
    <row r="1178" spans="2:9" x14ac:dyDescent="0.25">
      <c r="B1178" s="247" t="s">
        <v>54</v>
      </c>
      <c r="C1178" s="223"/>
      <c r="D1178" s="223"/>
      <c r="E1178" s="223"/>
      <c r="F1178" s="307">
        <v>14</v>
      </c>
      <c r="G1178" s="296">
        <f>H1178+I1178</f>
        <v>1869</v>
      </c>
      <c r="H1178" s="1554">
        <v>1704</v>
      </c>
      <c r="I1178" s="1555">
        <v>165</v>
      </c>
    </row>
    <row r="1179" spans="2:9" x14ac:dyDescent="0.25">
      <c r="B1179" s="247" t="s">
        <v>55</v>
      </c>
      <c r="C1179" s="223"/>
      <c r="D1179" s="223"/>
      <c r="E1179" s="223"/>
      <c r="F1179" s="307">
        <v>15</v>
      </c>
      <c r="G1179" s="296">
        <f>H1179+I1179</f>
        <v>1393</v>
      </c>
      <c r="H1179" s="1554">
        <v>1297</v>
      </c>
      <c r="I1179" s="1555">
        <v>96</v>
      </c>
    </row>
    <row r="1180" spans="2:9" ht="15.75" thickBot="1" x14ac:dyDescent="0.3">
      <c r="B1180" s="248" t="s">
        <v>56</v>
      </c>
      <c r="C1180" s="224"/>
      <c r="D1180" s="224"/>
      <c r="E1180" s="224"/>
      <c r="F1180" s="308">
        <v>16</v>
      </c>
      <c r="G1180" s="309">
        <f>H1180+I1180</f>
        <v>2019</v>
      </c>
      <c r="H1180" s="1558">
        <v>1584</v>
      </c>
      <c r="I1180" s="1559">
        <v>435</v>
      </c>
    </row>
    <row r="1181" spans="2:9" ht="16.5" thickTop="1" thickBot="1" x14ac:dyDescent="0.3">
      <c r="B1181" s="236"/>
      <c r="C1181" s="225"/>
      <c r="D1181" s="225"/>
      <c r="E1181" s="225"/>
      <c r="F1181" s="310"/>
      <c r="G1181" s="311"/>
      <c r="H1181" s="312"/>
      <c r="I1181" s="312"/>
    </row>
    <row r="1182" spans="2:9" ht="15.75" thickTop="1" x14ac:dyDescent="0.25">
      <c r="B1182" s="249" t="s">
        <v>184</v>
      </c>
      <c r="C1182" s="227"/>
      <c r="D1182" s="227"/>
      <c r="E1182" s="227"/>
      <c r="F1182" s="313"/>
      <c r="G1182" s="314"/>
      <c r="H1182" s="315"/>
      <c r="I1182" s="316"/>
    </row>
    <row r="1183" spans="2:9" x14ac:dyDescent="0.25">
      <c r="B1183" s="245" t="s">
        <v>179</v>
      </c>
      <c r="C1183" s="222"/>
      <c r="D1183" s="222"/>
      <c r="E1183" s="222"/>
      <c r="F1183" s="297">
        <v>17</v>
      </c>
      <c r="G1183" s="291">
        <f>H1183+I1183</f>
        <v>3148</v>
      </c>
      <c r="H1183" s="291">
        <f>H1185+H1191</f>
        <v>2644</v>
      </c>
      <c r="I1183" s="298">
        <f>I1185+I1191</f>
        <v>504</v>
      </c>
    </row>
    <row r="1184" spans="2:9" x14ac:dyDescent="0.25">
      <c r="B1184" s="233"/>
      <c r="C1184" s="240" t="s">
        <v>49</v>
      </c>
      <c r="D1184" s="225"/>
      <c r="E1184" s="225"/>
      <c r="F1184" s="286"/>
      <c r="G1184" s="287"/>
      <c r="H1184" s="288"/>
      <c r="I1184" s="289"/>
    </row>
    <row r="1185" spans="2:9" x14ac:dyDescent="0.25">
      <c r="B1185" s="233"/>
      <c r="C1185" s="222" t="s">
        <v>154</v>
      </c>
      <c r="D1185" s="222"/>
      <c r="E1185" s="222"/>
      <c r="F1185" s="297">
        <v>18</v>
      </c>
      <c r="G1185" s="291">
        <f>H1185+I1185</f>
        <v>3128</v>
      </c>
      <c r="H1185" s="317">
        <f>SUM(H1187:H1190)</f>
        <v>2641</v>
      </c>
      <c r="I1185" s="318">
        <f>SUM(I1187:I1190)</f>
        <v>487</v>
      </c>
    </row>
    <row r="1186" spans="2:9" x14ac:dyDescent="0.25">
      <c r="B1186" s="233"/>
      <c r="C1186" s="225"/>
      <c r="D1186" s="240" t="s">
        <v>155</v>
      </c>
      <c r="E1186" s="225"/>
      <c r="F1186" s="286"/>
      <c r="G1186" s="287"/>
      <c r="H1186" s="288"/>
      <c r="I1186" s="289"/>
    </row>
    <row r="1187" spans="2:9" x14ac:dyDescent="0.25">
      <c r="B1187" s="233"/>
      <c r="C1187" s="225"/>
      <c r="D1187" s="222" t="s">
        <v>178</v>
      </c>
      <c r="E1187" s="222"/>
      <c r="F1187" s="297">
        <v>19</v>
      </c>
      <c r="G1187" s="291">
        <f t="shared" ref="G1187:G1192" si="21">H1187+I1187</f>
        <v>2939</v>
      </c>
      <c r="H1187" s="1550">
        <v>2467</v>
      </c>
      <c r="I1187" s="1551">
        <v>472</v>
      </c>
    </row>
    <row r="1188" spans="2:9" x14ac:dyDescent="0.25">
      <c r="B1188" s="233"/>
      <c r="C1188" s="225"/>
      <c r="D1188" s="223" t="s">
        <v>151</v>
      </c>
      <c r="E1188" s="223"/>
      <c r="F1188" s="307">
        <v>20</v>
      </c>
      <c r="G1188" s="296">
        <f t="shared" si="21"/>
        <v>182</v>
      </c>
      <c r="H1188" s="1554">
        <v>171</v>
      </c>
      <c r="I1188" s="1555">
        <v>11</v>
      </c>
    </row>
    <row r="1189" spans="2:9" x14ac:dyDescent="0.25">
      <c r="B1189" s="233"/>
      <c r="C1189" s="225"/>
      <c r="D1189" s="223" t="s">
        <v>149</v>
      </c>
      <c r="E1189" s="223"/>
      <c r="F1189" s="307">
        <v>21</v>
      </c>
      <c r="G1189" s="296">
        <f t="shared" si="21"/>
        <v>4</v>
      </c>
      <c r="H1189" s="1554">
        <v>2</v>
      </c>
      <c r="I1189" s="1555">
        <v>2</v>
      </c>
    </row>
    <row r="1190" spans="2:9" x14ac:dyDescent="0.25">
      <c r="B1190" s="233"/>
      <c r="C1190" s="225"/>
      <c r="D1190" s="222" t="s">
        <v>152</v>
      </c>
      <c r="E1190" s="222"/>
      <c r="F1190" s="297">
        <v>22</v>
      </c>
      <c r="G1190" s="291">
        <f t="shared" si="21"/>
        <v>3</v>
      </c>
      <c r="H1190" s="1550">
        <v>1</v>
      </c>
      <c r="I1190" s="1551">
        <v>2</v>
      </c>
    </row>
    <row r="1191" spans="2:9" x14ac:dyDescent="0.25">
      <c r="B1191" s="233"/>
      <c r="C1191" s="222" t="s">
        <v>156</v>
      </c>
      <c r="D1191" s="222"/>
      <c r="E1191" s="222"/>
      <c r="F1191" s="297">
        <v>23</v>
      </c>
      <c r="G1191" s="291">
        <f t="shared" si="21"/>
        <v>20</v>
      </c>
      <c r="H1191" s="1550">
        <v>3</v>
      </c>
      <c r="I1191" s="1551">
        <v>17</v>
      </c>
    </row>
    <row r="1192" spans="2:9" x14ac:dyDescent="0.25">
      <c r="B1192" s="233"/>
      <c r="C1192" s="223" t="s">
        <v>150</v>
      </c>
      <c r="D1192" s="223"/>
      <c r="E1192" s="223"/>
      <c r="F1192" s="307">
        <v>24</v>
      </c>
      <c r="G1192" s="296">
        <f t="shared" si="21"/>
        <v>38</v>
      </c>
      <c r="H1192" s="1554">
        <v>38</v>
      </c>
      <c r="I1192" s="1555">
        <v>0</v>
      </c>
    </row>
    <row r="1193" spans="2:9" x14ac:dyDescent="0.25">
      <c r="B1193" s="233"/>
      <c r="C1193" s="250" t="s">
        <v>157</v>
      </c>
      <c r="D1193" s="250"/>
      <c r="E1193" s="250"/>
      <c r="F1193" s="319"/>
      <c r="G1193" s="320"/>
      <c r="H1193" s="321"/>
      <c r="I1193" s="322"/>
    </row>
    <row r="1194" spans="2:9" ht="15.75" thickBot="1" x14ac:dyDescent="0.3">
      <c r="B1194" s="244"/>
      <c r="C1194" s="226" t="s">
        <v>148</v>
      </c>
      <c r="D1194" s="226"/>
      <c r="E1194" s="226"/>
      <c r="F1194" s="299">
        <v>25</v>
      </c>
      <c r="G1194" s="300">
        <f>H1194+I1194</f>
        <v>2</v>
      </c>
      <c r="H1194" s="1556">
        <v>0</v>
      </c>
      <c r="I1194" s="1557">
        <v>2</v>
      </c>
    </row>
    <row r="1195" spans="2:9" ht="16.5" thickTop="1" thickBot="1" x14ac:dyDescent="0.3">
      <c r="F1195" s="301"/>
      <c r="G1195" s="302"/>
      <c r="H1195" s="303"/>
      <c r="I1195" s="303"/>
    </row>
    <row r="1196" spans="2:9" ht="15.75" thickTop="1" x14ac:dyDescent="0.25">
      <c r="B1196" s="261" t="s">
        <v>174</v>
      </c>
      <c r="C1196" s="262"/>
      <c r="D1196" s="263"/>
      <c r="E1196" s="246"/>
      <c r="F1196" s="323">
        <v>26</v>
      </c>
      <c r="G1196" s="1109">
        <f>H1196+I1196</f>
        <v>3036</v>
      </c>
      <c r="H1196" s="1109">
        <f>H1198+H1203</f>
        <v>2536</v>
      </c>
      <c r="I1196" s="1108">
        <f>I1198+I1203</f>
        <v>500</v>
      </c>
    </row>
    <row r="1197" spans="2:9" x14ac:dyDescent="0.25">
      <c r="B1197" s="233"/>
      <c r="C1197" s="240" t="s">
        <v>50</v>
      </c>
      <c r="D1197" s="225"/>
      <c r="E1197" s="225"/>
      <c r="F1197" s="286"/>
      <c r="G1197" s="287"/>
      <c r="H1197" s="288"/>
      <c r="I1197" s="289"/>
    </row>
    <row r="1198" spans="2:9" x14ac:dyDescent="0.25">
      <c r="B1198" s="233"/>
      <c r="C1198" s="222" t="s">
        <v>185</v>
      </c>
      <c r="D1198" s="222"/>
      <c r="E1198" s="222"/>
      <c r="F1198" s="297">
        <v>27</v>
      </c>
      <c r="G1198" s="689">
        <f>H1198+I1198</f>
        <v>78</v>
      </c>
      <c r="H1198" s="689">
        <f>SUM(H1200:H1202)</f>
        <v>42</v>
      </c>
      <c r="I1198" s="690">
        <f>SUM(I1200:I1202)</f>
        <v>36</v>
      </c>
    </row>
    <row r="1199" spans="2:9" x14ac:dyDescent="0.25">
      <c r="B1199" s="233"/>
      <c r="C1199" s="225"/>
      <c r="D1199" s="240" t="s">
        <v>190</v>
      </c>
      <c r="E1199" s="225"/>
      <c r="F1199" s="286"/>
      <c r="G1199" s="390" t="str">
        <f>IF(SUM(G1200:G1202)=G1198, "", G1198-SUM(G1200:G1202))</f>
        <v/>
      </c>
      <c r="H1199" s="390" t="str">
        <f>IF(SUM(H1200:H1202)=H1198, "", H1198-SUM(H1200:H1202))</f>
        <v/>
      </c>
      <c r="I1199" s="398" t="str">
        <f>IF(SUM(I1200:I1202)=I1198, "", I1198-SUM(I1200:I1202))</f>
        <v/>
      </c>
    </row>
    <row r="1200" spans="2:9" x14ac:dyDescent="0.25">
      <c r="B1200" s="233"/>
      <c r="C1200" s="225"/>
      <c r="D1200" s="222" t="s">
        <v>186</v>
      </c>
      <c r="E1200" s="222"/>
      <c r="F1200" s="297">
        <v>28</v>
      </c>
      <c r="G1200" s="291">
        <f>H1200+I1200</f>
        <v>54</v>
      </c>
      <c r="H1200" s="1550">
        <v>21</v>
      </c>
      <c r="I1200" s="1551">
        <v>33</v>
      </c>
    </row>
    <row r="1201" spans="2:9" x14ac:dyDescent="0.25">
      <c r="B1201" s="233"/>
      <c r="C1201" s="225"/>
      <c r="D1201" s="223" t="s">
        <v>187</v>
      </c>
      <c r="E1201" s="225"/>
      <c r="F1201" s="297">
        <v>29</v>
      </c>
      <c r="G1201" s="291">
        <f>H1201+I1201</f>
        <v>0</v>
      </c>
      <c r="H1201" s="1550">
        <v>0</v>
      </c>
      <c r="I1201" s="1551">
        <v>0</v>
      </c>
    </row>
    <row r="1202" spans="2:9" x14ac:dyDescent="0.25">
      <c r="B1202" s="233"/>
      <c r="C1202" s="225"/>
      <c r="D1202" s="223" t="s">
        <v>188</v>
      </c>
      <c r="E1202" s="223"/>
      <c r="F1202" s="307">
        <v>30</v>
      </c>
      <c r="G1202" s="296">
        <f>H1202+I1202</f>
        <v>24</v>
      </c>
      <c r="H1202" s="1554">
        <v>21</v>
      </c>
      <c r="I1202" s="1555">
        <v>3</v>
      </c>
    </row>
    <row r="1203" spans="2:9" x14ac:dyDescent="0.25">
      <c r="B1203" s="233"/>
      <c r="C1203" s="222" t="s">
        <v>189</v>
      </c>
      <c r="D1203" s="222"/>
      <c r="E1203" s="222"/>
      <c r="F1203" s="297">
        <v>31</v>
      </c>
      <c r="G1203" s="689">
        <f>H1203+I1203</f>
        <v>2958</v>
      </c>
      <c r="H1203" s="689">
        <f>SUM(H1205:H1208)</f>
        <v>2494</v>
      </c>
      <c r="I1203" s="690">
        <f>SUM(I1205:I1208)</f>
        <v>464</v>
      </c>
    </row>
    <row r="1204" spans="2:9" x14ac:dyDescent="0.25">
      <c r="B1204" s="233"/>
      <c r="C1204" s="225"/>
      <c r="D1204" s="240" t="s">
        <v>191</v>
      </c>
      <c r="E1204" s="225"/>
      <c r="F1204" s="286"/>
      <c r="G1204" s="287" t="str">
        <f>IF(SUM(G1205:G1208)=G1203, "", G1203-SUM(G1205:G1208))</f>
        <v/>
      </c>
      <c r="H1204" s="288" t="str">
        <f>IF(SUM(H1205:H1208)=H1203, "", H1203-SUM(H1205:H1208))</f>
        <v/>
      </c>
      <c r="I1204" s="289" t="str">
        <f>IF(SUM(I1205:I1208)=I1203, "", I1203-SUM(I1205:I1208))</f>
        <v/>
      </c>
    </row>
    <row r="1205" spans="2:9" x14ac:dyDescent="0.25">
      <c r="B1205" s="233"/>
      <c r="C1205" s="225"/>
      <c r="D1205" s="222" t="s">
        <v>186</v>
      </c>
      <c r="E1205" s="222"/>
      <c r="F1205" s="297">
        <v>32</v>
      </c>
      <c r="G1205" s="291">
        <f>H1205+I1205</f>
        <v>2740</v>
      </c>
      <c r="H1205" s="1550">
        <v>2335</v>
      </c>
      <c r="I1205" s="1551">
        <v>405</v>
      </c>
    </row>
    <row r="1206" spans="2:9" x14ac:dyDescent="0.25">
      <c r="B1206" s="233"/>
      <c r="C1206" s="225"/>
      <c r="D1206" s="222" t="s">
        <v>187</v>
      </c>
      <c r="E1206" s="222"/>
      <c r="F1206" s="297">
        <v>33</v>
      </c>
      <c r="G1206" s="291">
        <f>H1206+I1206</f>
        <v>7</v>
      </c>
      <c r="H1206" s="1550">
        <v>0</v>
      </c>
      <c r="I1206" s="1551">
        <v>7</v>
      </c>
    </row>
    <row r="1207" spans="2:9" x14ac:dyDescent="0.25">
      <c r="B1207" s="233"/>
      <c r="C1207" s="225"/>
      <c r="D1207" s="222" t="s">
        <v>188</v>
      </c>
      <c r="E1207" s="222"/>
      <c r="F1207" s="297">
        <v>34</v>
      </c>
      <c r="G1207" s="291">
        <f>H1207+I1207</f>
        <v>171</v>
      </c>
      <c r="H1207" s="1550">
        <v>149</v>
      </c>
      <c r="I1207" s="1551">
        <v>22</v>
      </c>
    </row>
    <row r="1208" spans="2:9" ht="15.75" thickBot="1" x14ac:dyDescent="0.3">
      <c r="B1208" s="234"/>
      <c r="C1208" s="235"/>
      <c r="D1208" s="259" t="s">
        <v>153</v>
      </c>
      <c r="E1208" s="259"/>
      <c r="F1208" s="325">
        <v>35</v>
      </c>
      <c r="G1208" s="326">
        <f>H1208+I1208</f>
        <v>40</v>
      </c>
      <c r="H1208" s="1567">
        <v>10</v>
      </c>
      <c r="I1208" s="1563">
        <v>30</v>
      </c>
    </row>
    <row r="1209" spans="2:9" x14ac:dyDescent="0.25">
      <c r="B1209" s="260" t="s">
        <v>177</v>
      </c>
      <c r="C1209" s="242"/>
      <c r="D1209" s="242"/>
      <c r="E1209" s="242"/>
      <c r="F1209" s="327">
        <v>36</v>
      </c>
      <c r="G1209" s="699">
        <f>H1209+I1209</f>
        <v>2989</v>
      </c>
      <c r="H1209" s="798">
        <f>H1200+H1202+H1205+H1207</f>
        <v>2526</v>
      </c>
      <c r="I1209" s="328">
        <f>I1200+I1202+I1205+I1207</f>
        <v>463</v>
      </c>
    </row>
    <row r="1210" spans="2:9" x14ac:dyDescent="0.25">
      <c r="B1210" s="233"/>
      <c r="C1210" s="240" t="s">
        <v>155</v>
      </c>
      <c r="D1210" s="225"/>
      <c r="E1210" s="250"/>
      <c r="F1210" s="286"/>
      <c r="G1210" s="390" t="str">
        <f>IF(SUM(G1211:G1213)=G1209, "", G1209-SUM(G1211:G1213))</f>
        <v/>
      </c>
      <c r="H1210" s="390" t="str">
        <f>IF(SUM(H1211:H1213)=H1209, "", H1209-SUM(H1211:H1213))</f>
        <v/>
      </c>
      <c r="I1210" s="398" t="str">
        <f>IF(SUM(I1211:I1213)=I1209, "", I1209-SUM(I1211:I1213))</f>
        <v/>
      </c>
    </row>
    <row r="1211" spans="2:9" x14ac:dyDescent="0.25">
      <c r="B1211" s="233"/>
      <c r="C1211" s="222" t="s">
        <v>178</v>
      </c>
      <c r="D1211" s="222"/>
      <c r="E1211" s="222"/>
      <c r="F1211" s="297">
        <v>37</v>
      </c>
      <c r="G1211" s="291">
        <f>H1211+I1211</f>
        <v>2558</v>
      </c>
      <c r="H1211" s="1550">
        <v>2147</v>
      </c>
      <c r="I1211" s="1551">
        <v>411</v>
      </c>
    </row>
    <row r="1212" spans="2:9" x14ac:dyDescent="0.25">
      <c r="B1212" s="233"/>
      <c r="C1212" s="223" t="s">
        <v>151</v>
      </c>
      <c r="D1212" s="223"/>
      <c r="E1212" s="223"/>
      <c r="F1212" s="307">
        <v>38</v>
      </c>
      <c r="G1212" s="296">
        <f>H1212+I1212</f>
        <v>386</v>
      </c>
      <c r="H1212" s="1554">
        <v>371</v>
      </c>
      <c r="I1212" s="1555">
        <v>15</v>
      </c>
    </row>
    <row r="1213" spans="2:9" ht="15.75" thickBot="1" x14ac:dyDescent="0.3">
      <c r="B1213" s="244"/>
      <c r="C1213" s="226" t="s">
        <v>152</v>
      </c>
      <c r="D1213" s="226"/>
      <c r="E1213" s="226"/>
      <c r="F1213" s="299">
        <v>39</v>
      </c>
      <c r="G1213" s="300">
        <f>H1213+I1213</f>
        <v>45</v>
      </c>
      <c r="H1213" s="1556">
        <v>8</v>
      </c>
      <c r="I1213" s="1557">
        <v>37</v>
      </c>
    </row>
    <row r="1214" spans="2:9" ht="15.75" thickTop="1" x14ac:dyDescent="0.25">
      <c r="G1214" s="412" t="str">
        <f>IF(SUM(G1211:G1213)=G1209, "", SUM(G1211:G1213))</f>
        <v/>
      </c>
      <c r="H1214" s="412" t="str">
        <f>IF(SUM(H1211:H1213)=H1209, "", SUM(H1211:H1213))</f>
        <v/>
      </c>
      <c r="I1214" s="412" t="str">
        <f>IF(SUM(I1211:I1213)=I1209, "", SUM(I1211:I1213))</f>
        <v/>
      </c>
    </row>
    <row r="1215" spans="2:9" x14ac:dyDescent="0.25">
      <c r="B1215" s="221" t="s">
        <v>123</v>
      </c>
      <c r="D1215" s="220" t="s">
        <v>180</v>
      </c>
      <c r="H1215" t="s">
        <v>182</v>
      </c>
    </row>
    <row r="1216" spans="2:9" x14ac:dyDescent="0.25">
      <c r="B1216" s="221" t="s">
        <v>181</v>
      </c>
      <c r="D1216" s="220" t="s">
        <v>180</v>
      </c>
      <c r="H1216" s="256" t="s">
        <v>126</v>
      </c>
    </row>
    <row r="1218" spans="1:9" ht="26.25" x14ac:dyDescent="0.4">
      <c r="A1218" s="267" t="s">
        <v>208</v>
      </c>
      <c r="B1218" s="221" t="s">
        <v>116</v>
      </c>
      <c r="C1218" s="212"/>
      <c r="D1218" s="220"/>
      <c r="E1218" s="220"/>
      <c r="F1218" s="212"/>
      <c r="G1218" s="220"/>
      <c r="H1218" s="220"/>
      <c r="I1218" s="256" t="s">
        <v>175</v>
      </c>
    </row>
    <row r="1219" spans="1:9" x14ac:dyDescent="0.25">
      <c r="B1219" s="257" t="s">
        <v>129</v>
      </c>
      <c r="C1219" s="212"/>
      <c r="D1219" s="220"/>
      <c r="E1219" s="257"/>
      <c r="F1219" s="220"/>
      <c r="G1219" s="220"/>
      <c r="H1219" s="220"/>
      <c r="I1219" s="220"/>
    </row>
    <row r="1220" spans="1:9" ht="15.75" x14ac:dyDescent="0.25">
      <c r="B1220" s="221" t="s">
        <v>128</v>
      </c>
      <c r="C1220" s="212"/>
      <c r="D1220" s="220"/>
      <c r="F1220" s="220"/>
      <c r="G1220" s="220"/>
      <c r="H1220" s="1721" t="str">
        <f>$H$80</f>
        <v>Termin: 29 luty 2012 r.</v>
      </c>
      <c r="I1220" s="1721"/>
    </row>
    <row r="1221" spans="1:9" x14ac:dyDescent="0.25">
      <c r="B1221" s="258"/>
      <c r="C1221" s="212"/>
      <c r="D1221" s="220"/>
      <c r="E1221" s="220"/>
      <c r="F1221" s="220"/>
      <c r="G1221" s="220"/>
      <c r="H1221" s="220"/>
      <c r="I1221" s="220"/>
    </row>
    <row r="1222" spans="1:9" x14ac:dyDescent="0.25">
      <c r="B1222" s="221" t="s">
        <v>130</v>
      </c>
      <c r="C1222" s="212"/>
      <c r="D1222" s="220"/>
      <c r="E1222" s="220"/>
      <c r="F1222" s="220"/>
      <c r="G1222" s="220"/>
      <c r="H1222" s="220"/>
      <c r="I1222" s="220"/>
    </row>
    <row r="1223" spans="1:9" x14ac:dyDescent="0.25">
      <c r="B1223" s="221" t="s">
        <v>131</v>
      </c>
      <c r="C1223" s="212"/>
      <c r="D1223" s="220"/>
      <c r="E1223" s="220"/>
      <c r="F1223" s="220"/>
      <c r="G1223" s="220"/>
      <c r="H1223" s="220"/>
      <c r="I1223" s="220"/>
    </row>
    <row r="1224" spans="1:9" ht="15.75" x14ac:dyDescent="0.25">
      <c r="B1224" s="1"/>
      <c r="C1224" s="255"/>
      <c r="D1224" s="12"/>
      <c r="E1224" s="12"/>
      <c r="F1224" s="12"/>
      <c r="G1224" s="12"/>
      <c r="H1224" s="12"/>
      <c r="I1224" s="12"/>
    </row>
    <row r="1225" spans="1:9" ht="15.75" x14ac:dyDescent="0.25">
      <c r="B1225" s="1"/>
      <c r="C1225" s="255"/>
      <c r="D1225" s="12"/>
      <c r="E1225" s="1" t="s">
        <v>47</v>
      </c>
      <c r="F1225" s="12"/>
      <c r="G1225" s="12"/>
      <c r="H1225" s="12"/>
      <c r="I1225" s="12"/>
    </row>
    <row r="1226" spans="1:9" ht="15.75" x14ac:dyDescent="0.25">
      <c r="B1226" s="1"/>
      <c r="C1226" s="255"/>
      <c r="D1226" s="12"/>
      <c r="E1226" s="1" t="s">
        <v>176</v>
      </c>
      <c r="F1226" s="12"/>
      <c r="G1226" s="12"/>
      <c r="H1226" s="12"/>
      <c r="I1226" s="12"/>
    </row>
    <row r="1227" spans="1:9" ht="15.75" x14ac:dyDescent="0.25">
      <c r="B1227" s="1"/>
      <c r="C1227" s="255"/>
      <c r="D1227" s="12"/>
      <c r="E1227" s="1162" t="str">
        <f>$E$11</f>
        <v>SAMORZĄDÓW  POWIATOWYCH  I  PODMIOTÓW  NIEPUBLICZNYCH  W 2011 r.</v>
      </c>
      <c r="F1227" s="12"/>
      <c r="G1227" s="12"/>
      <c r="H1227" s="12"/>
      <c r="I1227" s="12"/>
    </row>
    <row r="1228" spans="1:9" ht="15.75" x14ac:dyDescent="0.25">
      <c r="B1228" s="1"/>
      <c r="C1228" s="255"/>
      <c r="D1228" s="12"/>
      <c r="E1228" s="12"/>
      <c r="F1228" s="12"/>
      <c r="G1228" s="12"/>
      <c r="H1228" s="12"/>
      <c r="I1228" s="12"/>
    </row>
    <row r="1229" spans="1:9" ht="15.75" thickBot="1" x14ac:dyDescent="0.3"/>
    <row r="1230" spans="1:9" ht="16.5" thickTop="1" x14ac:dyDescent="0.25">
      <c r="B1230" s="214"/>
      <c r="C1230" s="227"/>
      <c r="D1230" s="227"/>
      <c r="E1230" s="227"/>
      <c r="F1230" s="252"/>
      <c r="G1230" s="229" t="s">
        <v>48</v>
      </c>
      <c r="H1230" s="1722" t="s">
        <v>20</v>
      </c>
      <c r="I1230" s="1723"/>
    </row>
    <row r="1231" spans="1:9" ht="15.75" x14ac:dyDescent="0.25">
      <c r="B1231" s="215"/>
      <c r="C1231" s="225"/>
      <c r="D1231" s="225"/>
      <c r="E1231" s="225" t="s">
        <v>21</v>
      </c>
      <c r="F1231" s="253"/>
      <c r="G1231" s="230" t="s">
        <v>5</v>
      </c>
      <c r="H1231" s="216" t="s">
        <v>22</v>
      </c>
      <c r="I1231" s="217" t="s">
        <v>23</v>
      </c>
    </row>
    <row r="1232" spans="1:9" ht="15.75" x14ac:dyDescent="0.25">
      <c r="B1232" s="194"/>
      <c r="C1232" s="225"/>
      <c r="D1232" s="225"/>
      <c r="E1232" s="225"/>
      <c r="F1232" s="253"/>
      <c r="G1232" s="218" t="s">
        <v>24</v>
      </c>
      <c r="H1232" s="218" t="s">
        <v>25</v>
      </c>
      <c r="I1232" s="219" t="s">
        <v>26</v>
      </c>
    </row>
    <row r="1233" spans="2:9" ht="15.75" thickBot="1" x14ac:dyDescent="0.3">
      <c r="B1233" s="61"/>
      <c r="C1233" s="228"/>
      <c r="D1233" s="228"/>
      <c r="E1233" s="211">
        <v>0</v>
      </c>
      <c r="F1233" s="254"/>
      <c r="G1233" s="2">
        <v>1</v>
      </c>
      <c r="H1233" s="2">
        <v>2</v>
      </c>
      <c r="I1233" s="7">
        <v>3</v>
      </c>
    </row>
    <row r="1234" spans="2:9" ht="16.5" thickTop="1" thickBot="1" x14ac:dyDescent="0.3">
      <c r="B1234" s="231"/>
      <c r="G1234" s="793"/>
      <c r="H1234" s="793"/>
      <c r="I1234" s="793"/>
    </row>
    <row r="1235" spans="2:9" ht="16.5" thickTop="1" thickBot="1" x14ac:dyDescent="0.3">
      <c r="B1235" s="1168" t="str">
        <f>$B$19</f>
        <v>Wg stanu na dzień 31.XII.2010 r.</v>
      </c>
      <c r="C1235" s="232"/>
      <c r="D1235" s="232"/>
      <c r="E1235" s="232"/>
      <c r="F1235" s="282" t="s">
        <v>165</v>
      </c>
      <c r="G1235" s="698">
        <f>H1235+I1235</f>
        <v>3732</v>
      </c>
      <c r="H1235" s="1564">
        <v>3099</v>
      </c>
      <c r="I1235" s="1565">
        <v>633</v>
      </c>
    </row>
    <row r="1236" spans="2:9" x14ac:dyDescent="0.25">
      <c r="B1236" s="1169" t="str">
        <f>$B$20</f>
        <v>Przyjętych w ciągu 2011 r.</v>
      </c>
      <c r="C1236" s="242"/>
      <c r="D1236" s="242"/>
      <c r="E1236" s="242"/>
      <c r="F1236" s="284" t="s">
        <v>166</v>
      </c>
      <c r="G1236" s="285">
        <f>H1236+I1236</f>
        <v>468</v>
      </c>
      <c r="H1236" s="784">
        <f>H1238+H1239</f>
        <v>381</v>
      </c>
      <c r="I1236" s="785">
        <f>I1238+I1239</f>
        <v>87</v>
      </c>
    </row>
    <row r="1237" spans="2:9" x14ac:dyDescent="0.25">
      <c r="B1237" s="233"/>
      <c r="C1237" s="241" t="s">
        <v>49</v>
      </c>
      <c r="D1237" s="225"/>
      <c r="E1237" s="225"/>
      <c r="F1237" s="286"/>
      <c r="G1237" s="287"/>
      <c r="H1237" s="389" t="str">
        <f>IF(SUM(H1238:H1239)=H1236, "", "?")</f>
        <v/>
      </c>
      <c r="I1237" s="388" t="str">
        <f>IF(SUM(I1238:I1239)=I1236, "", "?")</f>
        <v/>
      </c>
    </row>
    <row r="1238" spans="2:9" x14ac:dyDescent="0.25">
      <c r="B1238" s="233"/>
      <c r="C1238" s="237" t="s">
        <v>158</v>
      </c>
      <c r="D1238" s="222"/>
      <c r="E1238" s="222"/>
      <c r="F1238" s="290" t="s">
        <v>167</v>
      </c>
      <c r="G1238" s="291">
        <f>H1238+I1238</f>
        <v>7</v>
      </c>
      <c r="H1238" s="1550">
        <v>6</v>
      </c>
      <c r="I1238" s="1551">
        <v>1</v>
      </c>
    </row>
    <row r="1239" spans="2:9" ht="15.75" thickBot="1" x14ac:dyDescent="0.3">
      <c r="B1239" s="234"/>
      <c r="C1239" s="238" t="s">
        <v>159</v>
      </c>
      <c r="D1239" s="235"/>
      <c r="E1239" s="235"/>
      <c r="F1239" s="292" t="s">
        <v>168</v>
      </c>
      <c r="G1239" s="293">
        <f>H1239+I1239</f>
        <v>461</v>
      </c>
      <c r="H1239" s="1552">
        <v>375</v>
      </c>
      <c r="I1239" s="1553">
        <v>86</v>
      </c>
    </row>
    <row r="1240" spans="2:9" x14ac:dyDescent="0.25">
      <c r="B1240" s="1170" t="str">
        <f>$B$24</f>
        <v>Odeszło w ciągu 2011 r. (w.06 do w.09)</v>
      </c>
      <c r="C1240" s="242"/>
      <c r="D1240" s="242"/>
      <c r="E1240" s="242"/>
      <c r="F1240" s="284" t="s">
        <v>169</v>
      </c>
      <c r="G1240" s="285">
        <f>H1240+I1240</f>
        <v>484</v>
      </c>
      <c r="H1240" s="285">
        <f>SUM(H1242:H1245)</f>
        <v>397</v>
      </c>
      <c r="I1240" s="294">
        <f>SUM(I1242:I1245)</f>
        <v>87</v>
      </c>
    </row>
    <row r="1241" spans="2:9" x14ac:dyDescent="0.25">
      <c r="B1241" s="251"/>
      <c r="C1241" s="240" t="s">
        <v>49</v>
      </c>
      <c r="D1241" s="225"/>
      <c r="E1241" s="225"/>
      <c r="F1241" s="286"/>
      <c r="G1241" s="287"/>
      <c r="H1241" s="288"/>
      <c r="I1241" s="289"/>
    </row>
    <row r="1242" spans="2:9" x14ac:dyDescent="0.25">
      <c r="B1242" s="233"/>
      <c r="C1242" s="237" t="s">
        <v>160</v>
      </c>
      <c r="D1242" s="222"/>
      <c r="E1242" s="222"/>
      <c r="F1242" s="290" t="s">
        <v>170</v>
      </c>
      <c r="G1242" s="291">
        <f>H1242+I1242</f>
        <v>26</v>
      </c>
      <c r="H1242" s="1550">
        <v>20</v>
      </c>
      <c r="I1242" s="1551">
        <v>6</v>
      </c>
    </row>
    <row r="1243" spans="2:9" x14ac:dyDescent="0.25">
      <c r="B1243" s="233"/>
      <c r="C1243" s="243" t="s">
        <v>161</v>
      </c>
      <c r="D1243" s="223"/>
      <c r="E1243" s="223"/>
      <c r="F1243" s="295" t="s">
        <v>171</v>
      </c>
      <c r="G1243" s="296">
        <f>H1243+I1243</f>
        <v>37</v>
      </c>
      <c r="H1243" s="1554">
        <v>28</v>
      </c>
      <c r="I1243" s="1555">
        <v>9</v>
      </c>
    </row>
    <row r="1244" spans="2:9" x14ac:dyDescent="0.25">
      <c r="B1244" s="233"/>
      <c r="C1244" s="243" t="s">
        <v>162</v>
      </c>
      <c r="D1244" s="223"/>
      <c r="E1244" s="223"/>
      <c r="F1244" s="295" t="s">
        <v>172</v>
      </c>
      <c r="G1244" s="296">
        <f>H1244+I1244</f>
        <v>8</v>
      </c>
      <c r="H1244" s="1554">
        <v>7</v>
      </c>
      <c r="I1244" s="1555">
        <v>1</v>
      </c>
    </row>
    <row r="1245" spans="2:9" ht="15.75" thickBot="1" x14ac:dyDescent="0.3">
      <c r="B1245" s="234"/>
      <c r="C1245" s="238" t="s">
        <v>163</v>
      </c>
      <c r="D1245" s="235"/>
      <c r="E1245" s="235"/>
      <c r="F1245" s="292" t="s">
        <v>173</v>
      </c>
      <c r="G1245" s="293">
        <f>H1245+I1245</f>
        <v>413</v>
      </c>
      <c r="H1245" s="1552">
        <v>342</v>
      </c>
      <c r="I1245" s="1553">
        <v>71</v>
      </c>
    </row>
    <row r="1246" spans="2:9" x14ac:dyDescent="0.25">
      <c r="B1246" s="1171" t="str">
        <f>$B$30</f>
        <v>Wg stanu na dzień 31.XII.2011 r.</v>
      </c>
      <c r="C1246" s="225"/>
      <c r="D1246" s="225"/>
      <c r="E1246" s="225"/>
      <c r="F1246" s="286"/>
      <c r="G1246" s="922" t="str">
        <f>IF('Tab.2. l.d.m.m._Polska'!G597=G1247,"","t2w1k3"&amp;"="&amp;'Tab.2. l.d.m.m._Polska'!G597)</f>
        <v/>
      </c>
      <c r="H1246" s="922" t="str">
        <f>IF('Tab.2. l.d.m.m._Polska'!K597=H1247,"","t2w1k6"&amp;"="&amp;'Tab.2. l.d.m.m._Polska'!K597)</f>
        <v/>
      </c>
      <c r="I1246" s="923" t="str">
        <f>IF('Tab.2. l.d.m.m._Polska'!O597=I1247,"","t2w1k9"&amp;"="&amp;'Tab.2. l.d.m.m._Polska'!O597)</f>
        <v/>
      </c>
    </row>
    <row r="1247" spans="2:9" x14ac:dyDescent="0.25">
      <c r="B1247" s="245" t="s">
        <v>194</v>
      </c>
      <c r="C1247" s="222"/>
      <c r="D1247" s="222"/>
      <c r="E1247" s="222"/>
      <c r="F1247" s="297">
        <v>10</v>
      </c>
      <c r="G1247" s="291">
        <f>H1247+I1247</f>
        <v>3716</v>
      </c>
      <c r="H1247" s="689">
        <f>IF(H1235+H1236-H1240=SUM(H1252:H1256), H1235+H1236-H1240, (H1235+H1236-H1240)-SUM(H1252:H1256))</f>
        <v>3083</v>
      </c>
      <c r="I1247" s="690">
        <f>IF(I1235+I1236-I1240=SUM(I1252:I1256), I1235+I1236-I1240, (I1235+I1236-I1240)-SUM(I1252:I1256))</f>
        <v>633</v>
      </c>
    </row>
    <row r="1248" spans="2:9" x14ac:dyDescent="0.25">
      <c r="B1248" s="233"/>
      <c r="C1248" s="240" t="s">
        <v>50</v>
      </c>
      <c r="D1248" s="225"/>
      <c r="E1248" s="225"/>
      <c r="F1248" s="286"/>
      <c r="G1248" s="287"/>
      <c r="H1248" s="288"/>
      <c r="I1248" s="289"/>
    </row>
    <row r="1249" spans="2:9" ht="15.75" thickBot="1" x14ac:dyDescent="0.3">
      <c r="B1249" s="244"/>
      <c r="C1249" s="239" t="s">
        <v>164</v>
      </c>
      <c r="D1249" s="226"/>
      <c r="E1249" s="226"/>
      <c r="F1249" s="299">
        <v>11</v>
      </c>
      <c r="G1249" s="300">
        <f>H1249+I1249</f>
        <v>719</v>
      </c>
      <c r="H1249" s="1540">
        <v>597</v>
      </c>
      <c r="I1249" s="1541">
        <v>122</v>
      </c>
    </row>
    <row r="1250" spans="2:9" ht="16.5" thickTop="1" thickBot="1" x14ac:dyDescent="0.3">
      <c r="B1250" s="236"/>
      <c r="F1250" s="301"/>
      <c r="G1250" s="405" t="str">
        <f>IF(SUM(G1252:G1256)=G1247,"","Uwaga! "&amp;SUM(G1252:G1256))</f>
        <v/>
      </c>
      <c r="H1250" s="405" t="str">
        <f>IF(SUM(H1252:H1256)=H1247,"","Uwaga! "&amp;SUM(H1252:H1256))</f>
        <v/>
      </c>
      <c r="I1250" s="405" t="str">
        <f>IF(SUM(I1252:I1256)=I1247,"","Uwaga! "&amp;SUM(I1252:I1256))</f>
        <v/>
      </c>
    </row>
    <row r="1251" spans="2:9" ht="15.75" thickTop="1" x14ac:dyDescent="0.25">
      <c r="B1251" s="213" t="s">
        <v>183</v>
      </c>
      <c r="C1251" s="246"/>
      <c r="D1251" s="246"/>
      <c r="E1251" s="246"/>
      <c r="F1251" s="304"/>
      <c r="G1251" s="305" t="s">
        <v>142</v>
      </c>
      <c r="H1251" s="305" t="s">
        <v>142</v>
      </c>
      <c r="I1251" s="306" t="s">
        <v>142</v>
      </c>
    </row>
    <row r="1252" spans="2:9" x14ac:dyDescent="0.25">
      <c r="B1252" s="247" t="s">
        <v>52</v>
      </c>
      <c r="C1252" s="223"/>
      <c r="D1252" s="223"/>
      <c r="E1252" s="223"/>
      <c r="F1252" s="307">
        <v>12</v>
      </c>
      <c r="G1252" s="296">
        <f>H1252+I1252</f>
        <v>36</v>
      </c>
      <c r="H1252" s="1554">
        <v>29</v>
      </c>
      <c r="I1252" s="1555">
        <v>7</v>
      </c>
    </row>
    <row r="1253" spans="2:9" x14ac:dyDescent="0.25">
      <c r="B1253" s="247" t="s">
        <v>53</v>
      </c>
      <c r="C1253" s="223"/>
      <c r="D1253" s="223"/>
      <c r="E1253" s="223"/>
      <c r="F1253" s="307">
        <v>13</v>
      </c>
      <c r="G1253" s="296">
        <f>H1253+I1253</f>
        <v>521</v>
      </c>
      <c r="H1253" s="1554">
        <v>416</v>
      </c>
      <c r="I1253" s="1555">
        <v>105</v>
      </c>
    </row>
    <row r="1254" spans="2:9" x14ac:dyDescent="0.25">
      <c r="B1254" s="247" t="s">
        <v>54</v>
      </c>
      <c r="C1254" s="223"/>
      <c r="D1254" s="223"/>
      <c r="E1254" s="223"/>
      <c r="F1254" s="307">
        <v>14</v>
      </c>
      <c r="G1254" s="296">
        <f>H1254+I1254</f>
        <v>1124</v>
      </c>
      <c r="H1254" s="1554">
        <v>930</v>
      </c>
      <c r="I1254" s="1555">
        <v>194</v>
      </c>
    </row>
    <row r="1255" spans="2:9" x14ac:dyDescent="0.25">
      <c r="B1255" s="247" t="s">
        <v>55</v>
      </c>
      <c r="C1255" s="223"/>
      <c r="D1255" s="223"/>
      <c r="E1255" s="223"/>
      <c r="F1255" s="307">
        <v>15</v>
      </c>
      <c r="G1255" s="296">
        <f>H1255+I1255</f>
        <v>866</v>
      </c>
      <c r="H1255" s="1554">
        <v>715</v>
      </c>
      <c r="I1255" s="1555">
        <v>151</v>
      </c>
    </row>
    <row r="1256" spans="2:9" ht="15.75" thickBot="1" x14ac:dyDescent="0.3">
      <c r="B1256" s="248" t="s">
        <v>56</v>
      </c>
      <c r="C1256" s="224"/>
      <c r="D1256" s="224"/>
      <c r="E1256" s="224"/>
      <c r="F1256" s="308">
        <v>16</v>
      </c>
      <c r="G1256" s="309">
        <f>H1256+I1256</f>
        <v>1169</v>
      </c>
      <c r="H1256" s="1558">
        <v>993</v>
      </c>
      <c r="I1256" s="1559">
        <v>176</v>
      </c>
    </row>
    <row r="1257" spans="2:9" ht="16.5" thickTop="1" thickBot="1" x14ac:dyDescent="0.3">
      <c r="B1257" s="236"/>
      <c r="C1257" s="225"/>
      <c r="D1257" s="225"/>
      <c r="E1257" s="225"/>
      <c r="F1257" s="310"/>
      <c r="G1257" s="311"/>
      <c r="H1257" s="312"/>
      <c r="I1257" s="312"/>
    </row>
    <row r="1258" spans="2:9" ht="15.75" thickTop="1" x14ac:dyDescent="0.25">
      <c r="B1258" s="249" t="s">
        <v>184</v>
      </c>
      <c r="C1258" s="227"/>
      <c r="D1258" s="227"/>
      <c r="E1258" s="227"/>
      <c r="F1258" s="313"/>
      <c r="G1258" s="314"/>
      <c r="H1258" s="315"/>
      <c r="I1258" s="316"/>
    </row>
    <row r="1259" spans="2:9" x14ac:dyDescent="0.25">
      <c r="B1259" s="245" t="s">
        <v>179</v>
      </c>
      <c r="C1259" s="222"/>
      <c r="D1259" s="222"/>
      <c r="E1259" s="222"/>
      <c r="F1259" s="297">
        <v>17</v>
      </c>
      <c r="G1259" s="689">
        <f>H1259+I1259</f>
        <v>1995</v>
      </c>
      <c r="H1259" s="291">
        <f>H1261+H1267</f>
        <v>1682</v>
      </c>
      <c r="I1259" s="298">
        <f>I1261+I1267</f>
        <v>313</v>
      </c>
    </row>
    <row r="1260" spans="2:9" x14ac:dyDescent="0.25">
      <c r="B1260" s="233"/>
      <c r="C1260" s="240" t="s">
        <v>49</v>
      </c>
      <c r="D1260" s="225"/>
      <c r="E1260" s="225"/>
      <c r="F1260" s="286"/>
      <c r="G1260" s="287"/>
      <c r="H1260" s="288"/>
      <c r="I1260" s="289"/>
    </row>
    <row r="1261" spans="2:9" x14ac:dyDescent="0.25">
      <c r="B1261" s="233"/>
      <c r="C1261" s="222" t="s">
        <v>154</v>
      </c>
      <c r="D1261" s="222"/>
      <c r="E1261" s="222"/>
      <c r="F1261" s="297">
        <v>18</v>
      </c>
      <c r="G1261" s="689">
        <f>H1261+I1261</f>
        <v>1985</v>
      </c>
      <c r="H1261" s="706">
        <f>SUM(H1263:H1266)</f>
        <v>1672</v>
      </c>
      <c r="I1261" s="318">
        <f>SUM(I1263:I1266)</f>
        <v>313</v>
      </c>
    </row>
    <row r="1262" spans="2:9" x14ac:dyDescent="0.25">
      <c r="B1262" s="233"/>
      <c r="C1262" s="225"/>
      <c r="D1262" s="240" t="s">
        <v>155</v>
      </c>
      <c r="E1262" s="225"/>
      <c r="F1262" s="286"/>
      <c r="G1262" s="287"/>
      <c r="H1262" s="288"/>
      <c r="I1262" s="289"/>
    </row>
    <row r="1263" spans="2:9" x14ac:dyDescent="0.25">
      <c r="B1263" s="233"/>
      <c r="C1263" s="225"/>
      <c r="D1263" s="222" t="s">
        <v>178</v>
      </c>
      <c r="E1263" s="222"/>
      <c r="F1263" s="297">
        <v>19</v>
      </c>
      <c r="G1263" s="291">
        <f t="shared" ref="G1263:G1268" si="22">H1263+I1263</f>
        <v>1796</v>
      </c>
      <c r="H1263" s="1550">
        <v>1519</v>
      </c>
      <c r="I1263" s="1551">
        <v>277</v>
      </c>
    </row>
    <row r="1264" spans="2:9" x14ac:dyDescent="0.25">
      <c r="B1264" s="233"/>
      <c r="C1264" s="225"/>
      <c r="D1264" s="223" t="s">
        <v>151</v>
      </c>
      <c r="E1264" s="223"/>
      <c r="F1264" s="307">
        <v>20</v>
      </c>
      <c r="G1264" s="296">
        <f t="shared" si="22"/>
        <v>182</v>
      </c>
      <c r="H1264" s="1554">
        <v>147</v>
      </c>
      <c r="I1264" s="1555">
        <v>35</v>
      </c>
    </row>
    <row r="1265" spans="2:9" x14ac:dyDescent="0.25">
      <c r="B1265" s="233"/>
      <c r="C1265" s="225"/>
      <c r="D1265" s="223" t="s">
        <v>149</v>
      </c>
      <c r="E1265" s="223"/>
      <c r="F1265" s="307">
        <v>21</v>
      </c>
      <c r="G1265" s="296">
        <f t="shared" si="22"/>
        <v>4</v>
      </c>
      <c r="H1265" s="1554">
        <v>3</v>
      </c>
      <c r="I1265" s="1555">
        <v>1</v>
      </c>
    </row>
    <row r="1266" spans="2:9" x14ac:dyDescent="0.25">
      <c r="B1266" s="233"/>
      <c r="C1266" s="225"/>
      <c r="D1266" s="222" t="s">
        <v>152</v>
      </c>
      <c r="E1266" s="222"/>
      <c r="F1266" s="297">
        <v>22</v>
      </c>
      <c r="G1266" s="291">
        <f t="shared" si="22"/>
        <v>3</v>
      </c>
      <c r="H1266" s="1550">
        <v>3</v>
      </c>
      <c r="I1266" s="1551">
        <v>0</v>
      </c>
    </row>
    <row r="1267" spans="2:9" x14ac:dyDescent="0.25">
      <c r="B1267" s="233"/>
      <c r="C1267" s="222" t="s">
        <v>156</v>
      </c>
      <c r="D1267" s="222"/>
      <c r="E1267" s="222"/>
      <c r="F1267" s="297">
        <v>23</v>
      </c>
      <c r="G1267" s="291">
        <f t="shared" si="22"/>
        <v>10</v>
      </c>
      <c r="H1267" s="1550">
        <v>10</v>
      </c>
      <c r="I1267" s="1551">
        <v>0</v>
      </c>
    </row>
    <row r="1268" spans="2:9" x14ac:dyDescent="0.25">
      <c r="B1268" s="233"/>
      <c r="C1268" s="223" t="s">
        <v>150</v>
      </c>
      <c r="D1268" s="223"/>
      <c r="E1268" s="223"/>
      <c r="F1268" s="307">
        <v>24</v>
      </c>
      <c r="G1268" s="296">
        <f t="shared" si="22"/>
        <v>142</v>
      </c>
      <c r="H1268" s="1554">
        <v>125</v>
      </c>
      <c r="I1268" s="1555">
        <v>17</v>
      </c>
    </row>
    <row r="1269" spans="2:9" x14ac:dyDescent="0.25">
      <c r="B1269" s="233"/>
      <c r="C1269" s="250" t="s">
        <v>157</v>
      </c>
      <c r="D1269" s="250"/>
      <c r="E1269" s="250"/>
      <c r="F1269" s="319"/>
      <c r="G1269" s="320"/>
      <c r="H1269" s="321"/>
      <c r="I1269" s="322"/>
    </row>
    <row r="1270" spans="2:9" ht="15.75" thickBot="1" x14ac:dyDescent="0.3">
      <c r="B1270" s="244"/>
      <c r="C1270" s="226" t="s">
        <v>148</v>
      </c>
      <c r="D1270" s="226"/>
      <c r="E1270" s="226"/>
      <c r="F1270" s="299">
        <v>25</v>
      </c>
      <c r="G1270" s="300">
        <f>H1270+I1270</f>
        <v>8</v>
      </c>
      <c r="H1270" s="1556">
        <v>0</v>
      </c>
      <c r="I1270" s="1557">
        <v>8</v>
      </c>
    </row>
    <row r="1271" spans="2:9" ht="16.5" thickTop="1" thickBot="1" x14ac:dyDescent="0.3">
      <c r="F1271" s="301"/>
      <c r="G1271" s="302"/>
      <c r="H1271" s="303"/>
      <c r="I1271" s="303"/>
    </row>
    <row r="1272" spans="2:9" ht="15.75" thickTop="1" x14ac:dyDescent="0.25">
      <c r="B1272" s="261" t="s">
        <v>174</v>
      </c>
      <c r="C1272" s="262"/>
      <c r="D1272" s="263"/>
      <c r="E1272" s="246"/>
      <c r="F1272" s="323">
        <v>26</v>
      </c>
      <c r="G1272" s="1109">
        <f>H1272+I1272</f>
        <v>1721</v>
      </c>
      <c r="H1272" s="1109">
        <f>H1274+H1279</f>
        <v>1401</v>
      </c>
      <c r="I1272" s="1108">
        <f>I1274+I1279</f>
        <v>320</v>
      </c>
    </row>
    <row r="1273" spans="2:9" x14ac:dyDescent="0.25">
      <c r="B1273" s="233"/>
      <c r="C1273" s="240" t="s">
        <v>50</v>
      </c>
      <c r="D1273" s="225"/>
      <c r="E1273" s="225"/>
      <c r="F1273" s="286"/>
      <c r="G1273" s="287"/>
      <c r="H1273" s="288"/>
      <c r="I1273" s="289"/>
    </row>
    <row r="1274" spans="2:9" x14ac:dyDescent="0.25">
      <c r="B1274" s="233"/>
      <c r="C1274" s="222" t="s">
        <v>185</v>
      </c>
      <c r="D1274" s="222"/>
      <c r="E1274" s="222"/>
      <c r="F1274" s="297">
        <v>27</v>
      </c>
      <c r="G1274" s="689">
        <f>H1274+I1274</f>
        <v>61</v>
      </c>
      <c r="H1274" s="291">
        <f>SUM(H1276:H1278)</f>
        <v>49</v>
      </c>
      <c r="I1274" s="690">
        <f>SUM(I1276:I1278)</f>
        <v>12</v>
      </c>
    </row>
    <row r="1275" spans="2:9" x14ac:dyDescent="0.25">
      <c r="B1275" s="233"/>
      <c r="C1275" s="225"/>
      <c r="D1275" s="240" t="s">
        <v>190</v>
      </c>
      <c r="E1275" s="225"/>
      <c r="F1275" s="286"/>
      <c r="G1275" s="390" t="str">
        <f>IF(SUM(G1276:G1278)=G1274, "", G1274-SUM(G1276:G1278))</f>
        <v/>
      </c>
      <c r="H1275" s="390" t="str">
        <f>IF(SUM(H1276:H1278)=H1274, "", H1274-SUM(H1276:H1278))</f>
        <v/>
      </c>
      <c r="I1275" s="398" t="str">
        <f>IF(SUM(I1276:I1278)=I1274, "", I1274-SUM(I1276:I1278))</f>
        <v/>
      </c>
    </row>
    <row r="1276" spans="2:9" x14ac:dyDescent="0.25">
      <c r="B1276" s="233"/>
      <c r="C1276" s="225"/>
      <c r="D1276" s="222" t="s">
        <v>186</v>
      </c>
      <c r="E1276" s="222"/>
      <c r="F1276" s="297">
        <v>28</v>
      </c>
      <c r="G1276" s="291">
        <f>H1276+I1276</f>
        <v>8</v>
      </c>
      <c r="H1276" s="1550">
        <v>6</v>
      </c>
      <c r="I1276" s="1551">
        <v>2</v>
      </c>
    </row>
    <row r="1277" spans="2:9" x14ac:dyDescent="0.25">
      <c r="B1277" s="233"/>
      <c r="C1277" s="225"/>
      <c r="D1277" s="223" t="s">
        <v>187</v>
      </c>
      <c r="E1277" s="225"/>
      <c r="F1277" s="297">
        <v>29</v>
      </c>
      <c r="G1277" s="291">
        <f>H1277+I1277</f>
        <v>1</v>
      </c>
      <c r="H1277" s="1550">
        <v>1</v>
      </c>
      <c r="I1277" s="1551">
        <v>0</v>
      </c>
    </row>
    <row r="1278" spans="2:9" x14ac:dyDescent="0.25">
      <c r="B1278" s="233"/>
      <c r="C1278" s="225"/>
      <c r="D1278" s="223" t="s">
        <v>188</v>
      </c>
      <c r="E1278" s="223"/>
      <c r="F1278" s="307">
        <v>30</v>
      </c>
      <c r="G1278" s="296">
        <f>H1278+I1278</f>
        <v>52</v>
      </c>
      <c r="H1278" s="1554">
        <v>42</v>
      </c>
      <c r="I1278" s="1555">
        <v>10</v>
      </c>
    </row>
    <row r="1279" spans="2:9" x14ac:dyDescent="0.25">
      <c r="B1279" s="233"/>
      <c r="C1279" s="222" t="s">
        <v>189</v>
      </c>
      <c r="D1279" s="222"/>
      <c r="E1279" s="222"/>
      <c r="F1279" s="297">
        <v>31</v>
      </c>
      <c r="G1279" s="689">
        <f>H1279+I1279</f>
        <v>1660</v>
      </c>
      <c r="H1279" s="689">
        <f>SUM(H1281:H1284)</f>
        <v>1352</v>
      </c>
      <c r="I1279" s="690">
        <f>SUM(I1281:I1284)</f>
        <v>308</v>
      </c>
    </row>
    <row r="1280" spans="2:9" x14ac:dyDescent="0.25">
      <c r="B1280" s="233"/>
      <c r="C1280" s="225"/>
      <c r="D1280" s="240" t="s">
        <v>191</v>
      </c>
      <c r="E1280" s="225"/>
      <c r="F1280" s="286"/>
      <c r="G1280" s="287" t="str">
        <f>IF(SUM(G1281:G1284)=G1279, "", G1279-SUM(G1281:G1284))</f>
        <v/>
      </c>
      <c r="H1280" s="288" t="str">
        <f>IF(SUM(H1281:H1284)=H1279, "", H1279-SUM(H1281:H1284))</f>
        <v/>
      </c>
      <c r="I1280" s="289" t="str">
        <f>IF(SUM(I1281:I1284)=I1279, "", I1279-SUM(I1281:I1284))</f>
        <v/>
      </c>
    </row>
    <row r="1281" spans="2:9" x14ac:dyDescent="0.25">
      <c r="B1281" s="233"/>
      <c r="C1281" s="225"/>
      <c r="D1281" s="222" t="s">
        <v>186</v>
      </c>
      <c r="E1281" s="222"/>
      <c r="F1281" s="297">
        <v>32</v>
      </c>
      <c r="G1281" s="291">
        <f>H1281+I1281</f>
        <v>1433</v>
      </c>
      <c r="H1281" s="1550">
        <v>1199</v>
      </c>
      <c r="I1281" s="1551">
        <v>234</v>
      </c>
    </row>
    <row r="1282" spans="2:9" x14ac:dyDescent="0.25">
      <c r="B1282" s="233"/>
      <c r="C1282" s="225"/>
      <c r="D1282" s="222" t="s">
        <v>187</v>
      </c>
      <c r="E1282" s="222"/>
      <c r="F1282" s="297">
        <v>33</v>
      </c>
      <c r="G1282" s="291">
        <f>H1282+I1282</f>
        <v>0</v>
      </c>
      <c r="H1282" s="1550">
        <v>0</v>
      </c>
      <c r="I1282" s="1551">
        <v>0</v>
      </c>
    </row>
    <row r="1283" spans="2:9" x14ac:dyDescent="0.25">
      <c r="B1283" s="233"/>
      <c r="C1283" s="225"/>
      <c r="D1283" s="222" t="s">
        <v>188</v>
      </c>
      <c r="E1283" s="222"/>
      <c r="F1283" s="297">
        <v>34</v>
      </c>
      <c r="G1283" s="291">
        <f>H1283+I1283</f>
        <v>218</v>
      </c>
      <c r="H1283" s="1550">
        <v>148</v>
      </c>
      <c r="I1283" s="1551">
        <v>70</v>
      </c>
    </row>
    <row r="1284" spans="2:9" ht="15.75" thickBot="1" x14ac:dyDescent="0.3">
      <c r="B1284" s="234"/>
      <c r="C1284" s="235"/>
      <c r="D1284" s="259" t="s">
        <v>153</v>
      </c>
      <c r="E1284" s="259"/>
      <c r="F1284" s="325">
        <v>35</v>
      </c>
      <c r="G1284" s="326">
        <f>H1284+I1284</f>
        <v>9</v>
      </c>
      <c r="H1284" s="1567">
        <v>5</v>
      </c>
      <c r="I1284" s="1563">
        <v>4</v>
      </c>
    </row>
    <row r="1285" spans="2:9" x14ac:dyDescent="0.25">
      <c r="B1285" s="260" t="s">
        <v>177</v>
      </c>
      <c r="C1285" s="242"/>
      <c r="D1285" s="242"/>
      <c r="E1285" s="242"/>
      <c r="F1285" s="327">
        <v>36</v>
      </c>
      <c r="G1285" s="699">
        <f>H1285+I1285</f>
        <v>1711</v>
      </c>
      <c r="H1285" s="798">
        <f>H1276+H1278+H1281+H1283</f>
        <v>1395</v>
      </c>
      <c r="I1285" s="708">
        <f>I1276+I1278+I1281+I1283</f>
        <v>316</v>
      </c>
    </row>
    <row r="1286" spans="2:9" x14ac:dyDescent="0.25">
      <c r="B1286" s="233"/>
      <c r="C1286" s="240" t="s">
        <v>155</v>
      </c>
      <c r="D1286" s="225"/>
      <c r="E1286" s="250"/>
      <c r="F1286" s="286"/>
      <c r="G1286" s="390" t="str">
        <f>IF(SUM(G1287:G1289)=G1285, "", G1285-SUM(G1287:G1289))</f>
        <v/>
      </c>
      <c r="H1286" s="390" t="str">
        <f>IF(SUM(H1287:H1289)=H1285, "", H1285-SUM(H1287:H1289))</f>
        <v/>
      </c>
      <c r="I1286" s="398" t="str">
        <f>IF(SUM(I1287:I1289)=I1285, "", I1285-SUM(I1287:I1289))</f>
        <v/>
      </c>
    </row>
    <row r="1287" spans="2:9" x14ac:dyDescent="0.25">
      <c r="B1287" s="233"/>
      <c r="C1287" s="222" t="s">
        <v>178</v>
      </c>
      <c r="D1287" s="222"/>
      <c r="E1287" s="222"/>
      <c r="F1287" s="297">
        <v>37</v>
      </c>
      <c r="G1287" s="291">
        <f>H1287+I1287</f>
        <v>1404</v>
      </c>
      <c r="H1287" s="1550">
        <v>1149</v>
      </c>
      <c r="I1287" s="1551">
        <v>255</v>
      </c>
    </row>
    <row r="1288" spans="2:9" x14ac:dyDescent="0.25">
      <c r="B1288" s="233"/>
      <c r="C1288" s="223" t="s">
        <v>151</v>
      </c>
      <c r="D1288" s="223"/>
      <c r="E1288" s="223"/>
      <c r="F1288" s="307">
        <v>38</v>
      </c>
      <c r="G1288" s="1111">
        <f>H1288+I1288</f>
        <v>292</v>
      </c>
      <c r="H1288" s="1554">
        <v>232</v>
      </c>
      <c r="I1288" s="1555">
        <v>60</v>
      </c>
    </row>
    <row r="1289" spans="2:9" ht="15.75" thickBot="1" x14ac:dyDescent="0.3">
      <c r="B1289" s="244"/>
      <c r="C1289" s="226" t="s">
        <v>152</v>
      </c>
      <c r="D1289" s="226"/>
      <c r="E1289" s="226"/>
      <c r="F1289" s="299">
        <v>39</v>
      </c>
      <c r="G1289" s="300">
        <f>H1289+I1289</f>
        <v>15</v>
      </c>
      <c r="H1289" s="1556">
        <v>14</v>
      </c>
      <c r="I1289" s="1557">
        <v>1</v>
      </c>
    </row>
    <row r="1290" spans="2:9" ht="15.75" thickTop="1" x14ac:dyDescent="0.25">
      <c r="G1290" s="412" t="str">
        <f>IF(SUM(G1287:G1289)=G1285, "", SUM(G1287:G1289))</f>
        <v/>
      </c>
      <c r="H1290" s="412" t="str">
        <f>IF(SUM(H1287:H1289)=H1285, "", SUM(H1287:H1289))</f>
        <v/>
      </c>
      <c r="I1290" s="412" t="str">
        <f>IF(SUM(I1287:I1289)=I1285, "", SUM(I1287:I1289))</f>
        <v/>
      </c>
    </row>
    <row r="1291" spans="2:9" x14ac:dyDescent="0.25">
      <c r="B1291" s="221" t="s">
        <v>123</v>
      </c>
      <c r="D1291" s="220" t="s">
        <v>180</v>
      </c>
      <c r="H1291" t="s">
        <v>182</v>
      </c>
    </row>
    <row r="1292" spans="2:9" x14ac:dyDescent="0.25">
      <c r="B1292" s="221" t="s">
        <v>181</v>
      </c>
      <c r="D1292" s="220" t="s">
        <v>180</v>
      </c>
      <c r="H1292" s="256" t="s">
        <v>126</v>
      </c>
    </row>
    <row r="1294" spans="2:9" x14ac:dyDescent="0.25">
      <c r="B1294" s="221" t="s">
        <v>116</v>
      </c>
      <c r="C1294" s="212"/>
      <c r="D1294" s="220"/>
      <c r="E1294" s="220"/>
      <c r="F1294" s="212"/>
      <c r="G1294" s="220"/>
      <c r="H1294" s="220"/>
      <c r="I1294" s="256" t="s">
        <v>175</v>
      </c>
    </row>
    <row r="1295" spans="2:9" x14ac:dyDescent="0.25">
      <c r="B1295" s="257" t="s">
        <v>129</v>
      </c>
      <c r="C1295" s="212"/>
      <c r="D1295" s="220"/>
      <c r="E1295" s="257"/>
      <c r="F1295" s="220"/>
      <c r="G1295" s="220"/>
      <c r="H1295" s="220"/>
      <c r="I1295" s="220"/>
    </row>
    <row r="1296" spans="2:9" x14ac:dyDescent="0.25">
      <c r="B1296" s="221" t="s">
        <v>128</v>
      </c>
      <c r="C1296" s="212"/>
      <c r="D1296" s="220"/>
      <c r="F1296" s="220"/>
      <c r="G1296" s="220"/>
    </row>
    <row r="1297" spans="1:1" x14ac:dyDescent="0.25">
      <c r="A1297" s="891" t="s">
        <v>412</v>
      </c>
    </row>
  </sheetData>
  <mergeCells count="36">
    <mergeCell ref="H1230:I1230"/>
    <mergeCell ref="H926:I926"/>
    <mergeCell ref="H1002:I1002"/>
    <mergeCell ref="H1078:I1078"/>
    <mergeCell ref="H1154:I1154"/>
    <mergeCell ref="H1220:I1220"/>
    <mergeCell ref="H156:I156"/>
    <mergeCell ref="H232:I232"/>
    <mergeCell ref="H90:I90"/>
    <mergeCell ref="H774:I774"/>
    <mergeCell ref="H14:I14"/>
    <mergeCell ref="H166:I166"/>
    <mergeCell ref="H308:I308"/>
    <mergeCell ref="H536:I536"/>
    <mergeCell ref="H384:I384"/>
    <mergeCell ref="H460:I460"/>
    <mergeCell ref="H688:I688"/>
    <mergeCell ref="H764:I764"/>
    <mergeCell ref="H840:I840"/>
    <mergeCell ref="H698:I698"/>
    <mergeCell ref="E9:G9"/>
    <mergeCell ref="E10:G10"/>
    <mergeCell ref="E11:G11"/>
    <mergeCell ref="H622:I622"/>
    <mergeCell ref="H242:I242"/>
    <mergeCell ref="H80:I80"/>
    <mergeCell ref="H916:I916"/>
    <mergeCell ref="H992:I992"/>
    <mergeCell ref="H1068:I1068"/>
    <mergeCell ref="H1144:I1144"/>
    <mergeCell ref="H850:I850"/>
    <mergeCell ref="H318:I318"/>
    <mergeCell ref="H394:I394"/>
    <mergeCell ref="H470:I470"/>
    <mergeCell ref="H546:I546"/>
    <mergeCell ref="H612:I612"/>
  </mergeCells>
  <phoneticPr fontId="82" type="noConversion"/>
  <conditionalFormatting sqref="G866 G942 G106 G1018 G1094 G258 G334 G182 G410 G1170 G30 G486 G562 G638 G714 G790 G1246">
    <cfRule type="cellIs" dxfId="10" priority="1" stopIfTrue="1" operator="equal">
      <formula>"!"</formula>
    </cfRule>
    <cfRule type="cellIs" dxfId="9" priority="2" stopIfTrue="1" operator="equal">
      <formula>"?"</formula>
    </cfRule>
  </conditionalFormatting>
  <conditionalFormatting sqref="G474:I474 G398:I398 G322:I322 G246:I246 G170:I170 G94:I94 G18:I18 G550:I550 G626:I626 G702:I702 G778:I778 G854:I854 G930:I930 G1006:I1006 G1082:I1082 G1158:I1158 G1234:I1234">
    <cfRule type="cellIs" dxfId="8" priority="3" stopIfTrue="1" operator="equal">
      <formula>"bez zmian"</formula>
    </cfRule>
  </conditionalFormatting>
  <printOptions horizontalCentered="1"/>
  <pageMargins left="0.55118110236220474" right="0.59055118110236227" top="0.51181102362204722" bottom="0" header="0.31496062992125984" footer="0.51181102362204722"/>
  <pageSetup paperSize="9" scale="59" orientation="portrait" r:id="rId1"/>
  <headerFooter alignWithMargins="0"/>
  <ignoredErrors>
    <ignoredError sqref="H273:I273 H729:I729 H501:I501 H1261:I1261 H1109:I1109 H1033:I1033 H1185:I1185 H197:I197 H425:I425 H121:I121" formulaRange="1"/>
    <ignoredError sqref="A766 A1 A990 F1242:F1245 A78 A917 A1146 A842 A154 F703:F713 F627:F637 A1066 F19:F20 F22:F24 F26:F29 A1218 A610 A686 A230 F1235:F1236 F1238:F1240 A534 A458 F402:F403 A306 F399:F400 A382 F1083:F1084 F171:F172 F174 F406:F409 F404 F931:F932 F934 F95:F96 F98 F558:F561 F554:F556 F1014:F1017 F1010:F1012 F1007:F1008 F1086:F1088 F1090:F1093 F1159:F1160 F1166:F1169 F1162:F1164 F938:F941 F935:F936 F862:F865 F858:F860 F855:F856 F786:F789 F782:F784 F779:F780 F551:F552 F482:F485 F478:F480 F475:F476 F330:F333 F326:F328 F323:F324 F254:F257 F250:F252 F247:F248 F178:F181 F175:F176 F102:F105 F99:F100" numberStoredAsText="1"/>
    <ignoredError sqref="G714 G638 G59:I59 G70:I70 G30 G1246 G515 G520 G1210 G1204 G1199 G678 G672 G667 G1123 G1128 G1134 G1085 G140 G135 G146 G211 G287 G368 G444 G748 G824 G900 G1052 G439 G450 G410 G1275 G1280 G1286 G1058 G1047 G562 G1018 G1094 G1170 G1096 G982 G976 G971 G942 G182 G106 G64 G216 G222 G258 G292 G298 G363 G374" formula="1"/>
  </ignoredErrors>
  <legacy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heetViews>
  <sheetFormatPr defaultRowHeight="12.75" x14ac:dyDescent="0.2"/>
  <cols>
    <col min="1" max="1" width="4.7109375" customWidth="1"/>
    <col min="2" max="2" width="24.28515625" bestFit="1" customWidth="1"/>
    <col min="3" max="8" width="15.7109375" customWidth="1"/>
  </cols>
  <sheetData>
    <row r="1" spans="1:8" ht="15.75" x14ac:dyDescent="0.25">
      <c r="A1" s="1" t="s">
        <v>195</v>
      </c>
      <c r="B1" s="3"/>
      <c r="C1" s="413"/>
      <c r="D1" s="413"/>
      <c r="E1" s="413"/>
      <c r="F1" s="413"/>
      <c r="G1" s="1603"/>
      <c r="H1" s="1603"/>
    </row>
    <row r="2" spans="1:8" x14ac:dyDescent="0.2">
      <c r="A2" s="3" t="s">
        <v>214</v>
      </c>
      <c r="B2" s="3"/>
      <c r="C2" s="3"/>
      <c r="D2" s="3"/>
      <c r="E2" s="3"/>
      <c r="F2" s="3"/>
      <c r="G2" s="3"/>
      <c r="H2" s="3"/>
    </row>
    <row r="3" spans="1:8" x14ac:dyDescent="0.2">
      <c r="A3" s="3" t="s">
        <v>216</v>
      </c>
      <c r="B3" s="3"/>
      <c r="C3" s="3"/>
      <c r="D3" s="3"/>
      <c r="E3" s="3"/>
      <c r="F3" s="3"/>
      <c r="G3" s="3"/>
      <c r="H3" s="3"/>
    </row>
    <row r="4" spans="1:8" x14ac:dyDescent="0.2">
      <c r="A4" s="3"/>
      <c r="B4" s="3"/>
      <c r="C4" s="3"/>
      <c r="D4" s="3"/>
      <c r="E4" s="3"/>
      <c r="F4" s="3"/>
      <c r="G4" s="3"/>
      <c r="H4" s="3"/>
    </row>
    <row r="5" spans="1:8" x14ac:dyDescent="0.2">
      <c r="A5" s="3"/>
      <c r="B5" s="3"/>
      <c r="C5" s="3"/>
      <c r="D5" s="3"/>
      <c r="E5" s="3"/>
      <c r="F5" s="3"/>
      <c r="G5" s="3"/>
      <c r="H5" s="460"/>
    </row>
    <row r="6" spans="1:8" ht="15.75" x14ac:dyDescent="0.25">
      <c r="A6" s="1604" t="s">
        <v>254</v>
      </c>
      <c r="B6" s="1604"/>
      <c r="C6" s="1604"/>
      <c r="D6" s="1604"/>
      <c r="E6" s="1604"/>
      <c r="F6" s="1604"/>
      <c r="G6" s="1604"/>
      <c r="H6" s="1604"/>
    </row>
    <row r="7" spans="1:8" ht="15.75" x14ac:dyDescent="0.25">
      <c r="A7" s="1604" t="s">
        <v>255</v>
      </c>
      <c r="B7" s="1604"/>
      <c r="C7" s="1604"/>
      <c r="D7" s="1604"/>
      <c r="E7" s="1604"/>
      <c r="F7" s="1604"/>
      <c r="G7" s="1604"/>
      <c r="H7" s="1604"/>
    </row>
    <row r="8" spans="1:8" ht="15.75" x14ac:dyDescent="0.25">
      <c r="A8" s="1690" t="str">
        <f>"wg stanu na dzień 31. XII. "&amp;'Tab.1. bilans_Polska'!A2&amp;" r."</f>
        <v>wg stanu na dzień 31. XII. 2011 r.</v>
      </c>
      <c r="B8" s="1690"/>
      <c r="C8" s="1690"/>
      <c r="D8" s="1690"/>
      <c r="E8" s="1690"/>
      <c r="F8" s="1690"/>
      <c r="G8" s="1690"/>
      <c r="H8" s="1690"/>
    </row>
    <row r="9" spans="1:8" ht="13.5" thickBot="1" x14ac:dyDescent="0.25">
      <c r="A9" s="3"/>
      <c r="B9" s="3"/>
      <c r="C9" s="3"/>
      <c r="D9" s="3"/>
      <c r="E9" s="3"/>
      <c r="F9" s="3"/>
      <c r="G9" s="3"/>
      <c r="H9" s="3"/>
    </row>
    <row r="10" spans="1:8" ht="13.5" thickTop="1" x14ac:dyDescent="0.2">
      <c r="A10" s="1957" t="s">
        <v>226</v>
      </c>
      <c r="B10" s="1959" t="s">
        <v>256</v>
      </c>
      <c r="C10" s="1961" t="s">
        <v>257</v>
      </c>
      <c r="D10" s="1642"/>
      <c r="E10" s="1962"/>
      <c r="F10" s="1642" t="s">
        <v>258</v>
      </c>
      <c r="G10" s="1642"/>
      <c r="H10" s="1643"/>
    </row>
    <row r="11" spans="1:8" ht="24" x14ac:dyDescent="0.2">
      <c r="A11" s="1958"/>
      <c r="B11" s="1960"/>
      <c r="C11" s="422" t="s">
        <v>231</v>
      </c>
      <c r="D11" s="420" t="s">
        <v>232</v>
      </c>
      <c r="E11" s="423" t="s">
        <v>259</v>
      </c>
      <c r="F11" s="419" t="s">
        <v>260</v>
      </c>
      <c r="G11" s="420" t="s">
        <v>234</v>
      </c>
      <c r="H11" s="424" t="s">
        <v>233</v>
      </c>
    </row>
    <row r="12" spans="1:8" ht="13.5" thickBot="1" x14ac:dyDescent="0.25">
      <c r="A12" s="425"/>
      <c r="B12" s="426">
        <v>0</v>
      </c>
      <c r="C12" s="430">
        <v>4</v>
      </c>
      <c r="D12" s="428">
        <v>5</v>
      </c>
      <c r="E12" s="426">
        <v>6</v>
      </c>
      <c r="F12" s="427">
        <v>7</v>
      </c>
      <c r="G12" s="428">
        <v>8</v>
      </c>
      <c r="H12" s="431">
        <v>9</v>
      </c>
    </row>
    <row r="13" spans="1:8" ht="13.5" thickTop="1" x14ac:dyDescent="0.2">
      <c r="A13" s="461">
        <v>1</v>
      </c>
      <c r="B13" s="433" t="s">
        <v>236</v>
      </c>
      <c r="C13" s="434">
        <f>'Tab.7. Środ.d.s._Polska'!C51</f>
        <v>34</v>
      </c>
      <c r="D13" s="435">
        <f>'Tab.7. Środ.d.s._Polska'!D51</f>
        <v>1017</v>
      </c>
      <c r="E13" s="437">
        <f>'Tab.7. Środ.d.s._Polska'!E51</f>
        <v>1013</v>
      </c>
      <c r="F13" s="434">
        <f>'Tab.10. Mieszk.chron_Polska'!C48</f>
        <v>0</v>
      </c>
      <c r="G13" s="435">
        <f>'Tab.10. Mieszk.chron_Polska'!D48</f>
        <v>0</v>
      </c>
      <c r="H13" s="438">
        <f>'Tab.10. Mieszk.chron_Polska'!E48</f>
        <v>0</v>
      </c>
    </row>
    <row r="14" spans="1:8" x14ac:dyDescent="0.2">
      <c r="A14" s="462">
        <v>2</v>
      </c>
      <c r="B14" s="439" t="s">
        <v>237</v>
      </c>
      <c r="C14" s="440">
        <f>'Tab.7. Środ.d.s._Polska'!C83</f>
        <v>36</v>
      </c>
      <c r="D14" s="441">
        <f>'Tab.7. Środ.d.s._Polska'!D83</f>
        <v>1133</v>
      </c>
      <c r="E14" s="443">
        <f>'Tab.7. Środ.d.s._Polska'!E83</f>
        <v>1143</v>
      </c>
      <c r="F14" s="440">
        <f>'Tab.10. Mieszk.chron_Polska'!C78</f>
        <v>0</v>
      </c>
      <c r="G14" s="441">
        <f>'Tab.10. Mieszk.chron_Polska'!D78</f>
        <v>0</v>
      </c>
      <c r="H14" s="444">
        <f>'Tab.10. Mieszk.chron_Polska'!E78</f>
        <v>0</v>
      </c>
    </row>
    <row r="15" spans="1:8" x14ac:dyDescent="0.2">
      <c r="A15" s="462">
        <v>3</v>
      </c>
      <c r="B15" s="439" t="s">
        <v>238</v>
      </c>
      <c r="C15" s="440">
        <f>'Tab.7. Środ.d.s._Polska'!C115</f>
        <v>46</v>
      </c>
      <c r="D15" s="441">
        <f>'Tab.7. Środ.d.s._Polska'!D115</f>
        <v>1648</v>
      </c>
      <c r="E15" s="443">
        <f>'Tab.7. Środ.d.s._Polska'!E115</f>
        <v>1731</v>
      </c>
      <c r="F15" s="440">
        <f>'Tab.10. Mieszk.chron_Polska'!C108</f>
        <v>0</v>
      </c>
      <c r="G15" s="441">
        <f>'Tab.10. Mieszk.chron_Polska'!D108</f>
        <v>0</v>
      </c>
      <c r="H15" s="444">
        <f>'Tab.10. Mieszk.chron_Polska'!E108</f>
        <v>0</v>
      </c>
    </row>
    <row r="16" spans="1:8" x14ac:dyDescent="0.2">
      <c r="A16" s="462">
        <v>4</v>
      </c>
      <c r="B16" s="439" t="s">
        <v>239</v>
      </c>
      <c r="C16" s="440">
        <f>'Tab.7. Środ.d.s._Polska'!C147</f>
        <v>30</v>
      </c>
      <c r="D16" s="441">
        <f>'Tab.7. Środ.d.s._Polska'!D147</f>
        <v>731</v>
      </c>
      <c r="E16" s="443">
        <f>'Tab.7. Środ.d.s._Polska'!E147</f>
        <v>682</v>
      </c>
      <c r="F16" s="440">
        <f>'Tab.10. Mieszk.chron_Polska'!C138</f>
        <v>1</v>
      </c>
      <c r="G16" s="441">
        <f>'Tab.10. Mieszk.chron_Polska'!D138</f>
        <v>9</v>
      </c>
      <c r="H16" s="444">
        <f>'Tab.10. Mieszk.chron_Polska'!E138</f>
        <v>7</v>
      </c>
    </row>
    <row r="17" spans="1:8" x14ac:dyDescent="0.2">
      <c r="A17" s="462">
        <v>5</v>
      </c>
      <c r="B17" s="439" t="s">
        <v>240</v>
      </c>
      <c r="C17" s="440">
        <f>'Tab.7. Środ.d.s._Polska'!C179</f>
        <v>41</v>
      </c>
      <c r="D17" s="441">
        <f>'Tab.7. Środ.d.s._Polska'!D179</f>
        <v>1518</v>
      </c>
      <c r="E17" s="443">
        <f>'Tab.7. Środ.d.s._Polska'!E179</f>
        <v>1535</v>
      </c>
      <c r="F17" s="440">
        <f>'Tab.10. Mieszk.chron_Polska'!C168</f>
        <v>0</v>
      </c>
      <c r="G17" s="441">
        <f>'Tab.10. Mieszk.chron_Polska'!D168</f>
        <v>0</v>
      </c>
      <c r="H17" s="444">
        <f>'Tab.10. Mieszk.chron_Polska'!E168</f>
        <v>0</v>
      </c>
    </row>
    <row r="18" spans="1:8" x14ac:dyDescent="0.2">
      <c r="A18" s="462">
        <v>6</v>
      </c>
      <c r="B18" s="439" t="s">
        <v>241</v>
      </c>
      <c r="C18" s="440">
        <f>'Tab.7. Środ.d.s._Polska'!C211</f>
        <v>71</v>
      </c>
      <c r="D18" s="441">
        <f>'Tab.7. Środ.d.s._Polska'!D211</f>
        <v>2436</v>
      </c>
      <c r="E18" s="443">
        <f>'Tab.7. Środ.d.s._Polska'!E211</f>
        <v>2481</v>
      </c>
      <c r="F18" s="440">
        <f>'Tab.10. Mieszk.chron_Polska'!C198</f>
        <v>0</v>
      </c>
      <c r="G18" s="441">
        <f>'Tab.10. Mieszk.chron_Polska'!D198</f>
        <v>0</v>
      </c>
      <c r="H18" s="444">
        <f>'Tab.10. Mieszk.chron_Polska'!E198</f>
        <v>0</v>
      </c>
    </row>
    <row r="19" spans="1:8" x14ac:dyDescent="0.2">
      <c r="A19" s="462">
        <v>7</v>
      </c>
      <c r="B19" s="439" t="s">
        <v>242</v>
      </c>
      <c r="C19" s="440">
        <f>'Tab.7. Środ.d.s._Polska'!C243</f>
        <v>68</v>
      </c>
      <c r="D19" s="441">
        <f>'Tab.7. Środ.d.s._Polska'!D243</f>
        <v>1997</v>
      </c>
      <c r="E19" s="443">
        <f>'Tab.7. Środ.d.s._Polska'!E243</f>
        <v>1916</v>
      </c>
      <c r="F19" s="440">
        <f>'Tab.10. Mieszk.chron_Polska'!C228</f>
        <v>0</v>
      </c>
      <c r="G19" s="441">
        <f>'Tab.10. Mieszk.chron_Polska'!D228</f>
        <v>0</v>
      </c>
      <c r="H19" s="444">
        <f>'Tab.10. Mieszk.chron_Polska'!E228</f>
        <v>0</v>
      </c>
    </row>
    <row r="20" spans="1:8" x14ac:dyDescent="0.2">
      <c r="A20" s="462">
        <v>8</v>
      </c>
      <c r="B20" s="439" t="s">
        <v>243</v>
      </c>
      <c r="C20" s="440">
        <f>'Tab.7. Środ.d.s._Polska'!C275</f>
        <v>11</v>
      </c>
      <c r="D20" s="441">
        <f>'Tab.7. Środ.d.s._Polska'!D275</f>
        <v>524</v>
      </c>
      <c r="E20" s="443">
        <f>'Tab.7. Środ.d.s._Polska'!E275</f>
        <v>595</v>
      </c>
      <c r="F20" s="440">
        <f>'Tab.10. Mieszk.chron_Polska'!C258</f>
        <v>0</v>
      </c>
      <c r="G20" s="441">
        <f>'Tab.10. Mieszk.chron_Polska'!D258</f>
        <v>0</v>
      </c>
      <c r="H20" s="444">
        <f>'Tab.10. Mieszk.chron_Polska'!E258</f>
        <v>0</v>
      </c>
    </row>
    <row r="21" spans="1:8" x14ac:dyDescent="0.2">
      <c r="A21" s="462">
        <v>9</v>
      </c>
      <c r="B21" s="439" t="s">
        <v>244</v>
      </c>
      <c r="C21" s="440">
        <f>'Tab.7. Środ.d.s._Polska'!C307</f>
        <v>60</v>
      </c>
      <c r="D21" s="441">
        <f>'Tab.7. Środ.d.s._Polska'!D307</f>
        <v>2001</v>
      </c>
      <c r="E21" s="443">
        <f>'Tab.7. Środ.d.s._Polska'!E307</f>
        <v>2065</v>
      </c>
      <c r="F21" s="440">
        <f>'Tab.10. Mieszk.chron_Polska'!C288</f>
        <v>0</v>
      </c>
      <c r="G21" s="441">
        <f>'Tab.10. Mieszk.chron_Polska'!D288</f>
        <v>0</v>
      </c>
      <c r="H21" s="444">
        <f>'Tab.10. Mieszk.chron_Polska'!E288</f>
        <v>0</v>
      </c>
    </row>
    <row r="22" spans="1:8" x14ac:dyDescent="0.2">
      <c r="A22" s="463">
        <v>10</v>
      </c>
      <c r="B22" s="439" t="s">
        <v>245</v>
      </c>
      <c r="C22" s="440">
        <f>'Tab.7. Środ.d.s._Polska'!C339</f>
        <v>10</v>
      </c>
      <c r="D22" s="441">
        <f>'Tab.7. Środ.d.s._Polska'!D339</f>
        <v>282</v>
      </c>
      <c r="E22" s="443">
        <f>'Tab.7. Środ.d.s._Polska'!E339</f>
        <v>285</v>
      </c>
      <c r="F22" s="440">
        <f>'Tab.10. Mieszk.chron_Polska'!C318</f>
        <v>0</v>
      </c>
      <c r="G22" s="441">
        <f>'Tab.10. Mieszk.chron_Polska'!D318</f>
        <v>0</v>
      </c>
      <c r="H22" s="444">
        <f>'Tab.10. Mieszk.chron_Polska'!E318</f>
        <v>0</v>
      </c>
    </row>
    <row r="23" spans="1:8" x14ac:dyDescent="0.2">
      <c r="A23" s="463">
        <v>11</v>
      </c>
      <c r="B23" s="439" t="s">
        <v>246</v>
      </c>
      <c r="C23" s="440">
        <f>'Tab.7. Środ.d.s._Polska'!C371</f>
        <v>56</v>
      </c>
      <c r="D23" s="441">
        <f>'Tab.7. Środ.d.s._Polska'!D371</f>
        <v>1554</v>
      </c>
      <c r="E23" s="443">
        <f>'Tab.7. Środ.d.s._Polska'!E371</f>
        <v>1514</v>
      </c>
      <c r="F23" s="440">
        <f>'Tab.10. Mieszk.chron_Polska'!C348</f>
        <v>0</v>
      </c>
      <c r="G23" s="441">
        <f>'Tab.10. Mieszk.chron_Polska'!D348</f>
        <v>0</v>
      </c>
      <c r="H23" s="444">
        <f>'Tab.10. Mieszk.chron_Polska'!E348</f>
        <v>0</v>
      </c>
    </row>
    <row r="24" spans="1:8" x14ac:dyDescent="0.2">
      <c r="A24" s="463">
        <v>12</v>
      </c>
      <c r="B24" s="439" t="s">
        <v>247</v>
      </c>
      <c r="C24" s="440">
        <f>'Tab.7. Środ.d.s._Polska'!C403</f>
        <v>38</v>
      </c>
      <c r="D24" s="441">
        <f>'Tab.7. Środ.d.s._Polska'!D403</f>
        <v>1407</v>
      </c>
      <c r="E24" s="443">
        <f>'Tab.7. Środ.d.s._Polska'!E403</f>
        <v>1396</v>
      </c>
      <c r="F24" s="440">
        <f>'Tab.10. Mieszk.chron_Polska'!C378</f>
        <v>0</v>
      </c>
      <c r="G24" s="441">
        <f>'Tab.10. Mieszk.chron_Polska'!D378</f>
        <v>0</v>
      </c>
      <c r="H24" s="444">
        <f>'Tab.10. Mieszk.chron_Polska'!E378</f>
        <v>0</v>
      </c>
    </row>
    <row r="25" spans="1:8" x14ac:dyDescent="0.2">
      <c r="A25" s="463">
        <v>13</v>
      </c>
      <c r="B25" s="439" t="s">
        <v>248</v>
      </c>
      <c r="C25" s="440">
        <f>'Tab.7. Środ.d.s._Polska'!C435</f>
        <v>31</v>
      </c>
      <c r="D25" s="441">
        <f>'Tab.7. Środ.d.s._Polska'!D435</f>
        <v>815</v>
      </c>
      <c r="E25" s="443">
        <f>'Tab.7. Środ.d.s._Polska'!E435</f>
        <v>835</v>
      </c>
      <c r="F25" s="440">
        <f>'Tab.10. Mieszk.chron_Polska'!C408</f>
        <v>0</v>
      </c>
      <c r="G25" s="441">
        <f>'Tab.10. Mieszk.chron_Polska'!D408</f>
        <v>0</v>
      </c>
      <c r="H25" s="444">
        <f>'Tab.10. Mieszk.chron_Polska'!E408</f>
        <v>0</v>
      </c>
    </row>
    <row r="26" spans="1:8" x14ac:dyDescent="0.2">
      <c r="A26" s="463">
        <v>14</v>
      </c>
      <c r="B26" s="439" t="s">
        <v>249</v>
      </c>
      <c r="C26" s="440">
        <f>'Tab.7. Środ.d.s._Polska'!C467</f>
        <v>53</v>
      </c>
      <c r="D26" s="441">
        <f>'Tab.7. Środ.d.s._Polska'!D467</f>
        <v>2347</v>
      </c>
      <c r="E26" s="443">
        <f>'Tab.7. Środ.d.s._Polska'!E467</f>
        <v>2308</v>
      </c>
      <c r="F26" s="440">
        <f>'Tab.10. Mieszk.chron_Polska'!C438</f>
        <v>0</v>
      </c>
      <c r="G26" s="441">
        <f>'Tab.10. Mieszk.chron_Polska'!D438</f>
        <v>0</v>
      </c>
      <c r="H26" s="444">
        <f>'Tab.10. Mieszk.chron_Polska'!E438</f>
        <v>0</v>
      </c>
    </row>
    <row r="27" spans="1:8" x14ac:dyDescent="0.2">
      <c r="A27" s="463">
        <v>15</v>
      </c>
      <c r="B27" s="439" t="s">
        <v>250</v>
      </c>
      <c r="C27" s="440">
        <f>'Tab.7. Środ.d.s._Polska'!C499</f>
        <v>66</v>
      </c>
      <c r="D27" s="441">
        <f>'Tab.7. Środ.d.s._Polska'!D499</f>
        <v>2248</v>
      </c>
      <c r="E27" s="443">
        <f>'Tab.7. Środ.d.s._Polska'!E499</f>
        <v>2207</v>
      </c>
      <c r="F27" s="440">
        <f>'Tab.10. Mieszk.chron_Polska'!C468</f>
        <v>0</v>
      </c>
      <c r="G27" s="441">
        <f>'Tab.10. Mieszk.chron_Polska'!D468</f>
        <v>0</v>
      </c>
      <c r="H27" s="444">
        <f>'Tab.10. Mieszk.chron_Polska'!E468</f>
        <v>0</v>
      </c>
    </row>
    <row r="28" spans="1:8" ht="13.5" thickBot="1" x14ac:dyDescent="0.25">
      <c r="A28" s="463">
        <v>16</v>
      </c>
      <c r="B28" s="439" t="s">
        <v>251</v>
      </c>
      <c r="C28" s="440">
        <f>'Tab.7. Środ.d.s._Polska'!C531</f>
        <v>39</v>
      </c>
      <c r="D28" s="441">
        <f>'Tab.7. Środ.d.s._Polska'!D531</f>
        <v>1129</v>
      </c>
      <c r="E28" s="443">
        <f>'Tab.7. Środ.d.s._Polska'!E531</f>
        <v>1085</v>
      </c>
      <c r="F28" s="440">
        <f>'Tab.10. Mieszk.chron_Polska'!C498</f>
        <v>0</v>
      </c>
      <c r="G28" s="441">
        <f>'Tab.10. Mieszk.chron_Polska'!D498</f>
        <v>0</v>
      </c>
      <c r="H28" s="444">
        <f>'Tab.10. Mieszk.chron_Polska'!E498</f>
        <v>0</v>
      </c>
    </row>
    <row r="29" spans="1:8" ht="16.5" thickBot="1" x14ac:dyDescent="0.3">
      <c r="A29" s="445" t="s">
        <v>252</v>
      </c>
      <c r="B29" s="446"/>
      <c r="C29" s="453">
        <f t="shared" ref="C29:H29" si="0">SUM(C13:C28)</f>
        <v>690</v>
      </c>
      <c r="D29" s="454">
        <f t="shared" si="0"/>
        <v>22787</v>
      </c>
      <c r="E29" s="456">
        <f t="shared" si="0"/>
        <v>22791</v>
      </c>
      <c r="F29" s="453">
        <f t="shared" si="0"/>
        <v>1</v>
      </c>
      <c r="G29" s="454">
        <f t="shared" si="0"/>
        <v>9</v>
      </c>
      <c r="H29" s="457">
        <f t="shared" si="0"/>
        <v>7</v>
      </c>
    </row>
    <row r="30" spans="1:8" ht="13.5" thickTop="1" x14ac:dyDescent="0.2"/>
  </sheetData>
  <mergeCells count="8">
    <mergeCell ref="A10:A11"/>
    <mergeCell ref="B10:B11"/>
    <mergeCell ref="C10:E10"/>
    <mergeCell ref="F10:H10"/>
    <mergeCell ref="G1:H1"/>
    <mergeCell ref="A6:H6"/>
    <mergeCell ref="A7:H7"/>
    <mergeCell ref="A8:H8"/>
  </mergeCells>
  <phoneticPr fontId="82"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zoomScale="90" zoomScaleNormal="90" workbookViewId="0"/>
  </sheetViews>
  <sheetFormatPr defaultRowHeight="12.75" x14ac:dyDescent="0.2"/>
  <cols>
    <col min="1" max="1" width="3.7109375" customWidth="1"/>
    <col min="2" max="2" width="24.5703125" bestFit="1" customWidth="1"/>
    <col min="3" max="14" width="15.140625" customWidth="1"/>
    <col min="15" max="15" width="3.7109375" customWidth="1"/>
    <col min="16" max="16" width="24.5703125" bestFit="1" customWidth="1"/>
    <col min="17" max="28" width="15.7109375" customWidth="1"/>
  </cols>
  <sheetData>
    <row r="1" spans="1:14" ht="15.75" x14ac:dyDescent="0.25">
      <c r="A1" s="1" t="s">
        <v>195</v>
      </c>
      <c r="B1" s="3"/>
      <c r="C1" s="4"/>
      <c r="D1" s="3"/>
      <c r="E1" s="3"/>
      <c r="F1" s="3"/>
      <c r="G1" s="413"/>
      <c r="H1" s="413"/>
      <c r="I1" s="413"/>
      <c r="J1" s="413"/>
      <c r="K1" s="504"/>
      <c r="L1" s="504"/>
      <c r="N1" s="504" t="s">
        <v>280</v>
      </c>
    </row>
    <row r="2" spans="1:14" x14ac:dyDescent="0.2">
      <c r="A2" s="3" t="s">
        <v>214</v>
      </c>
      <c r="B2" s="3"/>
      <c r="C2" s="3"/>
      <c r="D2" s="3"/>
      <c r="E2" s="3"/>
      <c r="F2" s="3" t="s">
        <v>215</v>
      </c>
      <c r="G2" s="3"/>
      <c r="H2" s="3"/>
      <c r="I2" s="3"/>
      <c r="J2" s="3"/>
      <c r="K2" s="3"/>
      <c r="L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486</v>
      </c>
      <c r="B6" s="1604"/>
      <c r="C6" s="1604"/>
      <c r="D6" s="1604"/>
      <c r="E6" s="1604"/>
      <c r="F6" s="1604"/>
      <c r="G6" s="1604"/>
      <c r="H6" s="1604"/>
      <c r="I6" s="1604"/>
      <c r="J6" s="1604"/>
      <c r="K6" s="1604"/>
      <c r="L6" s="1604"/>
      <c r="M6" s="1604"/>
      <c r="N6" s="1604"/>
    </row>
    <row r="7" spans="1:14" ht="15.75" x14ac:dyDescent="0.25">
      <c r="A7" s="1690" t="str">
        <f>"WSKAŹNIKI PRZYJĘĆ I UMIERALNOŚCI W "&amp;'Tab.1. bilans_Polska'!A2&amp;" r."</f>
        <v>WSKAŹNIKI PRZYJĘĆ I UMIERALNOŚCI W 2011 r.</v>
      </c>
      <c r="B7" s="1690"/>
      <c r="C7" s="1690"/>
      <c r="D7" s="1690"/>
      <c r="E7" s="1690"/>
      <c r="F7" s="1690"/>
      <c r="G7" s="1690"/>
      <c r="H7" s="1690"/>
      <c r="I7" s="1690"/>
      <c r="J7" s="1690"/>
      <c r="K7" s="1690"/>
      <c r="L7" s="1690"/>
      <c r="M7" s="1690"/>
      <c r="N7" s="1690"/>
    </row>
    <row r="8" spans="1:14" ht="15.75" x14ac:dyDescent="0.25">
      <c r="A8" s="1604"/>
      <c r="B8" s="1604"/>
      <c r="C8" s="1604"/>
      <c r="D8" s="1604"/>
      <c r="E8" s="1604"/>
      <c r="F8" s="1604"/>
      <c r="G8" s="1604"/>
      <c r="H8" s="1604"/>
      <c r="I8" s="1604"/>
      <c r="J8" s="1604"/>
      <c r="K8" s="1604"/>
      <c r="L8" s="1604"/>
    </row>
    <row r="9" spans="1:14" ht="13.5" thickBot="1" x14ac:dyDescent="0.25">
      <c r="A9" s="3"/>
      <c r="B9" s="3"/>
      <c r="C9" s="3"/>
      <c r="D9" s="3"/>
      <c r="E9" s="3"/>
      <c r="F9" s="3"/>
      <c r="G9" s="3"/>
      <c r="H9" s="3"/>
      <c r="I9" s="3"/>
      <c r="J9" s="3"/>
      <c r="K9" s="3"/>
      <c r="L9" s="3"/>
    </row>
    <row r="10" spans="1:14" ht="13.5" thickTop="1" x14ac:dyDescent="0.2">
      <c r="A10" s="5"/>
      <c r="B10" s="414"/>
      <c r="C10" s="1641" t="s">
        <v>281</v>
      </c>
      <c r="D10" s="1642"/>
      <c r="E10" s="1642"/>
      <c r="F10" s="1733"/>
      <c r="G10" s="1739" t="str">
        <f>"WSKAŹNIK PRZYJĘĆ 
W "&amp;'Tab.1. bilans_Polska'!A2&amp;"r."</f>
        <v>WSKAŹNIK PRZYJĘĆ 
W 2011r.</v>
      </c>
      <c r="H10" s="1724" t="str">
        <f>"LICZBA MIESZKAŃCÓW, KTÓRZY ODESZLI 
W "&amp;'Tab.1. bilans_Polska'!A2&amp;"r."</f>
        <v>LICZBA MIESZKAŃCÓW, KTÓRZY ODESZLI 
W 2011r.</v>
      </c>
      <c r="I10" s="1727" t="s">
        <v>49</v>
      </c>
      <c r="J10" s="1727"/>
      <c r="K10" s="1727"/>
      <c r="L10" s="1728"/>
      <c r="M10" s="1742" t="str">
        <f>"LICZBA MIESZKAŃCÓW WG STANU 
NA 31.XII."&amp;'Tab.1. bilans_Polska'!A2&amp;"r."</f>
        <v>LICZBA MIESZKAŃCÓW WG STANU 
NA 31.XII.2011r.</v>
      </c>
      <c r="N10" s="1745" t="s">
        <v>283</v>
      </c>
    </row>
    <row r="11" spans="1:14" x14ac:dyDescent="0.2">
      <c r="A11" s="415" t="s">
        <v>226</v>
      </c>
      <c r="B11" s="416" t="s">
        <v>227</v>
      </c>
      <c r="C11" s="1737" t="str">
        <f>"wg stanu na dzień 31.XII."&amp;'Tab.1. bilans_Polska'!A2-1&amp;"r."</f>
        <v>wg stanu na dzień 31.XII.2010r.</v>
      </c>
      <c r="D11" s="1734" t="str">
        <f>"Przyjętych w ciągu "&amp;'Tab.1. bilans_Polska'!A2&amp;"r."</f>
        <v>Przyjętych w ciągu 2011r.</v>
      </c>
      <c r="E11" s="1735"/>
      <c r="F11" s="1736"/>
      <c r="G11" s="1740"/>
      <c r="H11" s="1725"/>
      <c r="I11" s="1729" t="s">
        <v>160</v>
      </c>
      <c r="J11" s="1729" t="s">
        <v>161</v>
      </c>
      <c r="K11" s="1729" t="s">
        <v>284</v>
      </c>
      <c r="L11" s="1731" t="s">
        <v>163</v>
      </c>
      <c r="M11" s="1743"/>
      <c r="N11" s="1746"/>
    </row>
    <row r="12" spans="1:14" ht="24" x14ac:dyDescent="0.2">
      <c r="A12" s="417"/>
      <c r="B12" s="418"/>
      <c r="C12" s="1738"/>
      <c r="D12" s="420" t="s">
        <v>282</v>
      </c>
      <c r="E12" s="423" t="s">
        <v>158</v>
      </c>
      <c r="F12" s="421" t="s">
        <v>159</v>
      </c>
      <c r="G12" s="1741"/>
      <c r="H12" s="1726"/>
      <c r="I12" s="1730"/>
      <c r="J12" s="1730"/>
      <c r="K12" s="1730"/>
      <c r="L12" s="1732"/>
      <c r="M12" s="1744"/>
      <c r="N12" s="1747"/>
    </row>
    <row r="13" spans="1:14" ht="13.5" thickBot="1" x14ac:dyDescent="0.25">
      <c r="A13" s="425"/>
      <c r="B13" s="426">
        <v>0</v>
      </c>
      <c r="C13" s="427">
        <v>1</v>
      </c>
      <c r="D13" s="428">
        <v>2</v>
      </c>
      <c r="E13" s="426">
        <v>3</v>
      </c>
      <c r="F13" s="429">
        <v>4</v>
      </c>
      <c r="G13" s="493">
        <v>5</v>
      </c>
      <c r="H13" s="496">
        <v>6</v>
      </c>
      <c r="I13" s="490">
        <v>7</v>
      </c>
      <c r="J13" s="430">
        <v>8</v>
      </c>
      <c r="K13" s="428">
        <v>9</v>
      </c>
      <c r="L13" s="429">
        <v>10</v>
      </c>
      <c r="M13" s="464">
        <v>11</v>
      </c>
      <c r="N13" s="497">
        <v>12</v>
      </c>
    </row>
    <row r="14" spans="1:14" ht="13.5" thickTop="1" x14ac:dyDescent="0.2">
      <c r="A14" s="461">
        <v>1</v>
      </c>
      <c r="B14" s="433" t="s">
        <v>236</v>
      </c>
      <c r="C14" s="434">
        <f>'Tab.3. Mieszkańcy_Polska '!G95</f>
        <v>5421</v>
      </c>
      <c r="D14" s="448">
        <f>E14+F14</f>
        <v>834</v>
      </c>
      <c r="E14" s="437">
        <f>'Tab.3. Mieszkańcy_Polska '!G98</f>
        <v>21</v>
      </c>
      <c r="F14" s="436">
        <f>'Tab.3. Mieszkańcy_Polska '!G99</f>
        <v>813</v>
      </c>
      <c r="G14" s="499">
        <f>ROUND(D14*100/C14, 1)</f>
        <v>15.4</v>
      </c>
      <c r="H14" s="447">
        <f>SUM(I14:L14)</f>
        <v>781</v>
      </c>
      <c r="I14" s="491">
        <f>'Tab.3. Mieszkańcy_Polska '!G102</f>
        <v>79</v>
      </c>
      <c r="J14" s="470">
        <f>'Tab.3. Mieszkańcy_Polska '!G103</f>
        <v>45</v>
      </c>
      <c r="K14" s="437">
        <f>'Tab.3. Mieszkańcy_Polska '!G104</f>
        <v>21</v>
      </c>
      <c r="L14" s="436">
        <f>'Tab.3. Mieszkańcy_Polska '!G105</f>
        <v>636</v>
      </c>
      <c r="M14" s="494">
        <f>'Tab.3. Mieszkańcy_Polska '!G107</f>
        <v>5474</v>
      </c>
      <c r="N14" s="502">
        <f>ROUND(L14*100/M14, 1)</f>
        <v>11.6</v>
      </c>
    </row>
    <row r="15" spans="1:14" x14ac:dyDescent="0.2">
      <c r="A15" s="462">
        <v>2</v>
      </c>
      <c r="B15" s="439" t="s">
        <v>237</v>
      </c>
      <c r="C15" s="440">
        <f>'Tab.3. Mieszkańcy_Polska '!G171</f>
        <v>3872</v>
      </c>
      <c r="D15" s="451">
        <f t="shared" ref="D15:D29" si="0">E15+F15</f>
        <v>508</v>
      </c>
      <c r="E15" s="443">
        <f>'Tab.3. Mieszkańcy_Polska '!G174</f>
        <v>23</v>
      </c>
      <c r="F15" s="442">
        <f>'Tab.3. Mieszkańcy_Polska '!G175</f>
        <v>485</v>
      </c>
      <c r="G15" s="500">
        <f t="shared" ref="G15:G29" si="1">ROUND(D15*100/C15, 1)</f>
        <v>13.1</v>
      </c>
      <c r="H15" s="450">
        <f t="shared" ref="H15:H29" si="2">SUM(I15:L15)</f>
        <v>497</v>
      </c>
      <c r="I15" s="472">
        <f>'Tab.3. Mieszkańcy_Polska '!G178</f>
        <v>41</v>
      </c>
      <c r="J15" s="471">
        <f>'Tab.3. Mieszkańcy_Polska '!G179</f>
        <v>25</v>
      </c>
      <c r="K15" s="443">
        <f>'Tab.3. Mieszkańcy_Polska '!G180</f>
        <v>5</v>
      </c>
      <c r="L15" s="442">
        <f>'Tab.3. Mieszkańcy_Polska '!G181</f>
        <v>426</v>
      </c>
      <c r="M15" s="481">
        <f>'Tab.3. Mieszkańcy_Polska '!G183</f>
        <v>3883</v>
      </c>
      <c r="N15" s="503">
        <f t="shared" ref="N15:N29" si="3">ROUND(L15*100/M15, 1)</f>
        <v>11</v>
      </c>
    </row>
    <row r="16" spans="1:14" x14ac:dyDescent="0.2">
      <c r="A16" s="462">
        <v>3</v>
      </c>
      <c r="B16" s="439" t="s">
        <v>238</v>
      </c>
      <c r="C16" s="440">
        <f>'Tab.3. Mieszkańcy_Polska '!G247</f>
        <v>4351</v>
      </c>
      <c r="D16" s="451">
        <f t="shared" si="0"/>
        <v>612</v>
      </c>
      <c r="E16" s="443">
        <f>'Tab.3. Mieszkańcy_Polska '!G250</f>
        <v>18</v>
      </c>
      <c r="F16" s="442">
        <f>'Tab.3. Mieszkańcy_Polska '!G251</f>
        <v>594</v>
      </c>
      <c r="G16" s="500">
        <f t="shared" si="1"/>
        <v>14.1</v>
      </c>
      <c r="H16" s="450">
        <f t="shared" si="2"/>
        <v>641</v>
      </c>
      <c r="I16" s="472">
        <f>'Tab.3. Mieszkańcy_Polska '!G254</f>
        <v>54</v>
      </c>
      <c r="J16" s="472">
        <f>'Tab.3. Mieszkańcy_Polska '!G255</f>
        <v>60</v>
      </c>
      <c r="K16" s="441">
        <f>'Tab.3. Mieszkańcy_Polska '!G256</f>
        <v>12</v>
      </c>
      <c r="L16" s="442">
        <f>'Tab.3. Mieszkańcy_Polska '!G257</f>
        <v>515</v>
      </c>
      <c r="M16" s="481">
        <f>'Tab.3. Mieszkańcy_Polska '!G259</f>
        <v>4322</v>
      </c>
      <c r="N16" s="503">
        <f t="shared" si="3"/>
        <v>11.9</v>
      </c>
    </row>
    <row r="17" spans="1:14" x14ac:dyDescent="0.2">
      <c r="A17" s="462">
        <v>4</v>
      </c>
      <c r="B17" s="439" t="s">
        <v>239</v>
      </c>
      <c r="C17" s="440">
        <f>'Tab.3. Mieszkańcy_Polska '!G323</f>
        <v>2350</v>
      </c>
      <c r="D17" s="451">
        <f t="shared" si="0"/>
        <v>357</v>
      </c>
      <c r="E17" s="443">
        <f>'Tab.3. Mieszkańcy_Polska '!G326</f>
        <v>2</v>
      </c>
      <c r="F17" s="442">
        <f>'Tab.3. Mieszkańcy_Polska '!G327</f>
        <v>355</v>
      </c>
      <c r="G17" s="500">
        <f t="shared" si="1"/>
        <v>15.2</v>
      </c>
      <c r="H17" s="450">
        <f t="shared" si="2"/>
        <v>374</v>
      </c>
      <c r="I17" s="472">
        <f>'Tab.3. Mieszkańcy_Polska '!G330</f>
        <v>21</v>
      </c>
      <c r="J17" s="472">
        <f>'Tab.3. Mieszkańcy_Polska '!G331</f>
        <v>28</v>
      </c>
      <c r="K17" s="441">
        <f>'Tab.3. Mieszkańcy_Polska '!G332</f>
        <v>27</v>
      </c>
      <c r="L17" s="442">
        <f>'Tab.3. Mieszkańcy_Polska '!G333</f>
        <v>298</v>
      </c>
      <c r="M17" s="481">
        <f>'Tab.3. Mieszkańcy_Polska '!G335</f>
        <v>2333</v>
      </c>
      <c r="N17" s="503">
        <f t="shared" si="3"/>
        <v>12.8</v>
      </c>
    </row>
    <row r="18" spans="1:14" x14ac:dyDescent="0.2">
      <c r="A18" s="462">
        <v>5</v>
      </c>
      <c r="B18" s="439" t="s">
        <v>240</v>
      </c>
      <c r="C18" s="440">
        <f>'Tab.3. Mieszkańcy_Polska '!G399</f>
        <v>6057</v>
      </c>
      <c r="D18" s="451">
        <f t="shared" si="0"/>
        <v>1054</v>
      </c>
      <c r="E18" s="443">
        <f>'Tab.3. Mieszkańcy_Polska '!G402</f>
        <v>61</v>
      </c>
      <c r="F18" s="442">
        <f>'Tab.3. Mieszkańcy_Polska '!G403</f>
        <v>993</v>
      </c>
      <c r="G18" s="500">
        <f t="shared" si="1"/>
        <v>17.399999999999999</v>
      </c>
      <c r="H18" s="450">
        <f t="shared" si="2"/>
        <v>1001</v>
      </c>
      <c r="I18" s="472">
        <f>'Tab.3. Mieszkańcy_Polska '!G406</f>
        <v>62</v>
      </c>
      <c r="J18" s="472">
        <f>'Tab.3. Mieszkańcy_Polska '!G407</f>
        <v>47</v>
      </c>
      <c r="K18" s="441">
        <f>'Tab.3. Mieszkańcy_Polska '!G408</f>
        <v>50</v>
      </c>
      <c r="L18" s="442">
        <f>'Tab.3. Mieszkańcy_Polska '!G409</f>
        <v>842</v>
      </c>
      <c r="M18" s="481">
        <f>'Tab.3. Mieszkańcy_Polska '!G411</f>
        <v>6110</v>
      </c>
      <c r="N18" s="503">
        <f t="shared" si="3"/>
        <v>13.8</v>
      </c>
    </row>
    <row r="19" spans="1:14" x14ac:dyDescent="0.2">
      <c r="A19" s="462">
        <v>6</v>
      </c>
      <c r="B19" s="439" t="s">
        <v>241</v>
      </c>
      <c r="C19" s="440">
        <f>'Tab.3. Mieszkańcy_Polska '!G475</f>
        <v>7260</v>
      </c>
      <c r="D19" s="451">
        <f t="shared" si="0"/>
        <v>1004</v>
      </c>
      <c r="E19" s="443">
        <f>'Tab.3. Mieszkańcy_Polska '!G478</f>
        <v>69</v>
      </c>
      <c r="F19" s="442">
        <f>'Tab.3. Mieszkańcy_Polska '!G479</f>
        <v>935</v>
      </c>
      <c r="G19" s="500">
        <f t="shared" si="1"/>
        <v>13.8</v>
      </c>
      <c r="H19" s="450">
        <f t="shared" si="2"/>
        <v>951</v>
      </c>
      <c r="I19" s="472">
        <f>'Tab.3. Mieszkańcy_Polska '!G482</f>
        <v>129</v>
      </c>
      <c r="J19" s="472">
        <f>'Tab.3. Mieszkańcy_Polska '!G483</f>
        <v>50</v>
      </c>
      <c r="K19" s="441">
        <f>'Tab.3. Mieszkańcy_Polska '!G484</f>
        <v>14</v>
      </c>
      <c r="L19" s="442">
        <f>'Tab.3. Mieszkańcy_Polska '!G485</f>
        <v>758</v>
      </c>
      <c r="M19" s="481">
        <f>'Tab.3. Mieszkańcy_Polska '!G487</f>
        <v>7313</v>
      </c>
      <c r="N19" s="503">
        <f t="shared" si="3"/>
        <v>10.4</v>
      </c>
    </row>
    <row r="20" spans="1:14" x14ac:dyDescent="0.2">
      <c r="A20" s="462">
        <v>7</v>
      </c>
      <c r="B20" s="439" t="s">
        <v>242</v>
      </c>
      <c r="C20" s="440">
        <f>'Tab.3. Mieszkańcy_Polska '!G551</f>
        <v>8930</v>
      </c>
      <c r="D20" s="451">
        <f t="shared" si="0"/>
        <v>1220</v>
      </c>
      <c r="E20" s="443">
        <f>'Tab.3. Mieszkańcy_Polska '!G554</f>
        <v>53</v>
      </c>
      <c r="F20" s="442">
        <f>'Tab.3. Mieszkańcy_Polska '!G555</f>
        <v>1167</v>
      </c>
      <c r="G20" s="500">
        <f t="shared" si="1"/>
        <v>13.7</v>
      </c>
      <c r="H20" s="450">
        <f t="shared" si="2"/>
        <v>1130</v>
      </c>
      <c r="I20" s="472">
        <f>'Tab.3. Mieszkańcy_Polska '!G558</f>
        <v>105</v>
      </c>
      <c r="J20" s="472">
        <f>'Tab.3. Mieszkańcy_Polska '!G559</f>
        <v>75</v>
      </c>
      <c r="K20" s="441">
        <f>'Tab.3. Mieszkańcy_Polska '!G560</f>
        <v>34</v>
      </c>
      <c r="L20" s="442">
        <f>'Tab.3. Mieszkańcy_Polska '!G561</f>
        <v>916</v>
      </c>
      <c r="M20" s="481">
        <f>'Tab.3. Mieszkańcy_Polska '!G563</f>
        <v>9020</v>
      </c>
      <c r="N20" s="503">
        <f t="shared" si="3"/>
        <v>10.199999999999999</v>
      </c>
    </row>
    <row r="21" spans="1:14" x14ac:dyDescent="0.2">
      <c r="A21" s="462">
        <v>8</v>
      </c>
      <c r="B21" s="439" t="s">
        <v>243</v>
      </c>
      <c r="C21" s="440">
        <f>'Tab.3. Mieszkańcy_Polska '!G627</f>
        <v>2765</v>
      </c>
      <c r="D21" s="451">
        <f t="shared" si="0"/>
        <v>493</v>
      </c>
      <c r="E21" s="443">
        <f>'Tab.3. Mieszkańcy_Polska '!G630</f>
        <v>8</v>
      </c>
      <c r="F21" s="442">
        <f>'Tab.3. Mieszkańcy_Polska '!G631</f>
        <v>485</v>
      </c>
      <c r="G21" s="500">
        <f t="shared" si="1"/>
        <v>17.8</v>
      </c>
      <c r="H21" s="450">
        <f t="shared" si="2"/>
        <v>377</v>
      </c>
      <c r="I21" s="472">
        <f>'Tab.3. Mieszkańcy_Polska '!G634</f>
        <v>30</v>
      </c>
      <c r="J21" s="472">
        <f>'Tab.3. Mieszkańcy_Polska '!G635</f>
        <v>38</v>
      </c>
      <c r="K21" s="441">
        <f>'Tab.3. Mieszkańcy_Polska '!G636</f>
        <v>3</v>
      </c>
      <c r="L21" s="442">
        <f>'Tab.3. Mieszkańcy_Polska '!G637</f>
        <v>306</v>
      </c>
      <c r="M21" s="481">
        <f>'Tab.3. Mieszkańcy_Polska '!G639</f>
        <v>2881</v>
      </c>
      <c r="N21" s="503">
        <f t="shared" si="3"/>
        <v>10.6</v>
      </c>
    </row>
    <row r="22" spans="1:14" x14ac:dyDescent="0.2">
      <c r="A22" s="462">
        <v>9</v>
      </c>
      <c r="B22" s="439" t="s">
        <v>244</v>
      </c>
      <c r="C22" s="440">
        <f>'Tab.3. Mieszkańcy_Polska '!G703</f>
        <v>4366</v>
      </c>
      <c r="D22" s="451">
        <f t="shared" si="0"/>
        <v>560</v>
      </c>
      <c r="E22" s="443">
        <f>'Tab.3. Mieszkańcy_Polska '!G706</f>
        <v>21</v>
      </c>
      <c r="F22" s="442">
        <f>'Tab.3. Mieszkańcy_Polska '!G707</f>
        <v>539</v>
      </c>
      <c r="G22" s="500">
        <f t="shared" si="1"/>
        <v>12.8</v>
      </c>
      <c r="H22" s="450">
        <f t="shared" si="2"/>
        <v>496</v>
      </c>
      <c r="I22" s="472">
        <f>'Tab.3. Mieszkańcy_Polska '!G710</f>
        <v>41</v>
      </c>
      <c r="J22" s="472">
        <f>'Tab.3. Mieszkańcy_Polska '!G711</f>
        <v>43</v>
      </c>
      <c r="K22" s="441">
        <f>'Tab.3. Mieszkańcy_Polska '!G712</f>
        <v>7</v>
      </c>
      <c r="L22" s="442">
        <f>'Tab.3. Mieszkańcy_Polska '!G713</f>
        <v>405</v>
      </c>
      <c r="M22" s="481">
        <f>'Tab.3. Mieszkańcy_Polska '!G715</f>
        <v>4430</v>
      </c>
      <c r="N22" s="503">
        <f t="shared" si="3"/>
        <v>9.1</v>
      </c>
    </row>
    <row r="23" spans="1:14" x14ac:dyDescent="0.2">
      <c r="A23" s="463">
        <v>10</v>
      </c>
      <c r="B23" s="439" t="s">
        <v>245</v>
      </c>
      <c r="C23" s="440">
        <f>'Tab.3. Mieszkańcy_Polska '!G779</f>
        <v>2270</v>
      </c>
      <c r="D23" s="451">
        <f t="shared" si="0"/>
        <v>256</v>
      </c>
      <c r="E23" s="443">
        <f>'Tab.3. Mieszkańcy_Polska '!G782</f>
        <v>0</v>
      </c>
      <c r="F23" s="442">
        <f>'Tab.3. Mieszkańcy_Polska '!G783</f>
        <v>256</v>
      </c>
      <c r="G23" s="500">
        <f t="shared" si="1"/>
        <v>11.3</v>
      </c>
      <c r="H23" s="450">
        <f t="shared" si="2"/>
        <v>242</v>
      </c>
      <c r="I23" s="472">
        <f>'Tab.3. Mieszkańcy_Polska '!G786</f>
        <v>20</v>
      </c>
      <c r="J23" s="472">
        <f>'Tab.3. Mieszkańcy_Polska '!G787</f>
        <v>18</v>
      </c>
      <c r="K23" s="441">
        <f>'Tab.3. Mieszkańcy_Polska '!G788</f>
        <v>5</v>
      </c>
      <c r="L23" s="442">
        <f>'Tab.3. Mieszkańcy_Polska '!G789</f>
        <v>199</v>
      </c>
      <c r="M23" s="481">
        <f>'Tab.3. Mieszkańcy_Polska '!G791</f>
        <v>2284</v>
      </c>
      <c r="N23" s="503">
        <f t="shared" si="3"/>
        <v>8.6999999999999993</v>
      </c>
    </row>
    <row r="24" spans="1:14" x14ac:dyDescent="0.2">
      <c r="A24" s="463">
        <v>11</v>
      </c>
      <c r="B24" s="439" t="s">
        <v>246</v>
      </c>
      <c r="C24" s="440">
        <f>'Tab.3. Mieszkańcy_Polska '!G855</f>
        <v>3802</v>
      </c>
      <c r="D24" s="451">
        <f t="shared" si="0"/>
        <v>467</v>
      </c>
      <c r="E24" s="443">
        <f>'Tab.3. Mieszkańcy_Polska '!G858</f>
        <v>14</v>
      </c>
      <c r="F24" s="442">
        <f>'Tab.3. Mieszkańcy_Polska '!G859</f>
        <v>453</v>
      </c>
      <c r="G24" s="500">
        <f t="shared" si="1"/>
        <v>12.3</v>
      </c>
      <c r="H24" s="450">
        <f t="shared" si="2"/>
        <v>418</v>
      </c>
      <c r="I24" s="472">
        <f>'Tab.3. Mieszkańcy_Polska '!G862</f>
        <v>39</v>
      </c>
      <c r="J24" s="472">
        <f>'Tab.3. Mieszkańcy_Polska '!G863</f>
        <v>30</v>
      </c>
      <c r="K24" s="441">
        <f>'Tab.3. Mieszkańcy_Polska '!G864</f>
        <v>11</v>
      </c>
      <c r="L24" s="442">
        <f>'Tab.3. Mieszkańcy_Polska '!G865</f>
        <v>338</v>
      </c>
      <c r="M24" s="481">
        <f>'Tab.3. Mieszkańcy_Polska '!G867</f>
        <v>3851</v>
      </c>
      <c r="N24" s="503">
        <f t="shared" si="3"/>
        <v>8.8000000000000007</v>
      </c>
    </row>
    <row r="25" spans="1:14" x14ac:dyDescent="0.2">
      <c r="A25" s="463">
        <v>12</v>
      </c>
      <c r="B25" s="439" t="s">
        <v>247</v>
      </c>
      <c r="C25" s="440">
        <f>'Tab.3. Mieszkańcy_Polska '!G931</f>
        <v>7727</v>
      </c>
      <c r="D25" s="451">
        <f t="shared" si="0"/>
        <v>1132</v>
      </c>
      <c r="E25" s="443">
        <f>'Tab.3. Mieszkańcy_Polska '!G934</f>
        <v>23</v>
      </c>
      <c r="F25" s="442">
        <f>'Tab.3. Mieszkańcy_Polska '!G935</f>
        <v>1109</v>
      </c>
      <c r="G25" s="500">
        <f t="shared" si="1"/>
        <v>14.6</v>
      </c>
      <c r="H25" s="450">
        <f t="shared" si="2"/>
        <v>1076</v>
      </c>
      <c r="I25" s="472">
        <f>'Tab.3. Mieszkańcy_Polska '!G938</f>
        <v>97</v>
      </c>
      <c r="J25" s="472">
        <f>'Tab.3. Mieszkańcy_Polska '!G939</f>
        <v>58</v>
      </c>
      <c r="K25" s="441">
        <f>'Tab.3. Mieszkańcy_Polska '!G940</f>
        <v>16</v>
      </c>
      <c r="L25" s="442">
        <f>'Tab.3. Mieszkańcy_Polska '!G941</f>
        <v>905</v>
      </c>
      <c r="M25" s="481">
        <f>'Tab.3. Mieszkańcy_Polska '!G943</f>
        <v>7783</v>
      </c>
      <c r="N25" s="503">
        <f t="shared" si="3"/>
        <v>11.6</v>
      </c>
    </row>
    <row r="26" spans="1:14" x14ac:dyDescent="0.2">
      <c r="A26" s="463">
        <v>13</v>
      </c>
      <c r="B26" s="439" t="s">
        <v>248</v>
      </c>
      <c r="C26" s="440">
        <f>'Tab.3. Mieszkańcy_Polska '!G1007</f>
        <v>3217</v>
      </c>
      <c r="D26" s="451">
        <f t="shared" si="0"/>
        <v>479</v>
      </c>
      <c r="E26" s="443">
        <f>'Tab.3. Mieszkańcy_Polska '!G1010</f>
        <v>13</v>
      </c>
      <c r="F26" s="442">
        <f>'Tab.3. Mieszkańcy_Polska '!G1011</f>
        <v>466</v>
      </c>
      <c r="G26" s="500">
        <f t="shared" si="1"/>
        <v>14.9</v>
      </c>
      <c r="H26" s="450">
        <f t="shared" si="2"/>
        <v>485</v>
      </c>
      <c r="I26" s="472">
        <f>'Tab.3. Mieszkańcy_Polska '!G1014</f>
        <v>50</v>
      </c>
      <c r="J26" s="472">
        <f>'Tab.3. Mieszkańcy_Polska '!G1015</f>
        <v>44</v>
      </c>
      <c r="K26" s="441">
        <f>'Tab.3. Mieszkańcy_Polska '!G1016</f>
        <v>8</v>
      </c>
      <c r="L26" s="442">
        <f>'Tab.3. Mieszkańcy_Polska '!G1017</f>
        <v>383</v>
      </c>
      <c r="M26" s="481">
        <f>'Tab.3. Mieszkańcy_Polska '!G1019</f>
        <v>3211</v>
      </c>
      <c r="N26" s="503">
        <f t="shared" si="3"/>
        <v>11.9</v>
      </c>
    </row>
    <row r="27" spans="1:14" x14ac:dyDescent="0.2">
      <c r="A27" s="463">
        <v>14</v>
      </c>
      <c r="B27" s="439" t="s">
        <v>249</v>
      </c>
      <c r="C27" s="440">
        <f>'Tab.3. Mieszkańcy_Polska '!G1083</f>
        <v>3453</v>
      </c>
      <c r="D27" s="451">
        <f t="shared" si="0"/>
        <v>447</v>
      </c>
      <c r="E27" s="443">
        <f>'Tab.3. Mieszkańcy_Polska '!G1086</f>
        <v>16</v>
      </c>
      <c r="F27" s="442">
        <f>'Tab.3. Mieszkańcy_Polska '!G1087</f>
        <v>431</v>
      </c>
      <c r="G27" s="500">
        <f t="shared" si="1"/>
        <v>12.9</v>
      </c>
      <c r="H27" s="450">
        <f t="shared" si="2"/>
        <v>476</v>
      </c>
      <c r="I27" s="472">
        <f>'Tab.3. Mieszkańcy_Polska '!G1090</f>
        <v>99</v>
      </c>
      <c r="J27" s="472">
        <f>'Tab.3. Mieszkańcy_Polska '!G1091</f>
        <v>27</v>
      </c>
      <c r="K27" s="441">
        <f>'Tab.3. Mieszkańcy_Polska '!G1092</f>
        <v>16</v>
      </c>
      <c r="L27" s="442">
        <f>'Tab.3. Mieszkańcy_Polska '!G1093</f>
        <v>334</v>
      </c>
      <c r="M27" s="481">
        <f>'Tab.3. Mieszkańcy_Polska '!G1095</f>
        <v>3424</v>
      </c>
      <c r="N27" s="503">
        <f t="shared" si="3"/>
        <v>9.8000000000000007</v>
      </c>
    </row>
    <row r="28" spans="1:14" x14ac:dyDescent="0.2">
      <c r="A28" s="463">
        <v>15</v>
      </c>
      <c r="B28" s="439" t="s">
        <v>250</v>
      </c>
      <c r="C28" s="440">
        <f>'Tab.3. Mieszkańcy_Polska '!G1159</f>
        <v>6165</v>
      </c>
      <c r="D28" s="451">
        <f t="shared" si="0"/>
        <v>900</v>
      </c>
      <c r="E28" s="443">
        <f>'Tab.3. Mieszkańcy_Polska '!G1162</f>
        <v>26</v>
      </c>
      <c r="F28" s="442">
        <f>'Tab.3. Mieszkańcy_Polska '!G1163</f>
        <v>874</v>
      </c>
      <c r="G28" s="500">
        <f t="shared" si="1"/>
        <v>14.6</v>
      </c>
      <c r="H28" s="450">
        <f t="shared" si="2"/>
        <v>881</v>
      </c>
      <c r="I28" s="472">
        <f>'Tab.3. Mieszkańcy_Polska '!G1166</f>
        <v>73</v>
      </c>
      <c r="J28" s="472">
        <f>'Tab.3. Mieszkańcy_Polska '!G1167</f>
        <v>51</v>
      </c>
      <c r="K28" s="441">
        <f>'Tab.3. Mieszkańcy_Polska '!G1168</f>
        <v>20</v>
      </c>
      <c r="L28" s="442">
        <f>'Tab.3. Mieszkańcy_Polska '!G1169</f>
        <v>737</v>
      </c>
      <c r="M28" s="481">
        <f>'Tab.3. Mieszkańcy_Polska '!G1171</f>
        <v>6184</v>
      </c>
      <c r="N28" s="503">
        <f t="shared" si="3"/>
        <v>11.9</v>
      </c>
    </row>
    <row r="29" spans="1:14" ht="13.5" thickBot="1" x14ac:dyDescent="0.25">
      <c r="A29" s="463">
        <v>16</v>
      </c>
      <c r="B29" s="439" t="s">
        <v>251</v>
      </c>
      <c r="C29" s="440">
        <f>'Tab.3. Mieszkańcy_Polska '!G1235</f>
        <v>3732</v>
      </c>
      <c r="D29" s="451">
        <f t="shared" si="0"/>
        <v>468</v>
      </c>
      <c r="E29" s="443">
        <f>'Tab.3. Mieszkańcy_Polska '!G1238</f>
        <v>7</v>
      </c>
      <c r="F29" s="442">
        <f>'Tab.3. Mieszkańcy_Polska '!G1239</f>
        <v>461</v>
      </c>
      <c r="G29" s="500">
        <f t="shared" si="1"/>
        <v>12.5</v>
      </c>
      <c r="H29" s="450">
        <f t="shared" si="2"/>
        <v>484</v>
      </c>
      <c r="I29" s="472">
        <f>'Tab.3. Mieszkańcy_Polska '!G1242</f>
        <v>26</v>
      </c>
      <c r="J29" s="472">
        <f>'Tab.3. Mieszkańcy_Polska '!G1243</f>
        <v>37</v>
      </c>
      <c r="K29" s="441">
        <f>'Tab.3. Mieszkańcy_Polska '!G1244</f>
        <v>8</v>
      </c>
      <c r="L29" s="442">
        <f>'Tab.3. Mieszkańcy_Polska '!G1245</f>
        <v>413</v>
      </c>
      <c r="M29" s="481">
        <f>'Tab.3. Mieszkańcy_Polska '!G1247</f>
        <v>3716</v>
      </c>
      <c r="N29" s="503">
        <f t="shared" si="3"/>
        <v>11.1</v>
      </c>
    </row>
    <row r="30" spans="1:14" ht="16.5" thickBot="1" x14ac:dyDescent="0.3">
      <c r="A30" s="445" t="s">
        <v>252</v>
      </c>
      <c r="B30" s="446"/>
      <c r="C30" s="453">
        <f>SUM(C14:C29)</f>
        <v>75738</v>
      </c>
      <c r="D30" s="454">
        <f>SUM(D14:D29)</f>
        <v>10791</v>
      </c>
      <c r="E30" s="456">
        <f>SUM(E14:E29)</f>
        <v>375</v>
      </c>
      <c r="F30" s="455">
        <f>SUM(F14:F29)</f>
        <v>10416</v>
      </c>
      <c r="G30" s="498">
        <f>AVERAGE(G14:G29)</f>
        <v>14.15</v>
      </c>
      <c r="H30" s="453">
        <f t="shared" ref="H30:M30" si="4">SUM(H14:H29)</f>
        <v>10310</v>
      </c>
      <c r="I30" s="492">
        <f t="shared" si="4"/>
        <v>966</v>
      </c>
      <c r="J30" s="492">
        <f t="shared" si="4"/>
        <v>676</v>
      </c>
      <c r="K30" s="454">
        <f t="shared" si="4"/>
        <v>257</v>
      </c>
      <c r="L30" s="455">
        <f t="shared" si="4"/>
        <v>8411</v>
      </c>
      <c r="M30" s="495">
        <f t="shared" si="4"/>
        <v>76219</v>
      </c>
      <c r="N30" s="501">
        <f>AVERAGE(N14:N29)</f>
        <v>10.950000000000001</v>
      </c>
    </row>
    <row r="31" spans="1:14" ht="13.5" thickTop="1" x14ac:dyDescent="0.2"/>
  </sheetData>
  <mergeCells count="15">
    <mergeCell ref="D11:F11"/>
    <mergeCell ref="C11:C12"/>
    <mergeCell ref="G10:G12"/>
    <mergeCell ref="M10:M12"/>
    <mergeCell ref="N10:N12"/>
    <mergeCell ref="A6:N6"/>
    <mergeCell ref="A7:N7"/>
    <mergeCell ref="H10:H12"/>
    <mergeCell ref="I10:L10"/>
    <mergeCell ref="I11:I12"/>
    <mergeCell ref="J11:J12"/>
    <mergeCell ref="K11:K12"/>
    <mergeCell ref="L11:L12"/>
    <mergeCell ref="A8:L8"/>
    <mergeCell ref="C10:F10"/>
  </mergeCells>
  <phoneticPr fontId="82" type="noConversion"/>
  <pageMargins left="0.19685039370078741" right="0.39370078740157483" top="0.98425196850393704" bottom="0.98425196850393704" header="0.51181102362204722" footer="0.51181102362204722"/>
  <pageSetup paperSize="9" scale="6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zoomScale="90" workbookViewId="0"/>
  </sheetViews>
  <sheetFormatPr defaultRowHeight="12.75" x14ac:dyDescent="0.2"/>
  <cols>
    <col min="1" max="1" width="3.7109375" customWidth="1"/>
    <col min="2" max="2" width="24.5703125" bestFit="1" customWidth="1"/>
    <col min="3" max="14" width="15.7109375" customWidth="1"/>
  </cols>
  <sheetData>
    <row r="1" spans="1:14" ht="15.75" x14ac:dyDescent="0.25">
      <c r="A1" s="1" t="s">
        <v>195</v>
      </c>
      <c r="B1" s="3"/>
      <c r="C1" s="4"/>
      <c r="D1" s="3"/>
      <c r="E1" s="3"/>
      <c r="F1" s="3"/>
      <c r="G1" s="413"/>
      <c r="H1" s="413"/>
      <c r="I1" s="413"/>
      <c r="J1" s="413"/>
      <c r="L1" s="504"/>
      <c r="N1" s="504" t="s">
        <v>287</v>
      </c>
    </row>
    <row r="2" spans="1:14" x14ac:dyDescent="0.2">
      <c r="A2" s="3" t="s">
        <v>214</v>
      </c>
      <c r="B2" s="3"/>
      <c r="C2" s="3"/>
      <c r="D2" s="3"/>
      <c r="E2" s="3"/>
      <c r="F2" s="3" t="s">
        <v>215</v>
      </c>
      <c r="G2" s="3"/>
      <c r="H2" s="3"/>
      <c r="I2" s="3"/>
      <c r="J2" s="3"/>
      <c r="K2" s="3"/>
      <c r="L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285</v>
      </c>
      <c r="B6" s="1604"/>
      <c r="C6" s="1604"/>
      <c r="D6" s="1604"/>
      <c r="E6" s="1604"/>
      <c r="F6" s="1604"/>
      <c r="G6" s="1604"/>
      <c r="H6" s="1604"/>
      <c r="I6" s="1604"/>
      <c r="J6" s="1604"/>
      <c r="K6" s="1604"/>
      <c r="L6" s="1604"/>
      <c r="M6" s="1604"/>
      <c r="N6" s="1604"/>
    </row>
    <row r="7" spans="1:14" ht="15.75" x14ac:dyDescent="0.25">
      <c r="A7" s="1691" t="str">
        <f>"WSKAŹNIKI PRZYJĘĆ I UMIERALNOŚCI W "&amp;'Tab.1. bilans_Polska'!A2&amp;" r."</f>
        <v>WSKAŹNIKI PRZYJĘĆ I UMIERALNOŚCI W 2011 r.</v>
      </c>
      <c r="B7" s="1690"/>
      <c r="C7" s="1690"/>
      <c r="D7" s="1690"/>
      <c r="E7" s="1690"/>
      <c r="F7" s="1690"/>
      <c r="G7" s="1690"/>
      <c r="H7" s="1690"/>
      <c r="I7" s="1690"/>
      <c r="J7" s="1690"/>
      <c r="K7" s="1690"/>
      <c r="L7" s="1690"/>
      <c r="M7" s="1690"/>
      <c r="N7" s="1690"/>
    </row>
    <row r="8" spans="1:14" ht="15.75" x14ac:dyDescent="0.25">
      <c r="A8" s="1604"/>
      <c r="B8" s="1604"/>
      <c r="C8" s="1604"/>
      <c r="D8" s="1604"/>
      <c r="E8" s="1604"/>
      <c r="F8" s="1604"/>
      <c r="G8" s="1604"/>
      <c r="H8" s="1604"/>
      <c r="I8" s="1604"/>
      <c r="J8" s="1604"/>
      <c r="K8" s="1604"/>
      <c r="L8" s="1604"/>
    </row>
    <row r="9" spans="1:14" ht="13.5" thickBot="1" x14ac:dyDescent="0.25">
      <c r="A9" s="3"/>
      <c r="B9" s="3"/>
      <c r="C9" s="3"/>
      <c r="D9" s="3"/>
      <c r="E9" s="3"/>
      <c r="F9" s="3"/>
      <c r="G9" s="3"/>
      <c r="H9" s="3"/>
      <c r="I9" s="3"/>
      <c r="J9" s="3"/>
      <c r="K9" s="3"/>
      <c r="L9" s="3"/>
    </row>
    <row r="10" spans="1:14" ht="13.5" thickTop="1" x14ac:dyDescent="0.2">
      <c r="A10" s="5"/>
      <c r="B10" s="414"/>
      <c r="C10" s="1641" t="s">
        <v>281</v>
      </c>
      <c r="D10" s="1642"/>
      <c r="E10" s="1642"/>
      <c r="F10" s="1733"/>
      <c r="G10" s="1739" t="str">
        <f>"WSKAŹNIK PRZYJĘĆ 
W "&amp;'Tab.1. bilans_Polska'!A2&amp;"r."</f>
        <v>WSKAŹNIK PRZYJĘĆ 
W 2011r.</v>
      </c>
      <c r="H10" s="1724" t="str">
        <f>"LICZBA MIESZKAŃCÓW, KTÓRZY ODESZLI 
W "&amp;'Tab.1. bilans_Polska'!A2&amp;"r."</f>
        <v>LICZBA MIESZKAŃCÓW, KTÓRZY ODESZLI 
W 2011r.</v>
      </c>
      <c r="I10" s="1727" t="s">
        <v>49</v>
      </c>
      <c r="J10" s="1727"/>
      <c r="K10" s="1727"/>
      <c r="L10" s="1728"/>
      <c r="M10" s="1742" t="str">
        <f>"LICZBA MIESZKAŃCÓW WG STANU 
NA 31.XII."&amp;'Tab.1. bilans_Polska'!A2&amp;"r."</f>
        <v>LICZBA MIESZKAŃCÓW WG STANU 
NA 31.XII.2011r.</v>
      </c>
      <c r="N10" s="1745" t="s">
        <v>283</v>
      </c>
    </row>
    <row r="11" spans="1:14" x14ac:dyDescent="0.2">
      <c r="A11" s="415" t="s">
        <v>226</v>
      </c>
      <c r="B11" s="416" t="s">
        <v>227</v>
      </c>
      <c r="C11" s="1737" t="str">
        <f>"wg stanu na dzień 31.XII."&amp;'Tab.1. bilans_Polska'!A2-1&amp;"r."</f>
        <v>wg stanu na dzień 31.XII.2010r.</v>
      </c>
      <c r="D11" s="1734" t="str">
        <f>"Przyjętych w ciągu "&amp;'Tab.1. bilans_Polska'!A2&amp;"r."</f>
        <v>Przyjętych w ciągu 2011r.</v>
      </c>
      <c r="E11" s="1735"/>
      <c r="F11" s="1736"/>
      <c r="G11" s="1740"/>
      <c r="H11" s="1725"/>
      <c r="I11" s="1729" t="s">
        <v>160</v>
      </c>
      <c r="J11" s="1729" t="s">
        <v>161</v>
      </c>
      <c r="K11" s="1729" t="s">
        <v>284</v>
      </c>
      <c r="L11" s="1731" t="s">
        <v>163</v>
      </c>
      <c r="M11" s="1743"/>
      <c r="N11" s="1746"/>
    </row>
    <row r="12" spans="1:14" ht="24" x14ac:dyDescent="0.2">
      <c r="A12" s="417"/>
      <c r="B12" s="418"/>
      <c r="C12" s="1738"/>
      <c r="D12" s="420" t="s">
        <v>282</v>
      </c>
      <c r="E12" s="423" t="s">
        <v>158</v>
      </c>
      <c r="F12" s="421" t="s">
        <v>159</v>
      </c>
      <c r="G12" s="1741"/>
      <c r="H12" s="1726"/>
      <c r="I12" s="1730"/>
      <c r="J12" s="1730"/>
      <c r="K12" s="1730"/>
      <c r="L12" s="1732"/>
      <c r="M12" s="1744"/>
      <c r="N12" s="1747"/>
    </row>
    <row r="13" spans="1:14" ht="13.5" thickBot="1" x14ac:dyDescent="0.25">
      <c r="A13" s="425"/>
      <c r="B13" s="426">
        <v>0</v>
      </c>
      <c r="C13" s="427">
        <v>1</v>
      </c>
      <c r="D13" s="428">
        <v>2</v>
      </c>
      <c r="E13" s="426">
        <v>3</v>
      </c>
      <c r="F13" s="429">
        <v>4</v>
      </c>
      <c r="G13" s="493">
        <v>5</v>
      </c>
      <c r="H13" s="496">
        <v>6</v>
      </c>
      <c r="I13" s="490">
        <v>7</v>
      </c>
      <c r="J13" s="430">
        <v>8</v>
      </c>
      <c r="K13" s="428">
        <v>9</v>
      </c>
      <c r="L13" s="429">
        <v>10</v>
      </c>
      <c r="M13" s="464">
        <v>11</v>
      </c>
      <c r="N13" s="497">
        <v>12</v>
      </c>
    </row>
    <row r="14" spans="1:14" ht="13.5" thickTop="1" x14ac:dyDescent="0.2">
      <c r="A14" s="461">
        <v>1</v>
      </c>
      <c r="B14" s="433" t="s">
        <v>236</v>
      </c>
      <c r="C14" s="434">
        <f>'Tab.3. Mieszkańcy_Polska '!H95</f>
        <v>4606</v>
      </c>
      <c r="D14" s="448">
        <f>E14+F14</f>
        <v>708</v>
      </c>
      <c r="E14" s="437">
        <f>'Tab.3. Mieszkańcy_Polska '!H98</f>
        <v>21</v>
      </c>
      <c r="F14" s="436">
        <f>'Tab.3. Mieszkańcy_Polska '!H99</f>
        <v>687</v>
      </c>
      <c r="G14" s="499">
        <f>ROUND(D14*100/C14, 1)</f>
        <v>15.4</v>
      </c>
      <c r="H14" s="447">
        <f>SUM(I14:L14)</f>
        <v>664</v>
      </c>
      <c r="I14" s="491">
        <f>'Tab.3. Mieszkańcy_Polska '!H102</f>
        <v>62</v>
      </c>
      <c r="J14" s="470">
        <f>'Tab.3. Mieszkańcy_Polska '!H103</f>
        <v>29</v>
      </c>
      <c r="K14" s="437">
        <f>'Tab.3. Mieszkańcy_Polska '!H104</f>
        <v>21</v>
      </c>
      <c r="L14" s="436">
        <f>'Tab.3. Mieszkańcy_Polska '!H105</f>
        <v>552</v>
      </c>
      <c r="M14" s="494">
        <f>'Tab.3. Mieszkańcy_Polska '!H107</f>
        <v>4650</v>
      </c>
      <c r="N14" s="502">
        <f>ROUND(L14*100/M14, 1)</f>
        <v>11.9</v>
      </c>
    </row>
    <row r="15" spans="1:14" x14ac:dyDescent="0.2">
      <c r="A15" s="462">
        <v>2</v>
      </c>
      <c r="B15" s="439" t="s">
        <v>237</v>
      </c>
      <c r="C15" s="440">
        <f>'Tab.3. Mieszkańcy_Polska '!H171</f>
        <v>3436</v>
      </c>
      <c r="D15" s="451">
        <f t="shared" ref="D15:D29" si="0">E15+F15</f>
        <v>463</v>
      </c>
      <c r="E15" s="443">
        <f>'Tab.3. Mieszkańcy_Polska '!H174</f>
        <v>23</v>
      </c>
      <c r="F15" s="442">
        <f>'Tab.3. Mieszkańcy_Polska '!H175</f>
        <v>440</v>
      </c>
      <c r="G15" s="500">
        <f t="shared" ref="G15:G29" si="1">ROUND(D15*100/C15, 1)</f>
        <v>13.5</v>
      </c>
      <c r="H15" s="450">
        <f t="shared" ref="H15:H29" si="2">SUM(I15:L15)</f>
        <v>454</v>
      </c>
      <c r="I15" s="472">
        <f>'Tab.3. Mieszkańcy_Polska '!H178</f>
        <v>38</v>
      </c>
      <c r="J15" s="471">
        <f>'Tab.3. Mieszkańcy_Polska '!H179</f>
        <v>22</v>
      </c>
      <c r="K15" s="443">
        <f>'Tab.3. Mieszkańcy_Polska '!H180</f>
        <v>5</v>
      </c>
      <c r="L15" s="442">
        <f>'Tab.3. Mieszkańcy_Polska '!H181</f>
        <v>389</v>
      </c>
      <c r="M15" s="481">
        <f>'Tab.3. Mieszkańcy_Polska '!H183</f>
        <v>3445</v>
      </c>
      <c r="N15" s="503">
        <f t="shared" ref="N15:N29" si="3">ROUND(L15*100/M15, 1)</f>
        <v>11.3</v>
      </c>
    </row>
    <row r="16" spans="1:14" x14ac:dyDescent="0.2">
      <c r="A16" s="462">
        <v>3</v>
      </c>
      <c r="B16" s="439" t="s">
        <v>238</v>
      </c>
      <c r="C16" s="440">
        <f>'Tab.3. Mieszkańcy_Polska '!H247</f>
        <v>4005</v>
      </c>
      <c r="D16" s="451">
        <f t="shared" si="0"/>
        <v>537</v>
      </c>
      <c r="E16" s="443">
        <f>'Tab.3. Mieszkańcy_Polska '!H250</f>
        <v>17</v>
      </c>
      <c r="F16" s="442">
        <f>'Tab.3. Mieszkańcy_Polska '!H251</f>
        <v>520</v>
      </c>
      <c r="G16" s="500">
        <f t="shared" si="1"/>
        <v>13.4</v>
      </c>
      <c r="H16" s="450">
        <f t="shared" si="2"/>
        <v>573</v>
      </c>
      <c r="I16" s="472">
        <f>'Tab.3. Mieszkańcy_Polska '!H254</f>
        <v>50</v>
      </c>
      <c r="J16" s="472">
        <f>'Tab.3. Mieszkańcy_Polska '!H255</f>
        <v>57</v>
      </c>
      <c r="K16" s="441">
        <f>'Tab.3. Mieszkańcy_Polska '!H256</f>
        <v>12</v>
      </c>
      <c r="L16" s="442">
        <f>'Tab.3. Mieszkańcy_Polska '!H257</f>
        <v>454</v>
      </c>
      <c r="M16" s="481">
        <f>'Tab.3. Mieszkańcy_Polska '!H259</f>
        <v>3969</v>
      </c>
      <c r="N16" s="503">
        <f t="shared" si="3"/>
        <v>11.4</v>
      </c>
    </row>
    <row r="17" spans="1:14" x14ac:dyDescent="0.2">
      <c r="A17" s="462">
        <v>4</v>
      </c>
      <c r="B17" s="439" t="s">
        <v>239</v>
      </c>
      <c r="C17" s="440">
        <f>'Tab.3. Mieszkańcy_Polska '!H323</f>
        <v>2238</v>
      </c>
      <c r="D17" s="451">
        <f t="shared" si="0"/>
        <v>351</v>
      </c>
      <c r="E17" s="443">
        <f>'Tab.3. Mieszkańcy_Polska '!H326</f>
        <v>2</v>
      </c>
      <c r="F17" s="442">
        <f>'Tab.3. Mieszkańcy_Polska '!H327</f>
        <v>349</v>
      </c>
      <c r="G17" s="500">
        <f t="shared" si="1"/>
        <v>15.7</v>
      </c>
      <c r="H17" s="450">
        <f t="shared" si="2"/>
        <v>369</v>
      </c>
      <c r="I17" s="472">
        <f>'Tab.3. Mieszkańcy_Polska '!H330</f>
        <v>21</v>
      </c>
      <c r="J17" s="472">
        <f>'Tab.3. Mieszkańcy_Polska '!H331</f>
        <v>27</v>
      </c>
      <c r="K17" s="441">
        <f>'Tab.3. Mieszkańcy_Polska '!H332</f>
        <v>27</v>
      </c>
      <c r="L17" s="442">
        <f>'Tab.3. Mieszkańcy_Polska '!H333</f>
        <v>294</v>
      </c>
      <c r="M17" s="481">
        <f>'Tab.3. Mieszkańcy_Polska '!H335</f>
        <v>2220</v>
      </c>
      <c r="N17" s="503">
        <f t="shared" si="3"/>
        <v>13.2</v>
      </c>
    </row>
    <row r="18" spans="1:14" x14ac:dyDescent="0.2">
      <c r="A18" s="462">
        <v>5</v>
      </c>
      <c r="B18" s="439" t="s">
        <v>240</v>
      </c>
      <c r="C18" s="440">
        <f>'Tab.3. Mieszkańcy_Polska '!H399</f>
        <v>5780</v>
      </c>
      <c r="D18" s="451">
        <f t="shared" si="0"/>
        <v>1014</v>
      </c>
      <c r="E18" s="443">
        <f>'Tab.3. Mieszkańcy_Polska '!H402</f>
        <v>58</v>
      </c>
      <c r="F18" s="442">
        <f>'Tab.3. Mieszkańcy_Polska '!H403</f>
        <v>956</v>
      </c>
      <c r="G18" s="500">
        <f t="shared" si="1"/>
        <v>17.5</v>
      </c>
      <c r="H18" s="450">
        <f t="shared" si="2"/>
        <v>957</v>
      </c>
      <c r="I18" s="472">
        <f>'Tab.3. Mieszkańcy_Polska '!H406</f>
        <v>52</v>
      </c>
      <c r="J18" s="472">
        <f>'Tab.3. Mieszkańcy_Polska '!H407</f>
        <v>43</v>
      </c>
      <c r="K18" s="441">
        <f>'Tab.3. Mieszkańcy_Polska '!H408</f>
        <v>50</v>
      </c>
      <c r="L18" s="442">
        <f>'Tab.3. Mieszkańcy_Polska '!H409</f>
        <v>812</v>
      </c>
      <c r="M18" s="481">
        <f>'Tab.3. Mieszkańcy_Polska '!H411</f>
        <v>5837</v>
      </c>
      <c r="N18" s="503">
        <f t="shared" si="3"/>
        <v>13.9</v>
      </c>
    </row>
    <row r="19" spans="1:14" x14ac:dyDescent="0.2">
      <c r="A19" s="462">
        <v>6</v>
      </c>
      <c r="B19" s="439" t="s">
        <v>241</v>
      </c>
      <c r="C19" s="440">
        <f>'Tab.3. Mieszkańcy_Polska '!H475</f>
        <v>5763</v>
      </c>
      <c r="D19" s="451">
        <f t="shared" si="0"/>
        <v>713</v>
      </c>
      <c r="E19" s="443">
        <f>'Tab.3. Mieszkańcy_Polska '!H478</f>
        <v>29</v>
      </c>
      <c r="F19" s="442">
        <f>'Tab.3. Mieszkańcy_Polska '!H479</f>
        <v>684</v>
      </c>
      <c r="G19" s="500">
        <f t="shared" si="1"/>
        <v>12.4</v>
      </c>
      <c r="H19" s="450">
        <f t="shared" si="2"/>
        <v>713</v>
      </c>
      <c r="I19" s="472">
        <f>'Tab.3. Mieszkańcy_Polska '!H482</f>
        <v>66</v>
      </c>
      <c r="J19" s="472">
        <f>'Tab.3. Mieszkańcy_Polska '!H483</f>
        <v>36</v>
      </c>
      <c r="K19" s="441">
        <f>'Tab.3. Mieszkańcy_Polska '!H484</f>
        <v>14</v>
      </c>
      <c r="L19" s="442">
        <f>'Tab.3. Mieszkańcy_Polska '!H485</f>
        <v>597</v>
      </c>
      <c r="M19" s="481">
        <f>'Tab.3. Mieszkańcy_Polska '!H487</f>
        <v>5763</v>
      </c>
      <c r="N19" s="503">
        <f t="shared" si="3"/>
        <v>10.4</v>
      </c>
    </row>
    <row r="20" spans="1:14" x14ac:dyDescent="0.2">
      <c r="A20" s="462">
        <v>7</v>
      </c>
      <c r="B20" s="439" t="s">
        <v>242</v>
      </c>
      <c r="C20" s="440">
        <f>'Tab.3. Mieszkańcy_Polska '!H551</f>
        <v>7784</v>
      </c>
      <c r="D20" s="451">
        <f t="shared" si="0"/>
        <v>1072</v>
      </c>
      <c r="E20" s="443">
        <f>'Tab.3. Mieszkańcy_Polska '!H554</f>
        <v>50</v>
      </c>
      <c r="F20" s="442">
        <f>'Tab.3. Mieszkańcy_Polska '!H555</f>
        <v>1022</v>
      </c>
      <c r="G20" s="500">
        <f t="shared" si="1"/>
        <v>13.8</v>
      </c>
      <c r="H20" s="450">
        <f t="shared" si="2"/>
        <v>974</v>
      </c>
      <c r="I20" s="472">
        <f>'Tab.3. Mieszkańcy_Polska '!H558</f>
        <v>93</v>
      </c>
      <c r="J20" s="472">
        <f>'Tab.3. Mieszkańcy_Polska '!H559</f>
        <v>68</v>
      </c>
      <c r="K20" s="441">
        <f>'Tab.3. Mieszkańcy_Polska '!H560</f>
        <v>32</v>
      </c>
      <c r="L20" s="442">
        <f>'Tab.3. Mieszkańcy_Polska '!H561</f>
        <v>781</v>
      </c>
      <c r="M20" s="481">
        <f>'Tab.3. Mieszkańcy_Polska '!H563</f>
        <v>7882</v>
      </c>
      <c r="N20" s="503">
        <f t="shared" si="3"/>
        <v>9.9</v>
      </c>
    </row>
    <row r="21" spans="1:14" x14ac:dyDescent="0.2">
      <c r="A21" s="462">
        <v>8</v>
      </c>
      <c r="B21" s="439" t="s">
        <v>243</v>
      </c>
      <c r="C21" s="440">
        <f>'Tab.3. Mieszkańcy_Polska '!H627</f>
        <v>1888</v>
      </c>
      <c r="D21" s="451">
        <f t="shared" si="0"/>
        <v>392</v>
      </c>
      <c r="E21" s="443">
        <f>'Tab.3. Mieszkańcy_Polska '!H630</f>
        <v>7</v>
      </c>
      <c r="F21" s="442">
        <f>'Tab.3. Mieszkańcy_Polska '!H631</f>
        <v>385</v>
      </c>
      <c r="G21" s="500">
        <f t="shared" si="1"/>
        <v>20.8</v>
      </c>
      <c r="H21" s="450">
        <f t="shared" si="2"/>
        <v>280</v>
      </c>
      <c r="I21" s="472">
        <f>'Tab.3. Mieszkańcy_Polska '!H634</f>
        <v>25</v>
      </c>
      <c r="J21" s="472">
        <f>'Tab.3. Mieszkańcy_Polska '!H635</f>
        <v>27</v>
      </c>
      <c r="K21" s="441">
        <f>'Tab.3. Mieszkańcy_Polska '!H636</f>
        <v>2</v>
      </c>
      <c r="L21" s="442">
        <f>'Tab.3. Mieszkańcy_Polska '!H637</f>
        <v>226</v>
      </c>
      <c r="M21" s="481">
        <f>'Tab.3. Mieszkańcy_Polska '!H639</f>
        <v>2000</v>
      </c>
      <c r="N21" s="503">
        <f t="shared" si="3"/>
        <v>11.3</v>
      </c>
    </row>
    <row r="22" spans="1:14" x14ac:dyDescent="0.2">
      <c r="A22" s="462">
        <v>9</v>
      </c>
      <c r="B22" s="439" t="s">
        <v>244</v>
      </c>
      <c r="C22" s="440">
        <f>'Tab.3. Mieszkańcy_Polska '!H703</f>
        <v>3342</v>
      </c>
      <c r="D22" s="451">
        <f t="shared" si="0"/>
        <v>426</v>
      </c>
      <c r="E22" s="443">
        <f>'Tab.3. Mieszkańcy_Polska '!H706</f>
        <v>18</v>
      </c>
      <c r="F22" s="442">
        <f>'Tab.3. Mieszkańcy_Polska '!H707</f>
        <v>408</v>
      </c>
      <c r="G22" s="500">
        <f t="shared" si="1"/>
        <v>12.7</v>
      </c>
      <c r="H22" s="450">
        <f t="shared" si="2"/>
        <v>387</v>
      </c>
      <c r="I22" s="472">
        <f>'Tab.3. Mieszkańcy_Polska '!H710</f>
        <v>31</v>
      </c>
      <c r="J22" s="472">
        <f>'Tab.3. Mieszkańcy_Polska '!H711</f>
        <v>29</v>
      </c>
      <c r="K22" s="441">
        <f>'Tab.3. Mieszkańcy_Polska '!H712</f>
        <v>7</v>
      </c>
      <c r="L22" s="442">
        <f>'Tab.3. Mieszkańcy_Polska '!H713</f>
        <v>320</v>
      </c>
      <c r="M22" s="481">
        <f>'Tab.3. Mieszkańcy_Polska '!H715</f>
        <v>3381</v>
      </c>
      <c r="N22" s="503">
        <f t="shared" si="3"/>
        <v>9.5</v>
      </c>
    </row>
    <row r="23" spans="1:14" x14ac:dyDescent="0.2">
      <c r="A23" s="463">
        <v>10</v>
      </c>
      <c r="B23" s="439" t="s">
        <v>245</v>
      </c>
      <c r="C23" s="440">
        <f>'Tab.3. Mieszkańcy_Polska '!H779</f>
        <v>1840</v>
      </c>
      <c r="D23" s="451">
        <f t="shared" si="0"/>
        <v>226</v>
      </c>
      <c r="E23" s="443">
        <f>'Tab.3. Mieszkańcy_Polska '!H782</f>
        <v>0</v>
      </c>
      <c r="F23" s="442">
        <f>'Tab.3. Mieszkańcy_Polska '!H783</f>
        <v>226</v>
      </c>
      <c r="G23" s="500">
        <f t="shared" si="1"/>
        <v>12.3</v>
      </c>
      <c r="H23" s="450">
        <f t="shared" si="2"/>
        <v>216</v>
      </c>
      <c r="I23" s="472">
        <f>'Tab.3. Mieszkańcy_Polska '!H786</f>
        <v>18</v>
      </c>
      <c r="J23" s="472">
        <f>'Tab.3. Mieszkańcy_Polska '!H787</f>
        <v>17</v>
      </c>
      <c r="K23" s="441">
        <f>'Tab.3. Mieszkańcy_Polska '!H788</f>
        <v>5</v>
      </c>
      <c r="L23" s="442">
        <f>'Tab.3. Mieszkańcy_Polska '!H789</f>
        <v>176</v>
      </c>
      <c r="M23" s="481">
        <f>'Tab.3. Mieszkańcy_Polska '!H791</f>
        <v>1850</v>
      </c>
      <c r="N23" s="503">
        <f t="shared" si="3"/>
        <v>9.5</v>
      </c>
    </row>
    <row r="24" spans="1:14" x14ac:dyDescent="0.2">
      <c r="A24" s="463">
        <v>11</v>
      </c>
      <c r="B24" s="439" t="s">
        <v>246</v>
      </c>
      <c r="C24" s="440">
        <f>'Tab.3. Mieszkańcy_Polska '!H855</f>
        <v>3261</v>
      </c>
      <c r="D24" s="451">
        <f t="shared" si="0"/>
        <v>402</v>
      </c>
      <c r="E24" s="443">
        <f>'Tab.3. Mieszkańcy_Polska '!H858</f>
        <v>14</v>
      </c>
      <c r="F24" s="442">
        <f>'Tab.3. Mieszkańcy_Polska '!H859</f>
        <v>388</v>
      </c>
      <c r="G24" s="500">
        <f t="shared" si="1"/>
        <v>12.3</v>
      </c>
      <c r="H24" s="450">
        <f t="shared" si="2"/>
        <v>355</v>
      </c>
      <c r="I24" s="472">
        <f>'Tab.3. Mieszkańcy_Polska '!H862</f>
        <v>34</v>
      </c>
      <c r="J24" s="472">
        <f>'Tab.3. Mieszkańcy_Polska '!H863</f>
        <v>20</v>
      </c>
      <c r="K24" s="441">
        <f>'Tab.3. Mieszkańcy_Polska '!H864</f>
        <v>11</v>
      </c>
      <c r="L24" s="442">
        <f>'Tab.3. Mieszkańcy_Polska '!H865</f>
        <v>290</v>
      </c>
      <c r="M24" s="481">
        <f>'Tab.3. Mieszkańcy_Polska '!H867</f>
        <v>3308</v>
      </c>
      <c r="N24" s="503">
        <f t="shared" si="3"/>
        <v>8.8000000000000007</v>
      </c>
    </row>
    <row r="25" spans="1:14" x14ac:dyDescent="0.2">
      <c r="A25" s="463">
        <v>12</v>
      </c>
      <c r="B25" s="439" t="s">
        <v>247</v>
      </c>
      <c r="C25" s="440">
        <f>'Tab.3. Mieszkańcy_Polska '!H931</f>
        <v>4876</v>
      </c>
      <c r="D25" s="451">
        <f t="shared" si="0"/>
        <v>758</v>
      </c>
      <c r="E25" s="443">
        <f>'Tab.3. Mieszkańcy_Polska '!H934</f>
        <v>18</v>
      </c>
      <c r="F25" s="442">
        <f>'Tab.3. Mieszkańcy_Polska '!H935</f>
        <v>740</v>
      </c>
      <c r="G25" s="500">
        <f t="shared" si="1"/>
        <v>15.5</v>
      </c>
      <c r="H25" s="450">
        <f t="shared" si="2"/>
        <v>758</v>
      </c>
      <c r="I25" s="472">
        <f>'Tab.3. Mieszkańcy_Polska '!H938</f>
        <v>65</v>
      </c>
      <c r="J25" s="472">
        <f>'Tab.3. Mieszkańcy_Polska '!H939</f>
        <v>41</v>
      </c>
      <c r="K25" s="441">
        <f>'Tab.3. Mieszkańcy_Polska '!H940</f>
        <v>11</v>
      </c>
      <c r="L25" s="442">
        <f>'Tab.3. Mieszkańcy_Polska '!H941</f>
        <v>641</v>
      </c>
      <c r="M25" s="481">
        <f>'Tab.3. Mieszkańcy_Polska '!H943</f>
        <v>4876</v>
      </c>
      <c r="N25" s="503">
        <f t="shared" si="3"/>
        <v>13.1</v>
      </c>
    </row>
    <row r="26" spans="1:14" x14ac:dyDescent="0.2">
      <c r="A26" s="463">
        <v>13</v>
      </c>
      <c r="B26" s="439" t="s">
        <v>248</v>
      </c>
      <c r="C26" s="440">
        <f>'Tab.3. Mieszkańcy_Polska '!H1007</f>
        <v>2834</v>
      </c>
      <c r="D26" s="451">
        <f t="shared" si="0"/>
        <v>382</v>
      </c>
      <c r="E26" s="443">
        <f>'Tab.3. Mieszkańcy_Polska '!H1010</f>
        <v>8</v>
      </c>
      <c r="F26" s="442">
        <f>'Tab.3. Mieszkańcy_Polska '!H1011</f>
        <v>374</v>
      </c>
      <c r="G26" s="500">
        <f t="shared" si="1"/>
        <v>13.5</v>
      </c>
      <c r="H26" s="450">
        <f t="shared" si="2"/>
        <v>387</v>
      </c>
      <c r="I26" s="472">
        <f>'Tab.3. Mieszkańcy_Polska '!H1014</f>
        <v>25</v>
      </c>
      <c r="J26" s="472">
        <f>'Tab.3. Mieszkańcy_Polska '!H1015</f>
        <v>31</v>
      </c>
      <c r="K26" s="441">
        <f>'Tab.3. Mieszkańcy_Polska '!H1016</f>
        <v>8</v>
      </c>
      <c r="L26" s="442">
        <f>'Tab.3. Mieszkańcy_Polska '!H1017</f>
        <v>323</v>
      </c>
      <c r="M26" s="481">
        <f>'Tab.3. Mieszkańcy_Polska '!H1019</f>
        <v>2829</v>
      </c>
      <c r="N26" s="503">
        <f t="shared" si="3"/>
        <v>11.4</v>
      </c>
    </row>
    <row r="27" spans="1:14" x14ac:dyDescent="0.2">
      <c r="A27" s="463">
        <v>14</v>
      </c>
      <c r="B27" s="439" t="s">
        <v>249</v>
      </c>
      <c r="C27" s="440">
        <f>'Tab.3. Mieszkańcy_Polska '!H1083</f>
        <v>2832</v>
      </c>
      <c r="D27" s="451">
        <f t="shared" si="0"/>
        <v>352</v>
      </c>
      <c r="E27" s="443">
        <f>'Tab.3. Mieszkańcy_Polska '!H1086</f>
        <v>14</v>
      </c>
      <c r="F27" s="442">
        <f>'Tab.3. Mieszkańcy_Polska '!H1087</f>
        <v>338</v>
      </c>
      <c r="G27" s="500">
        <f t="shared" si="1"/>
        <v>12.4</v>
      </c>
      <c r="H27" s="450">
        <f t="shared" si="2"/>
        <v>348</v>
      </c>
      <c r="I27" s="472">
        <f>'Tab.3. Mieszkańcy_Polska '!H1090</f>
        <v>38</v>
      </c>
      <c r="J27" s="472">
        <f>'Tab.3. Mieszkańcy_Polska '!H1091</f>
        <v>16</v>
      </c>
      <c r="K27" s="441">
        <f>'Tab.3. Mieszkańcy_Polska '!H1092</f>
        <v>14</v>
      </c>
      <c r="L27" s="442">
        <f>'Tab.3. Mieszkańcy_Polska '!H1093</f>
        <v>280</v>
      </c>
      <c r="M27" s="481">
        <f>'Tab.3. Mieszkańcy_Polska '!H1095</f>
        <v>2836</v>
      </c>
      <c r="N27" s="503">
        <f t="shared" si="3"/>
        <v>9.9</v>
      </c>
    </row>
    <row r="28" spans="1:14" x14ac:dyDescent="0.2">
      <c r="A28" s="463">
        <v>15</v>
      </c>
      <c r="B28" s="439" t="s">
        <v>250</v>
      </c>
      <c r="C28" s="440">
        <f>'Tab.3. Mieszkańcy_Polska '!H1159</f>
        <v>5154</v>
      </c>
      <c r="D28" s="451">
        <f t="shared" si="0"/>
        <v>770</v>
      </c>
      <c r="E28" s="443">
        <f>'Tab.3. Mieszkańcy_Polska '!H1162</f>
        <v>26</v>
      </c>
      <c r="F28" s="442">
        <f>'Tab.3. Mieszkańcy_Polska '!H1163</f>
        <v>744</v>
      </c>
      <c r="G28" s="500">
        <f t="shared" si="1"/>
        <v>14.9</v>
      </c>
      <c r="H28" s="450">
        <f t="shared" si="2"/>
        <v>744</v>
      </c>
      <c r="I28" s="472">
        <f>'Tab.3. Mieszkańcy_Polska '!H1166</f>
        <v>55</v>
      </c>
      <c r="J28" s="472">
        <f>'Tab.3. Mieszkańcy_Polska '!H1167</f>
        <v>46</v>
      </c>
      <c r="K28" s="441">
        <f>'Tab.3. Mieszkańcy_Polska '!H1168</f>
        <v>19</v>
      </c>
      <c r="L28" s="442">
        <f>'Tab.3. Mieszkańcy_Polska '!H1169</f>
        <v>624</v>
      </c>
      <c r="M28" s="481">
        <f>'Tab.3. Mieszkańcy_Polska '!H1171</f>
        <v>5180</v>
      </c>
      <c r="N28" s="503">
        <f t="shared" si="3"/>
        <v>12</v>
      </c>
    </row>
    <row r="29" spans="1:14" ht="13.5" thickBot="1" x14ac:dyDescent="0.25">
      <c r="A29" s="463">
        <v>16</v>
      </c>
      <c r="B29" s="439" t="s">
        <v>251</v>
      </c>
      <c r="C29" s="440">
        <f>'Tab.3. Mieszkańcy_Polska '!H1235</f>
        <v>3099</v>
      </c>
      <c r="D29" s="451">
        <f t="shared" si="0"/>
        <v>381</v>
      </c>
      <c r="E29" s="443">
        <f>'Tab.3. Mieszkańcy_Polska '!H1238</f>
        <v>6</v>
      </c>
      <c r="F29" s="442">
        <f>'Tab.3. Mieszkańcy_Polska '!H1239</f>
        <v>375</v>
      </c>
      <c r="G29" s="500">
        <f t="shared" si="1"/>
        <v>12.3</v>
      </c>
      <c r="H29" s="450">
        <f t="shared" si="2"/>
        <v>397</v>
      </c>
      <c r="I29" s="472">
        <f>'Tab.3. Mieszkańcy_Polska '!H1242</f>
        <v>20</v>
      </c>
      <c r="J29" s="472">
        <f>'Tab.3. Mieszkańcy_Polska '!H1243</f>
        <v>28</v>
      </c>
      <c r="K29" s="441">
        <f>'Tab.3. Mieszkańcy_Polska '!H1244</f>
        <v>7</v>
      </c>
      <c r="L29" s="442">
        <f>'Tab.3. Mieszkańcy_Polska '!H1245</f>
        <v>342</v>
      </c>
      <c r="M29" s="481">
        <f>'Tab.3. Mieszkańcy_Polska '!H1247</f>
        <v>3083</v>
      </c>
      <c r="N29" s="503">
        <f t="shared" si="3"/>
        <v>11.1</v>
      </c>
    </row>
    <row r="30" spans="1:14" ht="16.5" thickBot="1" x14ac:dyDescent="0.3">
      <c r="A30" s="445" t="s">
        <v>252</v>
      </c>
      <c r="B30" s="446"/>
      <c r="C30" s="453">
        <f>SUM(C14:C29)</f>
        <v>62738</v>
      </c>
      <c r="D30" s="454">
        <f>SUM(D14:D29)</f>
        <v>8947</v>
      </c>
      <c r="E30" s="456">
        <f>SUM(E14:E29)</f>
        <v>311</v>
      </c>
      <c r="F30" s="455">
        <f>SUM(F14:F29)</f>
        <v>8636</v>
      </c>
      <c r="G30" s="498">
        <f>AVERAGE(G14:G29)</f>
        <v>14.275000000000002</v>
      </c>
      <c r="H30" s="453">
        <f t="shared" ref="H30:M30" si="4">SUM(H14:H29)</f>
        <v>8576</v>
      </c>
      <c r="I30" s="492">
        <f t="shared" si="4"/>
        <v>693</v>
      </c>
      <c r="J30" s="492">
        <f t="shared" si="4"/>
        <v>537</v>
      </c>
      <c r="K30" s="454">
        <f t="shared" si="4"/>
        <v>245</v>
      </c>
      <c r="L30" s="455">
        <f t="shared" si="4"/>
        <v>7101</v>
      </c>
      <c r="M30" s="495">
        <f t="shared" si="4"/>
        <v>63109</v>
      </c>
      <c r="N30" s="501">
        <f>AVERAGE(N14:N29)</f>
        <v>11.1625</v>
      </c>
    </row>
    <row r="31" spans="1:14" ht="13.5" thickTop="1" x14ac:dyDescent="0.2"/>
  </sheetData>
  <mergeCells count="15">
    <mergeCell ref="A6:N6"/>
    <mergeCell ref="A7:N7"/>
    <mergeCell ref="A8:L8"/>
    <mergeCell ref="M10:M12"/>
    <mergeCell ref="N10:N12"/>
    <mergeCell ref="C11:C12"/>
    <mergeCell ref="D11:F11"/>
    <mergeCell ref="I11:I12"/>
    <mergeCell ref="J11:J12"/>
    <mergeCell ref="K11:K12"/>
    <mergeCell ref="L11:L12"/>
    <mergeCell ref="C10:F10"/>
    <mergeCell ref="G10:G12"/>
    <mergeCell ref="H10:H12"/>
    <mergeCell ref="I10:L10"/>
  </mergeCells>
  <phoneticPr fontId="82" type="noConversion"/>
  <printOptions horizontalCentered="1" verticalCentered="1"/>
  <pageMargins left="0.39370078740157483" right="0.39370078740157483" top="0.98425196850393704" bottom="0.98425196850393704" header="0.51181102362204722" footer="0.51181102362204722"/>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zoomScale="90" zoomScaleNormal="90" workbookViewId="0"/>
  </sheetViews>
  <sheetFormatPr defaultRowHeight="12.75" x14ac:dyDescent="0.2"/>
  <cols>
    <col min="1" max="1" width="3.7109375" customWidth="1"/>
    <col min="2" max="2" width="24.5703125" bestFit="1" customWidth="1"/>
    <col min="3" max="14" width="15.7109375" customWidth="1"/>
  </cols>
  <sheetData>
    <row r="1" spans="1:14" ht="15.75" x14ac:dyDescent="0.25">
      <c r="A1" s="1" t="s">
        <v>195</v>
      </c>
      <c r="B1" s="3"/>
      <c r="C1" s="4"/>
      <c r="D1" s="3"/>
      <c r="E1" s="3"/>
      <c r="F1" s="3"/>
      <c r="G1" s="413"/>
      <c r="H1" s="413"/>
      <c r="I1" s="413"/>
      <c r="J1" s="413"/>
      <c r="L1" s="504"/>
      <c r="N1" s="504" t="s">
        <v>286</v>
      </c>
    </row>
    <row r="2" spans="1:14" x14ac:dyDescent="0.2">
      <c r="A2" s="3" t="s">
        <v>214</v>
      </c>
      <c r="B2" s="3"/>
      <c r="C2" s="3"/>
      <c r="D2" s="3"/>
      <c r="E2" s="3"/>
      <c r="F2" s="3" t="s">
        <v>215</v>
      </c>
      <c r="G2" s="3"/>
      <c r="H2" s="3"/>
      <c r="I2" s="3"/>
      <c r="J2" s="3"/>
      <c r="K2" s="3"/>
      <c r="L2" s="3"/>
    </row>
    <row r="3" spans="1:14" x14ac:dyDescent="0.2">
      <c r="A3" s="3" t="s">
        <v>216</v>
      </c>
      <c r="B3" s="3"/>
      <c r="C3" s="3"/>
      <c r="D3" s="3"/>
      <c r="E3" s="3"/>
      <c r="F3" s="3"/>
      <c r="G3" s="3"/>
      <c r="H3" s="3"/>
      <c r="I3" s="3"/>
      <c r="J3" s="3"/>
      <c r="K3" s="3"/>
      <c r="L3" s="3"/>
    </row>
    <row r="4" spans="1:14" x14ac:dyDescent="0.2">
      <c r="A4" s="3" t="s">
        <v>128</v>
      </c>
      <c r="B4" s="3"/>
      <c r="C4" s="3"/>
      <c r="D4" s="3"/>
      <c r="E4" s="3"/>
      <c r="F4" s="3"/>
      <c r="G4" s="3"/>
      <c r="H4" s="3"/>
      <c r="I4" s="3"/>
      <c r="J4" s="3"/>
      <c r="K4" s="3"/>
      <c r="L4" s="3"/>
    </row>
    <row r="5" spans="1:14" x14ac:dyDescent="0.2">
      <c r="A5" s="3"/>
      <c r="B5" s="3"/>
      <c r="C5" s="3"/>
      <c r="D5" s="3"/>
      <c r="E5" s="3"/>
      <c r="F5" s="3"/>
      <c r="G5" s="3"/>
      <c r="H5" s="3"/>
      <c r="I5" s="3"/>
      <c r="J5" s="3"/>
      <c r="K5" s="3"/>
      <c r="L5" s="3"/>
    </row>
    <row r="6" spans="1:14" ht="15.75" x14ac:dyDescent="0.25">
      <c r="A6" s="1604" t="s">
        <v>487</v>
      </c>
      <c r="B6" s="1604"/>
      <c r="C6" s="1604"/>
      <c r="D6" s="1604"/>
      <c r="E6" s="1604"/>
      <c r="F6" s="1604"/>
      <c r="G6" s="1604"/>
      <c r="H6" s="1604"/>
      <c r="I6" s="1604"/>
      <c r="J6" s="1604"/>
      <c r="K6" s="1604"/>
      <c r="L6" s="1604"/>
      <c r="M6" s="1604"/>
      <c r="N6" s="1604"/>
    </row>
    <row r="7" spans="1:14" ht="15.75" x14ac:dyDescent="0.25">
      <c r="A7" s="1691" t="str">
        <f>"WSKAŹNIKI PRZYJĘĆ I UMIERALNOŚCI W "&amp;'Tab.1. bilans_Polska'!A2&amp;" r."</f>
        <v>WSKAŹNIKI PRZYJĘĆ I UMIERALNOŚCI W 2011 r.</v>
      </c>
      <c r="B7" s="1690"/>
      <c r="C7" s="1690"/>
      <c r="D7" s="1690"/>
      <c r="E7" s="1690"/>
      <c r="F7" s="1690"/>
      <c r="G7" s="1690"/>
      <c r="H7" s="1690"/>
      <c r="I7" s="1690"/>
      <c r="J7" s="1690"/>
      <c r="K7" s="1690"/>
      <c r="L7" s="1690"/>
      <c r="M7" s="1690"/>
      <c r="N7" s="1690"/>
    </row>
    <row r="8" spans="1:14" ht="15.75" x14ac:dyDescent="0.25">
      <c r="A8" s="1604"/>
      <c r="B8" s="1604"/>
      <c r="C8" s="1604"/>
      <c r="D8" s="1604"/>
      <c r="E8" s="1604"/>
      <c r="F8" s="1604"/>
      <c r="G8" s="1604"/>
      <c r="H8" s="1604"/>
      <c r="I8" s="1604"/>
      <c r="J8" s="1604"/>
      <c r="K8" s="1604"/>
      <c r="L8" s="1604"/>
    </row>
    <row r="9" spans="1:14" ht="13.5" thickBot="1" x14ac:dyDescent="0.25">
      <c r="A9" s="3"/>
      <c r="B9" s="3"/>
      <c r="C9" s="3"/>
      <c r="D9" s="3"/>
      <c r="E9" s="3"/>
      <c r="F9" s="3"/>
      <c r="G9" s="3"/>
      <c r="H9" s="3"/>
      <c r="I9" s="3"/>
      <c r="J9" s="3"/>
      <c r="K9" s="3"/>
      <c r="L9" s="3"/>
    </row>
    <row r="10" spans="1:14" ht="13.5" thickTop="1" x14ac:dyDescent="0.2">
      <c r="A10" s="5"/>
      <c r="B10" s="414"/>
      <c r="C10" s="1641" t="s">
        <v>281</v>
      </c>
      <c r="D10" s="1642"/>
      <c r="E10" s="1642"/>
      <c r="F10" s="1733"/>
      <c r="G10" s="1739" t="str">
        <f>"WSKAŹNIK PRZYJĘĆ 
W "&amp;'Tab.1. bilans_Polska'!A2&amp;"r."</f>
        <v>WSKAŹNIK PRZYJĘĆ 
W 2011r.</v>
      </c>
      <c r="H10" s="1724" t="str">
        <f>"LICZBA MIESZKAŃCÓW, KTÓRZY ODESZLI 
W "&amp;'Tab.1. bilans_Polska'!A2&amp;"r."</f>
        <v>LICZBA MIESZKAŃCÓW, KTÓRZY ODESZLI 
W 2011r.</v>
      </c>
      <c r="I10" s="1727" t="s">
        <v>49</v>
      </c>
      <c r="J10" s="1727"/>
      <c r="K10" s="1727"/>
      <c r="L10" s="1728"/>
      <c r="M10" s="1742" t="str">
        <f>"'LICZBA MIESZKAŃCÓW WG STANU 
NA 31.XII."&amp;'Tab.1. bilans_Polska'!A2&amp;"r."</f>
        <v>'LICZBA MIESZKAŃCÓW WG STANU 
NA 31.XII.2011r.</v>
      </c>
      <c r="N10" s="1745" t="s">
        <v>283</v>
      </c>
    </row>
    <row r="11" spans="1:14" x14ac:dyDescent="0.2">
      <c r="A11" s="415" t="s">
        <v>226</v>
      </c>
      <c r="B11" s="416" t="s">
        <v>227</v>
      </c>
      <c r="C11" s="1737" t="str">
        <f>"wg stanu na dzień 31.XII."&amp;'Tab.1. bilans_Polska'!A2-1&amp;"r."</f>
        <v>wg stanu na dzień 31.XII.2010r.</v>
      </c>
      <c r="D11" s="1734" t="str">
        <f>"Przyjętych w ciągu "&amp;'Tab.1. bilans_Polska'!A2&amp;"r."</f>
        <v>Przyjętych w ciągu 2011r.</v>
      </c>
      <c r="E11" s="1735"/>
      <c r="F11" s="1736"/>
      <c r="G11" s="1740"/>
      <c r="H11" s="1725"/>
      <c r="I11" s="1729" t="s">
        <v>160</v>
      </c>
      <c r="J11" s="1729" t="s">
        <v>161</v>
      </c>
      <c r="K11" s="1729" t="s">
        <v>284</v>
      </c>
      <c r="L11" s="1731" t="s">
        <v>163</v>
      </c>
      <c r="M11" s="1743"/>
      <c r="N11" s="1746"/>
    </row>
    <row r="12" spans="1:14" ht="24" x14ac:dyDescent="0.2">
      <c r="A12" s="417"/>
      <c r="B12" s="418"/>
      <c r="C12" s="1738"/>
      <c r="D12" s="420" t="s">
        <v>282</v>
      </c>
      <c r="E12" s="423" t="s">
        <v>158</v>
      </c>
      <c r="F12" s="421" t="s">
        <v>159</v>
      </c>
      <c r="G12" s="1741"/>
      <c r="H12" s="1726"/>
      <c r="I12" s="1730"/>
      <c r="J12" s="1730"/>
      <c r="K12" s="1730"/>
      <c r="L12" s="1732"/>
      <c r="M12" s="1744"/>
      <c r="N12" s="1747"/>
    </row>
    <row r="13" spans="1:14" ht="13.5" thickBot="1" x14ac:dyDescent="0.25">
      <c r="A13" s="425"/>
      <c r="B13" s="426">
        <v>0</v>
      </c>
      <c r="C13" s="427">
        <v>1</v>
      </c>
      <c r="D13" s="428">
        <v>2</v>
      </c>
      <c r="E13" s="426">
        <v>3</v>
      </c>
      <c r="F13" s="429">
        <v>4</v>
      </c>
      <c r="G13" s="493">
        <v>5</v>
      </c>
      <c r="H13" s="496">
        <v>6</v>
      </c>
      <c r="I13" s="490">
        <v>7</v>
      </c>
      <c r="J13" s="430">
        <v>8</v>
      </c>
      <c r="K13" s="428">
        <v>9</v>
      </c>
      <c r="L13" s="429">
        <v>10</v>
      </c>
      <c r="M13" s="464">
        <v>11</v>
      </c>
      <c r="N13" s="497">
        <v>12</v>
      </c>
    </row>
    <row r="14" spans="1:14" ht="13.5" thickTop="1" x14ac:dyDescent="0.2">
      <c r="A14" s="461">
        <v>1</v>
      </c>
      <c r="B14" s="433" t="s">
        <v>236</v>
      </c>
      <c r="C14" s="434">
        <f>'Tab.3. Mieszkańcy_Polska '!I95</f>
        <v>815</v>
      </c>
      <c r="D14" s="448">
        <f t="shared" ref="D14:D29" si="0">E14+F14</f>
        <v>126</v>
      </c>
      <c r="E14" s="437">
        <f>'Tab.3. Mieszkańcy_Polska '!I98</f>
        <v>0</v>
      </c>
      <c r="F14" s="436">
        <f>'Tab.3. Mieszkańcy_Polska '!I99</f>
        <v>126</v>
      </c>
      <c r="G14" s="499">
        <f t="shared" ref="G14:G29" si="1">ROUND(D14*100/C14, 1)</f>
        <v>15.5</v>
      </c>
      <c r="H14" s="447">
        <f t="shared" ref="H14:H29" si="2">SUM(I14:L14)</f>
        <v>117</v>
      </c>
      <c r="I14" s="491">
        <f>'Tab.3. Mieszkańcy_Polska '!I102</f>
        <v>17</v>
      </c>
      <c r="J14" s="470">
        <f>'Tab.3. Mieszkańcy_Polska '!I103</f>
        <v>16</v>
      </c>
      <c r="K14" s="437">
        <f>'Tab.3. Mieszkańcy_Polska '!I104</f>
        <v>0</v>
      </c>
      <c r="L14" s="436">
        <f>'Tab.3. Mieszkańcy_Polska '!I105</f>
        <v>84</v>
      </c>
      <c r="M14" s="494">
        <f>'Tab.3. Mieszkańcy_Polska '!I107</f>
        <v>824</v>
      </c>
      <c r="N14" s="502">
        <f t="shared" ref="N14:N29" si="3">ROUND(L14*100/M14, 1)</f>
        <v>10.199999999999999</v>
      </c>
    </row>
    <row r="15" spans="1:14" x14ac:dyDescent="0.2">
      <c r="A15" s="462">
        <v>2</v>
      </c>
      <c r="B15" s="439" t="s">
        <v>237</v>
      </c>
      <c r="C15" s="440">
        <f>'Tab.3. Mieszkańcy_Polska '!I171</f>
        <v>436</v>
      </c>
      <c r="D15" s="451">
        <f t="shared" si="0"/>
        <v>45</v>
      </c>
      <c r="E15" s="443">
        <f>'Tab.3. Mieszkańcy_Polska '!I174</f>
        <v>0</v>
      </c>
      <c r="F15" s="442">
        <f>'Tab.3. Mieszkańcy_Polska '!I175</f>
        <v>45</v>
      </c>
      <c r="G15" s="500">
        <f t="shared" si="1"/>
        <v>10.3</v>
      </c>
      <c r="H15" s="450">
        <f t="shared" si="2"/>
        <v>43</v>
      </c>
      <c r="I15" s="472">
        <f>'Tab.3. Mieszkańcy_Polska '!I178</f>
        <v>3</v>
      </c>
      <c r="J15" s="471">
        <f>'Tab.3. Mieszkańcy_Polska '!I179</f>
        <v>3</v>
      </c>
      <c r="K15" s="443">
        <f>'Tab.3. Mieszkańcy_Polska '!I180</f>
        <v>0</v>
      </c>
      <c r="L15" s="442">
        <f>'Tab.3. Mieszkańcy_Polska '!I181</f>
        <v>37</v>
      </c>
      <c r="M15" s="481">
        <f>'Tab.3. Mieszkańcy_Polska '!I183</f>
        <v>438</v>
      </c>
      <c r="N15" s="503">
        <f t="shared" si="3"/>
        <v>8.4</v>
      </c>
    </row>
    <row r="16" spans="1:14" x14ac:dyDescent="0.2">
      <c r="A16" s="462">
        <v>3</v>
      </c>
      <c r="B16" s="439" t="s">
        <v>238</v>
      </c>
      <c r="C16" s="440">
        <f>'Tab.3. Mieszkańcy_Polska '!I247</f>
        <v>346</v>
      </c>
      <c r="D16" s="451">
        <f t="shared" si="0"/>
        <v>75</v>
      </c>
      <c r="E16" s="443">
        <f>'Tab.3. Mieszkańcy_Polska '!I250</f>
        <v>1</v>
      </c>
      <c r="F16" s="442">
        <f>'Tab.3. Mieszkańcy_Polska '!I251</f>
        <v>74</v>
      </c>
      <c r="G16" s="500">
        <f t="shared" si="1"/>
        <v>21.7</v>
      </c>
      <c r="H16" s="450">
        <f t="shared" si="2"/>
        <v>68</v>
      </c>
      <c r="I16" s="472">
        <f>'Tab.3. Mieszkańcy_Polska '!I254</f>
        <v>4</v>
      </c>
      <c r="J16" s="472">
        <f>'Tab.3. Mieszkańcy_Polska '!I255</f>
        <v>3</v>
      </c>
      <c r="K16" s="441">
        <f>'Tab.3. Mieszkańcy_Polska '!I256</f>
        <v>0</v>
      </c>
      <c r="L16" s="442">
        <f>'Tab.3. Mieszkańcy_Polska '!I257</f>
        <v>61</v>
      </c>
      <c r="M16" s="481">
        <f>'Tab.3. Mieszkańcy_Polska '!I259</f>
        <v>353</v>
      </c>
      <c r="N16" s="503">
        <f t="shared" si="3"/>
        <v>17.3</v>
      </c>
    </row>
    <row r="17" spans="1:14" x14ac:dyDescent="0.2">
      <c r="A17" s="462">
        <v>4</v>
      </c>
      <c r="B17" s="439" t="s">
        <v>239</v>
      </c>
      <c r="C17" s="440">
        <f>'Tab.3. Mieszkańcy_Polska '!I323</f>
        <v>112</v>
      </c>
      <c r="D17" s="451">
        <f t="shared" si="0"/>
        <v>6</v>
      </c>
      <c r="E17" s="443">
        <f>'Tab.3. Mieszkańcy_Polska '!I326</f>
        <v>0</v>
      </c>
      <c r="F17" s="442">
        <f>'Tab.3. Mieszkańcy_Polska '!I327</f>
        <v>6</v>
      </c>
      <c r="G17" s="500">
        <f t="shared" si="1"/>
        <v>5.4</v>
      </c>
      <c r="H17" s="450">
        <f t="shared" si="2"/>
        <v>5</v>
      </c>
      <c r="I17" s="472">
        <f>'Tab.3. Mieszkańcy_Polska '!I330</f>
        <v>0</v>
      </c>
      <c r="J17" s="472">
        <f>'Tab.3. Mieszkańcy_Polska '!I331</f>
        <v>1</v>
      </c>
      <c r="K17" s="441">
        <f>'Tab.3. Mieszkańcy_Polska '!I332</f>
        <v>0</v>
      </c>
      <c r="L17" s="442">
        <f>'Tab.3. Mieszkańcy_Polska '!I333</f>
        <v>4</v>
      </c>
      <c r="M17" s="481">
        <f>'Tab.3. Mieszkańcy_Polska '!I335</f>
        <v>113</v>
      </c>
      <c r="N17" s="503">
        <f t="shared" si="3"/>
        <v>3.5</v>
      </c>
    </row>
    <row r="18" spans="1:14" x14ac:dyDescent="0.2">
      <c r="A18" s="462">
        <v>5</v>
      </c>
      <c r="B18" s="439" t="s">
        <v>240</v>
      </c>
      <c r="C18" s="440">
        <f>'Tab.3. Mieszkańcy_Polska '!I399</f>
        <v>277</v>
      </c>
      <c r="D18" s="451">
        <f t="shared" si="0"/>
        <v>40</v>
      </c>
      <c r="E18" s="443">
        <f>'Tab.3. Mieszkańcy_Polska '!I402</f>
        <v>3</v>
      </c>
      <c r="F18" s="442">
        <f>'Tab.3. Mieszkańcy_Polska '!I403</f>
        <v>37</v>
      </c>
      <c r="G18" s="500">
        <f t="shared" si="1"/>
        <v>14.4</v>
      </c>
      <c r="H18" s="450">
        <f t="shared" si="2"/>
        <v>44</v>
      </c>
      <c r="I18" s="472">
        <f>'Tab.3. Mieszkańcy_Polska '!I406</f>
        <v>10</v>
      </c>
      <c r="J18" s="472">
        <f>'Tab.3. Mieszkańcy_Polska '!I407</f>
        <v>4</v>
      </c>
      <c r="K18" s="441">
        <f>'Tab.3. Mieszkańcy_Polska '!I408</f>
        <v>0</v>
      </c>
      <c r="L18" s="442">
        <f>'Tab.3. Mieszkańcy_Polska '!I409</f>
        <v>30</v>
      </c>
      <c r="M18" s="481">
        <f>'Tab.3. Mieszkańcy_Polska '!I411</f>
        <v>273</v>
      </c>
      <c r="N18" s="503">
        <f t="shared" si="3"/>
        <v>11</v>
      </c>
    </row>
    <row r="19" spans="1:14" x14ac:dyDescent="0.2">
      <c r="A19" s="462">
        <v>6</v>
      </c>
      <c r="B19" s="439" t="s">
        <v>241</v>
      </c>
      <c r="C19" s="440">
        <f>'Tab.3. Mieszkańcy_Polska '!I475</f>
        <v>1497</v>
      </c>
      <c r="D19" s="451">
        <f t="shared" si="0"/>
        <v>291</v>
      </c>
      <c r="E19" s="443">
        <f>'Tab.3. Mieszkańcy_Polska '!I478</f>
        <v>40</v>
      </c>
      <c r="F19" s="442">
        <f>'Tab.3. Mieszkańcy_Polska '!I479</f>
        <v>251</v>
      </c>
      <c r="G19" s="500">
        <f t="shared" si="1"/>
        <v>19.399999999999999</v>
      </c>
      <c r="H19" s="450">
        <f t="shared" si="2"/>
        <v>238</v>
      </c>
      <c r="I19" s="472">
        <f>'Tab.3. Mieszkańcy_Polska '!I482</f>
        <v>63</v>
      </c>
      <c r="J19" s="472">
        <f>'Tab.3. Mieszkańcy_Polska '!I483</f>
        <v>14</v>
      </c>
      <c r="K19" s="441">
        <f>'Tab.3. Mieszkańcy_Polska '!I484</f>
        <v>0</v>
      </c>
      <c r="L19" s="442">
        <f>'Tab.3. Mieszkańcy_Polska '!I485</f>
        <v>161</v>
      </c>
      <c r="M19" s="481">
        <f>'Tab.3. Mieszkańcy_Polska '!I487</f>
        <v>1550</v>
      </c>
      <c r="N19" s="503">
        <f t="shared" si="3"/>
        <v>10.4</v>
      </c>
    </row>
    <row r="20" spans="1:14" x14ac:dyDescent="0.2">
      <c r="A20" s="462">
        <v>7</v>
      </c>
      <c r="B20" s="439" t="s">
        <v>242</v>
      </c>
      <c r="C20" s="440">
        <f>'Tab.3. Mieszkańcy_Polska '!I551</f>
        <v>1146</v>
      </c>
      <c r="D20" s="451">
        <f t="shared" si="0"/>
        <v>148</v>
      </c>
      <c r="E20" s="443">
        <f>'Tab.3. Mieszkańcy_Polska '!I554</f>
        <v>3</v>
      </c>
      <c r="F20" s="442">
        <f>'Tab.3. Mieszkańcy_Polska '!I555</f>
        <v>145</v>
      </c>
      <c r="G20" s="500">
        <f t="shared" si="1"/>
        <v>12.9</v>
      </c>
      <c r="H20" s="450">
        <f t="shared" si="2"/>
        <v>156</v>
      </c>
      <c r="I20" s="472">
        <f>'Tab.3. Mieszkańcy_Polska '!I558</f>
        <v>12</v>
      </c>
      <c r="J20" s="472">
        <f>'Tab.3. Mieszkańcy_Polska '!I559</f>
        <v>7</v>
      </c>
      <c r="K20" s="441">
        <f>'Tab.3. Mieszkańcy_Polska '!I560</f>
        <v>2</v>
      </c>
      <c r="L20" s="442">
        <f>'Tab.3. Mieszkańcy_Polska '!I561</f>
        <v>135</v>
      </c>
      <c r="M20" s="481">
        <f>'Tab.3. Mieszkańcy_Polska '!I563</f>
        <v>1138</v>
      </c>
      <c r="N20" s="503">
        <f t="shared" si="3"/>
        <v>11.9</v>
      </c>
    </row>
    <row r="21" spans="1:14" x14ac:dyDescent="0.2">
      <c r="A21" s="462">
        <v>8</v>
      </c>
      <c r="B21" s="439" t="s">
        <v>243</v>
      </c>
      <c r="C21" s="440">
        <f>'Tab.3. Mieszkańcy_Polska '!I627</f>
        <v>877</v>
      </c>
      <c r="D21" s="451">
        <f t="shared" si="0"/>
        <v>101</v>
      </c>
      <c r="E21" s="443">
        <f>'Tab.3. Mieszkańcy_Polska '!I630</f>
        <v>1</v>
      </c>
      <c r="F21" s="442">
        <f>'Tab.3. Mieszkańcy_Polska '!I631</f>
        <v>100</v>
      </c>
      <c r="G21" s="500">
        <f t="shared" si="1"/>
        <v>11.5</v>
      </c>
      <c r="H21" s="450">
        <f t="shared" si="2"/>
        <v>97</v>
      </c>
      <c r="I21" s="472">
        <f>'Tab.3. Mieszkańcy_Polska '!I634</f>
        <v>5</v>
      </c>
      <c r="J21" s="472">
        <f>'Tab.3. Mieszkańcy_Polska '!I635</f>
        <v>11</v>
      </c>
      <c r="K21" s="441">
        <f>'Tab.3. Mieszkańcy_Polska '!I636</f>
        <v>1</v>
      </c>
      <c r="L21" s="442">
        <f>'Tab.3. Mieszkańcy_Polska '!I637</f>
        <v>80</v>
      </c>
      <c r="M21" s="481">
        <f>'Tab.3. Mieszkańcy_Polska '!I639</f>
        <v>881</v>
      </c>
      <c r="N21" s="503">
        <f t="shared" si="3"/>
        <v>9.1</v>
      </c>
    </row>
    <row r="22" spans="1:14" x14ac:dyDescent="0.2">
      <c r="A22" s="462">
        <v>9</v>
      </c>
      <c r="B22" s="439" t="s">
        <v>244</v>
      </c>
      <c r="C22" s="440">
        <f>'Tab.3. Mieszkańcy_Polska '!I703</f>
        <v>1024</v>
      </c>
      <c r="D22" s="451">
        <f t="shared" si="0"/>
        <v>134</v>
      </c>
      <c r="E22" s="443">
        <f>'Tab.3. Mieszkańcy_Polska '!I706</f>
        <v>3</v>
      </c>
      <c r="F22" s="442">
        <f>'Tab.3. Mieszkańcy_Polska '!I707</f>
        <v>131</v>
      </c>
      <c r="G22" s="500">
        <f t="shared" si="1"/>
        <v>13.1</v>
      </c>
      <c r="H22" s="450">
        <f t="shared" si="2"/>
        <v>109</v>
      </c>
      <c r="I22" s="472">
        <f>'Tab.3. Mieszkańcy_Polska '!I710</f>
        <v>10</v>
      </c>
      <c r="J22" s="472">
        <f>'Tab.3. Mieszkańcy_Polska '!I711</f>
        <v>14</v>
      </c>
      <c r="K22" s="441">
        <f>'Tab.3. Mieszkańcy_Polska '!I712</f>
        <v>0</v>
      </c>
      <c r="L22" s="442">
        <f>'Tab.3. Mieszkańcy_Polska '!I713</f>
        <v>85</v>
      </c>
      <c r="M22" s="481">
        <f>'Tab.3. Mieszkańcy_Polska '!I715</f>
        <v>1049</v>
      </c>
      <c r="N22" s="503">
        <f t="shared" si="3"/>
        <v>8.1</v>
      </c>
    </row>
    <row r="23" spans="1:14" x14ac:dyDescent="0.2">
      <c r="A23" s="463">
        <v>10</v>
      </c>
      <c r="B23" s="439" t="s">
        <v>245</v>
      </c>
      <c r="C23" s="440">
        <f>'Tab.3. Mieszkańcy_Polska '!I779</f>
        <v>430</v>
      </c>
      <c r="D23" s="451">
        <f t="shared" si="0"/>
        <v>30</v>
      </c>
      <c r="E23" s="443">
        <f>'Tab.3. Mieszkańcy_Polska '!I782</f>
        <v>0</v>
      </c>
      <c r="F23" s="442">
        <f>'Tab.3. Mieszkańcy_Polska '!I783</f>
        <v>30</v>
      </c>
      <c r="G23" s="500">
        <f t="shared" si="1"/>
        <v>7</v>
      </c>
      <c r="H23" s="450">
        <f t="shared" si="2"/>
        <v>26</v>
      </c>
      <c r="I23" s="472">
        <f>'Tab.3. Mieszkańcy_Polska '!I786</f>
        <v>2</v>
      </c>
      <c r="J23" s="472">
        <f>'Tab.3. Mieszkańcy_Polska '!I787</f>
        <v>1</v>
      </c>
      <c r="K23" s="441">
        <f>'Tab.3. Mieszkańcy_Polska '!I788</f>
        <v>0</v>
      </c>
      <c r="L23" s="442">
        <f>'Tab.3. Mieszkańcy_Polska '!I789</f>
        <v>23</v>
      </c>
      <c r="M23" s="481">
        <f>'Tab.3. Mieszkańcy_Polska '!I791</f>
        <v>434</v>
      </c>
      <c r="N23" s="503">
        <f t="shared" si="3"/>
        <v>5.3</v>
      </c>
    </row>
    <row r="24" spans="1:14" x14ac:dyDescent="0.2">
      <c r="A24" s="463">
        <v>11</v>
      </c>
      <c r="B24" s="439" t="s">
        <v>246</v>
      </c>
      <c r="C24" s="440">
        <f>'Tab.3. Mieszkańcy_Polska '!I855</f>
        <v>541</v>
      </c>
      <c r="D24" s="451">
        <f t="shared" si="0"/>
        <v>65</v>
      </c>
      <c r="E24" s="443">
        <f>'Tab.3. Mieszkańcy_Polska '!I858</f>
        <v>0</v>
      </c>
      <c r="F24" s="442">
        <f>'Tab.3. Mieszkańcy_Polska '!I859</f>
        <v>65</v>
      </c>
      <c r="G24" s="500">
        <f t="shared" si="1"/>
        <v>12</v>
      </c>
      <c r="H24" s="450">
        <f t="shared" si="2"/>
        <v>63</v>
      </c>
      <c r="I24" s="472">
        <f>'Tab.3. Mieszkańcy_Polska '!I862</f>
        <v>5</v>
      </c>
      <c r="J24" s="472">
        <f>'Tab.3. Mieszkańcy_Polska '!I863</f>
        <v>10</v>
      </c>
      <c r="K24" s="441">
        <f>'Tab.3. Mieszkańcy_Polska '!I864</f>
        <v>0</v>
      </c>
      <c r="L24" s="442">
        <f>'Tab.3. Mieszkańcy_Polska '!I865</f>
        <v>48</v>
      </c>
      <c r="M24" s="481">
        <f>'Tab.3. Mieszkańcy_Polska '!I867</f>
        <v>543</v>
      </c>
      <c r="N24" s="503">
        <f t="shared" si="3"/>
        <v>8.8000000000000007</v>
      </c>
    </row>
    <row r="25" spans="1:14" x14ac:dyDescent="0.2">
      <c r="A25" s="463">
        <v>12</v>
      </c>
      <c r="B25" s="439" t="s">
        <v>247</v>
      </c>
      <c r="C25" s="440">
        <f>'Tab.3. Mieszkańcy_Polska '!I931</f>
        <v>2851</v>
      </c>
      <c r="D25" s="451">
        <f t="shared" si="0"/>
        <v>374</v>
      </c>
      <c r="E25" s="443">
        <f>'Tab.3. Mieszkańcy_Polska '!I934</f>
        <v>5</v>
      </c>
      <c r="F25" s="442">
        <f>'Tab.3. Mieszkańcy_Polska '!I935</f>
        <v>369</v>
      </c>
      <c r="G25" s="500">
        <f t="shared" si="1"/>
        <v>13.1</v>
      </c>
      <c r="H25" s="450">
        <f t="shared" si="2"/>
        <v>318</v>
      </c>
      <c r="I25" s="472">
        <f>'Tab.3. Mieszkańcy_Polska '!I938</f>
        <v>32</v>
      </c>
      <c r="J25" s="472">
        <f>'Tab.3. Mieszkańcy_Polska '!I939</f>
        <v>17</v>
      </c>
      <c r="K25" s="441">
        <f>'Tab.3. Mieszkańcy_Polska '!I940</f>
        <v>5</v>
      </c>
      <c r="L25" s="442">
        <f>'Tab.3. Mieszkańcy_Polska '!I941</f>
        <v>264</v>
      </c>
      <c r="M25" s="481">
        <f>'Tab.3. Mieszkańcy_Polska '!I943</f>
        <v>2907</v>
      </c>
      <c r="N25" s="503">
        <f t="shared" si="3"/>
        <v>9.1</v>
      </c>
    </row>
    <row r="26" spans="1:14" x14ac:dyDescent="0.2">
      <c r="A26" s="463">
        <v>13</v>
      </c>
      <c r="B26" s="439" t="s">
        <v>248</v>
      </c>
      <c r="C26" s="440">
        <f>'Tab.3. Mieszkańcy_Polska '!I1007</f>
        <v>383</v>
      </c>
      <c r="D26" s="451">
        <f t="shared" si="0"/>
        <v>97</v>
      </c>
      <c r="E26" s="443">
        <f>'Tab.3. Mieszkańcy_Polska '!I1010</f>
        <v>5</v>
      </c>
      <c r="F26" s="442">
        <f>'Tab.3. Mieszkańcy_Polska '!I1011</f>
        <v>92</v>
      </c>
      <c r="G26" s="500">
        <f t="shared" si="1"/>
        <v>25.3</v>
      </c>
      <c r="H26" s="450">
        <f t="shared" si="2"/>
        <v>98</v>
      </c>
      <c r="I26" s="472">
        <f>'Tab.3. Mieszkańcy_Polska '!I1014</f>
        <v>25</v>
      </c>
      <c r="J26" s="472">
        <f>'Tab.3. Mieszkańcy_Polska '!I1015</f>
        <v>13</v>
      </c>
      <c r="K26" s="441">
        <f>'Tab.3. Mieszkańcy_Polska '!I1016</f>
        <v>0</v>
      </c>
      <c r="L26" s="442">
        <f>'Tab.3. Mieszkańcy_Polska '!I1017</f>
        <v>60</v>
      </c>
      <c r="M26" s="481">
        <f>'Tab.3. Mieszkańcy_Polska '!I1019</f>
        <v>382</v>
      </c>
      <c r="N26" s="503">
        <f t="shared" si="3"/>
        <v>15.7</v>
      </c>
    </row>
    <row r="27" spans="1:14" x14ac:dyDescent="0.2">
      <c r="A27" s="463">
        <v>14</v>
      </c>
      <c r="B27" s="439" t="s">
        <v>249</v>
      </c>
      <c r="C27" s="440">
        <f>'Tab.3. Mieszkańcy_Polska '!I1083</f>
        <v>621</v>
      </c>
      <c r="D27" s="451">
        <f t="shared" si="0"/>
        <v>95</v>
      </c>
      <c r="E27" s="443">
        <f>'Tab.3. Mieszkańcy_Polska '!I1086</f>
        <v>2</v>
      </c>
      <c r="F27" s="442">
        <f>'Tab.3. Mieszkańcy_Polska '!I1087</f>
        <v>93</v>
      </c>
      <c r="G27" s="500">
        <f t="shared" si="1"/>
        <v>15.3</v>
      </c>
      <c r="H27" s="450">
        <f t="shared" si="2"/>
        <v>128</v>
      </c>
      <c r="I27" s="472">
        <f>'Tab.3. Mieszkańcy_Polska '!I1090</f>
        <v>61</v>
      </c>
      <c r="J27" s="472">
        <f>'Tab.3. Mieszkańcy_Polska '!I1091</f>
        <v>11</v>
      </c>
      <c r="K27" s="441">
        <f>'Tab.3. Mieszkańcy_Polska '!I1092</f>
        <v>2</v>
      </c>
      <c r="L27" s="442">
        <f>'Tab.3. Mieszkańcy_Polska '!I1093</f>
        <v>54</v>
      </c>
      <c r="M27" s="481">
        <f>'Tab.3. Mieszkańcy_Polska '!I1095</f>
        <v>588</v>
      </c>
      <c r="N27" s="503">
        <f t="shared" si="3"/>
        <v>9.1999999999999993</v>
      </c>
    </row>
    <row r="28" spans="1:14" x14ac:dyDescent="0.2">
      <c r="A28" s="463">
        <v>15</v>
      </c>
      <c r="B28" s="439" t="s">
        <v>250</v>
      </c>
      <c r="C28" s="440">
        <f>'Tab.3. Mieszkańcy_Polska '!I1159</f>
        <v>1011</v>
      </c>
      <c r="D28" s="451">
        <f t="shared" si="0"/>
        <v>130</v>
      </c>
      <c r="E28" s="443">
        <f>'Tab.3. Mieszkańcy_Polska '!I1162</f>
        <v>0</v>
      </c>
      <c r="F28" s="442">
        <f>'Tab.3. Mieszkańcy_Polska '!I1163</f>
        <v>130</v>
      </c>
      <c r="G28" s="500">
        <f t="shared" si="1"/>
        <v>12.9</v>
      </c>
      <c r="H28" s="450">
        <f t="shared" si="2"/>
        <v>137</v>
      </c>
      <c r="I28" s="472">
        <f>'Tab.3. Mieszkańcy_Polska '!I1166</f>
        <v>18</v>
      </c>
      <c r="J28" s="472">
        <f>'Tab.3. Mieszkańcy_Polska '!I1167</f>
        <v>5</v>
      </c>
      <c r="K28" s="441">
        <f>'Tab.3. Mieszkańcy_Polska '!I1168</f>
        <v>1</v>
      </c>
      <c r="L28" s="442">
        <f>'Tab.3. Mieszkańcy_Polska '!I1169</f>
        <v>113</v>
      </c>
      <c r="M28" s="481">
        <f>'Tab.3. Mieszkańcy_Polska '!I1171</f>
        <v>1004</v>
      </c>
      <c r="N28" s="503">
        <f t="shared" si="3"/>
        <v>11.3</v>
      </c>
    </row>
    <row r="29" spans="1:14" ht="13.5" thickBot="1" x14ac:dyDescent="0.25">
      <c r="A29" s="463">
        <v>16</v>
      </c>
      <c r="B29" s="439" t="s">
        <v>251</v>
      </c>
      <c r="C29" s="440">
        <f>'Tab.3. Mieszkańcy_Polska '!I1235</f>
        <v>633</v>
      </c>
      <c r="D29" s="451">
        <f t="shared" si="0"/>
        <v>87</v>
      </c>
      <c r="E29" s="443">
        <f>'Tab.3. Mieszkańcy_Polska '!I1238</f>
        <v>1</v>
      </c>
      <c r="F29" s="442">
        <f>'Tab.3. Mieszkańcy_Polska '!I1239</f>
        <v>86</v>
      </c>
      <c r="G29" s="500">
        <f t="shared" si="1"/>
        <v>13.7</v>
      </c>
      <c r="H29" s="450">
        <f t="shared" si="2"/>
        <v>87</v>
      </c>
      <c r="I29" s="472">
        <f>'Tab.3. Mieszkańcy_Polska '!I1242</f>
        <v>6</v>
      </c>
      <c r="J29" s="472">
        <f>'Tab.3. Mieszkańcy_Polska '!I1243</f>
        <v>9</v>
      </c>
      <c r="K29" s="441">
        <f>'Tab.3. Mieszkańcy_Polska '!I1244</f>
        <v>1</v>
      </c>
      <c r="L29" s="442">
        <f>'Tab.3. Mieszkańcy_Polska '!I1245</f>
        <v>71</v>
      </c>
      <c r="M29" s="481">
        <f>'Tab.3. Mieszkańcy_Polska '!I1247</f>
        <v>633</v>
      </c>
      <c r="N29" s="503">
        <f t="shared" si="3"/>
        <v>11.2</v>
      </c>
    </row>
    <row r="30" spans="1:14" ht="16.5" thickBot="1" x14ac:dyDescent="0.3">
      <c r="A30" s="445" t="s">
        <v>252</v>
      </c>
      <c r="B30" s="446"/>
      <c r="C30" s="453">
        <f>SUM(C14:C29)</f>
        <v>13000</v>
      </c>
      <c r="D30" s="454">
        <f>SUM(D14:D29)</f>
        <v>1844</v>
      </c>
      <c r="E30" s="456">
        <f>SUM(E14:E29)</f>
        <v>64</v>
      </c>
      <c r="F30" s="455">
        <f>SUM(F14:F29)</f>
        <v>1780</v>
      </c>
      <c r="G30" s="498">
        <f>AVERAGE(G14:G29)</f>
        <v>13.96875</v>
      </c>
      <c r="H30" s="453">
        <f t="shared" ref="H30:M30" si="4">SUM(H14:H29)</f>
        <v>1734</v>
      </c>
      <c r="I30" s="492">
        <f t="shared" si="4"/>
        <v>273</v>
      </c>
      <c r="J30" s="492">
        <f t="shared" si="4"/>
        <v>139</v>
      </c>
      <c r="K30" s="454">
        <f t="shared" si="4"/>
        <v>12</v>
      </c>
      <c r="L30" s="455">
        <f t="shared" si="4"/>
        <v>1310</v>
      </c>
      <c r="M30" s="495">
        <f t="shared" si="4"/>
        <v>13110</v>
      </c>
      <c r="N30" s="501">
        <f>AVERAGE(N14:N29)</f>
        <v>10.031249999999998</v>
      </c>
    </row>
    <row r="31" spans="1:14" ht="13.5" thickTop="1" x14ac:dyDescent="0.2"/>
  </sheetData>
  <mergeCells count="15">
    <mergeCell ref="L11:L12"/>
    <mergeCell ref="C10:F10"/>
    <mergeCell ref="G10:G12"/>
    <mergeCell ref="H10:H12"/>
    <mergeCell ref="I10:L10"/>
    <mergeCell ref="A6:N6"/>
    <mergeCell ref="A7:N7"/>
    <mergeCell ref="A8:L8"/>
    <mergeCell ref="M10:M12"/>
    <mergeCell ref="N10:N12"/>
    <mergeCell ref="C11:C12"/>
    <mergeCell ref="D11:F11"/>
    <mergeCell ref="I11:I12"/>
    <mergeCell ref="J11:J12"/>
    <mergeCell ref="K11:K12"/>
  </mergeCells>
  <phoneticPr fontId="82" type="noConversion"/>
  <pageMargins left="0.39370078740157483" right="0.39370078740157483" top="0.98425196850393704"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60</vt:i4>
      </vt:variant>
      <vt:variant>
        <vt:lpstr>Zakresy nazwane</vt:lpstr>
      </vt:variant>
      <vt:variant>
        <vt:i4>50</vt:i4>
      </vt:variant>
    </vt:vector>
  </HeadingPairs>
  <TitlesOfParts>
    <vt:vector size="110" baseType="lpstr">
      <vt:lpstr>Tab.1. bilans_Polska</vt:lpstr>
      <vt:lpstr>Tab 1 (1-6)</vt:lpstr>
      <vt:lpstr>Tab.2. l.d.m.m._Polska</vt:lpstr>
      <vt:lpstr>Tab.2.d.gm.pm._SUMARYCZNIEprzes</vt:lpstr>
      <vt:lpstr>Tabl.2. (1-7)(8-11)</vt:lpstr>
      <vt:lpstr>Tab.3. Mieszkańcy_Polska </vt:lpstr>
      <vt:lpstr>Tab.3 (1)</vt:lpstr>
      <vt:lpstr>Tab. 3 (2)</vt:lpstr>
      <vt:lpstr>Tab. 3 (3)</vt:lpstr>
      <vt:lpstr>Tab. 3 (4)</vt:lpstr>
      <vt:lpstr>Tab. 3 (5)</vt:lpstr>
      <vt:lpstr>Tab. 3 (6)</vt:lpstr>
      <vt:lpstr>Tab. 3 (7)</vt:lpstr>
      <vt:lpstr>Tab. 3 (8)</vt:lpstr>
      <vt:lpstr>Tab. 3 (9)</vt:lpstr>
      <vt:lpstr>Tab. 3 (10)</vt:lpstr>
      <vt:lpstr>Tab. 3 (11)</vt:lpstr>
      <vt:lpstr>Tab. 3 (12)</vt:lpstr>
      <vt:lpstr>Tab. 3 (13)</vt:lpstr>
      <vt:lpstr>Tab. 3 (14)</vt:lpstr>
      <vt:lpstr>Tab. 3 (15)</vt:lpstr>
      <vt:lpstr>Tab. 3 (16)</vt:lpstr>
      <vt:lpstr>Tab. 3 (17)</vt:lpstr>
      <vt:lpstr>Tab. 3 (18)</vt:lpstr>
      <vt:lpstr>Tab. 3 (19)</vt:lpstr>
      <vt:lpstr>Tab. 3 (20)</vt:lpstr>
      <vt:lpstr>Tab. 3 (21)</vt:lpstr>
      <vt:lpstr>Tab.4. Losóbzatr_Polska</vt:lpstr>
      <vt:lpstr>Tab. 4 (1)</vt:lpstr>
      <vt:lpstr>Tab. 4 (2)</vt:lpstr>
      <vt:lpstr>Tab. 4 (3)</vt:lpstr>
      <vt:lpstr>Tab.5. zatr.umowa,etaty_Polska</vt:lpstr>
      <vt:lpstr>Tab. 5 (1)</vt:lpstr>
      <vt:lpstr>Tab. 5 (2)</vt:lpstr>
      <vt:lpstr>Tab. 5 (3)</vt:lpstr>
      <vt:lpstr>Tab. 5 (4)</vt:lpstr>
      <vt:lpstr>Tab. 5 (5)</vt:lpstr>
      <vt:lpstr>Tab. 5 (6)</vt:lpstr>
      <vt:lpstr>Tab.6. umieszcz.oczek_Polska</vt:lpstr>
      <vt:lpstr>Tab. 6 (1)</vt:lpstr>
      <vt:lpstr>Tab. 6 (2)</vt:lpstr>
      <vt:lpstr>Tab. 6 (3)</vt:lpstr>
      <vt:lpstr>Tab.7. Środ.d.s._Polska</vt:lpstr>
      <vt:lpstr>Tab. 7 (1)</vt:lpstr>
      <vt:lpstr>Tab. 7 (2)</vt:lpstr>
      <vt:lpstr>Tab.8. l.os.zatr środ_Polska</vt:lpstr>
      <vt:lpstr>Tab. 8 (1)</vt:lpstr>
      <vt:lpstr>Tab.9. zatr.umową,etaty środow</vt:lpstr>
      <vt:lpstr>Tab. 9 (1)</vt:lpstr>
      <vt:lpstr>Tab. 9 (2)</vt:lpstr>
      <vt:lpstr>Tab.10. Mieszk.chron_Polska</vt:lpstr>
      <vt:lpstr>Tab. 10 (1)</vt:lpstr>
      <vt:lpstr>Tab. 10 (2)</vt:lpstr>
      <vt:lpstr>Tab. 11 dane zrodlowe</vt:lpstr>
      <vt:lpstr>Tab. 11 (1)</vt:lpstr>
      <vt:lpstr>Tab. 11 (2)</vt:lpstr>
      <vt:lpstr>Tab. 11 (3)</vt:lpstr>
      <vt:lpstr>Tab. 11 (4)</vt:lpstr>
      <vt:lpstr>Tab. 11 (5)</vt:lpstr>
      <vt:lpstr>Tablice 7 i 10</vt:lpstr>
      <vt:lpstr>'Tab 1 (1-6)'!Obszar_wydruku</vt:lpstr>
      <vt:lpstr>'Tab. 10 (1)'!Obszar_wydruku</vt:lpstr>
      <vt:lpstr>'Tab. 10 (2)'!Obszar_wydruku</vt:lpstr>
      <vt:lpstr>'Tab. 11 (1)'!Obszar_wydruku</vt:lpstr>
      <vt:lpstr>'Tab. 11 (2)'!Obszar_wydruku</vt:lpstr>
      <vt:lpstr>'Tab. 11 (3)'!Obszar_wydruku</vt:lpstr>
      <vt:lpstr>'Tab. 11 (4)'!Obszar_wydruku</vt:lpstr>
      <vt:lpstr>'Tab. 11 (5)'!Obszar_wydruku</vt:lpstr>
      <vt:lpstr>'Tab. 11 dane zrodlowe'!Obszar_wydruku</vt:lpstr>
      <vt:lpstr>'Tab. 3 (13)'!Obszar_wydruku</vt:lpstr>
      <vt:lpstr>'Tab. 3 (14)'!Obszar_wydruku</vt:lpstr>
      <vt:lpstr>'Tab. 3 (15)'!Obszar_wydruku</vt:lpstr>
      <vt:lpstr>'Tab. 3 (16)'!Obszar_wydruku</vt:lpstr>
      <vt:lpstr>'Tab. 3 (17)'!Obszar_wydruku</vt:lpstr>
      <vt:lpstr>'Tab. 3 (18)'!Obszar_wydruku</vt:lpstr>
      <vt:lpstr>'Tab. 3 (19)'!Obszar_wydruku</vt:lpstr>
      <vt:lpstr>'Tab. 3 (20)'!Obszar_wydruku</vt:lpstr>
      <vt:lpstr>'Tab. 3 (21)'!Obszar_wydruku</vt:lpstr>
      <vt:lpstr>'Tab. 3 (7)'!Obszar_wydruku</vt:lpstr>
      <vt:lpstr>'Tab. 3 (8)'!Obszar_wydruku</vt:lpstr>
      <vt:lpstr>'Tab. 3 (9)'!Obszar_wydruku</vt:lpstr>
      <vt:lpstr>'Tab. 4 (1)'!Obszar_wydruku</vt:lpstr>
      <vt:lpstr>'Tab. 4 (2)'!Obszar_wydruku</vt:lpstr>
      <vt:lpstr>'Tab. 4 (3)'!Obszar_wydruku</vt:lpstr>
      <vt:lpstr>'Tab. 5 (1)'!Obszar_wydruku</vt:lpstr>
      <vt:lpstr>'Tab. 5 (2)'!Obszar_wydruku</vt:lpstr>
      <vt:lpstr>'Tab. 5 (3)'!Obszar_wydruku</vt:lpstr>
      <vt:lpstr>'Tab. 5 (4)'!Obszar_wydruku</vt:lpstr>
      <vt:lpstr>'Tab. 5 (5)'!Obszar_wydruku</vt:lpstr>
      <vt:lpstr>'Tab. 5 (6)'!Obszar_wydruku</vt:lpstr>
      <vt:lpstr>'Tab. 6 (1)'!Obszar_wydruku</vt:lpstr>
      <vt:lpstr>'Tab. 6 (2)'!Obszar_wydruku</vt:lpstr>
      <vt:lpstr>'Tab. 6 (3)'!Obszar_wydruku</vt:lpstr>
      <vt:lpstr>'Tab. 7 (1)'!Obszar_wydruku</vt:lpstr>
      <vt:lpstr>'Tab. 7 (2)'!Obszar_wydruku</vt:lpstr>
      <vt:lpstr>'Tab. 8 (1)'!Obszar_wydruku</vt:lpstr>
      <vt:lpstr>'Tab. 9 (1)'!Obszar_wydruku</vt:lpstr>
      <vt:lpstr>'Tab. 9 (2)'!Obszar_wydruku</vt:lpstr>
      <vt:lpstr>'Tab.1. bilans_Polska'!Obszar_wydruku</vt:lpstr>
      <vt:lpstr>'Tab.10. Mieszk.chron_Polska'!Obszar_wydruku</vt:lpstr>
      <vt:lpstr>'Tab.2. l.d.m.m._Polska'!Obszar_wydruku</vt:lpstr>
      <vt:lpstr>Tab.2.d.gm.pm._SUMARYCZNIEprzes!Obszar_wydruku</vt:lpstr>
      <vt:lpstr>'Tab.3. Mieszkańcy_Polska '!Obszar_wydruku</vt:lpstr>
      <vt:lpstr>'Tab.4. Losóbzatr_Polska'!Obszar_wydruku</vt:lpstr>
      <vt:lpstr>'Tab.5. zatr.umowa,etaty_Polska'!Obszar_wydruku</vt:lpstr>
      <vt:lpstr>'Tab.6. umieszcz.oczek_Polska'!Obszar_wydruku</vt:lpstr>
      <vt:lpstr>'Tab.7. Środ.d.s._Polska'!Obszar_wydruku</vt:lpstr>
      <vt:lpstr>'Tab.8. l.os.zatr środ_Polska'!Obszar_wydruku</vt:lpstr>
      <vt:lpstr>'Tab.9. zatr.umową,etaty środow'!Obszar_wydruku</vt:lpstr>
      <vt:lpstr>'Tabl.2. (1-7)(8-11)'!Obszar_wydruku</vt:lpstr>
    </vt:vector>
  </TitlesOfParts>
  <Company>MPiPS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 Żek</dc:creator>
  <cp:lastModifiedBy>Andrzej Podgorski</cp:lastModifiedBy>
  <cp:lastPrinted>2012-09-24T08:48:03Z</cp:lastPrinted>
  <dcterms:created xsi:type="dcterms:W3CDTF">1998-04-17T07:35:49Z</dcterms:created>
  <dcterms:modified xsi:type="dcterms:W3CDTF">2012-09-25T08:18:56Z</dcterms:modified>
</cp:coreProperties>
</file>