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6\I kwartał\2026.05.18 dane ostateczne\Zbiorówki_2026_k1_2026.05.18\Publikacja\"/>
    </mc:Choice>
  </mc:AlternateContent>
  <xr:revisionPtr revIDLastSave="0" documentId="13_ncr:1_{B247568A-1B07-44EC-B432-8FA54A02DC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29" i="7" l="1"/>
  <c r="A66" i="7"/>
  <c r="A86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<sst xmlns="http://schemas.openxmlformats.org/spreadsheetml/2006/main" count="97" uniqueCount="81">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</sst>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2026 roku                 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3" t="s">
        <v>61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7" ht="13.5" customHeight="1" x14ac:dyDescent="0.2">
      <c r="B5" s="12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1"/>
      <c r="O5" s="11"/>
      <c r="P5" s="11"/>
      <c r="Q5" s="11"/>
    </row>
    <row r="6" spans="1:17" ht="13.5" customHeight="1" x14ac:dyDescent="0.2">
      <c r="A6" s="37" t="s">
        <v>0</v>
      </c>
      <c r="B6" s="34" t="s">
        <v>62</v>
      </c>
      <c r="C6" s="53" t="s">
        <v>66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3" t="s">
        <v>65</v>
      </c>
      <c r="P6" s="54"/>
      <c r="Q6" s="55"/>
    </row>
    <row r="7" spans="1:17" ht="13.5" customHeight="1" x14ac:dyDescent="0.2">
      <c r="A7" s="38"/>
      <c r="B7" s="35"/>
      <c r="C7" s="36" t="s">
        <v>63</v>
      </c>
      <c r="D7" s="36" t="s">
        <v>74</v>
      </c>
      <c r="E7" s="36" t="s">
        <v>67</v>
      </c>
      <c r="F7" s="36" t="s">
        <v>68</v>
      </c>
      <c r="G7" s="36" t="s">
        <v>27</v>
      </c>
      <c r="H7" s="36" t="s">
        <v>28</v>
      </c>
      <c r="I7" s="41" t="s">
        <v>64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28" t="s">
        <v>21</v>
      </c>
      <c r="P7" s="28" t="s">
        <v>22</v>
      </c>
      <c r="Q7" s="28" t="s">
        <v>23</v>
      </c>
    </row>
    <row r="8" spans="1:17" ht="13.5" customHeight="1" x14ac:dyDescent="0.2">
      <c r="A8" s="38"/>
      <c r="B8" s="35"/>
      <c r="C8" s="28"/>
      <c r="D8" s="28"/>
      <c r="E8" s="28"/>
      <c r="F8" s="28"/>
      <c r="G8" s="28"/>
      <c r="H8" s="28"/>
      <c r="I8" s="41"/>
      <c r="J8" s="28"/>
      <c r="K8" s="28"/>
      <c r="L8" s="28"/>
      <c r="M8" s="28"/>
      <c r="N8" s="35"/>
      <c r="O8" s="28"/>
      <c r="P8" s="28"/>
      <c r="Q8" s="28"/>
    </row>
    <row r="9" spans="1:17" ht="11.25" customHeight="1" x14ac:dyDescent="0.2">
      <c r="A9" s="38"/>
      <c r="B9" s="35"/>
      <c r="C9" s="28"/>
      <c r="D9" s="28"/>
      <c r="E9" s="28"/>
      <c r="F9" s="28"/>
      <c r="G9" s="28"/>
      <c r="H9" s="28"/>
      <c r="I9" s="41"/>
      <c r="J9" s="28"/>
      <c r="K9" s="28"/>
      <c r="L9" s="28"/>
      <c r="M9" s="28"/>
      <c r="N9" s="35"/>
      <c r="O9" s="28"/>
      <c r="P9" s="28"/>
      <c r="Q9" s="28"/>
    </row>
    <row r="10" spans="1:17" ht="11.25" customHeight="1" x14ac:dyDescent="0.2">
      <c r="A10" s="39"/>
      <c r="B10" s="36"/>
      <c r="C10" s="28"/>
      <c r="D10" s="28"/>
      <c r="E10" s="28"/>
      <c r="F10" s="28"/>
      <c r="G10" s="28"/>
      <c r="H10" s="28"/>
      <c r="I10" s="42"/>
      <c r="J10" s="28"/>
      <c r="K10" s="28"/>
      <c r="L10" s="28"/>
      <c r="M10" s="28"/>
      <c r="N10" s="36"/>
      <c r="O10" s="28"/>
      <c r="P10" s="28"/>
      <c r="Q10" s="28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43" t="s">
        <v>77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5.75" customHeight="1" x14ac:dyDescent="0.2">
      <c r="A13" s="20" t="s">
        <v>78</v>
      </c>
      <c r="B13" s="22">
        <f>308116728.97</f>
        <v>308116728.97000003</v>
      </c>
      <c r="C13" s="22">
        <f>308116728.97</f>
        <v>308116728.97000003</v>
      </c>
      <c r="D13" s="22">
        <f>136616211.01</f>
        <v>136616211.00999999</v>
      </c>
      <c r="E13" s="22">
        <f>16565</f>
        <v>16565</v>
      </c>
      <c r="F13" s="22">
        <f>94591888.82</f>
        <v>94591888.819999993</v>
      </c>
      <c r="G13" s="22">
        <f>42007757.19</f>
        <v>42007757.189999998</v>
      </c>
      <c r="H13" s="22">
        <f>0</f>
        <v>0</v>
      </c>
      <c r="I13" s="22">
        <f>0</f>
        <v>0</v>
      </c>
      <c r="J13" s="22">
        <f>143742553.5</f>
        <v>143742553.5</v>
      </c>
      <c r="K13" s="22">
        <f>4899250</f>
        <v>4899250</v>
      </c>
      <c r="L13" s="22">
        <f>22858714.46</f>
        <v>22858714.460000001</v>
      </c>
      <c r="M13" s="22">
        <f>0</f>
        <v>0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285241449.51</f>
        <v>285241449.50999999</v>
      </c>
      <c r="C17" s="22">
        <f>285241449.51</f>
        <v>285241449.50999999</v>
      </c>
      <c r="D17" s="22">
        <f>136599646.01</f>
        <v>136599646.00999999</v>
      </c>
      <c r="E17" s="22">
        <f>0</f>
        <v>0</v>
      </c>
      <c r="F17" s="22">
        <f>94591888.82</f>
        <v>94591888.819999993</v>
      </c>
      <c r="G17" s="22">
        <f>42007757.19</f>
        <v>42007757.189999998</v>
      </c>
      <c r="H17" s="22">
        <f>0</f>
        <v>0</v>
      </c>
      <c r="I17" s="22">
        <f>0</f>
        <v>0</v>
      </c>
      <c r="J17" s="22">
        <f>143742553.5</f>
        <v>143742553.5</v>
      </c>
      <c r="K17" s="22">
        <f>4899250</f>
        <v>4899250</v>
      </c>
      <c r="L17" s="22">
        <f>0</f>
        <v>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32560250</f>
        <v>32560250</v>
      </c>
      <c r="C18" s="23">
        <f>32560250</f>
        <v>32560250</v>
      </c>
      <c r="D18" s="23">
        <f>5349500</f>
        <v>5349500</v>
      </c>
      <c r="E18" s="23">
        <f>0</f>
        <v>0</v>
      </c>
      <c r="F18" s="23">
        <f>49500</f>
        <v>49500</v>
      </c>
      <c r="G18" s="23">
        <f>5300000</f>
        <v>5300000</v>
      </c>
      <c r="H18" s="23">
        <f>0</f>
        <v>0</v>
      </c>
      <c r="I18" s="23">
        <f>0</f>
        <v>0</v>
      </c>
      <c r="J18" s="23">
        <f>27210750</f>
        <v>27210750</v>
      </c>
      <c r="K18" s="23">
        <f>0</f>
        <v>0</v>
      </c>
      <c r="L18" s="23">
        <f>0</f>
        <v>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252681199.51</f>
        <v>252681199.50999999</v>
      </c>
      <c r="C19" s="23">
        <f>252681199.51</f>
        <v>252681199.50999999</v>
      </c>
      <c r="D19" s="23">
        <f>131250146.01</f>
        <v>131250146.01000001</v>
      </c>
      <c r="E19" s="23">
        <f>0</f>
        <v>0</v>
      </c>
      <c r="F19" s="23">
        <f>94542388.82</f>
        <v>94542388.819999993</v>
      </c>
      <c r="G19" s="23">
        <f>36707757.19</f>
        <v>36707757.189999998</v>
      </c>
      <c r="H19" s="23">
        <f>0</f>
        <v>0</v>
      </c>
      <c r="I19" s="23">
        <f>0</f>
        <v>0</v>
      </c>
      <c r="J19" s="23">
        <f>116531803.5</f>
        <v>116531803.5</v>
      </c>
      <c r="K19" s="23">
        <f>4899250</f>
        <v>4899250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22875279.46</f>
        <v>22875279.460000001</v>
      </c>
      <c r="C21" s="22">
        <f>22875279.46</f>
        <v>22875279.460000001</v>
      </c>
      <c r="D21" s="22">
        <f>16565</f>
        <v>16565</v>
      </c>
      <c r="E21" s="22">
        <f>16565</f>
        <v>16565</v>
      </c>
      <c r="F21" s="22">
        <f>0</f>
        <v>0</v>
      </c>
      <c r="G21" s="22">
        <f>0</f>
        <v>0</v>
      </c>
      <c r="H21" s="22">
        <f>0</f>
        <v>0</v>
      </c>
      <c r="I21" s="22">
        <f>0</f>
        <v>0</v>
      </c>
      <c r="J21" s="22">
        <f>0</f>
        <v>0</v>
      </c>
      <c r="K21" s="22">
        <f>0</f>
        <v>0</v>
      </c>
      <c r="L21" s="22">
        <f>22858714.46</f>
        <v>22858714.460000001</v>
      </c>
      <c r="M21" s="22">
        <f>0</f>
        <v>0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22858714.46</f>
        <v>22858714.460000001</v>
      </c>
      <c r="C22" s="23">
        <f>22858714.46</f>
        <v>22858714.460000001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22858714.46</f>
        <v>22858714.460000001</v>
      </c>
      <c r="M22" s="23">
        <f>0</f>
        <v>0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16565</f>
        <v>16565</v>
      </c>
      <c r="C23" s="23">
        <f>16565</f>
        <v>16565</v>
      </c>
      <c r="D23" s="23">
        <f>16565</f>
        <v>16565</v>
      </c>
      <c r="E23" s="23">
        <f>16565</f>
        <v>16565</v>
      </c>
      <c r="F23" s="23">
        <f>0</f>
        <v>0</v>
      </c>
      <c r="G23" s="23">
        <f>0</f>
        <v>0</v>
      </c>
      <c r="H23" s="23">
        <f>0</f>
        <v>0</v>
      </c>
      <c r="I23" s="23">
        <f>0</f>
        <v>0</v>
      </c>
      <c r="J23" s="23">
        <f>0</f>
        <v>0</v>
      </c>
      <c r="K23" s="23">
        <f>0</f>
        <v>0</v>
      </c>
      <c r="L23" s="23">
        <f>0</f>
        <v>0</v>
      </c>
      <c r="M23" s="23">
        <f>0</f>
        <v>0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2026 roku                 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1" spans="1:17" ht="13.5" customHeight="1" x14ac:dyDescent="0.2">
      <c r="A31" s="33" t="s">
        <v>11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3" spans="1:17" ht="13.5" customHeight="1" x14ac:dyDescent="0.2">
      <c r="A33" s="37" t="s">
        <v>0</v>
      </c>
      <c r="B33" s="34" t="s">
        <v>12</v>
      </c>
      <c r="C33" s="30" t="s">
        <v>14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30" t="s">
        <v>24</v>
      </c>
      <c r="P33" s="31"/>
      <c r="Q33" s="32"/>
    </row>
    <row r="34" spans="1:17" ht="13.5" customHeight="1" x14ac:dyDescent="0.2">
      <c r="A34" s="38"/>
      <c r="B34" s="35"/>
      <c r="C34" s="35" t="s">
        <v>13</v>
      </c>
      <c r="D34" s="28" t="s">
        <v>15</v>
      </c>
      <c r="E34" s="28" t="s">
        <v>25</v>
      </c>
      <c r="F34" s="28" t="s">
        <v>26</v>
      </c>
      <c r="G34" s="28" t="s">
        <v>71</v>
      </c>
      <c r="H34" s="28" t="s">
        <v>28</v>
      </c>
      <c r="I34" s="28" t="s">
        <v>1</v>
      </c>
      <c r="J34" s="28" t="s">
        <v>16</v>
      </c>
      <c r="K34" s="28" t="s">
        <v>17</v>
      </c>
      <c r="L34" s="28" t="s">
        <v>18</v>
      </c>
      <c r="M34" s="28" t="s">
        <v>19</v>
      </c>
      <c r="N34" s="85" t="s">
        <v>20</v>
      </c>
      <c r="O34" s="28" t="s">
        <v>21</v>
      </c>
      <c r="P34" s="28" t="s">
        <v>22</v>
      </c>
      <c r="Q34" s="34" t="s">
        <v>23</v>
      </c>
    </row>
    <row r="35" spans="1:17" ht="13.5" customHeight="1" x14ac:dyDescent="0.2">
      <c r="A35" s="38"/>
      <c r="B35" s="35"/>
      <c r="C35" s="3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85"/>
      <c r="O35" s="28"/>
      <c r="P35" s="28"/>
      <c r="Q35" s="35"/>
    </row>
    <row r="36" spans="1:17" ht="11.25" customHeight="1" x14ac:dyDescent="0.2">
      <c r="A36" s="38"/>
      <c r="B36" s="35"/>
      <c r="C36" s="3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85"/>
      <c r="O36" s="28"/>
      <c r="P36" s="28"/>
      <c r="Q36" s="35"/>
    </row>
    <row r="37" spans="1:17" ht="11.25" customHeight="1" x14ac:dyDescent="0.2">
      <c r="A37" s="39"/>
      <c r="B37" s="36"/>
      <c r="C37" s="36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85"/>
      <c r="O37" s="28"/>
      <c r="P37" s="28"/>
      <c r="Q37" s="36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46" t="s">
        <v>77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8"/>
    </row>
    <row r="40" spans="1:17" ht="33.75" customHeight="1" x14ac:dyDescent="0.2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412596.9</f>
        <v>412596.9</v>
      </c>
      <c r="C43" s="24">
        <f>412596.9</f>
        <v>412596.9</v>
      </c>
      <c r="D43" s="24">
        <f>412596.9</f>
        <v>412596.9</v>
      </c>
      <c r="E43" s="24">
        <f>0</f>
        <v>0</v>
      </c>
      <c r="F43" s="24">
        <f>0</f>
        <v>0</v>
      </c>
      <c r="G43" s="24">
        <f>412596.9</f>
        <v>412596.9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0</f>
        <v>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412596.9</f>
        <v>412596.9</v>
      </c>
      <c r="C45" s="25">
        <f>412596.9</f>
        <v>412596.9</v>
      </c>
      <c r="D45" s="25">
        <f>412596.9</f>
        <v>412596.9</v>
      </c>
      <c r="E45" s="25">
        <f>0</f>
        <v>0</v>
      </c>
      <c r="F45" s="25">
        <f>0</f>
        <v>0</v>
      </c>
      <c r="G45" s="25">
        <f>412596.9</f>
        <v>412596.9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0</f>
        <v>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1739751414.77</f>
        <v>1739751414.77</v>
      </c>
      <c r="C46" s="24">
        <f>1739751414.77</f>
        <v>1739751414.77</v>
      </c>
      <c r="D46" s="24">
        <f>783340.13</f>
        <v>783340.13</v>
      </c>
      <c r="E46" s="24">
        <f>0</f>
        <v>0</v>
      </c>
      <c r="F46" s="24">
        <f>0</f>
        <v>0</v>
      </c>
      <c r="G46" s="24">
        <f>783340.13</f>
        <v>783340.13</v>
      </c>
      <c r="H46" s="24">
        <f>0</f>
        <v>0</v>
      </c>
      <c r="I46" s="24">
        <f>0</f>
        <v>0</v>
      </c>
      <c r="J46" s="24">
        <f>1738855741.95</f>
        <v>1738855741.95</v>
      </c>
      <c r="K46" s="24">
        <f>0</f>
        <v>0</v>
      </c>
      <c r="L46" s="24">
        <f>112332.69</f>
        <v>112332.69</v>
      </c>
      <c r="M46" s="24">
        <f>0</f>
        <v>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633732.63</f>
        <v>633732.63</v>
      </c>
      <c r="C47" s="25">
        <f>633732.63</f>
        <v>633732.63</v>
      </c>
      <c r="D47" s="25">
        <f>633732.63</f>
        <v>633732.63</v>
      </c>
      <c r="E47" s="25">
        <f>0</f>
        <v>0</v>
      </c>
      <c r="F47" s="25">
        <f>0</f>
        <v>0</v>
      </c>
      <c r="G47" s="25">
        <f>633732.63</f>
        <v>633732.63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998360622.15</f>
        <v>998360622.14999998</v>
      </c>
      <c r="C48" s="25">
        <f>998360622.15</f>
        <v>998360622.14999998</v>
      </c>
      <c r="D48" s="25">
        <f>104125</f>
        <v>104125</v>
      </c>
      <c r="E48" s="25">
        <f>0</f>
        <v>0</v>
      </c>
      <c r="F48" s="25">
        <f>0</f>
        <v>0</v>
      </c>
      <c r="G48" s="25">
        <f>104125</f>
        <v>104125</v>
      </c>
      <c r="H48" s="25">
        <f>0</f>
        <v>0</v>
      </c>
      <c r="I48" s="25">
        <f>0</f>
        <v>0</v>
      </c>
      <c r="J48" s="25">
        <f>998250497.15</f>
        <v>998250497.14999998</v>
      </c>
      <c r="K48" s="25">
        <f>0</f>
        <v>0</v>
      </c>
      <c r="L48" s="25">
        <f>6000</f>
        <v>6000</v>
      </c>
      <c r="M48" s="25">
        <f>0</f>
        <v>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740757059.99</f>
        <v>740757059.99000001</v>
      </c>
      <c r="C49" s="25">
        <f>740757059.99</f>
        <v>740757059.99000001</v>
      </c>
      <c r="D49" s="25">
        <f>45482.5</f>
        <v>45482.5</v>
      </c>
      <c r="E49" s="25">
        <f>0</f>
        <v>0</v>
      </c>
      <c r="F49" s="25">
        <f>0</f>
        <v>0</v>
      </c>
      <c r="G49" s="25">
        <f>45482.5</f>
        <v>45482.5</v>
      </c>
      <c r="H49" s="25">
        <f>0</f>
        <v>0</v>
      </c>
      <c r="I49" s="25">
        <f>0</f>
        <v>0</v>
      </c>
      <c r="J49" s="25">
        <f>740605244.8</f>
        <v>740605244.79999995</v>
      </c>
      <c r="K49" s="25">
        <f>0</f>
        <v>0</v>
      </c>
      <c r="L49" s="25">
        <f>106332.69</f>
        <v>106332.69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561646136.17</f>
        <v>561646136.16999996</v>
      </c>
      <c r="C50" s="24">
        <f>561646136.17</f>
        <v>561646136.16999996</v>
      </c>
      <c r="D50" s="24">
        <f>2420363.55</f>
        <v>2420363.5499999998</v>
      </c>
      <c r="E50" s="24">
        <f>147239.8</f>
        <v>147239.79999999999</v>
      </c>
      <c r="F50" s="24">
        <f>2817.29</f>
        <v>2817.29</v>
      </c>
      <c r="G50" s="24">
        <f>2270306.46</f>
        <v>2270306.46</v>
      </c>
      <c r="H50" s="24">
        <f>0</f>
        <v>0</v>
      </c>
      <c r="I50" s="24">
        <f>0</f>
        <v>0</v>
      </c>
      <c r="J50" s="24">
        <f>2058.02</f>
        <v>2058.02</v>
      </c>
      <c r="K50" s="24">
        <f>308.25</f>
        <v>308.25</v>
      </c>
      <c r="L50" s="24">
        <f>34743673.69</f>
        <v>34743673.689999998</v>
      </c>
      <c r="M50" s="24">
        <f>523688489.82</f>
        <v>523688489.81999999</v>
      </c>
      <c r="N50" s="24">
        <f>791242.84</f>
        <v>791242.84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13074601.61</f>
        <v>13074601.609999999</v>
      </c>
      <c r="C51" s="25">
        <f>13074601.61</f>
        <v>13074601.609999999</v>
      </c>
      <c r="D51" s="25">
        <f>1546999.95</f>
        <v>1546999.95</v>
      </c>
      <c r="E51" s="25">
        <f>0</f>
        <v>0</v>
      </c>
      <c r="F51" s="25">
        <f>0</f>
        <v>0</v>
      </c>
      <c r="G51" s="25">
        <f>1546999.95</f>
        <v>1546999.95</v>
      </c>
      <c r="H51" s="25">
        <f>0</f>
        <v>0</v>
      </c>
      <c r="I51" s="25">
        <f>0</f>
        <v>0</v>
      </c>
      <c r="J51" s="25">
        <f>55.02</f>
        <v>55.02</v>
      </c>
      <c r="K51" s="25">
        <f>0</f>
        <v>0</v>
      </c>
      <c r="L51" s="25">
        <f>7374972.77</f>
        <v>7374972.7699999996</v>
      </c>
      <c r="M51" s="25">
        <f>4150940.81</f>
        <v>4150940.81</v>
      </c>
      <c r="N51" s="25">
        <f>1633.06</f>
        <v>1633.06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548571534.56</f>
        <v>548571534.55999994</v>
      </c>
      <c r="C52" s="25">
        <f>548571534.56</f>
        <v>548571534.55999994</v>
      </c>
      <c r="D52" s="25">
        <f>873363.6</f>
        <v>873363.6</v>
      </c>
      <c r="E52" s="25">
        <f>147239.8</f>
        <v>147239.79999999999</v>
      </c>
      <c r="F52" s="25">
        <f>2817.29</f>
        <v>2817.29</v>
      </c>
      <c r="G52" s="25">
        <f>723306.51</f>
        <v>723306.51</v>
      </c>
      <c r="H52" s="25">
        <f>0</f>
        <v>0</v>
      </c>
      <c r="I52" s="25">
        <f>0</f>
        <v>0</v>
      </c>
      <c r="J52" s="25">
        <f>2003</f>
        <v>2003</v>
      </c>
      <c r="K52" s="25">
        <f>308.25</f>
        <v>308.25</v>
      </c>
      <c r="L52" s="25">
        <f>27368700.92</f>
        <v>27368700.920000002</v>
      </c>
      <c r="M52" s="25">
        <f>519537549.01</f>
        <v>519537549.00999999</v>
      </c>
      <c r="N52" s="25">
        <f>789609.78</f>
        <v>789609.78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1824204543.48</f>
        <v>1824204543.48</v>
      </c>
      <c r="C53" s="24">
        <f>1824204543.48</f>
        <v>1824204543.48</v>
      </c>
      <c r="D53" s="24">
        <f>1309142055.06</f>
        <v>1309142055.0599999</v>
      </c>
      <c r="E53" s="24">
        <f>51373771.94</f>
        <v>51373771.939999998</v>
      </c>
      <c r="F53" s="24">
        <f>1142280.72</f>
        <v>1142280.72</v>
      </c>
      <c r="G53" s="24">
        <f>1255126772.04</f>
        <v>1255126772.04</v>
      </c>
      <c r="H53" s="24">
        <f>1499230.36</f>
        <v>1499230.36</v>
      </c>
      <c r="I53" s="24">
        <f>0</f>
        <v>0</v>
      </c>
      <c r="J53" s="24">
        <f>75461.91</f>
        <v>75461.91</v>
      </c>
      <c r="K53" s="24">
        <f>294789.27</f>
        <v>294789.27</v>
      </c>
      <c r="L53" s="24">
        <f>83681980.21</f>
        <v>83681980.209999993</v>
      </c>
      <c r="M53" s="24">
        <f>411446336.43</f>
        <v>411446336.43000001</v>
      </c>
      <c r="N53" s="24">
        <f>19563920.6</f>
        <v>19563920.600000001</v>
      </c>
      <c r="O53" s="24">
        <f>0</f>
        <v>0</v>
      </c>
      <c r="P53" s="24">
        <f>0</f>
        <v>0</v>
      </c>
      <c r="Q53" s="24">
        <f>0</f>
        <v>0</v>
      </c>
    </row>
    <row r="54" spans="1:17" ht="26.25" customHeight="1" x14ac:dyDescent="0.2">
      <c r="A54" s="19" t="s">
        <v>38</v>
      </c>
      <c r="B54" s="25">
        <f>50630358.93</f>
        <v>50630358.93</v>
      </c>
      <c r="C54" s="25">
        <f>50630358.93</f>
        <v>50630358.93</v>
      </c>
      <c r="D54" s="25">
        <f>28769625.86</f>
        <v>28769625.859999999</v>
      </c>
      <c r="E54" s="25">
        <f>10012968.19</f>
        <v>10012968.189999999</v>
      </c>
      <c r="F54" s="25">
        <f>0</f>
        <v>0</v>
      </c>
      <c r="G54" s="25">
        <f>18756489.89</f>
        <v>18756489.890000001</v>
      </c>
      <c r="H54" s="25">
        <f>167.78</f>
        <v>167.78</v>
      </c>
      <c r="I54" s="25">
        <f>0</f>
        <v>0</v>
      </c>
      <c r="J54" s="25">
        <f>180.04</f>
        <v>180.04</v>
      </c>
      <c r="K54" s="25">
        <f>35</f>
        <v>35</v>
      </c>
      <c r="L54" s="25">
        <f>18687243.78</f>
        <v>18687243.780000001</v>
      </c>
      <c r="M54" s="25">
        <f>2946246.82</f>
        <v>2946246.82</v>
      </c>
      <c r="N54" s="25">
        <f>227027.43</f>
        <v>227027.43</v>
      </c>
      <c r="O54" s="25">
        <f>0</f>
        <v>0</v>
      </c>
      <c r="P54" s="25">
        <f>0</f>
        <v>0</v>
      </c>
      <c r="Q54" s="25">
        <f>0</f>
        <v>0</v>
      </c>
    </row>
    <row r="55" spans="1:17" ht="29.25" customHeight="1" x14ac:dyDescent="0.2">
      <c r="A55" s="19" t="s">
        <v>80</v>
      </c>
      <c r="B55" s="25">
        <f>37918339.1</f>
        <v>37918339.100000001</v>
      </c>
      <c r="C55" s="25">
        <f>37918339.1</f>
        <v>37918339.100000001</v>
      </c>
      <c r="D55" s="25">
        <f>6463655.76</f>
        <v>6463655.7599999998</v>
      </c>
      <c r="E55" s="25">
        <f>4493907.62</f>
        <v>4493907.62</v>
      </c>
      <c r="F55" s="25">
        <f>113835.15</f>
        <v>113835.15</v>
      </c>
      <c r="G55" s="25">
        <f>694661.78</f>
        <v>694661.78</v>
      </c>
      <c r="H55" s="25">
        <f>1161251.21</f>
        <v>1161251.21</v>
      </c>
      <c r="I55" s="25">
        <f>0</f>
        <v>0</v>
      </c>
      <c r="J55" s="25">
        <f>8347.5</f>
        <v>8347.5</v>
      </c>
      <c r="K55" s="25">
        <f>6325.55</f>
        <v>6325.55</v>
      </c>
      <c r="L55" s="25">
        <f>2768941.47</f>
        <v>2768941.47</v>
      </c>
      <c r="M55" s="25">
        <f>27457620.69</f>
        <v>27457620.690000001</v>
      </c>
      <c r="N55" s="25">
        <f>1213448.13</f>
        <v>1213448.1299999999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1735655845.45</f>
        <v>1735655845.45</v>
      </c>
      <c r="C56" s="25">
        <f>1735655845.45</f>
        <v>1735655845.45</v>
      </c>
      <c r="D56" s="25">
        <f>1273908773.44</f>
        <v>1273908773.4400001</v>
      </c>
      <c r="E56" s="25">
        <f>36866896.13</f>
        <v>36866896.130000003</v>
      </c>
      <c r="F56" s="25">
        <f>1028445.57</f>
        <v>1028445.57</v>
      </c>
      <c r="G56" s="25">
        <f>1235675620.37</f>
        <v>1235675620.3699999</v>
      </c>
      <c r="H56" s="25">
        <f>337811.37</f>
        <v>337811.37</v>
      </c>
      <c r="I56" s="25">
        <f>0</f>
        <v>0</v>
      </c>
      <c r="J56" s="25">
        <f>66934.37</f>
        <v>66934.37</v>
      </c>
      <c r="K56" s="25">
        <f>288428.72</f>
        <v>288428.71999999997</v>
      </c>
      <c r="L56" s="25">
        <f>62225794.96</f>
        <v>62225794.960000001</v>
      </c>
      <c r="M56" s="25">
        <f>381042468.92</f>
        <v>381042468.92000002</v>
      </c>
      <c r="N56" s="25">
        <f>18123445.04</f>
        <v>18123445.039999999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2026 roku                 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33" t="s">
        <v>2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70" spans="1:13" ht="16.5" customHeight="1" x14ac:dyDescent="0.2">
      <c r="B70" s="69" t="s">
        <v>0</v>
      </c>
      <c r="C70" s="70"/>
      <c r="D70" s="70"/>
      <c r="E70" s="71"/>
      <c r="F70" s="78" t="s">
        <v>69</v>
      </c>
      <c r="G70" s="43" t="s">
        <v>75</v>
      </c>
      <c r="H70" s="44"/>
      <c r="I70" s="44"/>
      <c r="J70" s="44"/>
      <c r="K70" s="44"/>
      <c r="L70" s="45"/>
    </row>
    <row r="71" spans="1:13" ht="13.5" customHeight="1" x14ac:dyDescent="0.2">
      <c r="B71" s="72"/>
      <c r="C71" s="73"/>
      <c r="D71" s="73"/>
      <c r="E71" s="74"/>
      <c r="F71" s="79"/>
      <c r="G71" s="81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84" t="s">
        <v>73</v>
      </c>
    </row>
    <row r="72" spans="1:13" ht="13.5" customHeight="1" x14ac:dyDescent="0.2">
      <c r="B72" s="72"/>
      <c r="C72" s="73"/>
      <c r="D72" s="73"/>
      <c r="E72" s="74"/>
      <c r="F72" s="79"/>
      <c r="G72" s="81"/>
      <c r="H72" s="27"/>
      <c r="I72" s="27"/>
      <c r="J72" s="27"/>
      <c r="K72" s="27"/>
      <c r="L72" s="84"/>
    </row>
    <row r="73" spans="1:13" ht="11.25" customHeight="1" x14ac:dyDescent="0.2">
      <c r="B73" s="72"/>
      <c r="C73" s="73"/>
      <c r="D73" s="73"/>
      <c r="E73" s="74"/>
      <c r="F73" s="79"/>
      <c r="G73" s="81"/>
      <c r="H73" s="27"/>
      <c r="I73" s="27"/>
      <c r="J73" s="27"/>
      <c r="K73" s="27"/>
      <c r="L73" s="84"/>
    </row>
    <row r="74" spans="1:13" ht="11.25" customHeight="1" x14ac:dyDescent="0.2">
      <c r="B74" s="75"/>
      <c r="C74" s="76"/>
      <c r="D74" s="76"/>
      <c r="E74" s="77"/>
      <c r="F74" s="80"/>
      <c r="G74" s="81"/>
      <c r="H74" s="27"/>
      <c r="I74" s="27"/>
      <c r="J74" s="27"/>
      <c r="K74" s="27"/>
      <c r="L74" s="84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43" t="s">
        <v>77</v>
      </c>
      <c r="G76" s="82"/>
      <c r="H76" s="82"/>
      <c r="I76" s="82"/>
      <c r="J76" s="82"/>
      <c r="K76" s="82"/>
      <c r="L76" s="83"/>
    </row>
    <row r="77" spans="1:13" ht="33.75" customHeight="1" x14ac:dyDescent="0.2">
      <c r="B77" s="56" t="s">
        <v>54</v>
      </c>
      <c r="C77" s="57"/>
      <c r="D77" s="57"/>
      <c r="E77" s="58"/>
      <c r="F77" s="26">
        <f>0</f>
        <v>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0</f>
        <v>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750000</f>
        <v>750000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750000</f>
        <v>750000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2026 roku                 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1:13" ht="13.5" customHeight="1" x14ac:dyDescent="0.2">
      <c r="B87" s="4"/>
    </row>
    <row r="88" spans="1:13" ht="13.5" customHeight="1" x14ac:dyDescent="0.2">
      <c r="B88" s="5"/>
      <c r="C88" s="43"/>
      <c r="D88" s="44"/>
      <c r="E88" s="44"/>
      <c r="F88" s="45"/>
      <c r="G88" s="43" t="s">
        <v>3</v>
      </c>
      <c r="H88" s="45"/>
      <c r="I88" s="43" t="s">
        <v>4</v>
      </c>
      <c r="J88" s="45"/>
      <c r="K88" s="5"/>
    </row>
    <row r="89" spans="1:13" ht="13.5" customHeight="1" x14ac:dyDescent="0.2">
      <c r="B89" s="6"/>
      <c r="C89" s="59" t="s">
        <v>5</v>
      </c>
      <c r="D89" s="60"/>
      <c r="E89" s="60"/>
      <c r="F89" s="61"/>
      <c r="G89" s="65">
        <f>127</f>
        <v>127</v>
      </c>
      <c r="H89" s="66"/>
      <c r="I89" s="49">
        <f>396208940.63</f>
        <v>396208940.63</v>
      </c>
      <c r="J89" s="50"/>
      <c r="K89" s="7"/>
    </row>
    <row r="90" spans="1:13" ht="13.5" customHeight="1" x14ac:dyDescent="0.2">
      <c r="B90" s="6"/>
      <c r="C90" s="62" t="s">
        <v>6</v>
      </c>
      <c r="D90" s="63"/>
      <c r="E90" s="63"/>
      <c r="F90" s="64"/>
      <c r="G90" s="67">
        <f>49</f>
        <v>49</v>
      </c>
      <c r="H90" s="68"/>
      <c r="I90" s="51">
        <f>-41588036.95</f>
        <v>-41588036.950000003</v>
      </c>
      <c r="J90" s="52"/>
      <c r="K90" s="7"/>
    </row>
    <row r="91" spans="1:13" ht="13.5" customHeight="1" x14ac:dyDescent="0.2">
      <c r="B91" s="6"/>
      <c r="C91" s="59" t="s">
        <v>7</v>
      </c>
      <c r="D91" s="60"/>
      <c r="E91" s="60"/>
      <c r="F91" s="61"/>
      <c r="G91" s="65">
        <f>1</f>
        <v>1</v>
      </c>
      <c r="H91" s="66"/>
      <c r="I91" s="49">
        <f>0</f>
        <v>0</v>
      </c>
      <c r="J91" s="50"/>
      <c r="K91" s="7"/>
    </row>
    <row r="94" spans="1:13" ht="13.5" customHeight="1" x14ac:dyDescent="0.2">
      <c r="A94" s="8" t="s">
        <v>8</v>
      </c>
      <c r="B94" s="8">
        <f>1</f>
        <v>1</v>
      </c>
      <c r="C94" s="8" t="str">
        <f>IF(B94=1,"I Kwartał",IF(B94=2,"II Kwartały",IF(B94=3,"III Kwartały",IF(B94=4,"IV Kwartały","-"))))</f>
        <v>I Kwartał</v>
      </c>
    </row>
    <row r="95" spans="1:13" ht="13.5" customHeight="1" x14ac:dyDescent="0.2">
      <c r="A95" s="8" t="s">
        <v>9</v>
      </c>
      <c r="B95" s="8">
        <f>2026</f>
        <v>2026</v>
      </c>
      <c r="C95" s="9"/>
    </row>
    <row r="96" spans="1:13" ht="13.5" customHeight="1" x14ac:dyDescent="0.2">
      <c r="A96" s="8" t="s">
        <v>10</v>
      </c>
      <c r="B96" s="10" t="str">
        <f>"May 18 2026 12:00AM"</f>
        <v>May 18 2026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B12:Q12"/>
    <mergeCell ref="B39:Q39"/>
    <mergeCell ref="Q7:Q10"/>
    <mergeCell ref="C33:N33"/>
    <mergeCell ref="N7:N10"/>
    <mergeCell ref="P7:P10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O33:Q33"/>
    <mergeCell ref="A31:M31"/>
    <mergeCell ref="B33:B37"/>
    <mergeCell ref="A33:A37"/>
    <mergeCell ref="C34:C37"/>
    <mergeCell ref="E34:E37"/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2026-05-29T11:54:57Z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2026-05-29T13:54:46.7803150+02:00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GRN-d5268fc5-f118-495e-b8ba-311988c9a6c8</vt:lpwstr>
  </property>
  <property fmtid="{D5CDD505-2E9C-101B-9397-08002B2CF9AE}" pid="7" name="MFHash">
    <vt:lpwstr>BjTAAJkF9hh5u1yoThX3tFN1Cb2ymPgArwbUK47K2g4=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