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B247568A-1B07-44EC-B432-8FA54A02D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29" i="7" l="1"/>
  <c r="A66" i="7"/>
  <c r="A8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<sst xmlns="http://schemas.openxmlformats.org/spreadsheetml/2006/main" count="97" uniqueCount="81">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</sst>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2026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308116728.97</f>
        <v>308116728.97000003</v>
      </c>
      <c r="C13" s="22">
        <f>308116728.97</f>
        <v>308116728.97000003</v>
      </c>
      <c r="D13" s="22">
        <f>136616211.01</f>
        <v>136616211.00999999</v>
      </c>
      <c r="E13" s="22">
        <f>16565</f>
        <v>16565</v>
      </c>
      <c r="F13" s="22">
        <f>94591888.82</f>
        <v>94591888.819999993</v>
      </c>
      <c r="G13" s="22">
        <f>42007757.19</f>
        <v>42007757.189999998</v>
      </c>
      <c r="H13" s="22">
        <f>0</f>
        <v>0</v>
      </c>
      <c r="I13" s="22">
        <f>0</f>
        <v>0</v>
      </c>
      <c r="J13" s="22">
        <f>143742553.5</f>
        <v>143742553.5</v>
      </c>
      <c r="K13" s="22">
        <f>4899250</f>
        <v>4899250</v>
      </c>
      <c r="L13" s="22">
        <f>22858714.46</f>
        <v>22858714.460000001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285241449.51</f>
        <v>285241449.50999999</v>
      </c>
      <c r="C17" s="22">
        <f>285241449.51</f>
        <v>285241449.50999999</v>
      </c>
      <c r="D17" s="22">
        <f>136599646.01</f>
        <v>136599646.00999999</v>
      </c>
      <c r="E17" s="22">
        <f>0</f>
        <v>0</v>
      </c>
      <c r="F17" s="22">
        <f>94591888.82</f>
        <v>94591888.819999993</v>
      </c>
      <c r="G17" s="22">
        <f>42007757.19</f>
        <v>42007757.189999998</v>
      </c>
      <c r="H17" s="22">
        <f>0</f>
        <v>0</v>
      </c>
      <c r="I17" s="22">
        <f>0</f>
        <v>0</v>
      </c>
      <c r="J17" s="22">
        <f>143742553.5</f>
        <v>143742553.5</v>
      </c>
      <c r="K17" s="22">
        <f>4899250</f>
        <v>4899250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32560250</f>
        <v>32560250</v>
      </c>
      <c r="C18" s="23">
        <f>32560250</f>
        <v>32560250</v>
      </c>
      <c r="D18" s="23">
        <f>5349500</f>
        <v>5349500</v>
      </c>
      <c r="E18" s="23">
        <f>0</f>
        <v>0</v>
      </c>
      <c r="F18" s="23">
        <f>49500</f>
        <v>49500</v>
      </c>
      <c r="G18" s="23">
        <f>5300000</f>
        <v>5300000</v>
      </c>
      <c r="H18" s="23">
        <f>0</f>
        <v>0</v>
      </c>
      <c r="I18" s="23">
        <f>0</f>
        <v>0</v>
      </c>
      <c r="J18" s="23">
        <f>27210750</f>
        <v>27210750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252681199.51</f>
        <v>252681199.50999999</v>
      </c>
      <c r="C19" s="23">
        <f>252681199.51</f>
        <v>252681199.50999999</v>
      </c>
      <c r="D19" s="23">
        <f>131250146.01</f>
        <v>131250146.01000001</v>
      </c>
      <c r="E19" s="23">
        <f>0</f>
        <v>0</v>
      </c>
      <c r="F19" s="23">
        <f>94542388.82</f>
        <v>94542388.819999993</v>
      </c>
      <c r="G19" s="23">
        <f>36707757.19</f>
        <v>36707757.189999998</v>
      </c>
      <c r="H19" s="23">
        <f>0</f>
        <v>0</v>
      </c>
      <c r="I19" s="23">
        <f>0</f>
        <v>0</v>
      </c>
      <c r="J19" s="23">
        <f>116531803.5</f>
        <v>116531803.5</v>
      </c>
      <c r="K19" s="23">
        <f>4899250</f>
        <v>4899250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22875279.46</f>
        <v>22875279.460000001</v>
      </c>
      <c r="C21" s="22">
        <f>22875279.46</f>
        <v>22875279.460000001</v>
      </c>
      <c r="D21" s="22">
        <f>16565</f>
        <v>16565</v>
      </c>
      <c r="E21" s="22">
        <f>16565</f>
        <v>16565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22858714.46</f>
        <v>22858714.460000001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22858714.46</f>
        <v>22858714.460000001</v>
      </c>
      <c r="C22" s="23">
        <f>22858714.46</f>
        <v>22858714.460000001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22858714.46</f>
        <v>22858714.460000001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16565</f>
        <v>16565</v>
      </c>
      <c r="C23" s="23">
        <f>16565</f>
        <v>16565</v>
      </c>
      <c r="D23" s="23">
        <f>16565</f>
        <v>16565</v>
      </c>
      <c r="E23" s="23">
        <f>16565</f>
        <v>16565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2026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412596.9</f>
        <v>412596.9</v>
      </c>
      <c r="C43" s="24">
        <f>412596.9</f>
        <v>412596.9</v>
      </c>
      <c r="D43" s="24">
        <f>412596.9</f>
        <v>412596.9</v>
      </c>
      <c r="E43" s="24">
        <f>0</f>
        <v>0</v>
      </c>
      <c r="F43" s="24">
        <f>0</f>
        <v>0</v>
      </c>
      <c r="G43" s="24">
        <f>412596.9</f>
        <v>412596.9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412596.9</f>
        <v>412596.9</v>
      </c>
      <c r="C45" s="25">
        <f>412596.9</f>
        <v>412596.9</v>
      </c>
      <c r="D45" s="25">
        <f>412596.9</f>
        <v>412596.9</v>
      </c>
      <c r="E45" s="25">
        <f>0</f>
        <v>0</v>
      </c>
      <c r="F45" s="25">
        <f>0</f>
        <v>0</v>
      </c>
      <c r="G45" s="25">
        <f>412596.9</f>
        <v>412596.9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1739751414.77</f>
        <v>1739751414.77</v>
      </c>
      <c r="C46" s="24">
        <f>1739751414.77</f>
        <v>1739751414.77</v>
      </c>
      <c r="D46" s="24">
        <f>783340.13</f>
        <v>783340.13</v>
      </c>
      <c r="E46" s="24">
        <f>0</f>
        <v>0</v>
      </c>
      <c r="F46" s="24">
        <f>0</f>
        <v>0</v>
      </c>
      <c r="G46" s="24">
        <f>783340.13</f>
        <v>783340.13</v>
      </c>
      <c r="H46" s="24">
        <f>0</f>
        <v>0</v>
      </c>
      <c r="I46" s="24">
        <f>0</f>
        <v>0</v>
      </c>
      <c r="J46" s="24">
        <f>1738855741.95</f>
        <v>1738855741.95</v>
      </c>
      <c r="K46" s="24">
        <f>0</f>
        <v>0</v>
      </c>
      <c r="L46" s="24">
        <f>112332.69</f>
        <v>112332.69</v>
      </c>
      <c r="M46" s="24">
        <f>0</f>
        <v>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633732.63</f>
        <v>633732.63</v>
      </c>
      <c r="C47" s="25">
        <f>633732.63</f>
        <v>633732.63</v>
      </c>
      <c r="D47" s="25">
        <f>633732.63</f>
        <v>633732.63</v>
      </c>
      <c r="E47" s="25">
        <f>0</f>
        <v>0</v>
      </c>
      <c r="F47" s="25">
        <f>0</f>
        <v>0</v>
      </c>
      <c r="G47" s="25">
        <f>633732.63</f>
        <v>633732.63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998360622.15</f>
        <v>998360622.14999998</v>
      </c>
      <c r="C48" s="25">
        <f>998360622.15</f>
        <v>998360622.14999998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998250497.15</f>
        <v>998250497.14999998</v>
      </c>
      <c r="K48" s="25">
        <f>0</f>
        <v>0</v>
      </c>
      <c r="L48" s="25">
        <f>6000</f>
        <v>6000</v>
      </c>
      <c r="M48" s="25">
        <f>0</f>
        <v>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740757059.99</f>
        <v>740757059.99000001</v>
      </c>
      <c r="C49" s="25">
        <f>740757059.99</f>
        <v>740757059.99000001</v>
      </c>
      <c r="D49" s="25">
        <f>45482.5</f>
        <v>45482.5</v>
      </c>
      <c r="E49" s="25">
        <f>0</f>
        <v>0</v>
      </c>
      <c r="F49" s="25">
        <f>0</f>
        <v>0</v>
      </c>
      <c r="G49" s="25">
        <f>45482.5</f>
        <v>45482.5</v>
      </c>
      <c r="H49" s="25">
        <f>0</f>
        <v>0</v>
      </c>
      <c r="I49" s="25">
        <f>0</f>
        <v>0</v>
      </c>
      <c r="J49" s="25">
        <f>740605244.8</f>
        <v>740605244.79999995</v>
      </c>
      <c r="K49" s="25">
        <f>0</f>
        <v>0</v>
      </c>
      <c r="L49" s="25">
        <f>106332.69</f>
        <v>106332.69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561646136.17</f>
        <v>561646136.16999996</v>
      </c>
      <c r="C50" s="24">
        <f>561646136.17</f>
        <v>561646136.16999996</v>
      </c>
      <c r="D50" s="24">
        <f>2420363.55</f>
        <v>2420363.5499999998</v>
      </c>
      <c r="E50" s="24">
        <f>147239.8</f>
        <v>147239.79999999999</v>
      </c>
      <c r="F50" s="24">
        <f>2817.29</f>
        <v>2817.29</v>
      </c>
      <c r="G50" s="24">
        <f>2270306.46</f>
        <v>2270306.46</v>
      </c>
      <c r="H50" s="24">
        <f>0</f>
        <v>0</v>
      </c>
      <c r="I50" s="24">
        <f>0</f>
        <v>0</v>
      </c>
      <c r="J50" s="24">
        <f>2058.02</f>
        <v>2058.02</v>
      </c>
      <c r="K50" s="24">
        <f>308.25</f>
        <v>308.25</v>
      </c>
      <c r="L50" s="24">
        <f>34743673.69</f>
        <v>34743673.689999998</v>
      </c>
      <c r="M50" s="24">
        <f>523688489.82</f>
        <v>523688489.81999999</v>
      </c>
      <c r="N50" s="24">
        <f>791242.84</f>
        <v>791242.84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13074601.61</f>
        <v>13074601.609999999</v>
      </c>
      <c r="C51" s="25">
        <f>13074601.61</f>
        <v>13074601.609999999</v>
      </c>
      <c r="D51" s="25">
        <f>1546999.95</f>
        <v>1546999.95</v>
      </c>
      <c r="E51" s="25">
        <f>0</f>
        <v>0</v>
      </c>
      <c r="F51" s="25">
        <f>0</f>
        <v>0</v>
      </c>
      <c r="G51" s="25">
        <f>1546999.95</f>
        <v>1546999.95</v>
      </c>
      <c r="H51" s="25">
        <f>0</f>
        <v>0</v>
      </c>
      <c r="I51" s="25">
        <f>0</f>
        <v>0</v>
      </c>
      <c r="J51" s="25">
        <f>55.02</f>
        <v>55.02</v>
      </c>
      <c r="K51" s="25">
        <f>0</f>
        <v>0</v>
      </c>
      <c r="L51" s="25">
        <f>7374972.77</f>
        <v>7374972.7699999996</v>
      </c>
      <c r="M51" s="25">
        <f>4150940.81</f>
        <v>4150940.81</v>
      </c>
      <c r="N51" s="25">
        <f>1633.06</f>
        <v>1633.06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548571534.56</f>
        <v>548571534.55999994</v>
      </c>
      <c r="C52" s="25">
        <f>548571534.56</f>
        <v>548571534.55999994</v>
      </c>
      <c r="D52" s="25">
        <f>873363.6</f>
        <v>873363.6</v>
      </c>
      <c r="E52" s="25">
        <f>147239.8</f>
        <v>147239.79999999999</v>
      </c>
      <c r="F52" s="25">
        <f>2817.29</f>
        <v>2817.29</v>
      </c>
      <c r="G52" s="25">
        <f>723306.51</f>
        <v>723306.51</v>
      </c>
      <c r="H52" s="25">
        <f>0</f>
        <v>0</v>
      </c>
      <c r="I52" s="25">
        <f>0</f>
        <v>0</v>
      </c>
      <c r="J52" s="25">
        <f>2003</f>
        <v>2003</v>
      </c>
      <c r="K52" s="25">
        <f>308.25</f>
        <v>308.25</v>
      </c>
      <c r="L52" s="25">
        <f>27368700.92</f>
        <v>27368700.920000002</v>
      </c>
      <c r="M52" s="25">
        <f>519537549.01</f>
        <v>519537549.00999999</v>
      </c>
      <c r="N52" s="25">
        <f>789609.78</f>
        <v>789609.78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1824204543.48</f>
        <v>1824204543.48</v>
      </c>
      <c r="C53" s="24">
        <f>1824204543.48</f>
        <v>1824204543.48</v>
      </c>
      <c r="D53" s="24">
        <f>1309142055.06</f>
        <v>1309142055.0599999</v>
      </c>
      <c r="E53" s="24">
        <f>51373771.94</f>
        <v>51373771.939999998</v>
      </c>
      <c r="F53" s="24">
        <f>1142280.72</f>
        <v>1142280.72</v>
      </c>
      <c r="G53" s="24">
        <f>1255126772.04</f>
        <v>1255126772.04</v>
      </c>
      <c r="H53" s="24">
        <f>1499230.36</f>
        <v>1499230.36</v>
      </c>
      <c r="I53" s="24">
        <f>0</f>
        <v>0</v>
      </c>
      <c r="J53" s="24">
        <f>75461.91</f>
        <v>75461.91</v>
      </c>
      <c r="K53" s="24">
        <f>294789.27</f>
        <v>294789.27</v>
      </c>
      <c r="L53" s="24">
        <f>83681980.21</f>
        <v>83681980.209999993</v>
      </c>
      <c r="M53" s="24">
        <f>411446336.43</f>
        <v>411446336.43000001</v>
      </c>
      <c r="N53" s="24">
        <f>19563920.6</f>
        <v>19563920.600000001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50630358.93</f>
        <v>50630358.93</v>
      </c>
      <c r="C54" s="25">
        <f>50630358.93</f>
        <v>50630358.93</v>
      </c>
      <c r="D54" s="25">
        <f>28769625.86</f>
        <v>28769625.859999999</v>
      </c>
      <c r="E54" s="25">
        <f>10012968.19</f>
        <v>10012968.189999999</v>
      </c>
      <c r="F54" s="25">
        <f>0</f>
        <v>0</v>
      </c>
      <c r="G54" s="25">
        <f>18756489.89</f>
        <v>18756489.890000001</v>
      </c>
      <c r="H54" s="25">
        <f>167.78</f>
        <v>167.78</v>
      </c>
      <c r="I54" s="25">
        <f>0</f>
        <v>0</v>
      </c>
      <c r="J54" s="25">
        <f>180.04</f>
        <v>180.04</v>
      </c>
      <c r="K54" s="25">
        <f>35</f>
        <v>35</v>
      </c>
      <c r="L54" s="25">
        <f>18687243.78</f>
        <v>18687243.780000001</v>
      </c>
      <c r="M54" s="25">
        <f>2946246.82</f>
        <v>2946246.82</v>
      </c>
      <c r="N54" s="25">
        <f>227027.43</f>
        <v>227027.43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37918339.1</f>
        <v>37918339.100000001</v>
      </c>
      <c r="C55" s="25">
        <f>37918339.1</f>
        <v>37918339.100000001</v>
      </c>
      <c r="D55" s="25">
        <f>6463655.76</f>
        <v>6463655.7599999998</v>
      </c>
      <c r="E55" s="25">
        <f>4493907.62</f>
        <v>4493907.62</v>
      </c>
      <c r="F55" s="25">
        <f>113835.15</f>
        <v>113835.15</v>
      </c>
      <c r="G55" s="25">
        <f>694661.78</f>
        <v>694661.78</v>
      </c>
      <c r="H55" s="25">
        <f>1161251.21</f>
        <v>1161251.21</v>
      </c>
      <c r="I55" s="25">
        <f>0</f>
        <v>0</v>
      </c>
      <c r="J55" s="25">
        <f>8347.5</f>
        <v>8347.5</v>
      </c>
      <c r="K55" s="25">
        <f>6325.55</f>
        <v>6325.55</v>
      </c>
      <c r="L55" s="25">
        <f>2768941.47</f>
        <v>2768941.47</v>
      </c>
      <c r="M55" s="25">
        <f>27457620.69</f>
        <v>27457620.690000001</v>
      </c>
      <c r="N55" s="25">
        <f>1213448.13</f>
        <v>1213448.1299999999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1735655845.45</f>
        <v>1735655845.45</v>
      </c>
      <c r="C56" s="25">
        <f>1735655845.45</f>
        <v>1735655845.45</v>
      </c>
      <c r="D56" s="25">
        <f>1273908773.44</f>
        <v>1273908773.4400001</v>
      </c>
      <c r="E56" s="25">
        <f>36866896.13</f>
        <v>36866896.130000003</v>
      </c>
      <c r="F56" s="25">
        <f>1028445.57</f>
        <v>1028445.57</v>
      </c>
      <c r="G56" s="25">
        <f>1235675620.37</f>
        <v>1235675620.3699999</v>
      </c>
      <c r="H56" s="25">
        <f>337811.37</f>
        <v>337811.37</v>
      </c>
      <c r="I56" s="25">
        <f>0</f>
        <v>0</v>
      </c>
      <c r="J56" s="25">
        <f>66934.37</f>
        <v>66934.37</v>
      </c>
      <c r="K56" s="25">
        <f>288428.72</f>
        <v>288428.71999999997</v>
      </c>
      <c r="L56" s="25">
        <f>62225794.96</f>
        <v>62225794.960000001</v>
      </c>
      <c r="M56" s="25">
        <f>381042468.92</f>
        <v>381042468.92000002</v>
      </c>
      <c r="N56" s="25">
        <f>18123445.04</f>
        <v>18123445.039999999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2026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750000</f>
        <v>750000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750000</f>
        <v>750000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 Kwartał 2026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127</f>
        <v>127</v>
      </c>
      <c r="H89" s="66"/>
      <c r="I89" s="49">
        <f>396208940.63</f>
        <v>396208940.63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49</f>
        <v>49</v>
      </c>
      <c r="H90" s="68"/>
      <c r="I90" s="51">
        <f>-41588036.95</f>
        <v>-41588036.950000003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1</f>
        <v>1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1</f>
        <v>1</v>
      </c>
      <c r="C94" s="8" t="str">
        <f>IF(B94=1,"I Kwartał",IF(B94=2,"II Kwartały",IF(B94=3,"III Kwartały",IF(B94=4,"IV Kwartały","-"))))</f>
        <v>I Kwartał</v>
      </c>
    </row>
    <row r="95" spans="1:13" ht="13.5" customHeight="1" x14ac:dyDescent="0.2">
      <c r="A95" s="8" t="s">
        <v>9</v>
      </c>
      <c r="B95" s="8">
        <f>2026</f>
        <v>2026</v>
      </c>
      <c r="C95" s="9"/>
    </row>
    <row r="96" spans="1:13" ht="13.5" customHeight="1" x14ac:dyDescent="0.2">
      <c r="A96" s="8" t="s">
        <v>10</v>
      </c>
      <c r="B96" s="10" t="str">
        <f>"May 18 2026 12:00AM"</f>
        <v>May 18 2026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2026-05-29T11:54:57Z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2026-05-29T13:54:46.7803150+02:00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GRN-d5268fc5-f118-495e-b8ba-311988c9a6c8</vt:lpwstr>
  </property>
  <property fmtid="{D5CDD505-2E9C-101B-9397-08002B2CF9AE}" pid="7" name="MFHash">
    <vt:lpwstr>BjTAAJkF9hh5u1yoThX3tFN1Cb2ymPgArwbUK47K2g4=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