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3297B481-8760-4CE6-BDED-1034D9A33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67" i="7" l="1"/>
  <c r="A1" i="7"/>
  <c r="A86" i="7"/>
  <c r="A30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<sst xmlns="http://schemas.openxmlformats.org/spreadsheetml/2006/main" count="93" uniqueCount="79">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</sst>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0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7" t="str">
        <f>CONCATENATE("Informacja z wykonania budżetów jednostek samorządu terytorialnego za ",$C$94," ",$B$95," roku")</f>
        <v>Informacja z wykonania budżetów jednostek samorządu terytorialnego za II Kwartały 2025 roku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7" ht="13.5" customHeight="1" x14ac:dyDescent="0.2">
      <c r="B5" s="11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0"/>
      <c r="O5" s="10"/>
      <c r="P5" s="10"/>
      <c r="Q5" s="10"/>
    </row>
    <row r="6" spans="1:17" ht="13.5" customHeight="1" x14ac:dyDescent="0.2">
      <c r="A6" s="41" t="s">
        <v>0</v>
      </c>
      <c r="B6" s="40" t="s">
        <v>61</v>
      </c>
      <c r="C6" s="44" t="s">
        <v>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4" t="s">
        <v>64</v>
      </c>
      <c r="P6" s="45"/>
      <c r="Q6" s="46"/>
    </row>
    <row r="7" spans="1:17" ht="13.5" customHeight="1" x14ac:dyDescent="0.2">
      <c r="A7" s="42"/>
      <c r="B7" s="34"/>
      <c r="C7" s="33" t="s">
        <v>62</v>
      </c>
      <c r="D7" s="33" t="s">
        <v>73</v>
      </c>
      <c r="E7" s="33" t="s">
        <v>66</v>
      </c>
      <c r="F7" s="33" t="s">
        <v>67</v>
      </c>
      <c r="G7" s="33" t="s">
        <v>27</v>
      </c>
      <c r="H7" s="33" t="s">
        <v>28</v>
      </c>
      <c r="I7" s="35" t="s">
        <v>63</v>
      </c>
      <c r="J7" s="33" t="s">
        <v>16</v>
      </c>
      <c r="K7" s="33" t="s">
        <v>17</v>
      </c>
      <c r="L7" s="33" t="s">
        <v>18</v>
      </c>
      <c r="M7" s="33" t="s">
        <v>19</v>
      </c>
      <c r="N7" s="34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42"/>
      <c r="B8" s="34"/>
      <c r="C8" s="29"/>
      <c r="D8" s="29"/>
      <c r="E8" s="29"/>
      <c r="F8" s="29"/>
      <c r="G8" s="29"/>
      <c r="H8" s="29"/>
      <c r="I8" s="35"/>
      <c r="J8" s="29"/>
      <c r="K8" s="29"/>
      <c r="L8" s="29"/>
      <c r="M8" s="29"/>
      <c r="N8" s="34"/>
      <c r="O8" s="29"/>
      <c r="P8" s="29"/>
      <c r="Q8" s="29"/>
    </row>
    <row r="9" spans="1:17" ht="13.5" customHeight="1" x14ac:dyDescent="0.2">
      <c r="A9" s="42"/>
      <c r="B9" s="34"/>
      <c r="C9" s="29"/>
      <c r="D9" s="29"/>
      <c r="E9" s="29"/>
      <c r="F9" s="29"/>
      <c r="G9" s="29"/>
      <c r="H9" s="29"/>
      <c r="I9" s="35"/>
      <c r="J9" s="29"/>
      <c r="K9" s="29"/>
      <c r="L9" s="29"/>
      <c r="M9" s="29"/>
      <c r="N9" s="34"/>
      <c r="O9" s="29"/>
      <c r="P9" s="29"/>
      <c r="Q9" s="29"/>
    </row>
    <row r="10" spans="1:17" ht="11.25" customHeight="1" x14ac:dyDescent="0.2">
      <c r="A10" s="42"/>
      <c r="B10" s="34"/>
      <c r="C10" s="29"/>
      <c r="D10" s="29"/>
      <c r="E10" s="29"/>
      <c r="F10" s="29"/>
      <c r="G10" s="29"/>
      <c r="H10" s="29"/>
      <c r="I10" s="35"/>
      <c r="J10" s="29"/>
      <c r="K10" s="29"/>
      <c r="L10" s="29"/>
      <c r="M10" s="29"/>
      <c r="N10" s="34"/>
      <c r="O10" s="29"/>
      <c r="P10" s="29"/>
      <c r="Q10" s="29"/>
    </row>
    <row r="11" spans="1:17" ht="27.75" customHeight="1" x14ac:dyDescent="0.2">
      <c r="A11" s="43"/>
      <c r="B11" s="33"/>
      <c r="C11" s="29"/>
      <c r="D11" s="29"/>
      <c r="E11" s="29"/>
      <c r="F11" s="29"/>
      <c r="G11" s="29"/>
      <c r="H11" s="29"/>
      <c r="I11" s="36"/>
      <c r="J11" s="29"/>
      <c r="K11" s="29"/>
      <c r="L11" s="29"/>
      <c r="M11" s="29"/>
      <c r="N11" s="33"/>
      <c r="O11" s="29"/>
      <c r="P11" s="29"/>
      <c r="Q11" s="29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107489863455.96</f>
        <v>107489863455.96001</v>
      </c>
      <c r="C13" s="21">
        <f>83137260956.97</f>
        <v>83137260956.970001</v>
      </c>
      <c r="D13" s="21">
        <f>3555036492.81</f>
        <v>3555036492.8099999</v>
      </c>
      <c r="E13" s="21">
        <f>1118226416.73</f>
        <v>1118226416.73</v>
      </c>
      <c r="F13" s="21">
        <f>650221191.88</f>
        <v>650221191.88</v>
      </c>
      <c r="G13" s="21">
        <f>1784444178.74</f>
        <v>1784444178.74</v>
      </c>
      <c r="H13" s="21">
        <f>2144705.46</f>
        <v>2144705.46</v>
      </c>
      <c r="I13" s="21">
        <f>0</f>
        <v>0</v>
      </c>
      <c r="J13" s="21">
        <f>75272430931.77</f>
        <v>75272430931.770004</v>
      </c>
      <c r="K13" s="21">
        <f>3181600807.78</f>
        <v>3181600807.7800002</v>
      </c>
      <c r="L13" s="21">
        <f>1086077991.54</f>
        <v>1086077991.54</v>
      </c>
      <c r="M13" s="21">
        <f>26853842.7</f>
        <v>26853842.699999999</v>
      </c>
      <c r="N13" s="21">
        <f>15260890.37</f>
        <v>15260890.369999999</v>
      </c>
      <c r="O13" s="21">
        <f>24352602498.99</f>
        <v>24352602498.990002</v>
      </c>
      <c r="P13" s="21">
        <f>24333061996.87</f>
        <v>24333061996.869999</v>
      </c>
      <c r="Q13" s="21">
        <f>19540502.12</f>
        <v>19540502.120000001</v>
      </c>
    </row>
    <row r="14" spans="1:17" ht="41.25" customHeight="1" x14ac:dyDescent="0.2">
      <c r="A14" s="19" t="s">
        <v>75</v>
      </c>
      <c r="B14" s="21">
        <f>9701774529.43</f>
        <v>9701774529.4300003</v>
      </c>
      <c r="C14" s="21">
        <f>9701774529.43</f>
        <v>9701774529.4300003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9505324529.43</f>
        <v>9505324529.4300003</v>
      </c>
      <c r="K14" s="21">
        <f>196450000</f>
        <v>196450000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1224529.43</f>
        <v>1224529.43</v>
      </c>
      <c r="C15" s="22">
        <f>1224529.43</f>
        <v>1224529.43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1224529.43</f>
        <v>1224529.43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9700550000</f>
        <v>9700550000</v>
      </c>
      <c r="C16" s="22">
        <f>9700550000</f>
        <v>9700550000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9504100000</f>
        <v>9504100000</v>
      </c>
      <c r="K16" s="22">
        <f>196450000</f>
        <v>196450000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97707185412.99</f>
        <v>97707185412.990005</v>
      </c>
      <c r="C17" s="21">
        <f>73354583941.12</f>
        <v>73354583941.119995</v>
      </c>
      <c r="D17" s="21">
        <f>3531336398.39</f>
        <v>3531336398.3899999</v>
      </c>
      <c r="E17" s="21">
        <f>1117791636.81</f>
        <v>1117791636.8099999</v>
      </c>
      <c r="F17" s="21">
        <f>650065558.59</f>
        <v>650065558.59000003</v>
      </c>
      <c r="G17" s="21">
        <f>1763479202.99</f>
        <v>1763479202.99</v>
      </c>
      <c r="H17" s="21">
        <f>0</f>
        <v>0</v>
      </c>
      <c r="I17" s="21">
        <f>0</f>
        <v>0</v>
      </c>
      <c r="J17" s="21">
        <f>65767056402.34</f>
        <v>65767056402.339996</v>
      </c>
      <c r="K17" s="21">
        <f>2984335375.88</f>
        <v>2984335375.8800001</v>
      </c>
      <c r="L17" s="21">
        <f>1053851497.98</f>
        <v>1053851497.98</v>
      </c>
      <c r="M17" s="21">
        <f>5385256.55</f>
        <v>5385256.5499999998</v>
      </c>
      <c r="N17" s="21">
        <f>12619009.98</f>
        <v>12619009.98</v>
      </c>
      <c r="O17" s="21">
        <f>24352601471.87</f>
        <v>24352601471.869999</v>
      </c>
      <c r="P17" s="21">
        <f>24333061996.87</f>
        <v>24333061996.869999</v>
      </c>
      <c r="Q17" s="21">
        <f>19539475</f>
        <v>19539475</v>
      </c>
    </row>
    <row r="18" spans="1:17" ht="22.5" x14ac:dyDescent="0.2">
      <c r="A18" s="16" t="s">
        <v>48</v>
      </c>
      <c r="B18" s="22">
        <f>512371278.38</f>
        <v>512371278.38</v>
      </c>
      <c r="C18" s="22">
        <f>512371278.38</f>
        <v>512371278.38</v>
      </c>
      <c r="D18" s="22">
        <f>81713865.18</f>
        <v>81713865.180000007</v>
      </c>
      <c r="E18" s="22">
        <f>75959556.33</f>
        <v>75959556.329999998</v>
      </c>
      <c r="F18" s="22">
        <f>537942</f>
        <v>537942</v>
      </c>
      <c r="G18" s="22">
        <f>5216366.85</f>
        <v>5216366.8499999996</v>
      </c>
      <c r="H18" s="22">
        <f>0</f>
        <v>0</v>
      </c>
      <c r="I18" s="22">
        <f>0</f>
        <v>0</v>
      </c>
      <c r="J18" s="22">
        <f>429392816.34</f>
        <v>429392816.33999997</v>
      </c>
      <c r="K18" s="22">
        <f>0</f>
        <v>0</v>
      </c>
      <c r="L18" s="22">
        <f>230016.86</f>
        <v>230016.86</v>
      </c>
      <c r="M18" s="22">
        <f>1034580</f>
        <v>1034580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97194814134.61</f>
        <v>97194814134.610001</v>
      </c>
      <c r="C19" s="22">
        <f>72842212662.74</f>
        <v>72842212662.740005</v>
      </c>
      <c r="D19" s="22">
        <f>3449622533.21</f>
        <v>3449622533.21</v>
      </c>
      <c r="E19" s="22">
        <f>1041832080.48</f>
        <v>1041832080.48</v>
      </c>
      <c r="F19" s="22">
        <f>649527616.59</f>
        <v>649527616.59000003</v>
      </c>
      <c r="G19" s="22">
        <f>1758262836.14</f>
        <v>1758262836.1400001</v>
      </c>
      <c r="H19" s="22">
        <f>0</f>
        <v>0</v>
      </c>
      <c r="I19" s="22">
        <f>0</f>
        <v>0</v>
      </c>
      <c r="J19" s="22">
        <f>65337663586</f>
        <v>65337663586</v>
      </c>
      <c r="K19" s="22">
        <f>2984335375.88</f>
        <v>2984335375.8800001</v>
      </c>
      <c r="L19" s="22">
        <f>1053621481.12</f>
        <v>1053621481.12</v>
      </c>
      <c r="M19" s="22">
        <f>4350676.55</f>
        <v>4350676.55</v>
      </c>
      <c r="N19" s="22">
        <f>12619009.98</f>
        <v>12619009.98</v>
      </c>
      <c r="O19" s="22">
        <f>24352601471.87</f>
        <v>24352601471.869999</v>
      </c>
      <c r="P19" s="22">
        <f>24333061996.87</f>
        <v>24333061996.869999</v>
      </c>
      <c r="Q19" s="22">
        <f>19539475</f>
        <v>19539475</v>
      </c>
    </row>
    <row r="20" spans="1:17" ht="24.75" customHeight="1" x14ac:dyDescent="0.2">
      <c r="A20" s="26" t="s">
        <v>50</v>
      </c>
      <c r="B20" s="27">
        <f>1500000</f>
        <v>1500000</v>
      </c>
      <c r="C20" s="27">
        <f>1500000</f>
        <v>1500000</v>
      </c>
      <c r="D20" s="27">
        <f>1500000</f>
        <v>1500000</v>
      </c>
      <c r="E20" s="27">
        <f>0</f>
        <v>0</v>
      </c>
      <c r="F20" s="27">
        <f>0</f>
        <v>0</v>
      </c>
      <c r="G20" s="27">
        <f>1500000</f>
        <v>1500000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79403513.54</f>
        <v>79403513.540000007</v>
      </c>
      <c r="C21" s="21">
        <f>79402486.42</f>
        <v>79402486.420000002</v>
      </c>
      <c r="D21" s="21">
        <f>22200094.42</f>
        <v>22200094.420000002</v>
      </c>
      <c r="E21" s="21">
        <f>434779.92</f>
        <v>434779.92</v>
      </c>
      <c r="F21" s="21">
        <f>155633.29</f>
        <v>155633.29</v>
      </c>
      <c r="G21" s="21">
        <f>19464975.75</f>
        <v>19464975.75</v>
      </c>
      <c r="H21" s="21">
        <f>2144705.46</f>
        <v>2144705.46</v>
      </c>
      <c r="I21" s="21">
        <f>0</f>
        <v>0</v>
      </c>
      <c r="J21" s="21">
        <f>50000</f>
        <v>50000</v>
      </c>
      <c r="K21" s="21">
        <f>815431.9</f>
        <v>815431.9</v>
      </c>
      <c r="L21" s="21">
        <f>32226493.56</f>
        <v>32226493.559999999</v>
      </c>
      <c r="M21" s="21">
        <f>21468586.15</f>
        <v>21468586.149999999</v>
      </c>
      <c r="N21" s="21">
        <f>2641880.39</f>
        <v>2641880.39</v>
      </c>
      <c r="O21" s="21">
        <f>1027.12</f>
        <v>1027.1199999999999</v>
      </c>
      <c r="P21" s="21">
        <f>0</f>
        <v>0</v>
      </c>
      <c r="Q21" s="21">
        <f>1027.12</f>
        <v>1027.1199999999999</v>
      </c>
    </row>
    <row r="22" spans="1:17" ht="33" customHeight="1" x14ac:dyDescent="0.2">
      <c r="A22" s="17" t="s">
        <v>51</v>
      </c>
      <c r="B22" s="22">
        <f>45932666.84</f>
        <v>45932666.840000004</v>
      </c>
      <c r="C22" s="22">
        <f>45932666.84</f>
        <v>45932666.840000004</v>
      </c>
      <c r="D22" s="22">
        <f>2579723.65</f>
        <v>2579723.65</v>
      </c>
      <c r="E22" s="22">
        <f>24427.39</f>
        <v>24427.39</v>
      </c>
      <c r="F22" s="22">
        <f>1717</f>
        <v>1717</v>
      </c>
      <c r="G22" s="22">
        <f>2553579.26</f>
        <v>2553579.2599999998</v>
      </c>
      <c r="H22" s="22">
        <f>0</f>
        <v>0</v>
      </c>
      <c r="I22" s="22">
        <f>0</f>
        <v>0</v>
      </c>
      <c r="J22" s="22">
        <f>0</f>
        <v>0</v>
      </c>
      <c r="K22" s="22">
        <f>749286.08</f>
        <v>749286.08</v>
      </c>
      <c r="L22" s="22">
        <f>23742379.1</f>
        <v>23742379.100000001</v>
      </c>
      <c r="M22" s="22">
        <f>16274654.3</f>
        <v>16274654.300000001</v>
      </c>
      <c r="N22" s="22">
        <f>2586623.71</f>
        <v>2586623.71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33470846.7</f>
        <v>33470846.699999999</v>
      </c>
      <c r="C23" s="22">
        <f>33469819.58</f>
        <v>33469819.579999998</v>
      </c>
      <c r="D23" s="22">
        <f>19620370.77</f>
        <v>19620370.77</v>
      </c>
      <c r="E23" s="22">
        <f>410352.53</f>
        <v>410352.53</v>
      </c>
      <c r="F23" s="22">
        <f>153916.29</f>
        <v>153916.29</v>
      </c>
      <c r="G23" s="22">
        <f>16911396.49</f>
        <v>16911396.489999998</v>
      </c>
      <c r="H23" s="22">
        <f>2144705.46</f>
        <v>2144705.46</v>
      </c>
      <c r="I23" s="22">
        <f>0</f>
        <v>0</v>
      </c>
      <c r="J23" s="22">
        <f>50000</f>
        <v>50000</v>
      </c>
      <c r="K23" s="22">
        <f>66145.82</f>
        <v>66145.820000000007</v>
      </c>
      <c r="L23" s="22">
        <f>8484114.46</f>
        <v>8484114.4600000009</v>
      </c>
      <c r="M23" s="22">
        <f>5193931.85</f>
        <v>5193931.8499999996</v>
      </c>
      <c r="N23" s="22">
        <f>55256.68</f>
        <v>55256.68</v>
      </c>
      <c r="O23" s="22">
        <f>1027.12</f>
        <v>1027.1199999999999</v>
      </c>
      <c r="P23" s="22">
        <f>0</f>
        <v>0</v>
      </c>
      <c r="Q23" s="22">
        <f>1027.12</f>
        <v>1027.1199999999999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7" t="str">
        <f>CONCATENATE("Informacja z wykonania budżetów jednostek samorządu terytorialnego za ",$C$94," ",$B$95," roku")</f>
        <v>Informacja z wykonania budżetów jednostek samorządu terytorialnego za II Kwartały 2025 roku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2" spans="1:17" ht="13.5" customHeight="1" x14ac:dyDescent="0.2">
      <c r="A32" s="39" t="s">
        <v>11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4" spans="1:17" ht="13.5" customHeight="1" x14ac:dyDescent="0.2">
      <c r="A34" s="41" t="s">
        <v>0</v>
      </c>
      <c r="B34" s="40" t="s">
        <v>12</v>
      </c>
      <c r="C34" s="30" t="s">
        <v>14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30" t="s">
        <v>24</v>
      </c>
      <c r="P34" s="31"/>
      <c r="Q34" s="32"/>
    </row>
    <row r="35" spans="1:17" ht="13.5" customHeight="1" x14ac:dyDescent="0.2">
      <c r="A35" s="42"/>
      <c r="B35" s="34"/>
      <c r="C35" s="34" t="s">
        <v>13</v>
      </c>
      <c r="D35" s="29" t="s">
        <v>15</v>
      </c>
      <c r="E35" s="29" t="s">
        <v>25</v>
      </c>
      <c r="F35" s="29" t="s">
        <v>26</v>
      </c>
      <c r="G35" s="29" t="s">
        <v>70</v>
      </c>
      <c r="H35" s="29" t="s">
        <v>28</v>
      </c>
      <c r="I35" s="29" t="s">
        <v>1</v>
      </c>
      <c r="J35" s="29" t="s">
        <v>16</v>
      </c>
      <c r="K35" s="29" t="s">
        <v>17</v>
      </c>
      <c r="L35" s="29" t="s">
        <v>18</v>
      </c>
      <c r="M35" s="29" t="s">
        <v>19</v>
      </c>
      <c r="N35" s="47" t="s">
        <v>20</v>
      </c>
      <c r="O35" s="29" t="s">
        <v>21</v>
      </c>
      <c r="P35" s="29" t="s">
        <v>22</v>
      </c>
      <c r="Q35" s="40" t="s">
        <v>23</v>
      </c>
    </row>
    <row r="36" spans="1:17" ht="13.5" customHeight="1" x14ac:dyDescent="0.2">
      <c r="A36" s="42"/>
      <c r="B36" s="34"/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7"/>
      <c r="O36" s="29"/>
      <c r="P36" s="29"/>
      <c r="Q36" s="34"/>
    </row>
    <row r="37" spans="1:17" ht="11.25" customHeight="1" x14ac:dyDescent="0.2">
      <c r="A37" s="42"/>
      <c r="B37" s="34"/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7"/>
      <c r="O37" s="29"/>
      <c r="P37" s="29"/>
      <c r="Q37" s="34"/>
    </row>
    <row r="38" spans="1:17" ht="32.25" customHeight="1" x14ac:dyDescent="0.2">
      <c r="A38" s="43"/>
      <c r="B38" s="33"/>
      <c r="C38" s="33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7"/>
      <c r="O38" s="29"/>
      <c r="P38" s="29"/>
      <c r="Q38" s="33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157811000.26</f>
        <v>157811000.25999999</v>
      </c>
      <c r="C40" s="23">
        <f>157811000.26</f>
        <v>157811000.25999999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157730566.66</f>
        <v>157730566.66</v>
      </c>
      <c r="K40" s="23">
        <f>0</f>
        <v>0</v>
      </c>
      <c r="L40" s="23">
        <f>80433.6</f>
        <v>80433.600000000006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157811000.26</f>
        <v>157811000.25999999</v>
      </c>
      <c r="C42" s="24">
        <f>157811000.26</f>
        <v>157811000.25999999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157730566.66</f>
        <v>157730566.66</v>
      </c>
      <c r="K42" s="24">
        <f>0</f>
        <v>0</v>
      </c>
      <c r="L42" s="24">
        <f>80433.6</f>
        <v>80433.600000000006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1843417068.13</f>
        <v>1843417068.1300001</v>
      </c>
      <c r="C43" s="23">
        <f>1843402968.91</f>
        <v>1843402968.9100001</v>
      </c>
      <c r="D43" s="23">
        <f>1049198449.55</f>
        <v>1049198449.55</v>
      </c>
      <c r="E43" s="23">
        <f>312226.25</f>
        <v>312226.25</v>
      </c>
      <c r="F43" s="23">
        <f>4669367</f>
        <v>4669367</v>
      </c>
      <c r="G43" s="23">
        <f>1039435679.3</f>
        <v>1039435679.3</v>
      </c>
      <c r="H43" s="23">
        <f>4781177</f>
        <v>4781177</v>
      </c>
      <c r="I43" s="23">
        <f>0</f>
        <v>0</v>
      </c>
      <c r="J43" s="23">
        <f>581617.63</f>
        <v>581617.63</v>
      </c>
      <c r="K43" s="23">
        <f>2</f>
        <v>2</v>
      </c>
      <c r="L43" s="23">
        <f>467333484.59</f>
        <v>467333484.58999997</v>
      </c>
      <c r="M43" s="23">
        <f>288587976.08</f>
        <v>288587976.07999998</v>
      </c>
      <c r="N43" s="23">
        <f>37701439.06</f>
        <v>37701439.060000002</v>
      </c>
      <c r="O43" s="23">
        <f>14099.22</f>
        <v>14099.22</v>
      </c>
      <c r="P43" s="23">
        <f>14099.22</f>
        <v>14099.22</v>
      </c>
      <c r="Q43" s="23">
        <f>0</f>
        <v>0</v>
      </c>
    </row>
    <row r="44" spans="1:17" ht="32.25" customHeight="1" x14ac:dyDescent="0.2">
      <c r="A44" s="18" t="s">
        <v>31</v>
      </c>
      <c r="B44" s="24">
        <f>194102303.38</f>
        <v>194102303.38</v>
      </c>
      <c r="C44" s="24">
        <f>194102303.38</f>
        <v>194102303.38</v>
      </c>
      <c r="D44" s="24">
        <f>103918423.58</f>
        <v>103918423.58</v>
      </c>
      <c r="E44" s="24">
        <f>125374.72</f>
        <v>125374.72</v>
      </c>
      <c r="F44" s="24">
        <f>4500000</f>
        <v>4500000</v>
      </c>
      <c r="G44" s="24">
        <f>94514455.86</f>
        <v>94514455.859999999</v>
      </c>
      <c r="H44" s="24">
        <f>4778593</f>
        <v>4778593</v>
      </c>
      <c r="I44" s="24">
        <f>0</f>
        <v>0</v>
      </c>
      <c r="J44" s="24">
        <f>180000</f>
        <v>180000</v>
      </c>
      <c r="K44" s="24">
        <f>2</f>
        <v>2</v>
      </c>
      <c r="L44" s="24">
        <f>57650654.15</f>
        <v>57650654.149999999</v>
      </c>
      <c r="M44" s="24">
        <f>22624880.03</f>
        <v>22624880.030000001</v>
      </c>
      <c r="N44" s="24">
        <f>9728343.62</f>
        <v>9728343.6199999992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1649314764.75</f>
        <v>1649314764.75</v>
      </c>
      <c r="C45" s="24">
        <f>1649300665.53</f>
        <v>1649300665.53</v>
      </c>
      <c r="D45" s="24">
        <f>945280025.97</f>
        <v>945280025.97000003</v>
      </c>
      <c r="E45" s="24">
        <f>186851.53</f>
        <v>186851.53</v>
      </c>
      <c r="F45" s="24">
        <f>169367</f>
        <v>169367</v>
      </c>
      <c r="G45" s="24">
        <f>944921223.44</f>
        <v>944921223.44000006</v>
      </c>
      <c r="H45" s="24">
        <f>2584</f>
        <v>2584</v>
      </c>
      <c r="I45" s="24">
        <f>0</f>
        <v>0</v>
      </c>
      <c r="J45" s="24">
        <f>401617.63</f>
        <v>401617.63</v>
      </c>
      <c r="K45" s="24">
        <f>0</f>
        <v>0</v>
      </c>
      <c r="L45" s="24">
        <f>409682830.44</f>
        <v>409682830.44</v>
      </c>
      <c r="M45" s="24">
        <f>265963096.05</f>
        <v>265963096.05000001</v>
      </c>
      <c r="N45" s="24">
        <f>27973095.44</f>
        <v>27973095.440000001</v>
      </c>
      <c r="O45" s="24">
        <f>14099.22</f>
        <v>14099.22</v>
      </c>
      <c r="P45" s="24">
        <f>14099.22</f>
        <v>14099.22</v>
      </c>
      <c r="Q45" s="24">
        <f>0</f>
        <v>0</v>
      </c>
    </row>
    <row r="46" spans="1:17" ht="35.25" customHeight="1" x14ac:dyDescent="0.2">
      <c r="A46" s="28" t="s">
        <v>42</v>
      </c>
      <c r="B46" s="23">
        <f>79122637034.16</f>
        <v>79122637034.160004</v>
      </c>
      <c r="C46" s="23">
        <f>79122373715.12</f>
        <v>79122373715.119995</v>
      </c>
      <c r="D46" s="23">
        <f>58424538.2</f>
        <v>58424538.200000003</v>
      </c>
      <c r="E46" s="23">
        <f>3812637.59</f>
        <v>3812637.59</v>
      </c>
      <c r="F46" s="23">
        <f>50890.16</f>
        <v>50890.16</v>
      </c>
      <c r="G46" s="23">
        <f>54561010.45</f>
        <v>54561010.450000003</v>
      </c>
      <c r="H46" s="23">
        <f>0</f>
        <v>0</v>
      </c>
      <c r="I46" s="23">
        <f>13132317.77</f>
        <v>13132317.77</v>
      </c>
      <c r="J46" s="23">
        <f>79020753640.53</f>
        <v>79020753640.529999</v>
      </c>
      <c r="K46" s="23">
        <f>364053.23</f>
        <v>364053.23</v>
      </c>
      <c r="L46" s="23">
        <f>29402599.4</f>
        <v>29402599.399999999</v>
      </c>
      <c r="M46" s="23">
        <f>201633.96</f>
        <v>201633.96</v>
      </c>
      <c r="N46" s="23">
        <f>94932.03</f>
        <v>94932.03</v>
      </c>
      <c r="O46" s="23">
        <f>263319.04</f>
        <v>263319.03999999998</v>
      </c>
      <c r="P46" s="23">
        <f>263319.04</f>
        <v>263319.03999999998</v>
      </c>
      <c r="Q46" s="23">
        <f>0</f>
        <v>0</v>
      </c>
    </row>
    <row r="47" spans="1:17" ht="28.5" customHeight="1" x14ac:dyDescent="0.2">
      <c r="A47" s="18" t="s">
        <v>33</v>
      </c>
      <c r="B47" s="24">
        <f>19199565.02</f>
        <v>19199565.02</v>
      </c>
      <c r="C47" s="24">
        <f>19199565.02</f>
        <v>19199565.02</v>
      </c>
      <c r="D47" s="24">
        <f>19199565.02</f>
        <v>19199565.02</v>
      </c>
      <c r="E47" s="24">
        <f>0</f>
        <v>0</v>
      </c>
      <c r="F47" s="24">
        <f>0</f>
        <v>0</v>
      </c>
      <c r="G47" s="24">
        <f>19199565.02</f>
        <v>19199565.02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50905586414.42</f>
        <v>50905586414.419998</v>
      </c>
      <c r="C48" s="24">
        <f>50905586414.42</f>
        <v>50905586414.419998</v>
      </c>
      <c r="D48" s="24">
        <f>35248894.42</f>
        <v>35248894.420000002</v>
      </c>
      <c r="E48" s="24">
        <f>88537.07</f>
        <v>88537.07</v>
      </c>
      <c r="F48" s="24">
        <f>3300</f>
        <v>3300</v>
      </c>
      <c r="G48" s="24">
        <f>35157057.35</f>
        <v>35157057.350000001</v>
      </c>
      <c r="H48" s="24">
        <f>0</f>
        <v>0</v>
      </c>
      <c r="I48" s="24">
        <f>13048533.24</f>
        <v>13048533.24</v>
      </c>
      <c r="J48" s="24">
        <f>50839157036.63</f>
        <v>50839157036.629997</v>
      </c>
      <c r="K48" s="24">
        <f>348127.66</f>
        <v>348127.66</v>
      </c>
      <c r="L48" s="24">
        <f>17680475.72</f>
        <v>17680475.719999999</v>
      </c>
      <c r="M48" s="24">
        <f>9063.63</f>
        <v>9063.6299999999992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28197851054.72</f>
        <v>28197851054.720001</v>
      </c>
      <c r="C49" s="24">
        <f>28197587735.68</f>
        <v>28197587735.68</v>
      </c>
      <c r="D49" s="24">
        <f>3976078.76</f>
        <v>3976078.76</v>
      </c>
      <c r="E49" s="24">
        <f>3724100.52</f>
        <v>3724100.52</v>
      </c>
      <c r="F49" s="24">
        <f>47590.16</f>
        <v>47590.16</v>
      </c>
      <c r="G49" s="24">
        <f>204388.08</f>
        <v>204388.08</v>
      </c>
      <c r="H49" s="24">
        <f>0</f>
        <v>0</v>
      </c>
      <c r="I49" s="24">
        <f>83784.53</f>
        <v>83784.53</v>
      </c>
      <c r="J49" s="24">
        <f>28181596603.9</f>
        <v>28181596603.900002</v>
      </c>
      <c r="K49" s="24">
        <f>15925.57</f>
        <v>15925.57</v>
      </c>
      <c r="L49" s="24">
        <f>11722123.68</f>
        <v>11722123.68</v>
      </c>
      <c r="M49" s="24">
        <f>192570.33</f>
        <v>192570.33</v>
      </c>
      <c r="N49" s="24">
        <f>648.91</f>
        <v>648.91</v>
      </c>
      <c r="O49" s="24">
        <f>263319.04</f>
        <v>263319.03999999998</v>
      </c>
      <c r="P49" s="24">
        <f>263319.04</f>
        <v>263319.03999999998</v>
      </c>
      <c r="Q49" s="24">
        <f>0</f>
        <v>0</v>
      </c>
    </row>
    <row r="50" spans="1:17" ht="35.25" customHeight="1" x14ac:dyDescent="0.2">
      <c r="A50" s="28" t="s">
        <v>43</v>
      </c>
      <c r="B50" s="23">
        <f>29939819707.94</f>
        <v>29939819707.939999</v>
      </c>
      <c r="C50" s="23">
        <f>29878000442.32</f>
        <v>29878000442.32</v>
      </c>
      <c r="D50" s="23">
        <f>469797635.61</f>
        <v>469797635.61000001</v>
      </c>
      <c r="E50" s="23">
        <f>131141249.93</f>
        <v>131141249.93000001</v>
      </c>
      <c r="F50" s="23">
        <f>14183794.91</f>
        <v>14183794.91</v>
      </c>
      <c r="G50" s="23">
        <f>322709313.12</f>
        <v>322709313.12</v>
      </c>
      <c r="H50" s="23">
        <f>1763277.65</f>
        <v>1763277.65</v>
      </c>
      <c r="I50" s="23">
        <f>53020</f>
        <v>53020</v>
      </c>
      <c r="J50" s="23">
        <f>9115950.31</f>
        <v>9115950.3100000005</v>
      </c>
      <c r="K50" s="23">
        <f>42849545.38</f>
        <v>42849545.380000003</v>
      </c>
      <c r="L50" s="23">
        <f>7682657775.82</f>
        <v>7682657775.8199997</v>
      </c>
      <c r="M50" s="23">
        <f>21460959725.04</f>
        <v>21460959725.040001</v>
      </c>
      <c r="N50" s="23">
        <f>212566790.16</f>
        <v>212566790.16</v>
      </c>
      <c r="O50" s="23">
        <f>61819265.62</f>
        <v>61819265.619999997</v>
      </c>
      <c r="P50" s="23">
        <f>35041494.07</f>
        <v>35041494.07</v>
      </c>
      <c r="Q50" s="23">
        <f>26777771.55</f>
        <v>26777771.550000001</v>
      </c>
    </row>
    <row r="51" spans="1:17" ht="28.5" customHeight="1" x14ac:dyDescent="0.2">
      <c r="A51" s="18" t="s">
        <v>36</v>
      </c>
      <c r="B51" s="24">
        <f>7125963436.35</f>
        <v>7125963436.3500004</v>
      </c>
      <c r="C51" s="24">
        <f>7120540388.39</f>
        <v>7120540388.3900003</v>
      </c>
      <c r="D51" s="24">
        <f>83605031.86</f>
        <v>83605031.859999999</v>
      </c>
      <c r="E51" s="24">
        <f>3443262.04</f>
        <v>3443262.04</v>
      </c>
      <c r="F51" s="24">
        <f>4075643.07</f>
        <v>4075643.07</v>
      </c>
      <c r="G51" s="24">
        <f>75203915.78</f>
        <v>75203915.780000001</v>
      </c>
      <c r="H51" s="24">
        <f>882210.97</f>
        <v>882210.97</v>
      </c>
      <c r="I51" s="24">
        <f>0</f>
        <v>0</v>
      </c>
      <c r="J51" s="24">
        <f>1270359.6</f>
        <v>1270359.6000000001</v>
      </c>
      <c r="K51" s="24">
        <f>1477151.1</f>
        <v>1477151.1</v>
      </c>
      <c r="L51" s="24">
        <f>1194114710.08</f>
        <v>1194114710.0799999</v>
      </c>
      <c r="M51" s="24">
        <f>5759665343.98</f>
        <v>5759665343.9799995</v>
      </c>
      <c r="N51" s="24">
        <f>80407791.77</f>
        <v>80407791.769999996</v>
      </c>
      <c r="O51" s="24">
        <f>5423047.96</f>
        <v>5423047.96</v>
      </c>
      <c r="P51" s="24">
        <f>940390.38</f>
        <v>940390.38</v>
      </c>
      <c r="Q51" s="24">
        <f>4482657.58</f>
        <v>4482657.58</v>
      </c>
    </row>
    <row r="52" spans="1:17" ht="28.5" customHeight="1" x14ac:dyDescent="0.2">
      <c r="A52" s="18" t="s">
        <v>37</v>
      </c>
      <c r="B52" s="24">
        <f>22813856271.59</f>
        <v>22813856271.59</v>
      </c>
      <c r="C52" s="24">
        <f>22757460053.93</f>
        <v>22757460053.93</v>
      </c>
      <c r="D52" s="24">
        <f>386192603.75</f>
        <v>386192603.75</v>
      </c>
      <c r="E52" s="24">
        <f>127697987.89</f>
        <v>127697987.89</v>
      </c>
      <c r="F52" s="24">
        <f>10108151.84</f>
        <v>10108151.84</v>
      </c>
      <c r="G52" s="24">
        <f>247505397.34</f>
        <v>247505397.34</v>
      </c>
      <c r="H52" s="24">
        <f>881066.68</f>
        <v>881066.68</v>
      </c>
      <c r="I52" s="24">
        <f>53020</f>
        <v>53020</v>
      </c>
      <c r="J52" s="24">
        <f>7845590.71</f>
        <v>7845590.71</v>
      </c>
      <c r="K52" s="24">
        <f>41372394.28</f>
        <v>41372394.280000001</v>
      </c>
      <c r="L52" s="24">
        <f>6488543065.74</f>
        <v>6488543065.7399998</v>
      </c>
      <c r="M52" s="24">
        <f>15701294381.06</f>
        <v>15701294381.059999</v>
      </c>
      <c r="N52" s="24">
        <f>132158998.39</f>
        <v>132158998.39</v>
      </c>
      <c r="O52" s="24">
        <f>56396217.66</f>
        <v>56396217.659999996</v>
      </c>
      <c r="P52" s="24">
        <f>34101103.69</f>
        <v>34101103.689999998</v>
      </c>
      <c r="Q52" s="24">
        <f>22295113.97</f>
        <v>22295113.969999999</v>
      </c>
    </row>
    <row r="53" spans="1:17" ht="35.25" customHeight="1" x14ac:dyDescent="0.2">
      <c r="A53" s="28" t="s">
        <v>44</v>
      </c>
      <c r="B53" s="23">
        <f>32205366957.58</f>
        <v>32205366957.580002</v>
      </c>
      <c r="C53" s="23">
        <f>32176091445.75</f>
        <v>32176091445.75</v>
      </c>
      <c r="D53" s="23">
        <f>2086836574.43</f>
        <v>2086836574.4300001</v>
      </c>
      <c r="E53" s="23">
        <f>790155169.79</f>
        <v>790155169.78999996</v>
      </c>
      <c r="F53" s="23">
        <f>145185408.77</f>
        <v>145185408.77000001</v>
      </c>
      <c r="G53" s="23">
        <f>1111629217.7</f>
        <v>1111629217.7</v>
      </c>
      <c r="H53" s="23">
        <f>39866778.17</f>
        <v>39866778.170000002</v>
      </c>
      <c r="I53" s="23">
        <f>3347592.11</f>
        <v>3347592.11</v>
      </c>
      <c r="J53" s="23">
        <f>38068920.9</f>
        <v>38068920.899999999</v>
      </c>
      <c r="K53" s="23">
        <f>167133074.57</f>
        <v>167133074.56999999</v>
      </c>
      <c r="L53" s="23">
        <f>18943572728.2</f>
        <v>18943572728.200001</v>
      </c>
      <c r="M53" s="23">
        <f>10412303286.63</f>
        <v>10412303286.629999</v>
      </c>
      <c r="N53" s="23">
        <f>524829268.91</f>
        <v>524829268.91000003</v>
      </c>
      <c r="O53" s="23">
        <f>29275511.83</f>
        <v>29275511.829999998</v>
      </c>
      <c r="P53" s="23">
        <f>21626115.2</f>
        <v>21626115.199999999</v>
      </c>
      <c r="Q53" s="23">
        <f>7649396.63</f>
        <v>7649396.6299999999</v>
      </c>
    </row>
    <row r="54" spans="1:17" ht="28.5" customHeight="1" x14ac:dyDescent="0.2">
      <c r="A54" s="18" t="s">
        <v>38</v>
      </c>
      <c r="B54" s="24">
        <f>2057112904.37</f>
        <v>2057112904.3699999</v>
      </c>
      <c r="C54" s="24">
        <f>2056263984.23</f>
        <v>2056263984.23</v>
      </c>
      <c r="D54" s="24">
        <f>189937811.35</f>
        <v>189937811.34999999</v>
      </c>
      <c r="E54" s="24">
        <f>28175371.01</f>
        <v>28175371.010000002</v>
      </c>
      <c r="F54" s="24">
        <f>3121593.7</f>
        <v>3121593.7</v>
      </c>
      <c r="G54" s="24">
        <f>141240434.1</f>
        <v>141240434.09999999</v>
      </c>
      <c r="H54" s="24">
        <f>17400412.54</f>
        <v>17400412.539999999</v>
      </c>
      <c r="I54" s="24">
        <f>0</f>
        <v>0</v>
      </c>
      <c r="J54" s="24">
        <f>1184328.61</f>
        <v>1184328.6100000001</v>
      </c>
      <c r="K54" s="24">
        <f>1800768.91</f>
        <v>1800768.91</v>
      </c>
      <c r="L54" s="24">
        <f>788788823.6</f>
        <v>788788823.60000002</v>
      </c>
      <c r="M54" s="24">
        <f>1039961849.06</f>
        <v>1039961849.0599999</v>
      </c>
      <c r="N54" s="24">
        <f>34590402.7</f>
        <v>34590402.700000003</v>
      </c>
      <c r="O54" s="24">
        <f>848920.14</f>
        <v>848920.14</v>
      </c>
      <c r="P54" s="24">
        <f>500675.94</f>
        <v>500675.94</v>
      </c>
      <c r="Q54" s="24">
        <f>348244.2</f>
        <v>348244.2</v>
      </c>
    </row>
    <row r="55" spans="1:17" ht="47.25" customHeight="1" x14ac:dyDescent="0.2">
      <c r="A55" s="18" t="s">
        <v>78</v>
      </c>
      <c r="B55" s="24">
        <f>18437431326.63</f>
        <v>18437431326.630001</v>
      </c>
      <c r="C55" s="24">
        <f>18418124591.57</f>
        <v>18418124591.57</v>
      </c>
      <c r="D55" s="24">
        <f>712488964.07</f>
        <v>712488964.07000005</v>
      </c>
      <c r="E55" s="24">
        <f>255108875.52</f>
        <v>255108875.52000001</v>
      </c>
      <c r="F55" s="24">
        <f>98102051.05</f>
        <v>98102051.049999997</v>
      </c>
      <c r="G55" s="24">
        <f>351659733.23</f>
        <v>351659733.23000002</v>
      </c>
      <c r="H55" s="24">
        <f>7618304.27</f>
        <v>7618304.2699999996</v>
      </c>
      <c r="I55" s="24">
        <f>3180085.8</f>
        <v>3180085.8</v>
      </c>
      <c r="J55" s="24">
        <f>23482525.75</f>
        <v>23482525.75</v>
      </c>
      <c r="K55" s="24">
        <f>77694808.01</f>
        <v>77694808.010000005</v>
      </c>
      <c r="L55" s="24">
        <f>12720830876.6</f>
        <v>12720830876.6</v>
      </c>
      <c r="M55" s="24">
        <f>4773126901.41</f>
        <v>4773126901.4099998</v>
      </c>
      <c r="N55" s="24">
        <f>107320429.93</f>
        <v>107320429.93000001</v>
      </c>
      <c r="O55" s="24">
        <f>19306735.06</f>
        <v>19306735.059999999</v>
      </c>
      <c r="P55" s="24">
        <f>16071935.23</f>
        <v>16071935.23</v>
      </c>
      <c r="Q55" s="24">
        <f>3234799.83</f>
        <v>3234799.83</v>
      </c>
    </row>
    <row r="56" spans="1:17" ht="35.25" customHeight="1" x14ac:dyDescent="0.2">
      <c r="A56" s="18" t="s">
        <v>39</v>
      </c>
      <c r="B56" s="24">
        <f>11710822726.58</f>
        <v>11710822726.58</v>
      </c>
      <c r="C56" s="24">
        <f>11701702869.95</f>
        <v>11701702869.950001</v>
      </c>
      <c r="D56" s="24">
        <f>1184409799.01</f>
        <v>1184409799.01</v>
      </c>
      <c r="E56" s="24">
        <f>506870923.26</f>
        <v>506870923.25999999</v>
      </c>
      <c r="F56" s="24">
        <f>43961764.02</f>
        <v>43961764.020000003</v>
      </c>
      <c r="G56" s="24">
        <f>618729050.37</f>
        <v>618729050.37</v>
      </c>
      <c r="H56" s="24">
        <f>14848061.36</f>
        <v>14848061.359999999</v>
      </c>
      <c r="I56" s="24">
        <f>167506.31</f>
        <v>167506.31</v>
      </c>
      <c r="J56" s="24">
        <f>13402066.54</f>
        <v>13402066.539999999</v>
      </c>
      <c r="K56" s="24">
        <f>87637497.65</f>
        <v>87637497.650000006</v>
      </c>
      <c r="L56" s="24">
        <f>5433953028</f>
        <v>5433953028</v>
      </c>
      <c r="M56" s="24">
        <f>4599214536.16</f>
        <v>4599214536.1599998</v>
      </c>
      <c r="N56" s="24">
        <f>382918436.28</f>
        <v>382918436.27999997</v>
      </c>
      <c r="O56" s="24">
        <f>9119856.63</f>
        <v>9119856.6300000008</v>
      </c>
      <c r="P56" s="24">
        <f>5053504.03</f>
        <v>5053504.03</v>
      </c>
      <c r="Q56" s="24">
        <f>4066352.6</f>
        <v>4066352.6</v>
      </c>
    </row>
    <row r="67" spans="1:13" ht="75" customHeight="1" x14ac:dyDescent="0.2">
      <c r="A67" s="37" t="str">
        <f>CONCATENATE("Informacja z wykonania budżetów jednostek samorządu terytorialnego za ",$C$94," ",$B$95," roku")</f>
        <v>Informacja z wykonania budżetów jednostek samorządu terytorialnego za II Kwartały 2025 roku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39" t="s">
        <v>2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1" spans="1:13" ht="13.5" customHeight="1" x14ac:dyDescent="0.2">
      <c r="B71" s="65" t="s">
        <v>0</v>
      </c>
      <c r="C71" s="66"/>
      <c r="D71" s="66"/>
      <c r="E71" s="67"/>
      <c r="F71" s="74" t="s">
        <v>68</v>
      </c>
      <c r="G71" s="44" t="s">
        <v>74</v>
      </c>
      <c r="H71" s="45"/>
      <c r="I71" s="45"/>
      <c r="J71" s="45"/>
      <c r="K71" s="45"/>
      <c r="L71" s="46"/>
    </row>
    <row r="72" spans="1:13" ht="13.5" customHeight="1" x14ac:dyDescent="0.2">
      <c r="B72" s="68"/>
      <c r="C72" s="69"/>
      <c r="D72" s="69"/>
      <c r="E72" s="70"/>
      <c r="F72" s="35"/>
      <c r="G72" s="29" t="s">
        <v>69</v>
      </c>
      <c r="H72" s="29" t="s">
        <v>66</v>
      </c>
      <c r="I72" s="29" t="s">
        <v>67</v>
      </c>
      <c r="J72" s="29" t="s">
        <v>70</v>
      </c>
      <c r="K72" s="29" t="s">
        <v>71</v>
      </c>
      <c r="L72" s="47" t="s">
        <v>72</v>
      </c>
    </row>
    <row r="73" spans="1:13" ht="13.5" customHeight="1" x14ac:dyDescent="0.2">
      <c r="B73" s="68"/>
      <c r="C73" s="69"/>
      <c r="D73" s="69"/>
      <c r="E73" s="70"/>
      <c r="F73" s="35"/>
      <c r="G73" s="29"/>
      <c r="H73" s="29"/>
      <c r="I73" s="29"/>
      <c r="J73" s="29"/>
      <c r="K73" s="29"/>
      <c r="L73" s="47"/>
    </row>
    <row r="74" spans="1:13" ht="11.25" customHeight="1" x14ac:dyDescent="0.2">
      <c r="B74" s="68"/>
      <c r="C74" s="69"/>
      <c r="D74" s="69"/>
      <c r="E74" s="70"/>
      <c r="F74" s="35"/>
      <c r="G74" s="29"/>
      <c r="H74" s="29"/>
      <c r="I74" s="29"/>
      <c r="J74" s="29"/>
      <c r="K74" s="29"/>
      <c r="L74" s="47"/>
    </row>
    <row r="75" spans="1:13" ht="20.25" customHeight="1" x14ac:dyDescent="0.2">
      <c r="B75" s="71"/>
      <c r="C75" s="72"/>
      <c r="D75" s="72"/>
      <c r="E75" s="73"/>
      <c r="F75" s="36"/>
      <c r="G75" s="29"/>
      <c r="H75" s="29"/>
      <c r="I75" s="29"/>
      <c r="J75" s="29"/>
      <c r="K75" s="29"/>
      <c r="L75" s="47"/>
    </row>
    <row r="76" spans="1:13" ht="13.5" customHeight="1" x14ac:dyDescent="0.2">
      <c r="B76" s="29">
        <v>1</v>
      </c>
      <c r="C76" s="29"/>
      <c r="D76" s="29"/>
      <c r="E76" s="29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5567317459.37</f>
        <v>5567317459.3699999</v>
      </c>
      <c r="G77" s="22">
        <f>2539384983.59</f>
        <v>2539384983.5900002</v>
      </c>
      <c r="H77" s="22">
        <f>64289536.87</f>
        <v>64289536.869999997</v>
      </c>
      <c r="I77" s="22">
        <f>189233223.24</f>
        <v>189233223.24000001</v>
      </c>
      <c r="J77" s="22">
        <f>2255767547.39</f>
        <v>2255767547.3899999</v>
      </c>
      <c r="K77" s="22">
        <f>30094676.09</f>
        <v>30094676.09</v>
      </c>
      <c r="L77" s="22">
        <f>3027932475.78</f>
        <v>3027932475.7800002</v>
      </c>
    </row>
    <row r="78" spans="1:13" ht="33.75" customHeight="1" x14ac:dyDescent="0.2">
      <c r="B78" s="58" t="s">
        <v>54</v>
      </c>
      <c r="C78" s="59"/>
      <c r="D78" s="59"/>
      <c r="E78" s="60"/>
      <c r="F78" s="25">
        <f>11638442.62</f>
        <v>11638442.619999999</v>
      </c>
      <c r="G78" s="25">
        <f>689495</f>
        <v>689495</v>
      </c>
      <c r="H78" s="25">
        <f>689495</f>
        <v>689495</v>
      </c>
      <c r="I78" s="25">
        <f>0</f>
        <v>0</v>
      </c>
      <c r="J78" s="25">
        <f>0</f>
        <v>0</v>
      </c>
      <c r="K78" s="25">
        <f>0</f>
        <v>0</v>
      </c>
      <c r="L78" s="25">
        <f>10948947.62</f>
        <v>10948947.619999999</v>
      </c>
    </row>
    <row r="79" spans="1:13" ht="33.75" customHeight="1" x14ac:dyDescent="0.2">
      <c r="B79" s="58" t="s">
        <v>55</v>
      </c>
      <c r="C79" s="59"/>
      <c r="D79" s="59"/>
      <c r="E79" s="60"/>
      <c r="F79" s="25">
        <f>110160794.17</f>
        <v>110160794.17</v>
      </c>
      <c r="G79" s="25">
        <f>44164268.31</f>
        <v>44164268.310000002</v>
      </c>
      <c r="H79" s="25">
        <f>47200</f>
        <v>47200</v>
      </c>
      <c r="I79" s="25">
        <f>2061487</f>
        <v>2061487</v>
      </c>
      <c r="J79" s="25">
        <f>41945995.27</f>
        <v>41945995.270000003</v>
      </c>
      <c r="K79" s="25">
        <f>109586.04</f>
        <v>109586.04</v>
      </c>
      <c r="L79" s="25">
        <f>65996525.86</f>
        <v>65996525.859999999</v>
      </c>
    </row>
    <row r="80" spans="1:13" ht="22.5" customHeight="1" x14ac:dyDescent="0.2">
      <c r="B80" s="58" t="s">
        <v>56</v>
      </c>
      <c r="C80" s="59"/>
      <c r="D80" s="59"/>
      <c r="E80" s="60"/>
      <c r="F80" s="25">
        <f>123512560.57</f>
        <v>123512560.56999999</v>
      </c>
      <c r="G80" s="25">
        <f>86858076.09</f>
        <v>86858076.090000004</v>
      </c>
      <c r="H80" s="25">
        <f>0</f>
        <v>0</v>
      </c>
      <c r="I80" s="25">
        <f>0</f>
        <v>0</v>
      </c>
      <c r="J80" s="25">
        <f>86858076.09</f>
        <v>86858076.090000004</v>
      </c>
      <c r="K80" s="25">
        <f>0</f>
        <v>0</v>
      </c>
      <c r="L80" s="25">
        <f>36654484.48</f>
        <v>36654484.479999997</v>
      </c>
    </row>
    <row r="81" spans="1:13" ht="33.75" customHeight="1" x14ac:dyDescent="0.2">
      <c r="B81" s="58" t="s">
        <v>57</v>
      </c>
      <c r="C81" s="59"/>
      <c r="D81" s="59"/>
      <c r="E81" s="60"/>
      <c r="F81" s="25">
        <f>21446721.55</f>
        <v>21446721.550000001</v>
      </c>
      <c r="G81" s="25">
        <f>21365564.33</f>
        <v>21365564.329999998</v>
      </c>
      <c r="H81" s="25">
        <f>0</f>
        <v>0</v>
      </c>
      <c r="I81" s="25">
        <f>0</f>
        <v>0</v>
      </c>
      <c r="J81" s="25">
        <f>21343282.58</f>
        <v>21343282.579999998</v>
      </c>
      <c r="K81" s="25">
        <f>22281.75</f>
        <v>22281.75</v>
      </c>
      <c r="L81" s="25">
        <f>81157.22</f>
        <v>81157.22</v>
      </c>
    </row>
    <row r="82" spans="1:13" ht="33.75" customHeight="1" x14ac:dyDescent="0.2">
      <c r="B82" s="58" t="s">
        <v>58</v>
      </c>
      <c r="C82" s="59"/>
      <c r="D82" s="59"/>
      <c r="E82" s="60"/>
      <c r="F82" s="25">
        <f>20117574.91</f>
        <v>20117574.91</v>
      </c>
      <c r="G82" s="25">
        <f>15270936.57</f>
        <v>15270936.57</v>
      </c>
      <c r="H82" s="25">
        <f>0</f>
        <v>0</v>
      </c>
      <c r="I82" s="25">
        <f>30000</f>
        <v>30000</v>
      </c>
      <c r="J82" s="25">
        <f>15240936.57</f>
        <v>15240936.57</v>
      </c>
      <c r="K82" s="25">
        <f>0</f>
        <v>0</v>
      </c>
      <c r="L82" s="25">
        <f>4846638.34</f>
        <v>4846638.34</v>
      </c>
    </row>
    <row r="83" spans="1:13" ht="33" customHeight="1" x14ac:dyDescent="0.2">
      <c r="B83" s="55" t="s">
        <v>59</v>
      </c>
      <c r="C83" s="56"/>
      <c r="D83" s="56"/>
      <c r="E83" s="57"/>
      <c r="F83" s="22">
        <f>424570.74</f>
        <v>424570.74</v>
      </c>
      <c r="G83" s="22">
        <f>228.56</f>
        <v>228.56</v>
      </c>
      <c r="H83" s="22">
        <f>0</f>
        <v>0</v>
      </c>
      <c r="I83" s="22">
        <f>0</f>
        <v>0</v>
      </c>
      <c r="J83" s="22">
        <f>228.56</f>
        <v>228.56</v>
      </c>
      <c r="K83" s="22">
        <f>0</f>
        <v>0</v>
      </c>
      <c r="L83" s="22">
        <f>424342.18</f>
        <v>424342.18</v>
      </c>
    </row>
    <row r="86" spans="1:13" ht="75" customHeight="1" x14ac:dyDescent="0.2">
      <c r="A86" s="37" t="str">
        <f>CONCATENATE("Informacja z wykonania budżetów jednostek samorządu terytorialnego za ",$C$94," ",$B$95," roku")</f>
        <v>Informacja z wykonania budżetów jednostek samorządu terytorialnego za II Kwartały 2025 roku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1:13" ht="13.5" customHeight="1" x14ac:dyDescent="0.2">
      <c r="B87" s="3"/>
    </row>
    <row r="88" spans="1:13" ht="13.5" customHeight="1" x14ac:dyDescent="0.2">
      <c r="B88" s="4"/>
      <c r="C88" s="52"/>
      <c r="D88" s="53"/>
      <c r="E88" s="53"/>
      <c r="F88" s="54"/>
      <c r="G88" s="52" t="s">
        <v>3</v>
      </c>
      <c r="H88" s="54"/>
      <c r="I88" s="52" t="s">
        <v>4</v>
      </c>
      <c r="J88" s="54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48">
        <f>2652</f>
        <v>2652</v>
      </c>
      <c r="H89" s="49"/>
      <c r="I89" s="50">
        <f>40047362560.46</f>
        <v>40047362560.459999</v>
      </c>
      <c r="J89" s="51"/>
      <c r="K89" s="6"/>
    </row>
    <row r="90" spans="1:13" ht="13.5" customHeight="1" x14ac:dyDescent="0.2">
      <c r="B90" s="5"/>
      <c r="C90" s="58" t="s">
        <v>6</v>
      </c>
      <c r="D90" s="59"/>
      <c r="E90" s="59"/>
      <c r="F90" s="60"/>
      <c r="G90" s="61">
        <f>157</f>
        <v>157</v>
      </c>
      <c r="H90" s="62"/>
      <c r="I90" s="63">
        <f>-508233891.77</f>
        <v>-508233891.76999998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48">
        <f>0</f>
        <v>0</v>
      </c>
      <c r="H91" s="49"/>
      <c r="I91" s="50">
        <f>0</f>
        <v>0</v>
      </c>
      <c r="J91" s="51"/>
      <c r="K91" s="6"/>
    </row>
    <row r="94" spans="1:13" ht="13.5" customHeight="1" x14ac:dyDescent="0.2">
      <c r="A94" s="7" t="s">
        <v>8</v>
      </c>
      <c r="B94" s="7">
        <f>2</f>
        <v>2</v>
      </c>
      <c r="C94" s="7" t="str">
        <f>IF(B94=1,"I Kwartał",IF(B94=2,"II Kwartały",IF(B94=3,"III Kwartały",IF(B94=4,"IV Kwartały","-"))))</f>
        <v>II Kwartały</v>
      </c>
    </row>
    <row r="95" spans="1:13" ht="13.5" customHeight="1" x14ac:dyDescent="0.2">
      <c r="A95" s="7" t="s">
        <v>9</v>
      </c>
      <c r="B95" s="7">
        <f>2025</f>
        <v>2025</v>
      </c>
      <c r="C95" s="8"/>
    </row>
    <row r="96" spans="1:13" ht="13.5" customHeight="1" x14ac:dyDescent="0.2">
      <c r="A96" s="7" t="s">
        <v>10</v>
      </c>
      <c r="B96" s="9" t="str">
        <f>"Aug 15 2025 12:00AM"</f>
        <v>Aug 15 2025 12:00AM</v>
      </c>
      <c r="C96" s="8"/>
    </row>
  </sheetData>
  <mergeCells count="75"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2025-08-21T11:42:56Z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2025-08-19T09:06:15.7007055+02:00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GRN-39b6adbf-f05b-4240-9112-8f49b447104e</vt:lpwstr>
  </property>
  <property fmtid="{D5CDD505-2E9C-101B-9397-08002B2CF9AE}" pid="7" name="MFHash">
    <vt:lpwstr>lFXUAkTmI77uTgAJbLwot8PaiXal4upCtmpecEa+cLM=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