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```ST7\Besti@\2023\I kwartał\Dane ostateczne 2023.05.26\Zbiorówki_2023_k1_20230526\"/>
    </mc:Choice>
  </mc:AlternateContent>
  <bookViews>
    <workbookView xWindow="240" yWindow="120" windowWidth="14220" windowHeight="8835"/>
  </bookViews>
  <sheets>
    <sheet name="zob_nal" sheetId="7" r:id="rId1"/>
  </sheets>
  <calcPr calcId="152511"/>
</workbook>
</file>

<file path=xl/calcChain.xml><?xml version="1.0" encoding="utf-8"?>
<calcChain xmlns="http://schemas.openxmlformats.org/spreadsheetml/2006/main">
  <c r="B96" i="7" l="1"/>
  <c r="B95" i="7"/>
  <c r="B94" i="7"/>
  <c r="I91" i="7"/>
  <c r="G91" i="7"/>
  <c r="I90" i="7"/>
  <c r="G90" i="7"/>
  <c r="I89" i="7"/>
  <c r="G89" i="7"/>
  <c r="L83" i="7"/>
  <c r="K83" i="7"/>
  <c r="J83" i="7"/>
  <c r="I83" i="7"/>
  <c r="H83" i="7"/>
  <c r="G83" i="7"/>
  <c r="F83" i="7"/>
  <c r="L82" i="7"/>
  <c r="K82" i="7"/>
  <c r="J82" i="7"/>
  <c r="I82" i="7"/>
  <c r="H82" i="7"/>
  <c r="G82" i="7"/>
  <c r="F82" i="7"/>
  <c r="L81" i="7"/>
  <c r="K81" i="7"/>
  <c r="J81" i="7"/>
  <c r="I81" i="7"/>
  <c r="H81" i="7"/>
  <c r="G81" i="7"/>
  <c r="F81" i="7"/>
  <c r="L80" i="7"/>
  <c r="K80" i="7"/>
  <c r="J80" i="7"/>
  <c r="I80" i="7"/>
  <c r="H80" i="7"/>
  <c r="G80" i="7"/>
  <c r="F80" i="7"/>
  <c r="L79" i="7"/>
  <c r="K79" i="7"/>
  <c r="J79" i="7"/>
  <c r="I79" i="7"/>
  <c r="H79" i="7"/>
  <c r="G79" i="7"/>
  <c r="F79" i="7"/>
  <c r="L78" i="7"/>
  <c r="K78" i="7"/>
  <c r="J78" i="7"/>
  <c r="I78" i="7"/>
  <c r="H78" i="7"/>
  <c r="G78" i="7"/>
  <c r="F78" i="7"/>
  <c r="L77" i="7"/>
  <c r="K77" i="7"/>
  <c r="J77" i="7"/>
  <c r="I77" i="7"/>
  <c r="H77" i="7"/>
  <c r="G77" i="7"/>
  <c r="F77" i="7"/>
  <c r="Q56" i="7"/>
  <c r="P56" i="7"/>
  <c r="O56" i="7"/>
  <c r="N56" i="7"/>
  <c r="M56" i="7"/>
  <c r="L56" i="7"/>
  <c r="K56" i="7"/>
  <c r="J56" i="7"/>
  <c r="I56" i="7"/>
  <c r="H56" i="7"/>
  <c r="G56" i="7"/>
  <c r="F56" i="7"/>
  <c r="E56" i="7"/>
  <c r="D56" i="7"/>
  <c r="C56" i="7"/>
  <c r="B56" i="7"/>
  <c r="Q55" i="7"/>
  <c r="P55" i="7"/>
  <c r="O55" i="7"/>
  <c r="N55" i="7"/>
  <c r="M55" i="7"/>
  <c r="L55" i="7"/>
  <c r="K55" i="7"/>
  <c r="J55" i="7"/>
  <c r="I55" i="7"/>
  <c r="H55" i="7"/>
  <c r="G55" i="7"/>
  <c r="F55" i="7"/>
  <c r="E55" i="7"/>
  <c r="D55" i="7"/>
  <c r="C55" i="7"/>
  <c r="B55" i="7"/>
  <c r="Q54" i="7"/>
  <c r="P54" i="7"/>
  <c r="O54" i="7"/>
  <c r="N54" i="7"/>
  <c r="M54" i="7"/>
  <c r="L54" i="7"/>
  <c r="K54" i="7"/>
  <c r="J54" i="7"/>
  <c r="I54" i="7"/>
  <c r="H54" i="7"/>
  <c r="G54" i="7"/>
  <c r="F54" i="7"/>
  <c r="E54" i="7"/>
  <c r="D54" i="7"/>
  <c r="C54" i="7"/>
  <c r="B54" i="7"/>
  <c r="Q53" i="7"/>
  <c r="P53" i="7"/>
  <c r="O53" i="7"/>
  <c r="N53" i="7"/>
  <c r="M53" i="7"/>
  <c r="L53" i="7"/>
  <c r="K53" i="7"/>
  <c r="J53" i="7"/>
  <c r="I53" i="7"/>
  <c r="H53" i="7"/>
  <c r="G53" i="7"/>
  <c r="F53" i="7"/>
  <c r="E53" i="7"/>
  <c r="D53" i="7"/>
  <c r="C53" i="7"/>
  <c r="B53" i="7"/>
  <c r="Q52" i="7"/>
  <c r="P52" i="7"/>
  <c r="O52" i="7"/>
  <c r="N52" i="7"/>
  <c r="M52" i="7"/>
  <c r="L52" i="7"/>
  <c r="K52" i="7"/>
  <c r="J52" i="7"/>
  <c r="I52" i="7"/>
  <c r="H52" i="7"/>
  <c r="G52" i="7"/>
  <c r="F52" i="7"/>
  <c r="E52" i="7"/>
  <c r="D52" i="7"/>
  <c r="C52" i="7"/>
  <c r="B52" i="7"/>
  <c r="Q51" i="7"/>
  <c r="P51" i="7"/>
  <c r="O51" i="7"/>
  <c r="N51" i="7"/>
  <c r="M51" i="7"/>
  <c r="L51" i="7"/>
  <c r="K51" i="7"/>
  <c r="J51" i="7"/>
  <c r="I51" i="7"/>
  <c r="H51" i="7"/>
  <c r="G51" i="7"/>
  <c r="F51" i="7"/>
  <c r="E51" i="7"/>
  <c r="D51" i="7"/>
  <c r="C51" i="7"/>
  <c r="B51" i="7"/>
  <c r="Q50" i="7"/>
  <c r="P50" i="7"/>
  <c r="O50" i="7"/>
  <c r="N50" i="7"/>
  <c r="M50" i="7"/>
  <c r="L50" i="7"/>
  <c r="K50" i="7"/>
  <c r="J50" i="7"/>
  <c r="I50" i="7"/>
  <c r="H50" i="7"/>
  <c r="G50" i="7"/>
  <c r="F50" i="7"/>
  <c r="E50" i="7"/>
  <c r="D50" i="7"/>
  <c r="C50" i="7"/>
  <c r="B50" i="7"/>
  <c r="Q49" i="7"/>
  <c r="P49" i="7"/>
  <c r="O49" i="7"/>
  <c r="N49" i="7"/>
  <c r="M49" i="7"/>
  <c r="L49" i="7"/>
  <c r="K49" i="7"/>
  <c r="J49" i="7"/>
  <c r="I49" i="7"/>
  <c r="H49" i="7"/>
  <c r="G49" i="7"/>
  <c r="F49" i="7"/>
  <c r="E49" i="7"/>
  <c r="D49" i="7"/>
  <c r="C49" i="7"/>
  <c r="B49" i="7"/>
  <c r="Q48" i="7"/>
  <c r="P48" i="7"/>
  <c r="O48" i="7"/>
  <c r="N48" i="7"/>
  <c r="M48" i="7"/>
  <c r="L48" i="7"/>
  <c r="K48" i="7"/>
  <c r="J48" i="7"/>
  <c r="I48" i="7"/>
  <c r="H48" i="7"/>
  <c r="G48" i="7"/>
  <c r="F48" i="7"/>
  <c r="E48" i="7"/>
  <c r="D48" i="7"/>
  <c r="C48" i="7"/>
  <c r="B48" i="7"/>
  <c r="Q47" i="7"/>
  <c r="P47" i="7"/>
  <c r="O47" i="7"/>
  <c r="N47" i="7"/>
  <c r="M47" i="7"/>
  <c r="L47" i="7"/>
  <c r="K47" i="7"/>
  <c r="J47" i="7"/>
  <c r="I47" i="7"/>
  <c r="H47" i="7"/>
  <c r="G47" i="7"/>
  <c r="F47" i="7"/>
  <c r="E47" i="7"/>
  <c r="D47" i="7"/>
  <c r="C47" i="7"/>
  <c r="B47" i="7"/>
  <c r="Q46" i="7"/>
  <c r="P46" i="7"/>
  <c r="O46" i="7"/>
  <c r="N46" i="7"/>
  <c r="M46" i="7"/>
  <c r="L46" i="7"/>
  <c r="K46" i="7"/>
  <c r="J46" i="7"/>
  <c r="I46" i="7"/>
  <c r="H46" i="7"/>
  <c r="G46" i="7"/>
  <c r="F46" i="7"/>
  <c r="E46" i="7"/>
  <c r="D46" i="7"/>
  <c r="C46" i="7"/>
  <c r="B46" i="7"/>
  <c r="Q45" i="7"/>
  <c r="P45" i="7"/>
  <c r="O45" i="7"/>
  <c r="N45" i="7"/>
  <c r="M45" i="7"/>
  <c r="L45" i="7"/>
  <c r="K45" i="7"/>
  <c r="J45" i="7"/>
  <c r="I45" i="7"/>
  <c r="H45" i="7"/>
  <c r="G45" i="7"/>
  <c r="F45" i="7"/>
  <c r="E45" i="7"/>
  <c r="D45" i="7"/>
  <c r="C45" i="7"/>
  <c r="B45" i="7"/>
  <c r="Q44" i="7"/>
  <c r="P44" i="7"/>
  <c r="O44" i="7"/>
  <c r="N44" i="7"/>
  <c r="M44" i="7"/>
  <c r="L44" i="7"/>
  <c r="K44" i="7"/>
  <c r="J44" i="7"/>
  <c r="I44" i="7"/>
  <c r="H44" i="7"/>
  <c r="G44" i="7"/>
  <c r="F44" i="7"/>
  <c r="E44" i="7"/>
  <c r="D44" i="7"/>
  <c r="C44" i="7"/>
  <c r="B44" i="7"/>
  <c r="Q43" i="7"/>
  <c r="P43" i="7"/>
  <c r="O43" i="7"/>
  <c r="N43" i="7"/>
  <c r="M43" i="7"/>
  <c r="L43" i="7"/>
  <c r="K43" i="7"/>
  <c r="J43" i="7"/>
  <c r="I43" i="7"/>
  <c r="H43" i="7"/>
  <c r="G43" i="7"/>
  <c r="F43" i="7"/>
  <c r="E43" i="7"/>
  <c r="D43" i="7"/>
  <c r="C43" i="7"/>
  <c r="B43" i="7"/>
  <c r="Q42" i="7"/>
  <c r="P42" i="7"/>
  <c r="O42" i="7"/>
  <c r="N42" i="7"/>
  <c r="M42" i="7"/>
  <c r="L42" i="7"/>
  <c r="K42" i="7"/>
  <c r="J42" i="7"/>
  <c r="I42" i="7"/>
  <c r="H42" i="7"/>
  <c r="G42" i="7"/>
  <c r="F42" i="7"/>
  <c r="E42" i="7"/>
  <c r="D42" i="7"/>
  <c r="C42" i="7"/>
  <c r="B42" i="7"/>
  <c r="Q41" i="7"/>
  <c r="P41" i="7"/>
  <c r="O41" i="7"/>
  <c r="N41" i="7"/>
  <c r="M41" i="7"/>
  <c r="L41" i="7"/>
  <c r="K41" i="7"/>
  <c r="J41" i="7"/>
  <c r="I41" i="7"/>
  <c r="H41" i="7"/>
  <c r="G41" i="7"/>
  <c r="F41" i="7"/>
  <c r="E41" i="7"/>
  <c r="D41" i="7"/>
  <c r="C41" i="7"/>
  <c r="B41" i="7"/>
  <c r="Q40" i="7"/>
  <c r="P40" i="7"/>
  <c r="O40" i="7"/>
  <c r="N40" i="7"/>
  <c r="M40" i="7"/>
  <c r="L40" i="7"/>
  <c r="K40" i="7"/>
  <c r="J40" i="7"/>
  <c r="I40" i="7"/>
  <c r="H40" i="7"/>
  <c r="G40" i="7"/>
  <c r="F40" i="7"/>
  <c r="E40" i="7"/>
  <c r="D40" i="7"/>
  <c r="C40" i="7"/>
  <c r="B40" i="7"/>
  <c r="Q23" i="7"/>
  <c r="P23" i="7"/>
  <c r="O23" i="7"/>
  <c r="N23" i="7"/>
  <c r="M23" i="7"/>
  <c r="L23" i="7"/>
  <c r="K23" i="7"/>
  <c r="J23" i="7"/>
  <c r="I23" i="7"/>
  <c r="H23" i="7"/>
  <c r="G23" i="7"/>
  <c r="F23" i="7"/>
  <c r="E23" i="7"/>
  <c r="D23" i="7"/>
  <c r="C23" i="7"/>
  <c r="B23" i="7"/>
  <c r="Q22" i="7"/>
  <c r="P22" i="7"/>
  <c r="O22" i="7"/>
  <c r="N22" i="7"/>
  <c r="M22" i="7"/>
  <c r="L22" i="7"/>
  <c r="K22" i="7"/>
  <c r="J22" i="7"/>
  <c r="I22" i="7"/>
  <c r="H22" i="7"/>
  <c r="G22" i="7"/>
  <c r="F22" i="7"/>
  <c r="E22" i="7"/>
  <c r="D22" i="7"/>
  <c r="C22" i="7"/>
  <c r="B22" i="7"/>
  <c r="Q21" i="7"/>
  <c r="P21" i="7"/>
  <c r="O21" i="7"/>
  <c r="N21" i="7"/>
  <c r="M21" i="7"/>
  <c r="L21" i="7"/>
  <c r="K21" i="7"/>
  <c r="J21" i="7"/>
  <c r="I21" i="7"/>
  <c r="H21" i="7"/>
  <c r="G21" i="7"/>
  <c r="F21" i="7"/>
  <c r="E21" i="7"/>
  <c r="D21" i="7"/>
  <c r="C21" i="7"/>
  <c r="B21" i="7"/>
  <c r="Q20" i="7"/>
  <c r="P20" i="7"/>
  <c r="O20" i="7"/>
  <c r="N20" i="7"/>
  <c r="M20" i="7"/>
  <c r="L20" i="7"/>
  <c r="K20" i="7"/>
  <c r="J20" i="7"/>
  <c r="I20" i="7"/>
  <c r="H20" i="7"/>
  <c r="G20" i="7"/>
  <c r="F20" i="7"/>
  <c r="E20" i="7"/>
  <c r="D20" i="7"/>
  <c r="C20" i="7"/>
  <c r="B20" i="7"/>
  <c r="Q19" i="7"/>
  <c r="P19" i="7"/>
  <c r="O19" i="7"/>
  <c r="N19" i="7"/>
  <c r="M19" i="7"/>
  <c r="L19" i="7"/>
  <c r="K19" i="7"/>
  <c r="J19" i="7"/>
  <c r="I19" i="7"/>
  <c r="H19" i="7"/>
  <c r="G19" i="7"/>
  <c r="F19" i="7"/>
  <c r="E19" i="7"/>
  <c r="D19" i="7"/>
  <c r="C19" i="7"/>
  <c r="B19" i="7"/>
  <c r="Q18" i="7"/>
  <c r="P18" i="7"/>
  <c r="O18" i="7"/>
  <c r="N18" i="7"/>
  <c r="M18" i="7"/>
  <c r="L18" i="7"/>
  <c r="K18" i="7"/>
  <c r="J18" i="7"/>
  <c r="I18" i="7"/>
  <c r="H18" i="7"/>
  <c r="G18" i="7"/>
  <c r="F18" i="7"/>
  <c r="E18" i="7"/>
  <c r="D18" i="7"/>
  <c r="C18" i="7"/>
  <c r="B18" i="7"/>
  <c r="Q17" i="7"/>
  <c r="P17" i="7"/>
  <c r="O17" i="7"/>
  <c r="N17" i="7"/>
  <c r="M17" i="7"/>
  <c r="L17" i="7"/>
  <c r="K17" i="7"/>
  <c r="J17" i="7"/>
  <c r="I17" i="7"/>
  <c r="H17" i="7"/>
  <c r="G17" i="7"/>
  <c r="F17" i="7"/>
  <c r="E17" i="7"/>
  <c r="D17" i="7"/>
  <c r="C17" i="7"/>
  <c r="B17" i="7"/>
  <c r="Q16" i="7"/>
  <c r="P16" i="7"/>
  <c r="O16" i="7"/>
  <c r="N16" i="7"/>
  <c r="M16" i="7"/>
  <c r="L16" i="7"/>
  <c r="K16" i="7"/>
  <c r="J16" i="7"/>
  <c r="I16" i="7"/>
  <c r="H16" i="7"/>
  <c r="G16" i="7"/>
  <c r="F16" i="7"/>
  <c r="E16" i="7"/>
  <c r="D16" i="7"/>
  <c r="C16" i="7"/>
  <c r="B16" i="7"/>
  <c r="Q15" i="7"/>
  <c r="P15" i="7"/>
  <c r="O15" i="7"/>
  <c r="N15" i="7"/>
  <c r="M15" i="7"/>
  <c r="L15" i="7"/>
  <c r="K15" i="7"/>
  <c r="J15" i="7"/>
  <c r="I15" i="7"/>
  <c r="H15" i="7"/>
  <c r="G15" i="7"/>
  <c r="F15" i="7"/>
  <c r="E15" i="7"/>
  <c r="D15" i="7"/>
  <c r="C15" i="7"/>
  <c r="B15" i="7"/>
  <c r="Q14" i="7"/>
  <c r="P14" i="7"/>
  <c r="O14" i="7"/>
  <c r="N14" i="7"/>
  <c r="M14" i="7"/>
  <c r="L14" i="7"/>
  <c r="K14" i="7"/>
  <c r="J14" i="7"/>
  <c r="I14" i="7"/>
  <c r="H14" i="7"/>
  <c r="G14" i="7"/>
  <c r="F14" i="7"/>
  <c r="E14" i="7"/>
  <c r="D14" i="7"/>
  <c r="C14" i="7"/>
  <c r="B14" i="7"/>
  <c r="Q13" i="7"/>
  <c r="P13" i="7"/>
  <c r="O13" i="7"/>
  <c r="N13" i="7"/>
  <c r="M13" i="7"/>
  <c r="L13" i="7"/>
  <c r="K13" i="7"/>
  <c r="J13" i="7"/>
  <c r="I13" i="7"/>
  <c r="H13" i="7"/>
  <c r="G13" i="7"/>
  <c r="F13" i="7"/>
  <c r="E13" i="7"/>
  <c r="D13" i="7"/>
  <c r="C13" i="7"/>
  <c r="B13" i="7"/>
  <c r="C94" i="7"/>
  <c r="A86" i="7" s="1"/>
  <c r="A1" i="7" l="1"/>
  <c r="A30" i="7"/>
  <c r="A67" i="7"/>
</calcChain>
</file>

<file path=xl/sharedStrings.xml><?xml version="1.0" encoding="utf-8"?>
<sst xmlns="http://schemas.openxmlformats.org/spreadsheetml/2006/main" count="93" uniqueCount="79">
  <si>
    <t>Wyszczególnienie</t>
  </si>
  <si>
    <t>banku centralnego</t>
  </si>
  <si>
    <t>Poręczenia i gwarancje</t>
  </si>
  <si>
    <t>Liczba jednostek</t>
  </si>
  <si>
    <t>Wykonanie</t>
  </si>
  <si>
    <t>JST, których budżety zamknęły się nadwyżką</t>
  </si>
  <si>
    <t>JST, których budżety zamknęły się deficytem</t>
  </si>
  <si>
    <t>JST z budżetami zrównoważonymi</t>
  </si>
  <si>
    <t>kwartał</t>
  </si>
  <si>
    <t>rok</t>
  </si>
  <si>
    <t>stanNa</t>
  </si>
  <si>
    <t>A. Należności oraz wybrane aktywa finansowe</t>
  </si>
  <si>
    <t>kwota 
należności
ogółem
(kol. 3+15)</t>
  </si>
  <si>
    <t>ogółem 
(kol 4+9+10+11 +12+13+14)</t>
  </si>
  <si>
    <t>dłużnicy  krajowi</t>
  </si>
  <si>
    <t>sektor 
finansów 
publicznych 
ogółem 
(kol 5+6+7+8)</t>
  </si>
  <si>
    <t>banki</t>
  </si>
  <si>
    <t>pozostałe 
krajowe 
instytucje 
finansowe</t>
  </si>
  <si>
    <t>przedsiębiorstwa 
niefinansowe</t>
  </si>
  <si>
    <t>gospodarstwa 
domowe</t>
  </si>
  <si>
    <t>instytucje 
niekomercyjne 
działające
 na rzecz
gospodarstw
domowych</t>
  </si>
  <si>
    <t>ogółem
(kol. 16+17)</t>
  </si>
  <si>
    <t>podmioty 
należące 
do strefy 
euro</t>
  </si>
  <si>
    <t>pozostałe 
podmioty 
zagraniczne</t>
  </si>
  <si>
    <t xml:space="preserve">      dłużnicy zagraniczni</t>
  </si>
  <si>
    <t xml:space="preserve">grupa I </t>
  </si>
  <si>
    <t xml:space="preserve">grupa II </t>
  </si>
  <si>
    <t>grupa III</t>
  </si>
  <si>
    <t>grupa IV</t>
  </si>
  <si>
    <t>N1.1 krótkotermionowe</t>
  </si>
  <si>
    <t>N1.2  długoterminowe</t>
  </si>
  <si>
    <t>N2.1 krótkotermionowe</t>
  </si>
  <si>
    <t>N2.2 długoterminowe</t>
  </si>
  <si>
    <t>N3.1 gotówka</t>
  </si>
  <si>
    <t>N3.2 depozyty na żądanie</t>
  </si>
  <si>
    <t>N3.3 depozyty terminowe</t>
  </si>
  <si>
    <t>N4.1 z tytułu dostaw towarów i usług</t>
  </si>
  <si>
    <t>N4.2 pozostałe</t>
  </si>
  <si>
    <t>N5.1 z tytułu dostaw towarów i usług</t>
  </si>
  <si>
    <t>N5.3 z tytułu innych niż wymienione powyżej</t>
  </si>
  <si>
    <t>N1 papiery wartościowe (N1.1+N1.2)</t>
  </si>
  <si>
    <t>N2  pożyczki (N2.1+N2.2)</t>
  </si>
  <si>
    <t>N3 gotówka i depozyty (N3.1+N3.2+N3.3)</t>
  </si>
  <si>
    <t>N4 należności wymagalne (N4.1+N4.2)</t>
  </si>
  <si>
    <t>N5 pozostałe należności  (N5.1+N5.2+N5.3)</t>
  </si>
  <si>
    <t>E  ZOBOWIĄZANIA WG TYTUŁÓW 
    DŁUŻNYCH (E1+E2+E3+E4)</t>
  </si>
  <si>
    <t>E1.1 krótkotermionowe</t>
  </si>
  <si>
    <t>E1.2 długoterminowe</t>
  </si>
  <si>
    <t>E2.1 krótkotermionowe</t>
  </si>
  <si>
    <t>E2.2 długoterminowe</t>
  </si>
  <si>
    <t>E3 przyjęte depozyty</t>
  </si>
  <si>
    <t>E4.1 z tytułu dostaw towarów i usług</t>
  </si>
  <si>
    <t>E4.2 pozostałe</t>
  </si>
  <si>
    <t>F1 wartość nominalna niewymagalnych zobowiązań z tytułu udzielonych poręczeń i gwarancji na koniec okresu sprawozdawczego</t>
  </si>
  <si>
    <t>F2 wartość nominalna wymagalnych zobowiązań z tytułu udzielonych poręczeń i gwarancji na koniec okresu sprawozdawczego</t>
  </si>
  <si>
    <t>F3 wartość poręczeń i gwarancji udzielonych w okresie sprawozdawczym</t>
  </si>
  <si>
    <t>B1 należność główna z tytułu udzielonych gwarancji i poręczeń</t>
  </si>
  <si>
    <t>B2 odsetki ustawowe od nalezności głównej z tytułu udzielonych gwarancji i poręczeń</t>
  </si>
  <si>
    <t>B3 wartość spłat dokonanych w okresie sprawozdawczym za dłużników z tytułu udzielonych poręczeń i gwarancji (wydatki)</t>
  </si>
  <si>
    <t>B4 kwota odzyskanych wierzytelności w okresie sprawozdawczym od dłużników z tytułu poręczeń lub gwarancji (dochody)</t>
  </si>
  <si>
    <t>Zobowiązania według tytułów dłużnych (wg wartości nominalnej)</t>
  </si>
  <si>
    <t>kwota 
zadłużenia
ogółem
(kol. 3+15)</t>
  </si>
  <si>
    <t>ogółem 
(kol. 4+9+10+11 +12+13+14)</t>
  </si>
  <si>
    <t>bank 
centralny</t>
  </si>
  <si>
    <t xml:space="preserve">      wierzyciele zagraniczni</t>
  </si>
  <si>
    <t>wierzyciele krajowi</t>
  </si>
  <si>
    <t>grupa I</t>
  </si>
  <si>
    <t>grupa II</t>
  </si>
  <si>
    <t>kwota 
zadłużenia
ogółem
(kol. 3+8)</t>
  </si>
  <si>
    <t>podmioty 
sektora finansów 
publicznych 
(kol.4+5+6+7)</t>
  </si>
  <si>
    <t xml:space="preserve">grupa III </t>
  </si>
  <si>
    <t xml:space="preserve">grupa IV </t>
  </si>
  <si>
    <t>pozostałe
podmioty</t>
  </si>
  <si>
    <t>sektora finansów publicznych (kol.5+6+7+8)</t>
  </si>
  <si>
    <t>wierzyciele i dłużnicy</t>
  </si>
  <si>
    <t>E1 papiery wartościowe (E1.1+E1.2)</t>
  </si>
  <si>
    <t>E2 kredyty i pożyczki (E2.1+E2.2)</t>
  </si>
  <si>
    <t>E4  wymagalne zobowiązania (E4.1+E4.2)</t>
  </si>
  <si>
    <t>N5.2 z tytułu podatków i składek na ubezpieczenia społ.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</si>
</sst>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\ h:mm;@"/>
  </numFmts>
  <fonts count="31" x14ac:knownFonts="1">
    <font>
      <sz val="10"/>
      <name val="Arial CE"/>
      <charset val="238"/>
    </font>
    <font>
      <sz val="10"/>
      <name val="Arial CE"/>
      <charset val="238"/>
    </font>
    <font>
      <sz val="8"/>
      <name val="Arial"/>
      <family val="2"/>
      <charset val="238"/>
    </font>
    <font>
      <sz val="16"/>
      <name val="Arial"/>
      <family val="2"/>
      <charset val="238"/>
    </font>
    <font>
      <sz val="10"/>
      <name val="Arial"/>
      <charset val="238"/>
    </font>
    <font>
      <sz val="8"/>
      <name val="Arial"/>
      <charset val="238"/>
    </font>
    <font>
      <sz val="11"/>
      <name val="Arial"/>
      <family val="2"/>
      <charset val="238"/>
    </font>
    <font>
      <sz val="7"/>
      <name val="Arial"/>
      <family val="2"/>
      <charset val="238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6"/>
      <name val="Arial"/>
      <family val="2"/>
      <charset val="238"/>
    </font>
    <font>
      <b/>
      <sz val="8"/>
      <name val="Arial CE"/>
      <charset val="238"/>
    </font>
    <font>
      <sz val="8"/>
      <name val="Arial CE"/>
      <charset val="238"/>
    </font>
    <font>
      <sz val="14"/>
      <name val="Arial"/>
      <family val="2"/>
      <charset val="238"/>
    </font>
  </fonts>
  <fills count="22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6"/>
      </patternFill>
    </fill>
    <fill>
      <patternFill patternType="solid">
        <fgColor indexed="14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indexed="45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theme="0" tint="-4.9989318521683403E-2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43">
    <xf numFmtId="0" fontId="0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2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3" borderId="0" applyNumberFormat="0" applyBorder="0" applyAlignment="0" applyProtection="0"/>
    <xf numFmtId="0" fontId="10" fillId="8" borderId="0" applyNumberFormat="0" applyBorder="0" applyAlignment="0" applyProtection="0"/>
    <xf numFmtId="0" fontId="10" fillId="7" borderId="0" applyNumberFormat="0" applyBorder="0" applyAlignment="0" applyProtection="0"/>
    <xf numFmtId="0" fontId="10" fillId="9" borderId="0" applyNumberFormat="0" applyBorder="0" applyAlignment="0" applyProtection="0"/>
    <xf numFmtId="0" fontId="10" fillId="6" borderId="0" applyNumberFormat="0" applyBorder="0" applyAlignment="0" applyProtection="0"/>
    <xf numFmtId="0" fontId="11" fillId="10" borderId="0" applyNumberFormat="0" applyBorder="0" applyAlignment="0" applyProtection="0"/>
    <xf numFmtId="0" fontId="11" fillId="3" borderId="0" applyNumberFormat="0" applyBorder="0" applyAlignment="0" applyProtection="0"/>
    <xf numFmtId="0" fontId="11" fillId="8" borderId="0" applyNumberFormat="0" applyBorder="0" applyAlignment="0" applyProtection="0"/>
    <xf numFmtId="0" fontId="11" fillId="7" borderId="0" applyNumberFormat="0" applyBorder="0" applyAlignment="0" applyProtection="0"/>
    <xf numFmtId="0" fontId="11" fillId="10" borderId="0" applyNumberFormat="0" applyBorder="0" applyAlignment="0" applyProtection="0"/>
    <xf numFmtId="0" fontId="11" fillId="6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0" borderId="0" applyNumberFormat="0" applyBorder="0" applyAlignment="0" applyProtection="0"/>
    <xf numFmtId="0" fontId="11" fillId="14" borderId="0" applyNumberFormat="0" applyBorder="0" applyAlignment="0" applyProtection="0"/>
    <xf numFmtId="0" fontId="12" fillId="15" borderId="0" applyNumberFormat="0" applyBorder="0" applyAlignment="0" applyProtection="0"/>
    <xf numFmtId="0" fontId="13" fillId="16" borderId="1" applyNumberFormat="0" applyAlignment="0" applyProtection="0"/>
    <xf numFmtId="0" fontId="14" fillId="17" borderId="2" applyNumberFormat="0" applyAlignment="0" applyProtection="0"/>
    <xf numFmtId="0" fontId="15" fillId="0" borderId="0" applyNumberFormat="0" applyFill="0" applyBorder="0" applyAlignment="0" applyProtection="0"/>
    <xf numFmtId="0" fontId="16" fillId="18" borderId="0" applyNumberFormat="0" applyBorder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9" fillId="0" borderId="6" applyNumberFormat="0" applyFill="0" applyAlignment="0" applyProtection="0"/>
    <xf numFmtId="0" fontId="19" fillId="0" borderId="0" applyNumberFormat="0" applyFill="0" applyBorder="0" applyAlignment="0" applyProtection="0"/>
    <xf numFmtId="0" fontId="20" fillId="6" borderId="1" applyNumberFormat="0" applyAlignment="0" applyProtection="0"/>
    <xf numFmtId="0" fontId="21" fillId="0" borderId="7" applyNumberFormat="0" applyFill="0" applyAlignment="0" applyProtection="0"/>
    <xf numFmtId="0" fontId="22" fillId="8" borderId="0" applyNumberFormat="0" applyBorder="0" applyAlignment="0" applyProtection="0"/>
    <xf numFmtId="0" fontId="4" fillId="0" borderId="0"/>
    <xf numFmtId="0" fontId="1" fillId="4" borderId="8" applyNumberFormat="0" applyFont="0" applyAlignment="0" applyProtection="0"/>
    <xf numFmtId="0" fontId="23" fillId="16" borderId="3" applyNumberFormat="0" applyAlignment="0" applyProtection="0"/>
    <xf numFmtId="0" fontId="24" fillId="0" borderId="0" applyNumberFormat="0" applyFill="0" applyBorder="0" applyAlignment="0" applyProtection="0"/>
    <xf numFmtId="0" fontId="25" fillId="0" borderId="9" applyNumberFormat="0" applyFill="0" applyAlignment="0" applyProtection="0"/>
    <xf numFmtId="0" fontId="26" fillId="0" borderId="0" applyNumberFormat="0" applyFill="0" applyBorder="0" applyAlignment="0" applyProtection="0"/>
  </cellStyleXfs>
  <cellXfs count="75">
    <xf numFmtId="0" fontId="0" fillId="0" borderId="0" xfId="0"/>
    <xf numFmtId="0" fontId="3" fillId="0" borderId="0" xfId="37" applyFont="1" applyAlignment="1">
      <alignment horizontal="center" vertical="center" wrapText="1"/>
    </xf>
    <xf numFmtId="0" fontId="4" fillId="0" borderId="0" xfId="37" applyAlignment="1">
      <alignment horizontal="center" vertical="center" wrapText="1"/>
    </xf>
    <xf numFmtId="0" fontId="4" fillId="0" borderId="0" xfId="37" applyFill="1" applyBorder="1" applyAlignment="1">
      <alignment horizontal="center" vertical="center" wrapText="1"/>
    </xf>
    <xf numFmtId="0" fontId="5" fillId="0" borderId="0" xfId="37" applyFont="1" applyFill="1" applyBorder="1" applyAlignment="1">
      <alignment horizontal="center" vertical="center" wrapText="1"/>
    </xf>
    <xf numFmtId="0" fontId="2" fillId="0" borderId="0" xfId="37" applyFont="1" applyFill="1" applyBorder="1" applyAlignment="1">
      <alignment horizontal="left" vertical="center" wrapText="1"/>
    </xf>
    <xf numFmtId="0" fontId="2" fillId="0" borderId="0" xfId="37" applyFont="1" applyFill="1" applyBorder="1" applyAlignment="1">
      <alignment horizontal="center" vertical="center" wrapText="1"/>
    </xf>
    <xf numFmtId="0" fontId="9" fillId="0" borderId="10" xfId="0" applyFont="1" applyBorder="1"/>
    <xf numFmtId="0" fontId="9" fillId="0" borderId="0" xfId="0" applyFont="1"/>
    <xf numFmtId="164" fontId="9" fillId="0" borderId="10" xfId="0" applyNumberFormat="1" applyFont="1" applyBorder="1"/>
    <xf numFmtId="0" fontId="27" fillId="0" borderId="0" xfId="37" applyFont="1" applyAlignment="1">
      <alignment horizontal="center" vertical="center" wrapText="1"/>
    </xf>
    <xf numFmtId="0" fontId="27" fillId="0" borderId="0" xfId="37" applyFont="1" applyFill="1" applyBorder="1" applyAlignment="1">
      <alignment horizontal="center" vertical="center" wrapText="1"/>
    </xf>
    <xf numFmtId="0" fontId="7" fillId="19" borderId="10" xfId="37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indent="1"/>
    </xf>
    <xf numFmtId="4" fontId="7" fillId="0" borderId="0" xfId="37" applyNumberFormat="1" applyFont="1" applyBorder="1" applyAlignment="1">
      <alignment horizontal="right" vertical="center" wrapText="1"/>
    </xf>
    <xf numFmtId="0" fontId="2" fillId="19" borderId="10" xfId="37" applyFont="1" applyFill="1" applyBorder="1" applyAlignment="1">
      <alignment horizontal="center" vertical="center" wrapText="1"/>
    </xf>
    <xf numFmtId="0" fontId="2" fillId="0" borderId="10" xfId="37" applyFont="1" applyBorder="1" applyAlignment="1">
      <alignment horizontal="left" vertical="center" wrapText="1"/>
    </xf>
    <xf numFmtId="0" fontId="2" fillId="0" borderId="10" xfId="37" applyFont="1" applyBorder="1" applyAlignment="1">
      <alignment horizontal="left" vertical="top" wrapText="1"/>
    </xf>
    <xf numFmtId="0" fontId="29" fillId="0" borderId="17" xfId="0" applyFont="1" applyFill="1" applyBorder="1" applyAlignment="1">
      <alignment vertical="top" wrapText="1"/>
    </xf>
    <xf numFmtId="0" fontId="8" fillId="20" borderId="10" xfId="37" applyFont="1" applyFill="1" applyBorder="1" applyAlignment="1">
      <alignment horizontal="left" vertical="top" wrapText="1"/>
    </xf>
    <xf numFmtId="0" fontId="2" fillId="20" borderId="10" xfId="37" applyFont="1" applyFill="1" applyBorder="1" applyAlignment="1">
      <alignment horizontal="left" vertical="top" wrapText="1"/>
    </xf>
    <xf numFmtId="4" fontId="7" fillId="20" borderId="10" xfId="37" applyNumberFormat="1" applyFont="1" applyFill="1" applyBorder="1" applyAlignment="1">
      <alignment horizontal="right" vertical="center" wrapText="1"/>
    </xf>
    <xf numFmtId="4" fontId="7" fillId="0" borderId="10" xfId="37" applyNumberFormat="1" applyFont="1" applyBorder="1" applyAlignment="1">
      <alignment horizontal="right" vertical="center" wrapText="1"/>
    </xf>
    <xf numFmtId="4" fontId="7" fillId="20" borderId="10" xfId="37" applyNumberFormat="1" applyFont="1" applyFill="1" applyBorder="1" applyAlignment="1">
      <alignment vertical="center" wrapText="1"/>
    </xf>
    <xf numFmtId="4" fontId="7" fillId="0" borderId="10" xfId="37" applyNumberFormat="1" applyFont="1" applyFill="1" applyBorder="1" applyAlignment="1">
      <alignment vertical="center" wrapText="1"/>
    </xf>
    <xf numFmtId="4" fontId="7" fillId="0" borderId="10" xfId="37" applyNumberFormat="1" applyFont="1" applyFill="1" applyBorder="1" applyAlignment="1">
      <alignment horizontal="right" vertical="center" wrapText="1"/>
    </xf>
    <xf numFmtId="0" fontId="8" fillId="21" borderId="10" xfId="37" applyFont="1" applyFill="1" applyBorder="1" applyAlignment="1">
      <alignment horizontal="left" vertical="center" wrapText="1"/>
    </xf>
    <xf numFmtId="4" fontId="7" fillId="21" borderId="10" xfId="37" applyNumberFormat="1" applyFont="1" applyFill="1" applyBorder="1" applyAlignment="1">
      <alignment horizontal="right" vertical="center" wrapText="1"/>
    </xf>
    <xf numFmtId="0" fontId="28" fillId="21" borderId="17" xfId="0" applyFont="1" applyFill="1" applyBorder="1" applyAlignment="1">
      <alignment vertical="top" wrapText="1"/>
    </xf>
    <xf numFmtId="0" fontId="2" fillId="19" borderId="10" xfId="37" applyFont="1" applyFill="1" applyBorder="1" applyAlignment="1">
      <alignment horizontal="center" vertical="center" wrapText="1"/>
    </xf>
    <xf numFmtId="0" fontId="8" fillId="19" borderId="15" xfId="37" applyFont="1" applyFill="1" applyBorder="1" applyAlignment="1">
      <alignment horizontal="center" vertical="center" wrapText="1"/>
    </xf>
    <xf numFmtId="0" fontId="8" fillId="19" borderId="14" xfId="37" applyFont="1" applyFill="1" applyBorder="1" applyAlignment="1">
      <alignment horizontal="center" vertical="center" wrapText="1"/>
    </xf>
    <xf numFmtId="0" fontId="8" fillId="19" borderId="11" xfId="37" applyFont="1" applyFill="1" applyBorder="1" applyAlignment="1">
      <alignment horizontal="center" vertical="center" wrapText="1"/>
    </xf>
    <xf numFmtId="0" fontId="2" fillId="19" borderId="12" xfId="37" applyFont="1" applyFill="1" applyBorder="1" applyAlignment="1">
      <alignment horizontal="center" vertical="center" wrapText="1"/>
    </xf>
    <xf numFmtId="0" fontId="2" fillId="19" borderId="20" xfId="37" applyFont="1" applyFill="1" applyBorder="1" applyAlignment="1">
      <alignment horizontal="center" vertical="center" wrapText="1"/>
    </xf>
    <xf numFmtId="0" fontId="2" fillId="19" borderId="23" xfId="37" applyFont="1" applyFill="1" applyBorder="1" applyAlignment="1">
      <alignment horizontal="center" vertical="center" wrapText="1"/>
    </xf>
    <xf numFmtId="0" fontId="2" fillId="19" borderId="13" xfId="37" applyFont="1" applyFill="1" applyBorder="1" applyAlignment="1">
      <alignment horizontal="center" vertical="center" wrapText="1"/>
    </xf>
    <xf numFmtId="0" fontId="30" fillId="0" borderId="0" xfId="37" applyFont="1" applyAlignment="1">
      <alignment horizontal="center" vertical="center" wrapText="1"/>
    </xf>
    <xf numFmtId="0" fontId="27" fillId="0" borderId="0" xfId="37" applyFont="1" applyFill="1" applyBorder="1" applyAlignment="1">
      <alignment horizontal="center" vertical="center" wrapText="1"/>
    </xf>
    <xf numFmtId="0" fontId="6" fillId="0" borderId="0" xfId="37" applyFont="1" applyAlignment="1">
      <alignment horizontal="left" vertical="center" wrapText="1"/>
    </xf>
    <xf numFmtId="0" fontId="2" fillId="19" borderId="19" xfId="37" applyFont="1" applyFill="1" applyBorder="1" applyAlignment="1">
      <alignment horizontal="center" vertical="center" wrapText="1"/>
    </xf>
    <xf numFmtId="0" fontId="8" fillId="19" borderId="19" xfId="37" applyFont="1" applyFill="1" applyBorder="1" applyAlignment="1">
      <alignment horizontal="center" vertical="center" wrapText="1"/>
    </xf>
    <xf numFmtId="0" fontId="8" fillId="19" borderId="20" xfId="37" applyFont="1" applyFill="1" applyBorder="1" applyAlignment="1">
      <alignment horizontal="center" vertical="center" wrapText="1"/>
    </xf>
    <xf numFmtId="0" fontId="8" fillId="19" borderId="12" xfId="37" applyFont="1" applyFill="1" applyBorder="1" applyAlignment="1">
      <alignment horizontal="center" vertical="center" wrapText="1"/>
    </xf>
    <xf numFmtId="0" fontId="2" fillId="19" borderId="15" xfId="37" applyFont="1" applyFill="1" applyBorder="1" applyAlignment="1">
      <alignment horizontal="center" vertical="center" wrapText="1"/>
    </xf>
    <xf numFmtId="0" fontId="2" fillId="19" borderId="14" xfId="37" applyFont="1" applyFill="1" applyBorder="1" applyAlignment="1">
      <alignment horizontal="center" vertical="center" wrapText="1"/>
    </xf>
    <xf numFmtId="0" fontId="2" fillId="19" borderId="11" xfId="37" applyFont="1" applyFill="1" applyBorder="1" applyAlignment="1">
      <alignment horizontal="center" vertical="center" wrapText="1"/>
    </xf>
    <xf numFmtId="0" fontId="2" fillId="19" borderId="10" xfId="37" applyNumberFormat="1" applyFont="1" applyFill="1" applyBorder="1" applyAlignment="1">
      <alignment horizontal="center" vertical="center" wrapText="1"/>
    </xf>
    <xf numFmtId="3" fontId="7" fillId="0" borderId="15" xfId="37" applyNumberFormat="1" applyFont="1" applyBorder="1" applyAlignment="1">
      <alignment horizontal="right" vertical="center" wrapText="1"/>
    </xf>
    <xf numFmtId="3" fontId="7" fillId="0" borderId="11" xfId="37" applyNumberFormat="1" applyFont="1" applyBorder="1" applyAlignment="1">
      <alignment horizontal="right" vertical="center" wrapText="1"/>
    </xf>
    <xf numFmtId="4" fontId="7" fillId="0" borderId="15" xfId="37" applyNumberFormat="1" applyFont="1" applyBorder="1" applyAlignment="1">
      <alignment horizontal="right" vertical="center" wrapText="1"/>
    </xf>
    <xf numFmtId="4" fontId="7" fillId="0" borderId="11" xfId="37" applyNumberFormat="1" applyFont="1" applyBorder="1" applyAlignment="1">
      <alignment horizontal="right" vertical="center" wrapText="1"/>
    </xf>
    <xf numFmtId="0" fontId="5" fillId="19" borderId="15" xfId="37" applyFont="1" applyFill="1" applyBorder="1" applyAlignment="1">
      <alignment horizontal="center" vertical="center" wrapText="1"/>
    </xf>
    <xf numFmtId="0" fontId="5" fillId="19" borderId="14" xfId="37" applyFont="1" applyFill="1" applyBorder="1" applyAlignment="1">
      <alignment horizontal="center" vertical="center" wrapText="1"/>
    </xf>
    <xf numFmtId="0" fontId="5" fillId="19" borderId="11" xfId="37" applyFont="1" applyFill="1" applyBorder="1" applyAlignment="1">
      <alignment horizontal="center" vertical="center" wrapText="1"/>
    </xf>
    <xf numFmtId="0" fontId="2" fillId="0" borderId="15" xfId="37" applyFont="1" applyBorder="1" applyAlignment="1">
      <alignment horizontal="left" vertical="center" wrapText="1"/>
    </xf>
    <xf numFmtId="0" fontId="2" fillId="0" borderId="14" xfId="37" applyFont="1" applyBorder="1" applyAlignment="1">
      <alignment horizontal="left" vertical="center" wrapText="1"/>
    </xf>
    <xf numFmtId="0" fontId="2" fillId="0" borderId="11" xfId="37" applyFont="1" applyBorder="1" applyAlignment="1">
      <alignment horizontal="left" vertical="center" wrapText="1"/>
    </xf>
    <xf numFmtId="0" fontId="2" fillId="0" borderId="15" xfId="37" applyFont="1" applyFill="1" applyBorder="1" applyAlignment="1">
      <alignment horizontal="left" vertical="center" wrapText="1"/>
    </xf>
    <xf numFmtId="0" fontId="2" fillId="0" borderId="14" xfId="37" applyFont="1" applyFill="1" applyBorder="1" applyAlignment="1">
      <alignment horizontal="left" vertical="center" wrapText="1"/>
    </xf>
    <xf numFmtId="0" fontId="2" fillId="0" borderId="11" xfId="37" applyFont="1" applyFill="1" applyBorder="1" applyAlignment="1">
      <alignment horizontal="left" vertical="center" wrapText="1"/>
    </xf>
    <xf numFmtId="3" fontId="7" fillId="0" borderId="15" xfId="37" applyNumberFormat="1" applyFont="1" applyFill="1" applyBorder="1" applyAlignment="1">
      <alignment horizontal="right" vertical="center" wrapText="1"/>
    </xf>
    <xf numFmtId="3" fontId="7" fillId="0" borderId="11" xfId="37" applyNumberFormat="1" applyFont="1" applyFill="1" applyBorder="1" applyAlignment="1">
      <alignment horizontal="right" vertical="center" wrapText="1"/>
    </xf>
    <xf numFmtId="4" fontId="7" fillId="0" borderId="15" xfId="37" applyNumberFormat="1" applyFont="1" applyFill="1" applyBorder="1" applyAlignment="1">
      <alignment horizontal="right" vertical="center" wrapText="1"/>
    </xf>
    <xf numFmtId="4" fontId="7" fillId="0" borderId="11" xfId="37" applyNumberFormat="1" applyFont="1" applyFill="1" applyBorder="1" applyAlignment="1">
      <alignment horizontal="right" vertical="center" wrapText="1"/>
    </xf>
    <xf numFmtId="0" fontId="8" fillId="19" borderId="21" xfId="37" applyFont="1" applyFill="1" applyBorder="1" applyAlignment="1">
      <alignment horizontal="center" vertical="center" wrapText="1"/>
    </xf>
    <xf numFmtId="0" fontId="8" fillId="19" borderId="18" xfId="37" applyFont="1" applyFill="1" applyBorder="1" applyAlignment="1">
      <alignment horizontal="center" vertical="center" wrapText="1"/>
    </xf>
    <xf numFmtId="0" fontId="8" fillId="19" borderId="22" xfId="37" applyFont="1" applyFill="1" applyBorder="1" applyAlignment="1">
      <alignment horizontal="center" vertical="center" wrapText="1"/>
    </xf>
    <xf numFmtId="0" fontId="8" fillId="19" borderId="23" xfId="37" applyFont="1" applyFill="1" applyBorder="1" applyAlignment="1">
      <alignment horizontal="center" vertical="center" wrapText="1"/>
    </xf>
    <xf numFmtId="0" fontId="8" fillId="19" borderId="0" xfId="37" applyFont="1" applyFill="1" applyBorder="1" applyAlignment="1">
      <alignment horizontal="center" vertical="center" wrapText="1"/>
    </xf>
    <xf numFmtId="0" fontId="8" fillId="19" borderId="24" xfId="37" applyFont="1" applyFill="1" applyBorder="1" applyAlignment="1">
      <alignment horizontal="center" vertical="center" wrapText="1"/>
    </xf>
    <xf numFmtId="0" fontId="8" fillId="19" borderId="13" xfId="37" applyFont="1" applyFill="1" applyBorder="1" applyAlignment="1">
      <alignment horizontal="center" vertical="center" wrapText="1"/>
    </xf>
    <xf numFmtId="0" fontId="8" fillId="19" borderId="25" xfId="37" applyFont="1" applyFill="1" applyBorder="1" applyAlignment="1">
      <alignment horizontal="center" vertical="center" wrapText="1"/>
    </xf>
    <xf numFmtId="0" fontId="8" fillId="19" borderId="16" xfId="37" applyFont="1" applyFill="1" applyBorder="1" applyAlignment="1">
      <alignment horizontal="center" vertical="center" wrapText="1"/>
    </xf>
    <xf numFmtId="0" fontId="2" fillId="19" borderId="21" xfId="37" applyFont="1" applyFill="1" applyBorder="1" applyAlignment="1">
      <alignment horizontal="center" vertical="center" wrapText="1"/>
    </xf>
  </cellXfs>
  <cellStyles count="43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Input" xfId="34"/>
    <cellStyle name="Linked Cell" xfId="35"/>
    <cellStyle name="Neutral" xfId="36"/>
    <cellStyle name="Normalny" xfId="0" builtinId="0"/>
    <cellStyle name="Normalny_Zeszyt1" xfId="37"/>
    <cellStyle name="Note" xfId="38"/>
    <cellStyle name="Output" xfId="39"/>
    <cellStyle name="Title" xfId="40"/>
    <cellStyle name="Total" xfId="41"/>
    <cellStyle name="Warning Text" xfId="4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5F5F5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CDCD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Q96"/>
  <sheetViews>
    <sheetView tabSelected="1" zoomScaleNormal="100" zoomScaleSheetLayoutView="50" workbookViewId="0">
      <selection activeCell="A6" sqref="A6:A11"/>
    </sheetView>
  </sheetViews>
  <sheetFormatPr defaultRowHeight="13.5" customHeight="1" x14ac:dyDescent="0.2"/>
  <cols>
    <col min="1" max="1" width="16.42578125" style="2" customWidth="1"/>
    <col min="2" max="2" width="14.7109375" style="2" customWidth="1"/>
    <col min="3" max="3" width="15.140625" style="2" customWidth="1"/>
    <col min="4" max="4" width="12.5703125" style="2" customWidth="1"/>
    <col min="5" max="5" width="11.42578125" style="2" customWidth="1"/>
    <col min="6" max="7" width="12.5703125" style="2" customWidth="1"/>
    <col min="8" max="8" width="12" style="2" customWidth="1"/>
    <col min="9" max="9" width="11.7109375" style="2" customWidth="1"/>
    <col min="10" max="10" width="13" style="2" customWidth="1"/>
    <col min="11" max="11" width="12.140625" style="2" customWidth="1"/>
    <col min="12" max="12" width="13.28515625" style="2" customWidth="1"/>
    <col min="13" max="13" width="12.85546875" style="2" customWidth="1"/>
    <col min="14" max="14" width="12" style="2" customWidth="1"/>
    <col min="15" max="17" width="11.7109375" style="2" customWidth="1"/>
    <col min="18" max="16384" width="9.140625" style="2"/>
  </cols>
  <sheetData>
    <row r="1" spans="1:17" ht="75" customHeight="1" x14ac:dyDescent="0.2">
      <c r="A1" s="37" t="str">
        <f>CONCATENATE("Informacja z wykonania budżetów jednostek samorządu terytorialnego za ",$C$94," ",$B$95," roku")</f>
        <v>Informacja z wykonania budżetów jednostek samorządu terytorialnego za I Kwartał 2023 roku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</row>
    <row r="2" spans="1:17" ht="13.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7" ht="13.5" customHeight="1" x14ac:dyDescent="0.2">
      <c r="A3" s="39" t="s">
        <v>60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</row>
    <row r="5" spans="1:17" ht="13.5" customHeight="1" x14ac:dyDescent="0.2">
      <c r="B5" s="11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10"/>
      <c r="O5" s="10"/>
      <c r="P5" s="10"/>
      <c r="Q5" s="10"/>
    </row>
    <row r="6" spans="1:17" ht="13.5" customHeight="1" x14ac:dyDescent="0.2">
      <c r="A6" s="41" t="s">
        <v>0</v>
      </c>
      <c r="B6" s="40" t="s">
        <v>61</v>
      </c>
      <c r="C6" s="44" t="s">
        <v>65</v>
      </c>
      <c r="D6" s="45"/>
      <c r="E6" s="45"/>
      <c r="F6" s="45"/>
      <c r="G6" s="45"/>
      <c r="H6" s="45"/>
      <c r="I6" s="45"/>
      <c r="J6" s="45"/>
      <c r="K6" s="45"/>
      <c r="L6" s="45"/>
      <c r="M6" s="45"/>
      <c r="N6" s="46"/>
      <c r="O6" s="44" t="s">
        <v>64</v>
      </c>
      <c r="P6" s="45"/>
      <c r="Q6" s="46"/>
    </row>
    <row r="7" spans="1:17" ht="13.5" customHeight="1" x14ac:dyDescent="0.2">
      <c r="A7" s="42"/>
      <c r="B7" s="34"/>
      <c r="C7" s="33" t="s">
        <v>62</v>
      </c>
      <c r="D7" s="33" t="s">
        <v>73</v>
      </c>
      <c r="E7" s="33" t="s">
        <v>66</v>
      </c>
      <c r="F7" s="33" t="s">
        <v>67</v>
      </c>
      <c r="G7" s="33" t="s">
        <v>27</v>
      </c>
      <c r="H7" s="33" t="s">
        <v>28</v>
      </c>
      <c r="I7" s="35" t="s">
        <v>63</v>
      </c>
      <c r="J7" s="33" t="s">
        <v>16</v>
      </c>
      <c r="K7" s="33" t="s">
        <v>17</v>
      </c>
      <c r="L7" s="33" t="s">
        <v>18</v>
      </c>
      <c r="M7" s="33" t="s">
        <v>19</v>
      </c>
      <c r="N7" s="34" t="s">
        <v>20</v>
      </c>
      <c r="O7" s="29" t="s">
        <v>21</v>
      </c>
      <c r="P7" s="29" t="s">
        <v>22</v>
      </c>
      <c r="Q7" s="29" t="s">
        <v>23</v>
      </c>
    </row>
    <row r="8" spans="1:17" ht="13.5" customHeight="1" x14ac:dyDescent="0.2">
      <c r="A8" s="42"/>
      <c r="B8" s="34"/>
      <c r="C8" s="29"/>
      <c r="D8" s="29"/>
      <c r="E8" s="29"/>
      <c r="F8" s="29"/>
      <c r="G8" s="29"/>
      <c r="H8" s="29"/>
      <c r="I8" s="35"/>
      <c r="J8" s="29"/>
      <c r="K8" s="29"/>
      <c r="L8" s="29"/>
      <c r="M8" s="29"/>
      <c r="N8" s="34"/>
      <c r="O8" s="29"/>
      <c r="P8" s="29"/>
      <c r="Q8" s="29"/>
    </row>
    <row r="9" spans="1:17" ht="13.5" customHeight="1" x14ac:dyDescent="0.2">
      <c r="A9" s="42"/>
      <c r="B9" s="34"/>
      <c r="C9" s="29"/>
      <c r="D9" s="29"/>
      <c r="E9" s="29"/>
      <c r="F9" s="29"/>
      <c r="G9" s="29"/>
      <c r="H9" s="29"/>
      <c r="I9" s="35"/>
      <c r="J9" s="29"/>
      <c r="K9" s="29"/>
      <c r="L9" s="29"/>
      <c r="M9" s="29"/>
      <c r="N9" s="34"/>
      <c r="O9" s="29"/>
      <c r="P9" s="29"/>
      <c r="Q9" s="29"/>
    </row>
    <row r="10" spans="1:17" ht="11.25" customHeight="1" x14ac:dyDescent="0.2">
      <c r="A10" s="42"/>
      <c r="B10" s="34"/>
      <c r="C10" s="29"/>
      <c r="D10" s="29"/>
      <c r="E10" s="29"/>
      <c r="F10" s="29"/>
      <c r="G10" s="29"/>
      <c r="H10" s="29"/>
      <c r="I10" s="35"/>
      <c r="J10" s="29"/>
      <c r="K10" s="29"/>
      <c r="L10" s="29"/>
      <c r="M10" s="29"/>
      <c r="N10" s="34"/>
      <c r="O10" s="29"/>
      <c r="P10" s="29"/>
      <c r="Q10" s="29"/>
    </row>
    <row r="11" spans="1:17" ht="27.75" customHeight="1" x14ac:dyDescent="0.2">
      <c r="A11" s="43"/>
      <c r="B11" s="33"/>
      <c r="C11" s="29"/>
      <c r="D11" s="29"/>
      <c r="E11" s="29"/>
      <c r="F11" s="29"/>
      <c r="G11" s="29"/>
      <c r="H11" s="29"/>
      <c r="I11" s="36"/>
      <c r="J11" s="29"/>
      <c r="K11" s="29"/>
      <c r="L11" s="29"/>
      <c r="M11" s="29"/>
      <c r="N11" s="33"/>
      <c r="O11" s="29"/>
      <c r="P11" s="29"/>
      <c r="Q11" s="29"/>
    </row>
    <row r="12" spans="1:17" ht="13.5" customHeight="1" x14ac:dyDescent="0.2">
      <c r="A12" s="12">
        <v>1</v>
      </c>
      <c r="B12" s="12">
        <v>2</v>
      </c>
      <c r="C12" s="12">
        <v>3</v>
      </c>
      <c r="D12" s="12">
        <v>4</v>
      </c>
      <c r="E12" s="12">
        <v>5</v>
      </c>
      <c r="F12" s="12">
        <v>6</v>
      </c>
      <c r="G12" s="12">
        <v>7</v>
      </c>
      <c r="H12" s="12">
        <v>8</v>
      </c>
      <c r="I12" s="12">
        <v>9</v>
      </c>
      <c r="J12" s="12">
        <v>10</v>
      </c>
      <c r="K12" s="12">
        <v>11</v>
      </c>
      <c r="L12" s="12">
        <v>12</v>
      </c>
      <c r="M12" s="12">
        <v>13</v>
      </c>
      <c r="N12" s="12">
        <v>14</v>
      </c>
      <c r="O12" s="12">
        <v>15</v>
      </c>
      <c r="P12" s="12">
        <v>16</v>
      </c>
      <c r="Q12" s="12">
        <v>17</v>
      </c>
    </row>
    <row r="13" spans="1:17" ht="52.5" customHeight="1" x14ac:dyDescent="0.2">
      <c r="A13" s="19" t="s">
        <v>45</v>
      </c>
      <c r="B13" s="21">
        <f>89197116897.61</f>
        <v>89197116897.610001</v>
      </c>
      <c r="C13" s="21">
        <f>65235606859.62</f>
        <v>65235606859.620003</v>
      </c>
      <c r="D13" s="21">
        <f>3263591945.59</f>
        <v>3263591945.5900002</v>
      </c>
      <c r="E13" s="21">
        <f>605227512</f>
        <v>605227512</v>
      </c>
      <c r="F13" s="21">
        <f>675907344.01</f>
        <v>675907344.00999999</v>
      </c>
      <c r="G13" s="21">
        <f>1982411766.58</f>
        <v>1982411766.5799999</v>
      </c>
      <c r="H13" s="21">
        <f>45323</f>
        <v>45323</v>
      </c>
      <c r="I13" s="21">
        <f>0</f>
        <v>0</v>
      </c>
      <c r="J13" s="21">
        <f>57181409469.87</f>
        <v>57181409469.870003</v>
      </c>
      <c r="K13" s="21">
        <f>2829122894.88</f>
        <v>2829122894.8800001</v>
      </c>
      <c r="L13" s="21">
        <f>1913571270.68</f>
        <v>1913571270.6800001</v>
      </c>
      <c r="M13" s="21">
        <f>26350589.83</f>
        <v>26350589.829999998</v>
      </c>
      <c r="N13" s="21">
        <f>21560688.77</f>
        <v>21560688.77</v>
      </c>
      <c r="O13" s="21">
        <f>23961510037.99</f>
        <v>23961510037.990002</v>
      </c>
      <c r="P13" s="21">
        <f>23939006827.25</f>
        <v>23939006827.25</v>
      </c>
      <c r="Q13" s="21">
        <f>22503210.74</f>
        <v>22503210.739999998</v>
      </c>
    </row>
    <row r="14" spans="1:17" ht="41.25" customHeight="1" x14ac:dyDescent="0.2">
      <c r="A14" s="19" t="s">
        <v>75</v>
      </c>
      <c r="B14" s="21">
        <f>5344494199.02</f>
        <v>5344494199.0200005</v>
      </c>
      <c r="C14" s="21">
        <f>5344494199.02</f>
        <v>5344494199.0200005</v>
      </c>
      <c r="D14" s="21">
        <f>0</f>
        <v>0</v>
      </c>
      <c r="E14" s="21">
        <f>0</f>
        <v>0</v>
      </c>
      <c r="F14" s="21">
        <f>0</f>
        <v>0</v>
      </c>
      <c r="G14" s="21">
        <f>0</f>
        <v>0</v>
      </c>
      <c r="H14" s="21">
        <f>0</f>
        <v>0</v>
      </c>
      <c r="I14" s="21">
        <f>0</f>
        <v>0</v>
      </c>
      <c r="J14" s="21">
        <f>5125746293.65</f>
        <v>5125746293.6499996</v>
      </c>
      <c r="K14" s="21">
        <f>218500000</f>
        <v>218500000</v>
      </c>
      <c r="L14" s="21">
        <f>247905.37</f>
        <v>247905.37</v>
      </c>
      <c r="M14" s="21">
        <f>0</f>
        <v>0</v>
      </c>
      <c r="N14" s="21">
        <f>0</f>
        <v>0</v>
      </c>
      <c r="O14" s="21">
        <f>0</f>
        <v>0</v>
      </c>
      <c r="P14" s="21">
        <f>0</f>
        <v>0</v>
      </c>
      <c r="Q14" s="21">
        <f>0</f>
        <v>0</v>
      </c>
    </row>
    <row r="15" spans="1:17" ht="22.5" x14ac:dyDescent="0.2">
      <c r="A15" s="16" t="s">
        <v>46</v>
      </c>
      <c r="B15" s="22">
        <f>15568448.64</f>
        <v>15568448.640000001</v>
      </c>
      <c r="C15" s="22">
        <f>15568448.64</f>
        <v>15568448.640000001</v>
      </c>
      <c r="D15" s="22">
        <f>0</f>
        <v>0</v>
      </c>
      <c r="E15" s="22">
        <f>0</f>
        <v>0</v>
      </c>
      <c r="F15" s="22">
        <f>0</f>
        <v>0</v>
      </c>
      <c r="G15" s="22">
        <f>0</f>
        <v>0</v>
      </c>
      <c r="H15" s="22">
        <f>0</f>
        <v>0</v>
      </c>
      <c r="I15" s="22">
        <f>0</f>
        <v>0</v>
      </c>
      <c r="J15" s="22">
        <f>15220543.27</f>
        <v>15220543.27</v>
      </c>
      <c r="K15" s="22">
        <f>100000</f>
        <v>100000</v>
      </c>
      <c r="L15" s="22">
        <f>247905.37</f>
        <v>247905.37</v>
      </c>
      <c r="M15" s="22">
        <f>0</f>
        <v>0</v>
      </c>
      <c r="N15" s="22">
        <f>0</f>
        <v>0</v>
      </c>
      <c r="O15" s="22">
        <f>0</f>
        <v>0</v>
      </c>
      <c r="P15" s="22">
        <f>0</f>
        <v>0</v>
      </c>
      <c r="Q15" s="22">
        <f>0</f>
        <v>0</v>
      </c>
    </row>
    <row r="16" spans="1:17" ht="23.25" customHeight="1" x14ac:dyDescent="0.2">
      <c r="A16" s="16" t="s">
        <v>47</v>
      </c>
      <c r="B16" s="22">
        <f>5328925750.38</f>
        <v>5328925750.3800001</v>
      </c>
      <c r="C16" s="22">
        <f>5328925750.38</f>
        <v>5328925750.3800001</v>
      </c>
      <c r="D16" s="22">
        <f>0</f>
        <v>0</v>
      </c>
      <c r="E16" s="22">
        <f>0</f>
        <v>0</v>
      </c>
      <c r="F16" s="22">
        <f>0</f>
        <v>0</v>
      </c>
      <c r="G16" s="22">
        <f>0</f>
        <v>0</v>
      </c>
      <c r="H16" s="22">
        <f>0</f>
        <v>0</v>
      </c>
      <c r="I16" s="22">
        <f>0</f>
        <v>0</v>
      </c>
      <c r="J16" s="22">
        <f>5110525750.38</f>
        <v>5110525750.3800001</v>
      </c>
      <c r="K16" s="22">
        <f>218400000</f>
        <v>218400000</v>
      </c>
      <c r="L16" s="22">
        <f>0</f>
        <v>0</v>
      </c>
      <c r="M16" s="22">
        <f>0</f>
        <v>0</v>
      </c>
      <c r="N16" s="22">
        <f>0</f>
        <v>0</v>
      </c>
      <c r="O16" s="22">
        <f>0</f>
        <v>0</v>
      </c>
      <c r="P16" s="22">
        <f>0</f>
        <v>0</v>
      </c>
      <c r="Q16" s="22">
        <f>0</f>
        <v>0</v>
      </c>
    </row>
    <row r="17" spans="1:17" ht="33" customHeight="1" x14ac:dyDescent="0.2">
      <c r="A17" s="19" t="s">
        <v>76</v>
      </c>
      <c r="B17" s="21">
        <f>83775189288.11</f>
        <v>83775189288.110001</v>
      </c>
      <c r="C17" s="21">
        <f>59813682460.86</f>
        <v>59813682460.860001</v>
      </c>
      <c r="D17" s="21">
        <f>3241702101.02</f>
        <v>3241702101.02</v>
      </c>
      <c r="E17" s="21">
        <f>598380555.3</f>
        <v>598380555.29999995</v>
      </c>
      <c r="F17" s="21">
        <f>675618043.31</f>
        <v>675618043.30999994</v>
      </c>
      <c r="G17" s="21">
        <f>1967678114.47</f>
        <v>1967678114.47</v>
      </c>
      <c r="H17" s="21">
        <f>25387.94</f>
        <v>25387.94</v>
      </c>
      <c r="I17" s="21">
        <f>0</f>
        <v>0</v>
      </c>
      <c r="J17" s="21">
        <f>52054786472.66</f>
        <v>52054786472.660004</v>
      </c>
      <c r="K17" s="21">
        <f>2610509181.05</f>
        <v>2610509181.0500002</v>
      </c>
      <c r="L17" s="21">
        <f>1885761019.87</f>
        <v>1885761019.8699999</v>
      </c>
      <c r="M17" s="21">
        <f>5269657.15</f>
        <v>5269657.1500000004</v>
      </c>
      <c r="N17" s="21">
        <f>15654029.11</f>
        <v>15654029.109999999</v>
      </c>
      <c r="O17" s="21">
        <f>23961506827.25</f>
        <v>23961506827.25</v>
      </c>
      <c r="P17" s="21">
        <f>23939006827.25</f>
        <v>23939006827.25</v>
      </c>
      <c r="Q17" s="21">
        <f>22500000</f>
        <v>22500000</v>
      </c>
    </row>
    <row r="18" spans="1:17" ht="22.5" x14ac:dyDescent="0.2">
      <c r="A18" s="16" t="s">
        <v>48</v>
      </c>
      <c r="B18" s="22">
        <f>433917108.85</f>
        <v>433917108.85000002</v>
      </c>
      <c r="C18" s="22">
        <f>433917108.85</f>
        <v>433917108.85000002</v>
      </c>
      <c r="D18" s="22">
        <f>18489817.96</f>
        <v>18489817.960000001</v>
      </c>
      <c r="E18" s="22">
        <f>11258052.82</f>
        <v>11258052.82</v>
      </c>
      <c r="F18" s="22">
        <f>2535244.45</f>
        <v>2535244.4500000002</v>
      </c>
      <c r="G18" s="22">
        <f>4696520.69</f>
        <v>4696520.6900000004</v>
      </c>
      <c r="H18" s="22">
        <f>0</f>
        <v>0</v>
      </c>
      <c r="I18" s="22">
        <f>0</f>
        <v>0</v>
      </c>
      <c r="J18" s="22">
        <f>376347183.97</f>
        <v>376347183.97000003</v>
      </c>
      <c r="K18" s="22">
        <f>37387889.41</f>
        <v>37387889.409999996</v>
      </c>
      <c r="L18" s="22">
        <f>1674217.51</f>
        <v>1674217.51</v>
      </c>
      <c r="M18" s="22">
        <f>18000</f>
        <v>18000</v>
      </c>
      <c r="N18" s="22">
        <f>0</f>
        <v>0</v>
      </c>
      <c r="O18" s="22">
        <f>0</f>
        <v>0</v>
      </c>
      <c r="P18" s="22">
        <f>0</f>
        <v>0</v>
      </c>
      <c r="Q18" s="22">
        <f>0</f>
        <v>0</v>
      </c>
    </row>
    <row r="19" spans="1:17" ht="24" customHeight="1" x14ac:dyDescent="0.2">
      <c r="A19" s="16" t="s">
        <v>49</v>
      </c>
      <c r="B19" s="22">
        <f>83341272179.26</f>
        <v>83341272179.259995</v>
      </c>
      <c r="C19" s="22">
        <f>59379765352.01</f>
        <v>59379765352.010002</v>
      </c>
      <c r="D19" s="22">
        <f>3223212283.06</f>
        <v>3223212283.0599999</v>
      </c>
      <c r="E19" s="22">
        <f>587122502.48</f>
        <v>587122502.48000002</v>
      </c>
      <c r="F19" s="22">
        <f>673082798.86</f>
        <v>673082798.86000001</v>
      </c>
      <c r="G19" s="22">
        <f>1962981593.78</f>
        <v>1962981593.78</v>
      </c>
      <c r="H19" s="22">
        <f>25387.94</f>
        <v>25387.94</v>
      </c>
      <c r="I19" s="22">
        <f>0</f>
        <v>0</v>
      </c>
      <c r="J19" s="22">
        <f>51678439288.69</f>
        <v>51678439288.690002</v>
      </c>
      <c r="K19" s="22">
        <f>2573121291.64</f>
        <v>2573121291.6399999</v>
      </c>
      <c r="L19" s="22">
        <f>1884086802.36</f>
        <v>1884086802.3599999</v>
      </c>
      <c r="M19" s="22">
        <f>5251657.15</f>
        <v>5251657.1500000004</v>
      </c>
      <c r="N19" s="22">
        <f>15654029.11</f>
        <v>15654029.109999999</v>
      </c>
      <c r="O19" s="22">
        <f>23961506827.25</f>
        <v>23961506827.25</v>
      </c>
      <c r="P19" s="22">
        <f>23939006827.25</f>
        <v>23939006827.25</v>
      </c>
      <c r="Q19" s="22">
        <f>22500000</f>
        <v>22500000</v>
      </c>
    </row>
    <row r="20" spans="1:17" ht="24.75" customHeight="1" x14ac:dyDescent="0.2">
      <c r="A20" s="26" t="s">
        <v>50</v>
      </c>
      <c r="B20" s="27">
        <f>0</f>
        <v>0</v>
      </c>
      <c r="C20" s="27">
        <f>0</f>
        <v>0</v>
      </c>
      <c r="D20" s="27">
        <f>0</f>
        <v>0</v>
      </c>
      <c r="E20" s="27">
        <f>0</f>
        <v>0</v>
      </c>
      <c r="F20" s="27">
        <f>0</f>
        <v>0</v>
      </c>
      <c r="G20" s="27">
        <f>0</f>
        <v>0</v>
      </c>
      <c r="H20" s="27">
        <f>0</f>
        <v>0</v>
      </c>
      <c r="I20" s="27">
        <f>0</f>
        <v>0</v>
      </c>
      <c r="J20" s="27">
        <f>0</f>
        <v>0</v>
      </c>
      <c r="K20" s="27">
        <f>0</f>
        <v>0</v>
      </c>
      <c r="L20" s="27">
        <f>0</f>
        <v>0</v>
      </c>
      <c r="M20" s="27">
        <f>0</f>
        <v>0</v>
      </c>
      <c r="N20" s="27">
        <f>0</f>
        <v>0</v>
      </c>
      <c r="O20" s="27">
        <f>0</f>
        <v>0</v>
      </c>
      <c r="P20" s="27">
        <f>0</f>
        <v>0</v>
      </c>
      <c r="Q20" s="27">
        <f>0</f>
        <v>0</v>
      </c>
    </row>
    <row r="21" spans="1:17" ht="38.25" customHeight="1" x14ac:dyDescent="0.2">
      <c r="A21" s="20" t="s">
        <v>77</v>
      </c>
      <c r="B21" s="21">
        <f>77433410.48</f>
        <v>77433410.480000004</v>
      </c>
      <c r="C21" s="21">
        <f>77430199.74</f>
        <v>77430199.739999995</v>
      </c>
      <c r="D21" s="21">
        <f>21889844.57</f>
        <v>21889844.57</v>
      </c>
      <c r="E21" s="21">
        <f>6846956.7</f>
        <v>6846956.7000000002</v>
      </c>
      <c r="F21" s="21">
        <f>289300.7</f>
        <v>289300.7</v>
      </c>
      <c r="G21" s="21">
        <f>14733652.11</f>
        <v>14733652.109999999</v>
      </c>
      <c r="H21" s="21">
        <f>19935.06</f>
        <v>19935.060000000001</v>
      </c>
      <c r="I21" s="21">
        <f>0</f>
        <v>0</v>
      </c>
      <c r="J21" s="21">
        <f>876703.56</f>
        <v>876703.56</v>
      </c>
      <c r="K21" s="21">
        <f>113713.83</f>
        <v>113713.83</v>
      </c>
      <c r="L21" s="21">
        <f>27562345.44</f>
        <v>27562345.440000001</v>
      </c>
      <c r="M21" s="21">
        <f>21080932.68</f>
        <v>21080932.68</v>
      </c>
      <c r="N21" s="21">
        <f>5906659.66</f>
        <v>5906659.6600000001</v>
      </c>
      <c r="O21" s="21">
        <f>3210.74</f>
        <v>3210.74</v>
      </c>
      <c r="P21" s="21">
        <f>0</f>
        <v>0</v>
      </c>
      <c r="Q21" s="21">
        <f>3210.74</f>
        <v>3210.74</v>
      </c>
    </row>
    <row r="22" spans="1:17" ht="33" customHeight="1" x14ac:dyDescent="0.2">
      <c r="A22" s="17" t="s">
        <v>51</v>
      </c>
      <c r="B22" s="22">
        <f>42433442.36</f>
        <v>42433442.359999999</v>
      </c>
      <c r="C22" s="22">
        <f>42433442.36</f>
        <v>42433442.359999999</v>
      </c>
      <c r="D22" s="22">
        <f>1468242.41</f>
        <v>1468242.41</v>
      </c>
      <c r="E22" s="22">
        <f>155.48</f>
        <v>155.47999999999999</v>
      </c>
      <c r="F22" s="22">
        <f>250</f>
        <v>250</v>
      </c>
      <c r="G22" s="22">
        <f>1467836.93</f>
        <v>1467836.93</v>
      </c>
      <c r="H22" s="22">
        <f>0</f>
        <v>0</v>
      </c>
      <c r="I22" s="22">
        <f>0</f>
        <v>0</v>
      </c>
      <c r="J22" s="22">
        <f>455268</f>
        <v>455268</v>
      </c>
      <c r="K22" s="22">
        <f>759.76</f>
        <v>759.76</v>
      </c>
      <c r="L22" s="22">
        <f>18225935.62</f>
        <v>18225935.620000001</v>
      </c>
      <c r="M22" s="22">
        <f>16989500.38</f>
        <v>16989500.379999999</v>
      </c>
      <c r="N22" s="22">
        <f>5293736.19</f>
        <v>5293736.1900000004</v>
      </c>
      <c r="O22" s="22">
        <f>0</f>
        <v>0</v>
      </c>
      <c r="P22" s="22">
        <f>0</f>
        <v>0</v>
      </c>
      <c r="Q22" s="22">
        <f>0</f>
        <v>0</v>
      </c>
    </row>
    <row r="23" spans="1:17" ht="23.25" customHeight="1" x14ac:dyDescent="0.2">
      <c r="A23" s="17" t="s">
        <v>52</v>
      </c>
      <c r="B23" s="22">
        <f>34999968.12</f>
        <v>34999968.119999997</v>
      </c>
      <c r="C23" s="22">
        <f>34996757.38</f>
        <v>34996757.380000003</v>
      </c>
      <c r="D23" s="22">
        <f>20421602.16</f>
        <v>20421602.16</v>
      </c>
      <c r="E23" s="22">
        <f>6846801.22</f>
        <v>6846801.2199999997</v>
      </c>
      <c r="F23" s="22">
        <f>289050.7</f>
        <v>289050.7</v>
      </c>
      <c r="G23" s="22">
        <f>13265815.18</f>
        <v>13265815.18</v>
      </c>
      <c r="H23" s="22">
        <f>19935.06</f>
        <v>19935.060000000001</v>
      </c>
      <c r="I23" s="22">
        <f>0</f>
        <v>0</v>
      </c>
      <c r="J23" s="22">
        <f>421435.56</f>
        <v>421435.56</v>
      </c>
      <c r="K23" s="22">
        <f>112954.07</f>
        <v>112954.07</v>
      </c>
      <c r="L23" s="22">
        <f>9336409.82</f>
        <v>9336409.8200000003</v>
      </c>
      <c r="M23" s="22">
        <f>4091432.3</f>
        <v>4091432.3</v>
      </c>
      <c r="N23" s="22">
        <f>612923.47</f>
        <v>612923.47</v>
      </c>
      <c r="O23" s="22">
        <f>3210.74</f>
        <v>3210.74</v>
      </c>
      <c r="P23" s="22">
        <f>0</f>
        <v>0</v>
      </c>
      <c r="Q23" s="22">
        <f>3210.74</f>
        <v>3210.74</v>
      </c>
    </row>
    <row r="24" spans="1:17" ht="19.5" customHeight="1" x14ac:dyDescent="0.2">
      <c r="A24" s="13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</row>
    <row r="25" spans="1:17" ht="19.5" customHeight="1" x14ac:dyDescent="0.2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</row>
    <row r="26" spans="1:17" ht="19.5" customHeight="1" x14ac:dyDescent="0.2">
      <c r="A26" s="13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</row>
    <row r="27" spans="1:17" ht="19.5" customHeight="1" x14ac:dyDescent="0.2">
      <c r="A27" s="13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</row>
    <row r="28" spans="1:17" ht="19.5" customHeight="1" x14ac:dyDescent="0.2">
      <c r="A28" s="13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</row>
    <row r="29" spans="1:17" ht="19.5" customHeight="1" x14ac:dyDescent="0.2">
      <c r="A29" s="13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</row>
    <row r="30" spans="1:17" ht="45.75" customHeight="1" x14ac:dyDescent="0.2">
      <c r="A30" s="37" t="str">
        <f>CONCATENATE("Informacja z wykonania budżetów jednostek samorządu terytorialnego za ",$C$94," ",$B$95," roku")</f>
        <v>Informacja z wykonania budżetów jednostek samorządu terytorialnego za I Kwartał 2023 roku</v>
      </c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</row>
    <row r="32" spans="1:17" ht="13.5" customHeight="1" x14ac:dyDescent="0.2">
      <c r="A32" s="39" t="s">
        <v>11</v>
      </c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</row>
    <row r="34" spans="1:17" ht="13.5" customHeight="1" x14ac:dyDescent="0.2">
      <c r="A34" s="41" t="s">
        <v>0</v>
      </c>
      <c r="B34" s="40" t="s">
        <v>12</v>
      </c>
      <c r="C34" s="30" t="s">
        <v>14</v>
      </c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2"/>
      <c r="O34" s="30" t="s">
        <v>24</v>
      </c>
      <c r="P34" s="31"/>
      <c r="Q34" s="32"/>
    </row>
    <row r="35" spans="1:17" ht="13.5" customHeight="1" x14ac:dyDescent="0.2">
      <c r="A35" s="42"/>
      <c r="B35" s="34"/>
      <c r="C35" s="34" t="s">
        <v>13</v>
      </c>
      <c r="D35" s="29" t="s">
        <v>15</v>
      </c>
      <c r="E35" s="29" t="s">
        <v>25</v>
      </c>
      <c r="F35" s="29" t="s">
        <v>26</v>
      </c>
      <c r="G35" s="29" t="s">
        <v>70</v>
      </c>
      <c r="H35" s="29" t="s">
        <v>28</v>
      </c>
      <c r="I35" s="29" t="s">
        <v>1</v>
      </c>
      <c r="J35" s="29" t="s">
        <v>16</v>
      </c>
      <c r="K35" s="29" t="s">
        <v>17</v>
      </c>
      <c r="L35" s="29" t="s">
        <v>18</v>
      </c>
      <c r="M35" s="29" t="s">
        <v>19</v>
      </c>
      <c r="N35" s="47" t="s">
        <v>20</v>
      </c>
      <c r="O35" s="29" t="s">
        <v>21</v>
      </c>
      <c r="P35" s="29" t="s">
        <v>22</v>
      </c>
      <c r="Q35" s="40" t="s">
        <v>23</v>
      </c>
    </row>
    <row r="36" spans="1:17" ht="13.5" customHeight="1" x14ac:dyDescent="0.2">
      <c r="A36" s="42"/>
      <c r="B36" s="34"/>
      <c r="C36" s="34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47"/>
      <c r="O36" s="29"/>
      <c r="P36" s="29"/>
      <c r="Q36" s="34"/>
    </row>
    <row r="37" spans="1:17" ht="11.25" customHeight="1" x14ac:dyDescent="0.2">
      <c r="A37" s="42"/>
      <c r="B37" s="34"/>
      <c r="C37" s="34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47"/>
      <c r="O37" s="29"/>
      <c r="P37" s="29"/>
      <c r="Q37" s="34"/>
    </row>
    <row r="38" spans="1:17" ht="32.25" customHeight="1" x14ac:dyDescent="0.2">
      <c r="A38" s="43"/>
      <c r="B38" s="33"/>
      <c r="C38" s="33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47"/>
      <c r="O38" s="29"/>
      <c r="P38" s="29"/>
      <c r="Q38" s="33"/>
    </row>
    <row r="39" spans="1:17" ht="13.5" customHeight="1" x14ac:dyDescent="0.2">
      <c r="A39" s="12">
        <v>1</v>
      </c>
      <c r="B39" s="12">
        <v>2</v>
      </c>
      <c r="C39" s="12">
        <v>3</v>
      </c>
      <c r="D39" s="12">
        <v>4</v>
      </c>
      <c r="E39" s="12">
        <v>5</v>
      </c>
      <c r="F39" s="12">
        <v>6</v>
      </c>
      <c r="G39" s="12">
        <v>7</v>
      </c>
      <c r="H39" s="12">
        <v>8</v>
      </c>
      <c r="I39" s="12">
        <v>9</v>
      </c>
      <c r="J39" s="12">
        <v>10</v>
      </c>
      <c r="K39" s="12">
        <v>11</v>
      </c>
      <c r="L39" s="12">
        <v>12</v>
      </c>
      <c r="M39" s="12">
        <v>13</v>
      </c>
      <c r="N39" s="12">
        <v>14</v>
      </c>
      <c r="O39" s="12">
        <v>15</v>
      </c>
      <c r="P39" s="12">
        <v>16</v>
      </c>
      <c r="Q39" s="12">
        <v>17</v>
      </c>
    </row>
    <row r="40" spans="1:17" ht="35.25" customHeight="1" x14ac:dyDescent="0.2">
      <c r="A40" s="28" t="s">
        <v>40</v>
      </c>
      <c r="B40" s="23">
        <f>14735383.35</f>
        <v>14735383.35</v>
      </c>
      <c r="C40" s="23">
        <f>14735383.35</f>
        <v>14735383.35</v>
      </c>
      <c r="D40" s="23">
        <f>394245.17</f>
        <v>394245.17</v>
      </c>
      <c r="E40" s="23">
        <f>50000</f>
        <v>50000</v>
      </c>
      <c r="F40" s="23">
        <f>0</f>
        <v>0</v>
      </c>
      <c r="G40" s="23">
        <f>344245.17</f>
        <v>344245.17</v>
      </c>
      <c r="H40" s="23">
        <f>0</f>
        <v>0</v>
      </c>
      <c r="I40" s="23">
        <f>0</f>
        <v>0</v>
      </c>
      <c r="J40" s="23">
        <f>128844.4</f>
        <v>128844.4</v>
      </c>
      <c r="K40" s="23">
        <f>25555</f>
        <v>25555</v>
      </c>
      <c r="L40" s="23">
        <f>12295429.33</f>
        <v>12295429.33</v>
      </c>
      <c r="M40" s="23">
        <f>1891309.45</f>
        <v>1891309.45</v>
      </c>
      <c r="N40" s="23">
        <f>0</f>
        <v>0</v>
      </c>
      <c r="O40" s="23">
        <f>0</f>
        <v>0</v>
      </c>
      <c r="P40" s="23">
        <f>0</f>
        <v>0</v>
      </c>
      <c r="Q40" s="23">
        <f>0</f>
        <v>0</v>
      </c>
    </row>
    <row r="41" spans="1:17" ht="28.5" customHeight="1" x14ac:dyDescent="0.2">
      <c r="A41" s="18" t="s">
        <v>29</v>
      </c>
      <c r="B41" s="24">
        <f>2794470.76</f>
        <v>2794470.76</v>
      </c>
      <c r="C41" s="24">
        <f>2794470.76</f>
        <v>2794470.76</v>
      </c>
      <c r="D41" s="24">
        <f>0</f>
        <v>0</v>
      </c>
      <c r="E41" s="24">
        <f>0</f>
        <v>0</v>
      </c>
      <c r="F41" s="24">
        <f>0</f>
        <v>0</v>
      </c>
      <c r="G41" s="24">
        <f>0</f>
        <v>0</v>
      </c>
      <c r="H41" s="24">
        <f>0</f>
        <v>0</v>
      </c>
      <c r="I41" s="24">
        <f>0</f>
        <v>0</v>
      </c>
      <c r="J41" s="24">
        <f>6000</f>
        <v>6000</v>
      </c>
      <c r="K41" s="24">
        <f>0</f>
        <v>0</v>
      </c>
      <c r="L41" s="24">
        <f>2352038.08</f>
        <v>2352038.08</v>
      </c>
      <c r="M41" s="24">
        <f>436432.68</f>
        <v>436432.68</v>
      </c>
      <c r="N41" s="24">
        <f>0</f>
        <v>0</v>
      </c>
      <c r="O41" s="24">
        <f>0</f>
        <v>0</v>
      </c>
      <c r="P41" s="24">
        <f>0</f>
        <v>0</v>
      </c>
      <c r="Q41" s="24">
        <f>0</f>
        <v>0</v>
      </c>
    </row>
    <row r="42" spans="1:17" ht="28.5" customHeight="1" x14ac:dyDescent="0.2">
      <c r="A42" s="18" t="s">
        <v>30</v>
      </c>
      <c r="B42" s="24">
        <f>11940912.59</f>
        <v>11940912.59</v>
      </c>
      <c r="C42" s="24">
        <f>11940912.59</f>
        <v>11940912.59</v>
      </c>
      <c r="D42" s="24">
        <f>394245.17</f>
        <v>394245.17</v>
      </c>
      <c r="E42" s="24">
        <f>50000</f>
        <v>50000</v>
      </c>
      <c r="F42" s="24">
        <f>0</f>
        <v>0</v>
      </c>
      <c r="G42" s="24">
        <f>344245.17</f>
        <v>344245.17</v>
      </c>
      <c r="H42" s="24">
        <f>0</f>
        <v>0</v>
      </c>
      <c r="I42" s="24">
        <f>0</f>
        <v>0</v>
      </c>
      <c r="J42" s="24">
        <f>122844.4</f>
        <v>122844.4</v>
      </c>
      <c r="K42" s="24">
        <f>25555</f>
        <v>25555</v>
      </c>
      <c r="L42" s="24">
        <f>9943391.25</f>
        <v>9943391.25</v>
      </c>
      <c r="M42" s="24">
        <f>1454876.77</f>
        <v>1454876.77</v>
      </c>
      <c r="N42" s="24">
        <f>0</f>
        <v>0</v>
      </c>
      <c r="O42" s="24">
        <f>0</f>
        <v>0</v>
      </c>
      <c r="P42" s="24">
        <f>0</f>
        <v>0</v>
      </c>
      <c r="Q42" s="24">
        <f>0</f>
        <v>0</v>
      </c>
    </row>
    <row r="43" spans="1:17" ht="28.5" customHeight="1" x14ac:dyDescent="0.2">
      <c r="A43" s="28" t="s">
        <v>41</v>
      </c>
      <c r="B43" s="23">
        <f>1374547866.36</f>
        <v>1374547866.3599999</v>
      </c>
      <c r="C43" s="23">
        <f>1374547866.36</f>
        <v>1374547866.3599999</v>
      </c>
      <c r="D43" s="23">
        <f>662942207.47</f>
        <v>662942207.47000003</v>
      </c>
      <c r="E43" s="23">
        <f>216693.85</f>
        <v>216693.85</v>
      </c>
      <c r="F43" s="23">
        <f>4417786.78</f>
        <v>4417786.78</v>
      </c>
      <c r="G43" s="23">
        <f>652804838.84</f>
        <v>652804838.84000003</v>
      </c>
      <c r="H43" s="23">
        <f>5502888</f>
        <v>5502888</v>
      </c>
      <c r="I43" s="23">
        <f>0</f>
        <v>0</v>
      </c>
      <c r="J43" s="23">
        <f>52844.07</f>
        <v>52844.07</v>
      </c>
      <c r="K43" s="23">
        <f>204560</f>
        <v>204560</v>
      </c>
      <c r="L43" s="23">
        <f>391592610.3</f>
        <v>391592610.30000001</v>
      </c>
      <c r="M43" s="23">
        <f>281894700.91</f>
        <v>281894700.91000003</v>
      </c>
      <c r="N43" s="23">
        <f>37860943.61</f>
        <v>37860943.609999999</v>
      </c>
      <c r="O43" s="23">
        <f>0</f>
        <v>0</v>
      </c>
      <c r="P43" s="23">
        <f>0</f>
        <v>0</v>
      </c>
      <c r="Q43" s="23">
        <f>0</f>
        <v>0</v>
      </c>
    </row>
    <row r="44" spans="1:17" ht="32.25" customHeight="1" x14ac:dyDescent="0.2">
      <c r="A44" s="18" t="s">
        <v>31</v>
      </c>
      <c r="B44" s="24">
        <f>169297560.57</f>
        <v>169297560.56999999</v>
      </c>
      <c r="C44" s="24">
        <f>169297560.57</f>
        <v>169297560.56999999</v>
      </c>
      <c r="D44" s="24">
        <f>82811174.71</f>
        <v>82811174.709999993</v>
      </c>
      <c r="E44" s="24">
        <f>3050.94</f>
        <v>3050.94</v>
      </c>
      <c r="F44" s="24">
        <f>3350000</f>
        <v>3350000</v>
      </c>
      <c r="G44" s="24">
        <f>74158123.77</f>
        <v>74158123.769999996</v>
      </c>
      <c r="H44" s="24">
        <f>5300000</f>
        <v>5300000</v>
      </c>
      <c r="I44" s="24">
        <f>0</f>
        <v>0</v>
      </c>
      <c r="J44" s="24">
        <f>0</f>
        <v>0</v>
      </c>
      <c r="K44" s="24">
        <f>204560</f>
        <v>204560</v>
      </c>
      <c r="L44" s="24">
        <f>51927619.8</f>
        <v>51927619.799999997</v>
      </c>
      <c r="M44" s="24">
        <f>23704039.01</f>
        <v>23704039.010000002</v>
      </c>
      <c r="N44" s="24">
        <f>10650167.05</f>
        <v>10650167.050000001</v>
      </c>
      <c r="O44" s="24">
        <f>0</f>
        <v>0</v>
      </c>
      <c r="P44" s="24">
        <f>0</f>
        <v>0</v>
      </c>
      <c r="Q44" s="24">
        <f>0</f>
        <v>0</v>
      </c>
    </row>
    <row r="45" spans="1:17" ht="32.25" customHeight="1" x14ac:dyDescent="0.2">
      <c r="A45" s="18" t="s">
        <v>32</v>
      </c>
      <c r="B45" s="24">
        <f>1205250305.79</f>
        <v>1205250305.79</v>
      </c>
      <c r="C45" s="24">
        <f>1205250305.79</f>
        <v>1205250305.79</v>
      </c>
      <c r="D45" s="24">
        <f>580131032.76</f>
        <v>580131032.75999999</v>
      </c>
      <c r="E45" s="24">
        <f>213642.91</f>
        <v>213642.91</v>
      </c>
      <c r="F45" s="24">
        <f>1067786.78</f>
        <v>1067786.78</v>
      </c>
      <c r="G45" s="24">
        <f>578646715.07</f>
        <v>578646715.07000005</v>
      </c>
      <c r="H45" s="24">
        <f>202888</f>
        <v>202888</v>
      </c>
      <c r="I45" s="24">
        <f>0</f>
        <v>0</v>
      </c>
      <c r="J45" s="24">
        <f>52844.07</f>
        <v>52844.07</v>
      </c>
      <c r="K45" s="24">
        <f>0</f>
        <v>0</v>
      </c>
      <c r="L45" s="24">
        <f>339664990.5</f>
        <v>339664990.5</v>
      </c>
      <c r="M45" s="24">
        <f>258190661.9</f>
        <v>258190661.90000001</v>
      </c>
      <c r="N45" s="24">
        <f>27210776.56</f>
        <v>27210776.559999999</v>
      </c>
      <c r="O45" s="24">
        <f>0</f>
        <v>0</v>
      </c>
      <c r="P45" s="24">
        <f>0</f>
        <v>0</v>
      </c>
      <c r="Q45" s="24">
        <f>0</f>
        <v>0</v>
      </c>
    </row>
    <row r="46" spans="1:17" ht="35.25" customHeight="1" x14ac:dyDescent="0.2">
      <c r="A46" s="28" t="s">
        <v>42</v>
      </c>
      <c r="B46" s="23">
        <f>57808860085.48</f>
        <v>57808860085.480003</v>
      </c>
      <c r="C46" s="23">
        <f>57808677233.36</f>
        <v>57808677233.360001</v>
      </c>
      <c r="D46" s="23">
        <f>25979175</f>
        <v>25979175</v>
      </c>
      <c r="E46" s="23">
        <f>989968.79</f>
        <v>989968.79</v>
      </c>
      <c r="F46" s="23">
        <f>52795.75</f>
        <v>52795.75</v>
      </c>
      <c r="G46" s="23">
        <f>24934188.46</f>
        <v>24934188.460000001</v>
      </c>
      <c r="H46" s="23">
        <f>2222</f>
        <v>2222</v>
      </c>
      <c r="I46" s="23">
        <f>8799297.7</f>
        <v>8799297.6999999993</v>
      </c>
      <c r="J46" s="23">
        <f>57757309010.48</f>
        <v>57757309010.480003</v>
      </c>
      <c r="K46" s="23">
        <f>271996.55</f>
        <v>271996.55</v>
      </c>
      <c r="L46" s="23">
        <f>15937213.56</f>
        <v>15937213.560000001</v>
      </c>
      <c r="M46" s="23">
        <f>286006.34</f>
        <v>286006.34000000003</v>
      </c>
      <c r="N46" s="23">
        <f>94533.73</f>
        <v>94533.73</v>
      </c>
      <c r="O46" s="23">
        <f>182852.12</f>
        <v>182852.12</v>
      </c>
      <c r="P46" s="23">
        <f>182852.12</f>
        <v>182852.12</v>
      </c>
      <c r="Q46" s="23">
        <f>0</f>
        <v>0</v>
      </c>
    </row>
    <row r="47" spans="1:17" ht="28.5" customHeight="1" x14ac:dyDescent="0.2">
      <c r="A47" s="18" t="s">
        <v>33</v>
      </c>
      <c r="B47" s="24">
        <f>19499091.3</f>
        <v>19499091.300000001</v>
      </c>
      <c r="C47" s="24">
        <f>19499091.3</f>
        <v>19499091.300000001</v>
      </c>
      <c r="D47" s="24">
        <f>19499091.3</f>
        <v>19499091.300000001</v>
      </c>
      <c r="E47" s="24">
        <f>0</f>
        <v>0</v>
      </c>
      <c r="F47" s="24">
        <f>0</f>
        <v>0</v>
      </c>
      <c r="G47" s="24">
        <f>19499091.3</f>
        <v>19499091.300000001</v>
      </c>
      <c r="H47" s="24">
        <f>0</f>
        <v>0</v>
      </c>
      <c r="I47" s="24">
        <f>0</f>
        <v>0</v>
      </c>
      <c r="J47" s="24">
        <f>0</f>
        <v>0</v>
      </c>
      <c r="K47" s="24">
        <f>0</f>
        <v>0</v>
      </c>
      <c r="L47" s="24">
        <f>0</f>
        <v>0</v>
      </c>
      <c r="M47" s="24">
        <f>0</f>
        <v>0</v>
      </c>
      <c r="N47" s="24">
        <f>0</f>
        <v>0</v>
      </c>
      <c r="O47" s="24">
        <f>0</f>
        <v>0</v>
      </c>
      <c r="P47" s="24">
        <f>0</f>
        <v>0</v>
      </c>
      <c r="Q47" s="24">
        <f>0</f>
        <v>0</v>
      </c>
    </row>
    <row r="48" spans="1:17" ht="28.5" customHeight="1" x14ac:dyDescent="0.2">
      <c r="A48" s="18" t="s">
        <v>34</v>
      </c>
      <c r="B48" s="24">
        <f>39094609073.17</f>
        <v>39094609073.169998</v>
      </c>
      <c r="C48" s="24">
        <f>39094609073.17</f>
        <v>39094609073.169998</v>
      </c>
      <c r="D48" s="24">
        <f>5630371.58</f>
        <v>5630371.5800000001</v>
      </c>
      <c r="E48" s="24">
        <f>312574.83</f>
        <v>312574.83</v>
      </c>
      <c r="F48" s="24">
        <f>6744.65</f>
        <v>6744.65</v>
      </c>
      <c r="G48" s="24">
        <f>5308830.1</f>
        <v>5308830.0999999996</v>
      </c>
      <c r="H48" s="24">
        <f>2222</f>
        <v>2222</v>
      </c>
      <c r="I48" s="24">
        <f>8746881.7</f>
        <v>8746881.6999999993</v>
      </c>
      <c r="J48" s="24">
        <f>39065341734.58</f>
        <v>39065341734.580002</v>
      </c>
      <c r="K48" s="24">
        <f>263080.53</f>
        <v>263080.53000000003</v>
      </c>
      <c r="L48" s="24">
        <f>14424346.73</f>
        <v>14424346.73</v>
      </c>
      <c r="M48" s="24">
        <f>108124.32</f>
        <v>108124.32</v>
      </c>
      <c r="N48" s="24">
        <f>94533.73</f>
        <v>94533.73</v>
      </c>
      <c r="O48" s="24">
        <f>0</f>
        <v>0</v>
      </c>
      <c r="P48" s="24">
        <f>0</f>
        <v>0</v>
      </c>
      <c r="Q48" s="24">
        <f>0</f>
        <v>0</v>
      </c>
    </row>
    <row r="49" spans="1:17" ht="28.5" customHeight="1" x14ac:dyDescent="0.2">
      <c r="A49" s="18" t="s">
        <v>35</v>
      </c>
      <c r="B49" s="24">
        <f>18694751921.01</f>
        <v>18694751921.009998</v>
      </c>
      <c r="C49" s="24">
        <f>18694569068.89</f>
        <v>18694569068.889999</v>
      </c>
      <c r="D49" s="24">
        <f>849712.12</f>
        <v>849712.12</v>
      </c>
      <c r="E49" s="24">
        <f>677393.96</f>
        <v>677393.96</v>
      </c>
      <c r="F49" s="24">
        <f>46051.1</f>
        <v>46051.1</v>
      </c>
      <c r="G49" s="24">
        <f>126267.06</f>
        <v>126267.06</v>
      </c>
      <c r="H49" s="24">
        <f>0</f>
        <v>0</v>
      </c>
      <c r="I49" s="24">
        <f>52416</f>
        <v>52416</v>
      </c>
      <c r="J49" s="24">
        <f>18691967275.9</f>
        <v>18691967275.900002</v>
      </c>
      <c r="K49" s="24">
        <f>8916.02</f>
        <v>8916.02</v>
      </c>
      <c r="L49" s="24">
        <f>1512866.83</f>
        <v>1512866.83</v>
      </c>
      <c r="M49" s="24">
        <f>177882.02</f>
        <v>177882.02</v>
      </c>
      <c r="N49" s="24">
        <f>0</f>
        <v>0</v>
      </c>
      <c r="O49" s="24">
        <f>182852.12</f>
        <v>182852.12</v>
      </c>
      <c r="P49" s="24">
        <f>182852.12</f>
        <v>182852.12</v>
      </c>
      <c r="Q49" s="24">
        <f>0</f>
        <v>0</v>
      </c>
    </row>
    <row r="50" spans="1:17" ht="35.25" customHeight="1" x14ac:dyDescent="0.2">
      <c r="A50" s="28" t="s">
        <v>43</v>
      </c>
      <c r="B50" s="23">
        <f>28053981558.73</f>
        <v>28053981558.73</v>
      </c>
      <c r="C50" s="23">
        <f>27999050971.55</f>
        <v>27999050971.549999</v>
      </c>
      <c r="D50" s="23">
        <f>495481190.44</f>
        <v>495481190.44</v>
      </c>
      <c r="E50" s="23">
        <f>119046227.03</f>
        <v>119046227.03</v>
      </c>
      <c r="F50" s="23">
        <f>14919099.01</f>
        <v>14919099.01</v>
      </c>
      <c r="G50" s="23">
        <f>359318926.55</f>
        <v>359318926.55000001</v>
      </c>
      <c r="H50" s="23">
        <f>2196937.85</f>
        <v>2196937.85</v>
      </c>
      <c r="I50" s="23">
        <f>665.17</f>
        <v>665.17</v>
      </c>
      <c r="J50" s="23">
        <f>16689099.11</f>
        <v>16689099.109999999</v>
      </c>
      <c r="K50" s="23">
        <f>31677888.57</f>
        <v>31677888.57</v>
      </c>
      <c r="L50" s="23">
        <f>7016535949.8</f>
        <v>7016535949.8000002</v>
      </c>
      <c r="M50" s="23">
        <f>20224005672.05</f>
        <v>20224005672.049999</v>
      </c>
      <c r="N50" s="23">
        <f>214660506.41</f>
        <v>214660506.41</v>
      </c>
      <c r="O50" s="23">
        <f>54930587.18</f>
        <v>54930587.18</v>
      </c>
      <c r="P50" s="23">
        <f>33848563.45</f>
        <v>33848563.450000003</v>
      </c>
      <c r="Q50" s="23">
        <f>21082023.73</f>
        <v>21082023.73</v>
      </c>
    </row>
    <row r="51" spans="1:17" ht="28.5" customHeight="1" x14ac:dyDescent="0.2">
      <c r="A51" s="18" t="s">
        <v>36</v>
      </c>
      <c r="B51" s="24">
        <f>6758313036.48</f>
        <v>6758313036.4799995</v>
      </c>
      <c r="C51" s="24">
        <f>6755391234.25</f>
        <v>6755391234.25</v>
      </c>
      <c r="D51" s="24">
        <f>74886070.08</f>
        <v>74886070.079999998</v>
      </c>
      <c r="E51" s="24">
        <f>2667623.79</f>
        <v>2667623.79</v>
      </c>
      <c r="F51" s="24">
        <f>3095362.13</f>
        <v>3095362.13</v>
      </c>
      <c r="G51" s="24">
        <f>68807890.81</f>
        <v>68807890.810000002</v>
      </c>
      <c r="H51" s="24">
        <f>315193.35</f>
        <v>315193.34999999998</v>
      </c>
      <c r="I51" s="24">
        <f>0</f>
        <v>0</v>
      </c>
      <c r="J51" s="24">
        <f>809097.53</f>
        <v>809097.53</v>
      </c>
      <c r="K51" s="24">
        <f>2246179.61</f>
        <v>2246179.61</v>
      </c>
      <c r="L51" s="24">
        <f>1099866750.17</f>
        <v>1099866750.1700001</v>
      </c>
      <c r="M51" s="24">
        <f>5501261352.76</f>
        <v>5501261352.7600002</v>
      </c>
      <c r="N51" s="24">
        <f>76321784.1</f>
        <v>76321784.099999994</v>
      </c>
      <c r="O51" s="24">
        <f>2921802.23</f>
        <v>2921802.23</v>
      </c>
      <c r="P51" s="24">
        <f>922160.3</f>
        <v>922160.3</v>
      </c>
      <c r="Q51" s="24">
        <f>1999641.93</f>
        <v>1999641.93</v>
      </c>
    </row>
    <row r="52" spans="1:17" ht="28.5" customHeight="1" x14ac:dyDescent="0.2">
      <c r="A52" s="18" t="s">
        <v>37</v>
      </c>
      <c r="B52" s="24">
        <f>21295668522.25</f>
        <v>21295668522.25</v>
      </c>
      <c r="C52" s="24">
        <f>21243659737.3</f>
        <v>21243659737.299999</v>
      </c>
      <c r="D52" s="24">
        <f>420595120.36</f>
        <v>420595120.36000001</v>
      </c>
      <c r="E52" s="24">
        <f>116378603.24</f>
        <v>116378603.23999999</v>
      </c>
      <c r="F52" s="24">
        <f>11823736.88</f>
        <v>11823736.880000001</v>
      </c>
      <c r="G52" s="24">
        <f>290511035.74</f>
        <v>290511035.74000001</v>
      </c>
      <c r="H52" s="24">
        <f>1881744.5</f>
        <v>1881744.5</v>
      </c>
      <c r="I52" s="24">
        <f>665.17</f>
        <v>665.17</v>
      </c>
      <c r="J52" s="24">
        <f>15880001.58</f>
        <v>15880001.58</v>
      </c>
      <c r="K52" s="24">
        <f>29431708.96</f>
        <v>29431708.960000001</v>
      </c>
      <c r="L52" s="24">
        <f>5916669199.63</f>
        <v>5916669199.6300001</v>
      </c>
      <c r="M52" s="24">
        <f>14722744319.29</f>
        <v>14722744319.290001</v>
      </c>
      <c r="N52" s="24">
        <f>138338722.31</f>
        <v>138338722.31</v>
      </c>
      <c r="O52" s="24">
        <f>52008784.95</f>
        <v>52008784.950000003</v>
      </c>
      <c r="P52" s="24">
        <f>32926403.15</f>
        <v>32926403.149999999</v>
      </c>
      <c r="Q52" s="24">
        <f>19082381.8</f>
        <v>19082381.800000001</v>
      </c>
    </row>
    <row r="53" spans="1:17" ht="35.25" customHeight="1" x14ac:dyDescent="0.2">
      <c r="A53" s="28" t="s">
        <v>44</v>
      </c>
      <c r="B53" s="23">
        <f>37273154542.67</f>
        <v>37273154542.669998</v>
      </c>
      <c r="C53" s="23">
        <f>37231674860.46</f>
        <v>37231674860.459999</v>
      </c>
      <c r="D53" s="23">
        <f>2341954819.08</f>
        <v>2341954819.0799999</v>
      </c>
      <c r="E53" s="23">
        <f>795419898.32</f>
        <v>795419898.32000005</v>
      </c>
      <c r="F53" s="23">
        <f>169007018.04</f>
        <v>169007018.03999999</v>
      </c>
      <c r="G53" s="23">
        <f>1332004612.33</f>
        <v>1332004612.3299999</v>
      </c>
      <c r="H53" s="23">
        <f>45523290.39</f>
        <v>45523290.390000001</v>
      </c>
      <c r="I53" s="23">
        <f>4183327.61</f>
        <v>4183327.61</v>
      </c>
      <c r="J53" s="23">
        <f>41065843.63</f>
        <v>41065843.630000003</v>
      </c>
      <c r="K53" s="23">
        <f>125907809.3</f>
        <v>125907809.3</v>
      </c>
      <c r="L53" s="23">
        <f>21800940234.9</f>
        <v>21800940234.900002</v>
      </c>
      <c r="M53" s="23">
        <f>12371205811.5</f>
        <v>12371205811.5</v>
      </c>
      <c r="N53" s="23">
        <f>546417014.44</f>
        <v>546417014.44000006</v>
      </c>
      <c r="O53" s="23">
        <f>41479682.21</f>
        <v>41479682.210000001</v>
      </c>
      <c r="P53" s="23">
        <f>30585290.32</f>
        <v>30585290.32</v>
      </c>
      <c r="Q53" s="23">
        <f>10894391.89</f>
        <v>10894391.890000001</v>
      </c>
    </row>
    <row r="54" spans="1:17" ht="28.5" customHeight="1" x14ac:dyDescent="0.2">
      <c r="A54" s="18" t="s">
        <v>38</v>
      </c>
      <c r="B54" s="24">
        <f>2225694036.09</f>
        <v>2225694036.0900002</v>
      </c>
      <c r="C54" s="24">
        <f>2224278160.67</f>
        <v>2224278160.6700001</v>
      </c>
      <c r="D54" s="24">
        <f>155097555.27</f>
        <v>155097555.27000001</v>
      </c>
      <c r="E54" s="24">
        <f>8047124.44</f>
        <v>8047124.4400000004</v>
      </c>
      <c r="F54" s="24">
        <f>4626042.48</f>
        <v>4626042.4800000004</v>
      </c>
      <c r="G54" s="24">
        <f>136536033.6</f>
        <v>136536033.59999999</v>
      </c>
      <c r="H54" s="24">
        <f>5888354.75</f>
        <v>5888354.75</v>
      </c>
      <c r="I54" s="24">
        <f>14431.94</f>
        <v>14431.94</v>
      </c>
      <c r="J54" s="24">
        <f>1109750.38</f>
        <v>1109750.3799999999</v>
      </c>
      <c r="K54" s="24">
        <f>3494881.6</f>
        <v>3494881.6</v>
      </c>
      <c r="L54" s="24">
        <f>924098623.14</f>
        <v>924098623.13999999</v>
      </c>
      <c r="M54" s="24">
        <f>1114462848.5</f>
        <v>1114462848.5</v>
      </c>
      <c r="N54" s="24">
        <f>26000069.84</f>
        <v>26000069.84</v>
      </c>
      <c r="O54" s="24">
        <f>1415875.42</f>
        <v>1415875.42</v>
      </c>
      <c r="P54" s="24">
        <f>417168.3</f>
        <v>417168.3</v>
      </c>
      <c r="Q54" s="24">
        <f>998707.12</f>
        <v>998707.12</v>
      </c>
    </row>
    <row r="55" spans="1:17" ht="47.25" customHeight="1" x14ac:dyDescent="0.2">
      <c r="A55" s="18" t="s">
        <v>78</v>
      </c>
      <c r="B55" s="24">
        <f>22083689475.43</f>
        <v>22083689475.43</v>
      </c>
      <c r="C55" s="24">
        <f>22055936717.67</f>
        <v>22055936717.669998</v>
      </c>
      <c r="D55" s="24">
        <f>887249835.29</f>
        <v>887249835.28999996</v>
      </c>
      <c r="E55" s="24">
        <f>266875100.22</f>
        <v>266875100.22</v>
      </c>
      <c r="F55" s="24">
        <f>120397457.5</f>
        <v>120397457.5</v>
      </c>
      <c r="G55" s="24">
        <f>473312407.34</f>
        <v>473312407.33999997</v>
      </c>
      <c r="H55" s="24">
        <f>26664870.23</f>
        <v>26664870.23</v>
      </c>
      <c r="I55" s="24">
        <f>4032176.59</f>
        <v>4032176.59</v>
      </c>
      <c r="J55" s="24">
        <f>35957125.74</f>
        <v>35957125.740000002</v>
      </c>
      <c r="K55" s="24">
        <f>92867435.51</f>
        <v>92867435.510000005</v>
      </c>
      <c r="L55" s="24">
        <f>15116382002.62</f>
        <v>15116382002.620001</v>
      </c>
      <c r="M55" s="24">
        <f>5795433216.02</f>
        <v>5795433216.0200005</v>
      </c>
      <c r="N55" s="24">
        <f>124014925.9</f>
        <v>124014925.90000001</v>
      </c>
      <c r="O55" s="24">
        <f>27752757.76</f>
        <v>27752757.760000002</v>
      </c>
      <c r="P55" s="24">
        <f>24871579.25</f>
        <v>24871579.25</v>
      </c>
      <c r="Q55" s="24">
        <f>2881178.51</f>
        <v>2881178.51</v>
      </c>
    </row>
    <row r="56" spans="1:17" ht="35.25" customHeight="1" x14ac:dyDescent="0.2">
      <c r="A56" s="18" t="s">
        <v>39</v>
      </c>
      <c r="B56" s="24">
        <f>12963771031.15</f>
        <v>12963771031.15</v>
      </c>
      <c r="C56" s="24">
        <f>12951459982.12</f>
        <v>12951459982.120001</v>
      </c>
      <c r="D56" s="24">
        <f>1299607428.52</f>
        <v>1299607428.52</v>
      </c>
      <c r="E56" s="24">
        <f>520497673.66</f>
        <v>520497673.66000003</v>
      </c>
      <c r="F56" s="24">
        <f>43983518.06</f>
        <v>43983518.060000002</v>
      </c>
      <c r="G56" s="24">
        <f>722156171.39</f>
        <v>722156171.38999999</v>
      </c>
      <c r="H56" s="24">
        <f>12970065.41</f>
        <v>12970065.41</v>
      </c>
      <c r="I56" s="24">
        <f>136719.08</f>
        <v>136719.07999999999</v>
      </c>
      <c r="J56" s="24">
        <f>3998967.51</f>
        <v>3998967.51</v>
      </c>
      <c r="K56" s="24">
        <f>29545492.19</f>
        <v>29545492.190000001</v>
      </c>
      <c r="L56" s="24">
        <f>5760459609.14</f>
        <v>5760459609.1400003</v>
      </c>
      <c r="M56" s="24">
        <f>5461309746.98</f>
        <v>5461309746.9799995</v>
      </c>
      <c r="N56" s="24">
        <f>396402018.7</f>
        <v>396402018.69999999</v>
      </c>
      <c r="O56" s="24">
        <f>12311049.03</f>
        <v>12311049.029999999</v>
      </c>
      <c r="P56" s="24">
        <f>5296542.77</f>
        <v>5296542.7699999996</v>
      </c>
      <c r="Q56" s="24">
        <f>7014506.26</f>
        <v>7014506.2599999998</v>
      </c>
    </row>
    <row r="67" spans="1:13" ht="75" customHeight="1" x14ac:dyDescent="0.2">
      <c r="A67" s="37" t="str">
        <f>CONCATENATE("Informacja z wykonania budżetów jednostek samorządu terytorialnego za ",$C$94," ",$B$95," roku")</f>
        <v>Informacja z wykonania budżetów jednostek samorządu terytorialnego za I Kwartał 2023 roku</v>
      </c>
      <c r="B67" s="37"/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37"/>
    </row>
    <row r="68" spans="1:13" ht="13.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3.5" customHeight="1" x14ac:dyDescent="0.2">
      <c r="B69" s="39" t="s">
        <v>2</v>
      </c>
      <c r="C69" s="39"/>
      <c r="D69" s="39"/>
      <c r="E69" s="39"/>
      <c r="F69" s="39"/>
      <c r="G69" s="39"/>
      <c r="H69" s="39"/>
      <c r="I69" s="39"/>
      <c r="J69" s="39"/>
      <c r="K69" s="39"/>
      <c r="L69" s="39"/>
      <c r="M69" s="39"/>
    </row>
    <row r="71" spans="1:13" ht="13.5" customHeight="1" x14ac:dyDescent="0.2">
      <c r="B71" s="65" t="s">
        <v>0</v>
      </c>
      <c r="C71" s="66"/>
      <c r="D71" s="66"/>
      <c r="E71" s="67"/>
      <c r="F71" s="74" t="s">
        <v>68</v>
      </c>
      <c r="G71" s="44" t="s">
        <v>74</v>
      </c>
      <c r="H71" s="45"/>
      <c r="I71" s="45"/>
      <c r="J71" s="45"/>
      <c r="K71" s="45"/>
      <c r="L71" s="46"/>
    </row>
    <row r="72" spans="1:13" ht="13.5" customHeight="1" x14ac:dyDescent="0.2">
      <c r="B72" s="68"/>
      <c r="C72" s="69"/>
      <c r="D72" s="69"/>
      <c r="E72" s="70"/>
      <c r="F72" s="35"/>
      <c r="G72" s="29" t="s">
        <v>69</v>
      </c>
      <c r="H72" s="29" t="s">
        <v>66</v>
      </c>
      <c r="I72" s="29" t="s">
        <v>67</v>
      </c>
      <c r="J72" s="29" t="s">
        <v>70</v>
      </c>
      <c r="K72" s="29" t="s">
        <v>71</v>
      </c>
      <c r="L72" s="47" t="s">
        <v>72</v>
      </c>
    </row>
    <row r="73" spans="1:13" ht="13.5" customHeight="1" x14ac:dyDescent="0.2">
      <c r="B73" s="68"/>
      <c r="C73" s="69"/>
      <c r="D73" s="69"/>
      <c r="E73" s="70"/>
      <c r="F73" s="35"/>
      <c r="G73" s="29"/>
      <c r="H73" s="29"/>
      <c r="I73" s="29"/>
      <c r="J73" s="29"/>
      <c r="K73" s="29"/>
      <c r="L73" s="47"/>
    </row>
    <row r="74" spans="1:13" ht="11.25" customHeight="1" x14ac:dyDescent="0.2">
      <c r="B74" s="68"/>
      <c r="C74" s="69"/>
      <c r="D74" s="69"/>
      <c r="E74" s="70"/>
      <c r="F74" s="35"/>
      <c r="G74" s="29"/>
      <c r="H74" s="29"/>
      <c r="I74" s="29"/>
      <c r="J74" s="29"/>
      <c r="K74" s="29"/>
      <c r="L74" s="47"/>
    </row>
    <row r="75" spans="1:13" ht="20.25" customHeight="1" x14ac:dyDescent="0.2">
      <c r="B75" s="71"/>
      <c r="C75" s="72"/>
      <c r="D75" s="72"/>
      <c r="E75" s="73"/>
      <c r="F75" s="36"/>
      <c r="G75" s="29"/>
      <c r="H75" s="29"/>
      <c r="I75" s="29"/>
      <c r="J75" s="29"/>
      <c r="K75" s="29"/>
      <c r="L75" s="47"/>
    </row>
    <row r="76" spans="1:13" ht="13.5" customHeight="1" x14ac:dyDescent="0.2">
      <c r="B76" s="29">
        <v>1</v>
      </c>
      <c r="C76" s="29"/>
      <c r="D76" s="29"/>
      <c r="E76" s="29"/>
      <c r="F76" s="15">
        <v>2</v>
      </c>
      <c r="G76" s="15">
        <v>3</v>
      </c>
      <c r="H76" s="15">
        <v>4</v>
      </c>
      <c r="I76" s="15">
        <v>5</v>
      </c>
      <c r="J76" s="15">
        <v>6</v>
      </c>
      <c r="K76" s="15">
        <v>7</v>
      </c>
      <c r="L76" s="15">
        <v>8</v>
      </c>
    </row>
    <row r="77" spans="1:13" ht="33.75" customHeight="1" x14ac:dyDescent="0.2">
      <c r="B77" s="55" t="s">
        <v>53</v>
      </c>
      <c r="C77" s="56"/>
      <c r="D77" s="56"/>
      <c r="E77" s="57"/>
      <c r="F77" s="22">
        <f>4532241841.72</f>
        <v>4532241841.7200003</v>
      </c>
      <c r="G77" s="22">
        <f>1085627979.61</f>
        <v>1085627979.6099999</v>
      </c>
      <c r="H77" s="22">
        <f>57297542.49</f>
        <v>57297542.490000002</v>
      </c>
      <c r="I77" s="22">
        <f>258822257.67</f>
        <v>258822257.66999999</v>
      </c>
      <c r="J77" s="22">
        <f>763199881.26</f>
        <v>763199881.25999999</v>
      </c>
      <c r="K77" s="22">
        <f>6308298.19</f>
        <v>6308298.1900000004</v>
      </c>
      <c r="L77" s="22">
        <f>3446613862.11</f>
        <v>3446613862.1100001</v>
      </c>
    </row>
    <row r="78" spans="1:13" ht="33.75" customHeight="1" x14ac:dyDescent="0.2">
      <c r="B78" s="58" t="s">
        <v>54</v>
      </c>
      <c r="C78" s="59"/>
      <c r="D78" s="59"/>
      <c r="E78" s="60"/>
      <c r="F78" s="25">
        <f>6106894.41</f>
        <v>6106894.4100000001</v>
      </c>
      <c r="G78" s="25">
        <f>821594</f>
        <v>821594</v>
      </c>
      <c r="H78" s="25">
        <f>0</f>
        <v>0</v>
      </c>
      <c r="I78" s="25">
        <f>0</f>
        <v>0</v>
      </c>
      <c r="J78" s="25">
        <f>821594</f>
        <v>821594</v>
      </c>
      <c r="K78" s="25">
        <f>0</f>
        <v>0</v>
      </c>
      <c r="L78" s="25">
        <f>5285300.41</f>
        <v>5285300.41</v>
      </c>
    </row>
    <row r="79" spans="1:13" ht="33.75" customHeight="1" x14ac:dyDescent="0.2">
      <c r="B79" s="58" t="s">
        <v>55</v>
      </c>
      <c r="C79" s="59"/>
      <c r="D79" s="59"/>
      <c r="E79" s="60"/>
      <c r="F79" s="25">
        <f>84629005.1</f>
        <v>84629005.099999994</v>
      </c>
      <c r="G79" s="25">
        <f>30870798.46</f>
        <v>30870798.460000001</v>
      </c>
      <c r="H79" s="25">
        <f>0</f>
        <v>0</v>
      </c>
      <c r="I79" s="25">
        <f>0</f>
        <v>0</v>
      </c>
      <c r="J79" s="25">
        <f>30761212.42</f>
        <v>30761212.420000002</v>
      </c>
      <c r="K79" s="25">
        <f>109586.04</f>
        <v>109586.04</v>
      </c>
      <c r="L79" s="25">
        <f>53758206.64</f>
        <v>53758206.640000001</v>
      </c>
    </row>
    <row r="80" spans="1:13" ht="22.5" customHeight="1" x14ac:dyDescent="0.2">
      <c r="B80" s="58" t="s">
        <v>56</v>
      </c>
      <c r="C80" s="59"/>
      <c r="D80" s="59"/>
      <c r="E80" s="60"/>
      <c r="F80" s="25">
        <f>90522150.84</f>
        <v>90522150.840000004</v>
      </c>
      <c r="G80" s="25">
        <f>29220465.96</f>
        <v>29220465.960000001</v>
      </c>
      <c r="H80" s="25">
        <f>0</f>
        <v>0</v>
      </c>
      <c r="I80" s="25">
        <f>0</f>
        <v>0</v>
      </c>
      <c r="J80" s="25">
        <f>29220465.96</f>
        <v>29220465.960000001</v>
      </c>
      <c r="K80" s="25">
        <f>0</f>
        <v>0</v>
      </c>
      <c r="L80" s="25">
        <f>61301684.88</f>
        <v>61301684.880000003</v>
      </c>
    </row>
    <row r="81" spans="1:13" ht="33.75" customHeight="1" x14ac:dyDescent="0.2">
      <c r="B81" s="58" t="s">
        <v>57</v>
      </c>
      <c r="C81" s="59"/>
      <c r="D81" s="59"/>
      <c r="E81" s="60"/>
      <c r="F81" s="25">
        <f>17493721.08</f>
        <v>17493721.079999998</v>
      </c>
      <c r="G81" s="25">
        <f>11317587.59</f>
        <v>11317587.59</v>
      </c>
      <c r="H81" s="25">
        <f>0</f>
        <v>0</v>
      </c>
      <c r="I81" s="25">
        <f>0</f>
        <v>0</v>
      </c>
      <c r="J81" s="25">
        <f>11317587.59</f>
        <v>11317587.59</v>
      </c>
      <c r="K81" s="25">
        <f>0</f>
        <v>0</v>
      </c>
      <c r="L81" s="25">
        <f>6176133.49</f>
        <v>6176133.4900000002</v>
      </c>
    </row>
    <row r="82" spans="1:13" ht="33.75" customHeight="1" x14ac:dyDescent="0.2">
      <c r="B82" s="58" t="s">
        <v>58</v>
      </c>
      <c r="C82" s="59"/>
      <c r="D82" s="59"/>
      <c r="E82" s="60"/>
      <c r="F82" s="25">
        <f>6825041.9</f>
        <v>6825041.9000000004</v>
      </c>
      <c r="G82" s="25">
        <f>3772712.42</f>
        <v>3772712.42</v>
      </c>
      <c r="H82" s="25">
        <f>0</f>
        <v>0</v>
      </c>
      <c r="I82" s="25">
        <f>0</f>
        <v>0</v>
      </c>
      <c r="J82" s="25">
        <f>3772712.42</f>
        <v>3772712.42</v>
      </c>
      <c r="K82" s="25">
        <f>0</f>
        <v>0</v>
      </c>
      <c r="L82" s="25">
        <f>3052329.48</f>
        <v>3052329.48</v>
      </c>
    </row>
    <row r="83" spans="1:13" ht="33" customHeight="1" x14ac:dyDescent="0.2">
      <c r="B83" s="55" t="s">
        <v>59</v>
      </c>
      <c r="C83" s="56"/>
      <c r="D83" s="56"/>
      <c r="E83" s="57"/>
      <c r="F83" s="22">
        <f>1666714.42</f>
        <v>1666714.42</v>
      </c>
      <c r="G83" s="22">
        <f>0</f>
        <v>0</v>
      </c>
      <c r="H83" s="22">
        <f>0</f>
        <v>0</v>
      </c>
      <c r="I83" s="22">
        <f>0</f>
        <v>0</v>
      </c>
      <c r="J83" s="22">
        <f>0</f>
        <v>0</v>
      </c>
      <c r="K83" s="22">
        <f>0</f>
        <v>0</v>
      </c>
      <c r="L83" s="22">
        <f>1666714.42</f>
        <v>1666714.42</v>
      </c>
    </row>
    <row r="86" spans="1:13" ht="75" customHeight="1" x14ac:dyDescent="0.2">
      <c r="A86" s="37" t="str">
        <f>CONCATENATE("Informacja z wykonania budżetów jednostek samorządu terytorialnego za ",$C$94," ",$B$95," roku")</f>
        <v>Informacja z wykonania budżetów jednostek samorządu terytorialnego za I Kwartał 2023 roku</v>
      </c>
      <c r="B86" s="37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</row>
    <row r="87" spans="1:13" ht="13.5" customHeight="1" x14ac:dyDescent="0.2">
      <c r="B87" s="3"/>
    </row>
    <row r="88" spans="1:13" ht="13.5" customHeight="1" x14ac:dyDescent="0.2">
      <c r="B88" s="4"/>
      <c r="C88" s="52"/>
      <c r="D88" s="53"/>
      <c r="E88" s="53"/>
      <c r="F88" s="54"/>
      <c r="G88" s="52" t="s">
        <v>3</v>
      </c>
      <c r="H88" s="54"/>
      <c r="I88" s="52" t="s">
        <v>4</v>
      </c>
      <c r="J88" s="54"/>
      <c r="K88" s="4"/>
    </row>
    <row r="89" spans="1:13" ht="13.5" customHeight="1" x14ac:dyDescent="0.2">
      <c r="B89" s="5"/>
      <c r="C89" s="55" t="s">
        <v>5</v>
      </c>
      <c r="D89" s="56"/>
      <c r="E89" s="56"/>
      <c r="F89" s="57"/>
      <c r="G89" s="48">
        <f>2253</f>
        <v>2253</v>
      </c>
      <c r="H89" s="49"/>
      <c r="I89" s="50">
        <f>12614815197.71</f>
        <v>12614815197.709999</v>
      </c>
      <c r="J89" s="51"/>
      <c r="K89" s="6"/>
    </row>
    <row r="90" spans="1:13" ht="13.5" customHeight="1" x14ac:dyDescent="0.2">
      <c r="B90" s="5"/>
      <c r="C90" s="58" t="s">
        <v>6</v>
      </c>
      <c r="D90" s="59"/>
      <c r="E90" s="59"/>
      <c r="F90" s="60"/>
      <c r="G90" s="61">
        <f>554</f>
        <v>554</v>
      </c>
      <c r="H90" s="62"/>
      <c r="I90" s="63">
        <f>-731790708.780001</f>
        <v>-731790708.78000104</v>
      </c>
      <c r="J90" s="64"/>
      <c r="K90" s="6"/>
    </row>
    <row r="91" spans="1:13" ht="13.5" customHeight="1" x14ac:dyDescent="0.2">
      <c r="B91" s="5"/>
      <c r="C91" s="55" t="s">
        <v>7</v>
      </c>
      <c r="D91" s="56"/>
      <c r="E91" s="56"/>
      <c r="F91" s="57"/>
      <c r="G91" s="48">
        <f>0</f>
        <v>0</v>
      </c>
      <c r="H91" s="49"/>
      <c r="I91" s="50">
        <f>0</f>
        <v>0</v>
      </c>
      <c r="J91" s="51"/>
      <c r="K91" s="6"/>
    </row>
    <row r="94" spans="1:13" ht="13.5" customHeight="1" x14ac:dyDescent="0.2">
      <c r="A94" s="7" t="s">
        <v>8</v>
      </c>
      <c r="B94" s="7">
        <f>1</f>
        <v>1</v>
      </c>
      <c r="C94" s="7" t="str">
        <f>IF(B94=1,"I Kwartał",IF(B94=2,"II Kwartały",IF(B94=3,"III Kwartały",IF(B94=4,"IV Kwartały","-"))))</f>
        <v>I Kwartał</v>
      </c>
    </row>
    <row r="95" spans="1:13" ht="13.5" customHeight="1" x14ac:dyDescent="0.2">
      <c r="A95" s="7" t="s">
        <v>9</v>
      </c>
      <c r="B95" s="7">
        <f>2023</f>
        <v>2023</v>
      </c>
      <c r="C95" s="8"/>
    </row>
    <row r="96" spans="1:13" ht="13.5" customHeight="1" x14ac:dyDescent="0.2">
      <c r="A96" s="7" t="s">
        <v>10</v>
      </c>
      <c r="B96" s="9" t="str">
        <f>"May 26 2023 12:00AM"</f>
        <v>May 26 2023 12:00AM</v>
      </c>
      <c r="C96" s="8"/>
    </row>
  </sheetData>
  <mergeCells count="75">
    <mergeCell ref="O6:Q6"/>
    <mergeCell ref="O7:O11"/>
    <mergeCell ref="A67:M67"/>
    <mergeCell ref="L35:L38"/>
    <mergeCell ref="P35:P38"/>
    <mergeCell ref="Q35:Q38"/>
    <mergeCell ref="N35:N38"/>
    <mergeCell ref="O35:O38"/>
    <mergeCell ref="D35:D38"/>
    <mergeCell ref="H7:H11"/>
    <mergeCell ref="M35:M38"/>
    <mergeCell ref="O34:Q34"/>
    <mergeCell ref="A32:M32"/>
    <mergeCell ref="B34:B38"/>
    <mergeCell ref="A34:A38"/>
    <mergeCell ref="C35:C38"/>
    <mergeCell ref="B71:E75"/>
    <mergeCell ref="B83:E83"/>
    <mergeCell ref="A86:M86"/>
    <mergeCell ref="B79:E79"/>
    <mergeCell ref="B80:E80"/>
    <mergeCell ref="B81:E81"/>
    <mergeCell ref="B78:E78"/>
    <mergeCell ref="B77:E77"/>
    <mergeCell ref="F71:F75"/>
    <mergeCell ref="G72:G75"/>
    <mergeCell ref="G71:L71"/>
    <mergeCell ref="A30:M30"/>
    <mergeCell ref="G91:H91"/>
    <mergeCell ref="I91:J91"/>
    <mergeCell ref="C88:F88"/>
    <mergeCell ref="C89:F89"/>
    <mergeCell ref="C90:F90"/>
    <mergeCell ref="C91:F91"/>
    <mergeCell ref="G89:H89"/>
    <mergeCell ref="G88:H88"/>
    <mergeCell ref="G90:H90"/>
    <mergeCell ref="I90:J90"/>
    <mergeCell ref="B82:E82"/>
    <mergeCell ref="I89:J89"/>
    <mergeCell ref="B69:M69"/>
    <mergeCell ref="I88:J88"/>
    <mergeCell ref="B76:E76"/>
    <mergeCell ref="E35:E38"/>
    <mergeCell ref="H72:H75"/>
    <mergeCell ref="I72:I75"/>
    <mergeCell ref="J72:J75"/>
    <mergeCell ref="A1:M1"/>
    <mergeCell ref="C5:M5"/>
    <mergeCell ref="A3:M3"/>
    <mergeCell ref="K7:K11"/>
    <mergeCell ref="C7:C11"/>
    <mergeCell ref="B6:B11"/>
    <mergeCell ref="A6:A11"/>
    <mergeCell ref="C6:N6"/>
    <mergeCell ref="D7:D11"/>
    <mergeCell ref="E7:E11"/>
    <mergeCell ref="L72:L75"/>
    <mergeCell ref="F35:F38"/>
    <mergeCell ref="K72:K75"/>
    <mergeCell ref="G35:G38"/>
    <mergeCell ref="Q7:Q11"/>
    <mergeCell ref="C34:N34"/>
    <mergeCell ref="L7:L11"/>
    <mergeCell ref="M7:M11"/>
    <mergeCell ref="N7:N11"/>
    <mergeCell ref="P7:P11"/>
    <mergeCell ref="G7:G11"/>
    <mergeCell ref="F7:F11"/>
    <mergeCell ref="I7:I11"/>
    <mergeCell ref="J7:J11"/>
    <mergeCell ref="H35:H38"/>
    <mergeCell ref="K35:K38"/>
    <mergeCell ref="I35:I38"/>
    <mergeCell ref="J35:J38"/>
  </mergeCells>
  <phoneticPr fontId="4" type="noConversion"/>
  <pageMargins left="0" right="0" top="0.19685039370078741" bottom="0.19685039370078741" header="0" footer="0"/>
  <pageSetup paperSize="9" scale="67" orientation="landscape" useFirstPageNumber="1" horizontalDpi="300" verticalDpi="300" r:id="rId1"/>
  <headerFooter alignWithMargins="0">
    <oddFooter>&amp;L&amp;D&amp;Rstrona &amp;P z 3</oddFooter>
  </headerFooter>
  <rowBreaks count="2" manualBreakCount="2">
    <brk id="29" max="16383" man="1"/>
    <brk id="6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zob_nal</vt:lpstr>
    </vt:vector>
  </TitlesOfParts>
  <Company>Min. Fin.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Alina Karolak</dc:creator>
  <cp:lastModifiedBy>Kołacz Bernard</cp:lastModifiedBy>
  <cp:lastPrinted>2016-08-26T11:29:32Z</cp:lastPrinted>
  <dcterms:created xsi:type="dcterms:W3CDTF">2001-05-17T08:58:03Z</dcterms:created>
  <dcterms:modified xsi:type="dcterms:W3CDTF">2023-06-01T13:56:40Z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InformacjePubliczneInformacjeSektoraPublicznego</vt:lpwstr>
  </property>
  <property fmtid="{D5CDD505-2E9C-101B-9397-08002B2CF9AE}" pid="3" name="MFClassifiedBy">
    <vt:lpwstr>UxC4dwLulzfINJ8nQH+xvX5LNGipWa4BRSZhPgxsCvkoSyW6oxOIkannjhetQWewJxpKYDbHrFlkYqkjpcojww==</vt:lpwstr>
  </property>
  <property fmtid="{D5CDD505-2E9C-101B-9397-08002B2CF9AE}" pid="4" name="MFClassificationDate">
    <vt:lpwstr>2023-06-01T15:41:56.1440600+02:00</vt:lpwstr>
  </property>
  <property fmtid="{D5CDD505-2E9C-101B-9397-08002B2CF9AE}" pid="5" name="MFClassifiedBySID">
    <vt:lpwstr>UxC4dwLulzfINJ8nQH+xvX5LNGipWa4BRSZhPgxsCvm42mrIC/DSDv0ggS+FjUN/2v1BBotkLlY5aAiEhoi6uT6l/lYoTwrNwDVvKCDJdoy+W2nzAk+kqrZcOJSg0aUa</vt:lpwstr>
  </property>
  <property fmtid="{D5CDD505-2E9C-101B-9397-08002B2CF9AE}" pid="6" name="MFGRNItemId">
    <vt:lpwstr>GRN-4fa3a5c6-5cd0-4c66-850b-fbb9ee4e108c</vt:lpwstr>
  </property>
  <property fmtid="{D5CDD505-2E9C-101B-9397-08002B2CF9AE}" pid="7" name="MFHash">
    <vt:lpwstr>fALQfiOAoLZp58nm+WYybWEXbePSD5cSjTMfNAoLBPM=</vt:lpwstr>
  </property>
  <property fmtid="{D5CDD505-2E9C-101B-9397-08002B2CF9AE}" pid="8" name="DLPManualFileClassification">
    <vt:lpwstr>{2755b7d9-e53d-4779-a40c-03797dcf43b3}</vt:lpwstr>
  </property>
  <property fmtid="{D5CDD505-2E9C-101B-9397-08002B2CF9AE}" pid="9" name="MFRefresh">
    <vt:lpwstr>False</vt:lpwstr>
  </property>
</Properties>
</file>