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3A96C357-7006-4883-A8D0-E77759A52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4" l="1"/>
  <c r="C118" i="4"/>
  <c r="C117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5" i="4"/>
  <c r="H55" i="4"/>
  <c r="G55" i="4"/>
  <c r="F55" i="4"/>
  <c r="E55" i="4"/>
  <c r="D55" i="4"/>
  <c r="C55" i="4"/>
  <c r="D52" i="4"/>
  <c r="C52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8" i="4" l="1"/>
  <c r="K15" i="4"/>
  <c r="G81" i="4"/>
  <c r="I81" i="4"/>
  <c r="K20" i="4"/>
  <c r="C75" i="4"/>
  <c r="C68" i="4"/>
  <c r="K68" i="4" s="1"/>
  <c r="K65" i="4"/>
  <c r="K87" i="4"/>
  <c r="K67" i="4"/>
  <c r="E68" i="4"/>
  <c r="E74" i="4" s="1"/>
  <c r="D117" i="4"/>
  <c r="D23" i="4"/>
  <c r="D22" i="4" s="1"/>
  <c r="K88" i="4"/>
  <c r="K13" i="4"/>
  <c r="K93" i="4"/>
  <c r="K94" i="4"/>
  <c r="K99" i="4"/>
  <c r="K10" i="4"/>
  <c r="K17" i="4"/>
  <c r="K100" i="4"/>
  <c r="K18" i="4"/>
  <c r="H7" i="4"/>
  <c r="H21" i="4" s="1"/>
  <c r="H54" i="4"/>
  <c r="H56" i="4" s="1"/>
  <c r="I7" i="4"/>
  <c r="I21" i="4" s="1"/>
  <c r="I54" i="4"/>
  <c r="I56" i="4" s="1"/>
  <c r="K27" i="4"/>
  <c r="K33" i="4"/>
  <c r="K39" i="4"/>
  <c r="K45" i="4"/>
  <c r="K52" i="4"/>
  <c r="F68" i="4"/>
  <c r="F74" i="4" s="1"/>
  <c r="K80" i="4"/>
  <c r="G68" i="4"/>
  <c r="G74" i="4" s="1"/>
  <c r="K70" i="4"/>
  <c r="K89" i="4"/>
  <c r="K95" i="4"/>
  <c r="K101" i="4"/>
  <c r="K28" i="4"/>
  <c r="K34" i="4"/>
  <c r="K40" i="4"/>
  <c r="K47" i="4"/>
  <c r="C46" i="4"/>
  <c r="K55" i="4"/>
  <c r="H68" i="4"/>
  <c r="H74" i="4" s="1"/>
  <c r="E81" i="4"/>
  <c r="K12" i="4"/>
  <c r="D46" i="4"/>
  <c r="J46" i="4" s="1"/>
  <c r="K72" i="4"/>
  <c r="K90" i="4"/>
  <c r="K96" i="4"/>
  <c r="K102" i="4"/>
  <c r="K6" i="4"/>
  <c r="C54" i="4"/>
  <c r="K19" i="4"/>
  <c r="K29" i="4"/>
  <c r="K35" i="4"/>
  <c r="K41" i="4"/>
  <c r="K48" i="4"/>
  <c r="K66" i="4"/>
  <c r="J27" i="4"/>
  <c r="J28" i="4"/>
  <c r="J31" i="4"/>
  <c r="J49" i="4"/>
  <c r="J18" i="4"/>
  <c r="J44" i="4"/>
  <c r="J35" i="4"/>
  <c r="J45" i="4"/>
  <c r="J19" i="4"/>
  <c r="J43" i="4"/>
  <c r="J33" i="4"/>
  <c r="J32" i="4"/>
  <c r="J12" i="4"/>
  <c r="J50" i="4"/>
  <c r="J17" i="4"/>
  <c r="J40" i="4"/>
  <c r="J41" i="4"/>
  <c r="J47" i="4"/>
  <c r="J6" i="4"/>
  <c r="J16" i="4"/>
  <c r="J23" i="4"/>
  <c r="J52" i="4"/>
  <c r="J11" i="4"/>
  <c r="J8" i="4"/>
  <c r="J38" i="4"/>
  <c r="J24" i="4"/>
  <c r="J37" i="4"/>
  <c r="J51" i="4"/>
  <c r="J25" i="4"/>
  <c r="J15" i="4"/>
  <c r="J20" i="4"/>
  <c r="J10" i="4"/>
  <c r="J13" i="4"/>
  <c r="D54" i="4"/>
  <c r="J9" i="4"/>
  <c r="J48" i="4"/>
  <c r="J30" i="4"/>
  <c r="J34" i="4"/>
  <c r="J14" i="4"/>
  <c r="J42" i="4"/>
  <c r="J36" i="4"/>
  <c r="J26" i="4"/>
  <c r="J22" i="4"/>
  <c r="J29" i="4"/>
  <c r="J39" i="4"/>
  <c r="D75" i="4"/>
  <c r="K14" i="4"/>
  <c r="K79" i="4"/>
  <c r="C81" i="4"/>
  <c r="K91" i="4"/>
  <c r="K97" i="4"/>
  <c r="E7" i="4"/>
  <c r="E21" i="4" s="1"/>
  <c r="E54" i="4"/>
  <c r="E56" i="4" s="1"/>
  <c r="K9" i="4"/>
  <c r="C23" i="4"/>
  <c r="K24" i="4"/>
  <c r="K30" i="4"/>
  <c r="K36" i="4"/>
  <c r="K42" i="4"/>
  <c r="K49" i="4"/>
  <c r="K69" i="4"/>
  <c r="D81" i="4"/>
  <c r="J81" i="4"/>
  <c r="J79" i="4"/>
  <c r="J80" i="4"/>
  <c r="J100" i="4"/>
  <c r="J102" i="4"/>
  <c r="J99" i="4"/>
  <c r="J97" i="4"/>
  <c r="J98" i="4"/>
  <c r="J101" i="4"/>
  <c r="F54" i="4"/>
  <c r="F56" i="4" s="1"/>
  <c r="F7" i="4"/>
  <c r="F21" i="4" s="1"/>
  <c r="K16" i="4"/>
  <c r="K86" i="4"/>
  <c r="K92" i="4"/>
  <c r="K98" i="4"/>
  <c r="G54" i="4"/>
  <c r="G56" i="4" s="1"/>
  <c r="G7" i="4"/>
  <c r="G21" i="4" s="1"/>
  <c r="K11" i="4"/>
  <c r="K25" i="4"/>
  <c r="K31" i="4"/>
  <c r="K37" i="4"/>
  <c r="K43" i="4"/>
  <c r="K50" i="4"/>
  <c r="K71" i="4"/>
  <c r="F81" i="4"/>
  <c r="J96" i="4"/>
  <c r="J86" i="4"/>
  <c r="J95" i="4"/>
  <c r="J90" i="4"/>
  <c r="J87" i="4"/>
  <c r="J92" i="4"/>
  <c r="J88" i="4"/>
  <c r="J91" i="4"/>
  <c r="J93" i="4"/>
  <c r="J94" i="4"/>
  <c r="J89" i="4"/>
  <c r="K26" i="4"/>
  <c r="K32" i="4"/>
  <c r="K38" i="4"/>
  <c r="K44" i="4"/>
  <c r="K51" i="4"/>
  <c r="J68" i="4"/>
  <c r="J66" i="4"/>
  <c r="J74" i="4"/>
  <c r="J71" i="4"/>
  <c r="J70" i="4"/>
  <c r="D68" i="4"/>
  <c r="D74" i="4" s="1"/>
  <c r="J72" i="4"/>
  <c r="J73" i="4"/>
  <c r="J65" i="4"/>
  <c r="J69" i="4"/>
  <c r="J67" i="4"/>
  <c r="I68" i="4"/>
  <c r="I74" i="4" s="1"/>
  <c r="K73" i="4"/>
  <c r="H81" i="4"/>
  <c r="K81" i="4" l="1"/>
  <c r="C74" i="4"/>
  <c r="K74" i="4" s="1"/>
  <c r="K46" i="4"/>
  <c r="D56" i="4"/>
  <c r="D76" i="4" s="1"/>
  <c r="J55" i="4"/>
  <c r="J54" i="4"/>
  <c r="C22" i="4"/>
  <c r="K23" i="4"/>
  <c r="B1" i="4"/>
  <c r="B58" i="4"/>
  <c r="B82" i="4"/>
  <c r="D7" i="4"/>
  <c r="J7" i="4" s="1"/>
  <c r="C56" i="4"/>
  <c r="K54" i="4"/>
  <c r="J56" i="4" l="1"/>
  <c r="K22" i="4"/>
  <c r="C7" i="4"/>
  <c r="L16" i="4"/>
  <c r="L14" i="4"/>
  <c r="L18" i="4"/>
  <c r="L17" i="4"/>
  <c r="L19" i="4"/>
  <c r="L9" i="4"/>
  <c r="L7" i="4"/>
  <c r="L10" i="4"/>
  <c r="L15" i="4"/>
  <c r="L13" i="4"/>
  <c r="D21" i="4"/>
  <c r="J21" i="4" s="1"/>
  <c r="L8" i="4"/>
  <c r="L12" i="4"/>
  <c r="L11" i="4"/>
  <c r="L20" i="4"/>
  <c r="C76" i="4"/>
  <c r="K56" i="4"/>
  <c r="L21" i="4" l="1"/>
  <c r="K7" i="4"/>
  <c r="C21" i="4"/>
  <c r="K21" i="4" s="1"/>
</calcChain>
</file>

<file path=xl/sharedStrings.xml><?xml version="1.0" encoding="utf-8"?>
<sst xmlns="http://schemas.openxmlformats.org/spreadsheetml/2006/main" count="365" uniqueCount="115">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</sst>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5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9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7" t="str">
        <f>CONCATENATE("Informacja z wykonania budżetów jednostek samorządu terytorialnego za ",$D$117," ",$C$118," roku")</f>
        <v>Informacja z wykonania budżetów jednostek samorządu terytorialnego za III Kwartały 2023 roku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.75" customHeight="1" x14ac:dyDescent="0.2"/>
    <row r="3" spans="2:13" ht="66.75" customHeight="1" x14ac:dyDescent="0.2">
      <c r="B3" s="106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06"/>
      <c r="C4" s="108" t="s">
        <v>78</v>
      </c>
      <c r="D4" s="109"/>
      <c r="E4" s="109"/>
      <c r="F4" s="109"/>
      <c r="G4" s="109"/>
      <c r="H4" s="109"/>
      <c r="I4" s="110"/>
      <c r="J4" s="107" t="s">
        <v>4</v>
      </c>
      <c r="K4" s="107"/>
      <c r="L4" s="107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7" t="s">
        <v>5</v>
      </c>
      <c r="C6" s="58">
        <f>369489254049.92</f>
        <v>369489254049.91998</v>
      </c>
      <c r="D6" s="58">
        <f>265293220346.79</f>
        <v>265293220346.79001</v>
      </c>
      <c r="E6" s="58">
        <f>3636989854.24</f>
        <v>3636989854.2399998</v>
      </c>
      <c r="F6" s="58">
        <f>652959866.37</f>
        <v>652959866.37</v>
      </c>
      <c r="G6" s="58">
        <f>85852332.29</f>
        <v>85852332.290000007</v>
      </c>
      <c r="H6" s="58">
        <f>190021355.19</f>
        <v>190021355.19</v>
      </c>
      <c r="I6" s="58">
        <f>2932022.79</f>
        <v>2932022.79</v>
      </c>
      <c r="J6" s="59">
        <f t="shared" ref="J6:J52" si="0">IF($D$6=0,"",100*$D6/$D$6)</f>
        <v>100</v>
      </c>
      <c r="K6" s="59">
        <f t="shared" ref="K6:K52" si="1">IF(C6=0,"",100*D6/C6)</f>
        <v>71.799982662269102</v>
      </c>
      <c r="L6" s="59"/>
    </row>
    <row r="7" spans="2:13" ht="27.95" customHeight="1" x14ac:dyDescent="0.2">
      <c r="B7" s="76" t="s">
        <v>59</v>
      </c>
      <c r="C7" s="25">
        <f>C6-C22-C46</f>
        <v>180059370529.94</v>
      </c>
      <c r="D7" s="25">
        <f>D6-D22-D46</f>
        <v>132734684908.53001</v>
      </c>
      <c r="E7" s="25">
        <f>E6</f>
        <v>3636989854.2399998</v>
      </c>
      <c r="F7" s="25">
        <f>F6</f>
        <v>652959866.37</v>
      </c>
      <c r="G7" s="25">
        <f>G6</f>
        <v>85852332.290000007</v>
      </c>
      <c r="H7" s="25">
        <f>H6</f>
        <v>190021355.19</v>
      </c>
      <c r="I7" s="25">
        <f>I6</f>
        <v>2932022.79</v>
      </c>
      <c r="J7" s="34">
        <f t="shared" si="0"/>
        <v>50.033199014667574</v>
      </c>
      <c r="K7" s="34">
        <f t="shared" si="1"/>
        <v>73.717177016599138</v>
      </c>
      <c r="L7" s="34">
        <f t="shared" ref="L7:L21" si="2">IF($D$7=0,"",100*$D7/$D$7)</f>
        <v>100</v>
      </c>
    </row>
    <row r="8" spans="2:13" ht="23.1" customHeight="1" outlineLevel="1" x14ac:dyDescent="0.2">
      <c r="B8" s="31" t="s">
        <v>34</v>
      </c>
      <c r="C8" s="23">
        <f>21812297032</f>
        <v>21812297032</v>
      </c>
      <c r="D8" s="23">
        <f>16359749770</f>
        <v>16359749770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6.1666671121917913</v>
      </c>
      <c r="K8" s="35">
        <f t="shared" si="1"/>
        <v>75.00241604998881</v>
      </c>
      <c r="L8" s="35">
        <f t="shared" si="2"/>
        <v>12.325150567294308</v>
      </c>
    </row>
    <row r="9" spans="2:13" ht="23.1" customHeight="1" outlineLevel="1" x14ac:dyDescent="0.2">
      <c r="B9" s="31" t="s">
        <v>19</v>
      </c>
      <c r="C9" s="23">
        <f>51749658230.02</f>
        <v>51749658230.019997</v>
      </c>
      <c r="D9" s="23">
        <f>38801530701</f>
        <v>38801530701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14.625903613472982</v>
      </c>
      <c r="K9" s="35">
        <f t="shared" si="1"/>
        <v>74.979298469050022</v>
      </c>
      <c r="L9" s="35">
        <f t="shared" si="2"/>
        <v>29.232397491084466</v>
      </c>
    </row>
    <row r="10" spans="2:13" ht="12.95" customHeight="1" outlineLevel="1" x14ac:dyDescent="0.2">
      <c r="B10" s="31" t="s">
        <v>20</v>
      </c>
      <c r="C10" s="23">
        <f>2010687312.28</f>
        <v>2010687312.28</v>
      </c>
      <c r="D10" s="23">
        <f>1572312844.86</f>
        <v>1572312844.8599999</v>
      </c>
      <c r="E10" s="23">
        <f>183869466.48</f>
        <v>183869466.47999999</v>
      </c>
      <c r="F10" s="23">
        <f>2059535.53</f>
        <v>2059535.53</v>
      </c>
      <c r="G10" s="23">
        <f>1384400.19</f>
        <v>1384400.19</v>
      </c>
      <c r="H10" s="23">
        <f>2122572.54</f>
        <v>2122572.54</v>
      </c>
      <c r="I10" s="24">
        <f>3616.38</f>
        <v>3616.38</v>
      </c>
      <c r="J10" s="35">
        <f t="shared" si="0"/>
        <v>0.59266981749653469</v>
      </c>
      <c r="K10" s="35">
        <f t="shared" si="1"/>
        <v>78.197780194728068</v>
      </c>
      <c r="L10" s="35">
        <f t="shared" si="2"/>
        <v>1.184553115068236</v>
      </c>
    </row>
    <row r="11" spans="2:13" ht="12.95" customHeight="1" outlineLevel="1" x14ac:dyDescent="0.2">
      <c r="B11" s="31" t="s">
        <v>21</v>
      </c>
      <c r="C11" s="23">
        <f>31217841496.72</f>
        <v>31217841496.720001</v>
      </c>
      <c r="D11" s="23">
        <f>23859008608.24</f>
        <v>23859008608.240002</v>
      </c>
      <c r="E11" s="23">
        <f>2215023449.44</f>
        <v>2215023449.4400001</v>
      </c>
      <c r="F11" s="23">
        <f>648055569.99</f>
        <v>648055569.99000001</v>
      </c>
      <c r="G11" s="23">
        <f>64070745.06</f>
        <v>64070745.060000002</v>
      </c>
      <c r="H11" s="23">
        <f>146648279.87</f>
        <v>146648279.87</v>
      </c>
      <c r="I11" s="24">
        <f>1539024.99</f>
        <v>1539024.99</v>
      </c>
      <c r="J11" s="35">
        <f t="shared" si="0"/>
        <v>8.9934482973411907</v>
      </c>
      <c r="K11" s="35">
        <f t="shared" si="1"/>
        <v>76.427476930930098</v>
      </c>
      <c r="L11" s="35">
        <f t="shared" si="2"/>
        <v>17.974961574423215</v>
      </c>
    </row>
    <row r="12" spans="2:13" ht="12.95" customHeight="1" outlineLevel="1" x14ac:dyDescent="0.2">
      <c r="B12" s="31" t="s">
        <v>22</v>
      </c>
      <c r="C12" s="23">
        <f>464856489.22</f>
        <v>464856489.22000003</v>
      </c>
      <c r="D12" s="23">
        <f>387694241.71</f>
        <v>387694241.70999998</v>
      </c>
      <c r="E12" s="23">
        <f>5041789.5</f>
        <v>5041789.5</v>
      </c>
      <c r="F12" s="23">
        <f>767386.42</f>
        <v>767386.42</v>
      </c>
      <c r="G12" s="23">
        <f>64377.73</f>
        <v>64377.73</v>
      </c>
      <c r="H12" s="23">
        <f>83094.76</f>
        <v>83094.759999999995</v>
      </c>
      <c r="I12" s="24">
        <f>0</f>
        <v>0</v>
      </c>
      <c r="J12" s="35">
        <f t="shared" si="0"/>
        <v>0.14613801332850043</v>
      </c>
      <c r="K12" s="35">
        <f t="shared" si="1"/>
        <v>83.400845357784846</v>
      </c>
      <c r="L12" s="35">
        <f t="shared" si="2"/>
        <v>0.29208208990526285</v>
      </c>
    </row>
    <row r="13" spans="2:13" ht="12.95" customHeight="1" outlineLevel="1" x14ac:dyDescent="0.2">
      <c r="B13" s="31" t="s">
        <v>23</v>
      </c>
      <c r="C13" s="23">
        <f>1445099185.12</f>
        <v>1445099185.1199999</v>
      </c>
      <c r="D13" s="23">
        <f>1280040784.05</f>
        <v>1280040784.05</v>
      </c>
      <c r="E13" s="23">
        <f>1212856366.23</f>
        <v>1212856366.23</v>
      </c>
      <c r="F13" s="23">
        <f>2059308.43</f>
        <v>2059308.43</v>
      </c>
      <c r="G13" s="23">
        <f>1803767.99</f>
        <v>1803767.99</v>
      </c>
      <c r="H13" s="23">
        <f>4749985.4</f>
        <v>4749985.4000000004</v>
      </c>
      <c r="I13" s="24">
        <f>112830.19</f>
        <v>112830.19</v>
      </c>
      <c r="J13" s="35">
        <f t="shared" si="0"/>
        <v>0.48250037538717988</v>
      </c>
      <c r="K13" s="35">
        <f t="shared" si="1"/>
        <v>88.578057287030191</v>
      </c>
      <c r="L13" s="35">
        <f t="shared" si="2"/>
        <v>0.96436043445019692</v>
      </c>
    </row>
    <row r="14" spans="2:13" ht="33" customHeight="1" outlineLevel="1" x14ac:dyDescent="0.2">
      <c r="B14" s="31" t="s">
        <v>43</v>
      </c>
      <c r="C14" s="23">
        <f>185637601.64</f>
        <v>185637601.63999999</v>
      </c>
      <c r="D14" s="23">
        <f>128986053.79</f>
        <v>128986053.79000001</v>
      </c>
      <c r="E14" s="23">
        <f>0</f>
        <v>0</v>
      </c>
      <c r="F14" s="23">
        <f>0</f>
        <v>0</v>
      </c>
      <c r="G14" s="23">
        <f>39705.06</f>
        <v>39705.06</v>
      </c>
      <c r="H14" s="23">
        <f>331684.99</f>
        <v>331684.99</v>
      </c>
      <c r="I14" s="24">
        <f>0</f>
        <v>0</v>
      </c>
      <c r="J14" s="35">
        <f t="shared" si="0"/>
        <v>4.862018472292283E-2</v>
      </c>
      <c r="K14" s="35">
        <f t="shared" si="1"/>
        <v>69.48271936853493</v>
      </c>
      <c r="L14" s="35">
        <f t="shared" si="2"/>
        <v>9.7175846598714366E-2</v>
      </c>
    </row>
    <row r="15" spans="2:13" ht="12.95" customHeight="1" outlineLevel="1" x14ac:dyDescent="0.2">
      <c r="B15" s="31" t="s">
        <v>28</v>
      </c>
      <c r="C15" s="23">
        <f>466388631.22</f>
        <v>466388631.22000003</v>
      </c>
      <c r="D15" s="23">
        <f>437954284.65</f>
        <v>437954284.64999998</v>
      </c>
      <c r="E15" s="23">
        <f>0</f>
        <v>0</v>
      </c>
      <c r="F15" s="23">
        <f>0</f>
        <v>0</v>
      </c>
      <c r="G15" s="23">
        <f>4651820.5</f>
        <v>4651820.5</v>
      </c>
      <c r="H15" s="23">
        <f>15881875.74</f>
        <v>15881875.74</v>
      </c>
      <c r="I15" s="24">
        <f>0</f>
        <v>0</v>
      </c>
      <c r="J15" s="35">
        <f t="shared" si="0"/>
        <v>0.16508310467847925</v>
      </c>
      <c r="K15" s="35">
        <f t="shared" si="1"/>
        <v>93.903293376680253</v>
      </c>
      <c r="L15" s="35">
        <f t="shared" si="2"/>
        <v>0.32994713096415046</v>
      </c>
    </row>
    <row r="16" spans="2:13" ht="23.1" customHeight="1" outlineLevel="1" x14ac:dyDescent="0.2">
      <c r="B16" s="31" t="s">
        <v>29</v>
      </c>
      <c r="C16" s="23">
        <f>3880968012.6</f>
        <v>3880968012.5999999</v>
      </c>
      <c r="D16" s="23">
        <f>2934864448.6</f>
        <v>2934864448.5999999</v>
      </c>
      <c r="E16" s="23">
        <f>0</f>
        <v>0</v>
      </c>
      <c r="F16" s="23">
        <f>0</f>
        <v>0</v>
      </c>
      <c r="G16" s="23">
        <f>117294.99</f>
        <v>117294.99</v>
      </c>
      <c r="H16" s="23">
        <f>593182.34</f>
        <v>593182.34</v>
      </c>
      <c r="I16" s="24">
        <f>0</f>
        <v>0</v>
      </c>
      <c r="J16" s="35">
        <f t="shared" si="0"/>
        <v>1.106271937429671</v>
      </c>
      <c r="K16" s="35">
        <f t="shared" si="1"/>
        <v>75.621969546557253</v>
      </c>
      <c r="L16" s="35">
        <f t="shared" si="2"/>
        <v>2.211075764124856</v>
      </c>
    </row>
    <row r="17" spans="2:12" ht="12.95" customHeight="1" outlineLevel="1" x14ac:dyDescent="0.2">
      <c r="B17" s="31" t="s">
        <v>30</v>
      </c>
      <c r="C17" s="23">
        <f>602397847.01</f>
        <v>602397847.00999999</v>
      </c>
      <c r="D17" s="23">
        <f>472696371.46</f>
        <v>472696371.45999998</v>
      </c>
      <c r="E17" s="23">
        <f>0</f>
        <v>0</v>
      </c>
      <c r="F17" s="23">
        <f>0</f>
        <v>0</v>
      </c>
      <c r="G17" s="23">
        <f>5031</f>
        <v>5031</v>
      </c>
      <c r="H17" s="23">
        <f>326</f>
        <v>326</v>
      </c>
      <c r="I17" s="24">
        <f>0</f>
        <v>0</v>
      </c>
      <c r="J17" s="35">
        <f t="shared" si="0"/>
        <v>0.17817883579614044</v>
      </c>
      <c r="K17" s="35">
        <f t="shared" si="1"/>
        <v>78.469133614309399</v>
      </c>
      <c r="L17" s="35">
        <f t="shared" si="2"/>
        <v>0.35612121412405812</v>
      </c>
    </row>
    <row r="18" spans="2:12" ht="12.95" customHeight="1" outlineLevel="1" x14ac:dyDescent="0.2">
      <c r="B18" s="31" t="s">
        <v>31</v>
      </c>
      <c r="C18" s="23">
        <f>494567465.03</f>
        <v>494567465.02999997</v>
      </c>
      <c r="D18" s="23">
        <f>443163882.4</f>
        <v>443163882.39999998</v>
      </c>
      <c r="E18" s="23">
        <f>0</f>
        <v>0</v>
      </c>
      <c r="F18" s="23">
        <f>0</f>
        <v>0</v>
      </c>
      <c r="G18" s="23">
        <f>0</f>
        <v>0</v>
      </c>
      <c r="H18" s="23">
        <f>267825.24</f>
        <v>267825.24</v>
      </c>
      <c r="I18" s="24">
        <f>0</f>
        <v>0</v>
      </c>
      <c r="J18" s="35">
        <f t="shared" si="0"/>
        <v>0.16704681778927419</v>
      </c>
      <c r="K18" s="35">
        <f t="shared" si="1"/>
        <v>89.606355802866673</v>
      </c>
      <c r="L18" s="35">
        <f t="shared" si="2"/>
        <v>0.33387195118246044</v>
      </c>
    </row>
    <row r="19" spans="2:12" ht="12.95" customHeight="1" outlineLevel="1" x14ac:dyDescent="0.2">
      <c r="B19" s="31" t="s">
        <v>32</v>
      </c>
      <c r="C19" s="23">
        <f>126509578.12</f>
        <v>126509578.12</v>
      </c>
      <c r="D19" s="23">
        <f>92800558.77</f>
        <v>92800558.769999996</v>
      </c>
      <c r="E19" s="23">
        <f>1054588.99</f>
        <v>1054588.99</v>
      </c>
      <c r="F19" s="23">
        <f>0</f>
        <v>0</v>
      </c>
      <c r="G19" s="23">
        <f>1117</f>
        <v>1117</v>
      </c>
      <c r="H19" s="23">
        <f>85531.38</f>
        <v>85531.38</v>
      </c>
      <c r="I19" s="24">
        <f>0</f>
        <v>0</v>
      </c>
      <c r="J19" s="35">
        <f t="shared" si="0"/>
        <v>3.4980373282321939E-2</v>
      </c>
      <c r="K19" s="35">
        <f t="shared" si="1"/>
        <v>73.354571368481288</v>
      </c>
      <c r="L19" s="35">
        <f t="shared" si="2"/>
        <v>6.9914324830733302E-2</v>
      </c>
    </row>
    <row r="20" spans="2:12" ht="12.95" customHeight="1" outlineLevel="1" x14ac:dyDescent="0.2">
      <c r="B20" s="31" t="s">
        <v>24</v>
      </c>
      <c r="C20" s="23">
        <f>11655706739.94</f>
        <v>11655706739.940001</v>
      </c>
      <c r="D20" s="23">
        <f>6980351069.09</f>
        <v>6980351069.0900002</v>
      </c>
      <c r="E20" s="23">
        <f>0</f>
        <v>0</v>
      </c>
      <c r="F20" s="23">
        <f>0</f>
        <v>0</v>
      </c>
      <c r="G20" s="23">
        <f>14258.33</f>
        <v>14258.33</v>
      </c>
      <c r="H20" s="23">
        <f>20488.84</f>
        <v>20488.84</v>
      </c>
      <c r="I20" s="24">
        <f>622350</f>
        <v>622350</v>
      </c>
      <c r="J20" s="35">
        <f t="shared" si="0"/>
        <v>2.6311833600441501</v>
      </c>
      <c r="K20" s="35">
        <f t="shared" si="1"/>
        <v>59.887840564577658</v>
      </c>
      <c r="L20" s="35">
        <f t="shared" si="2"/>
        <v>5.2588749307690694</v>
      </c>
    </row>
    <row r="21" spans="2:12" ht="12.95" customHeight="1" outlineLevel="1" x14ac:dyDescent="0.2">
      <c r="B21" s="31" t="s">
        <v>25</v>
      </c>
      <c r="C21" s="23">
        <f>C7-C8-C9-C10-C11-C12-C13-C14-C15-C16-C17-C18-C19-C20</f>
        <v>53946754909.020012</v>
      </c>
      <c r="D21" s="23">
        <f t="shared" ref="D21:I21" si="3">D7-D8-D9-D10-D11-D12-D13-D14-D15-D16-D17-D18-D19-D20</f>
        <v>38983531289.910004</v>
      </c>
      <c r="E21" s="23">
        <f t="shared" si="3"/>
        <v>19144193.599999677</v>
      </c>
      <c r="F21" s="23">
        <f t="shared" si="3"/>
        <v>18066.000000023982</v>
      </c>
      <c r="G21" s="23">
        <f t="shared" si="3"/>
        <v>13699814.440000009</v>
      </c>
      <c r="H21" s="23">
        <f t="shared" si="3"/>
        <v>19236508.090000004</v>
      </c>
      <c r="I21" s="24">
        <f t="shared" si="3"/>
        <v>654201.23000000021</v>
      </c>
      <c r="J21" s="35">
        <f t="shared" si="0"/>
        <v>14.694507171706432</v>
      </c>
      <c r="K21" s="35">
        <f t="shared" si="1"/>
        <v>72.262977366580913</v>
      </c>
      <c r="L21" s="35">
        <f t="shared" si="2"/>
        <v>29.369513565180267</v>
      </c>
    </row>
    <row r="22" spans="2:12" ht="27.95" customHeight="1" x14ac:dyDescent="0.2">
      <c r="B22" s="77" t="s">
        <v>103</v>
      </c>
      <c r="C22" s="58">
        <f>C23+C42+C44</f>
        <v>93930704076.349991</v>
      </c>
      <c r="D22" s="58">
        <f>D23+D42+D44</f>
        <v>53999302799.019997</v>
      </c>
      <c r="E22" s="60" t="s">
        <v>58</v>
      </c>
      <c r="F22" s="60" t="s">
        <v>58</v>
      </c>
      <c r="G22" s="60" t="s">
        <v>58</v>
      </c>
      <c r="H22" s="60" t="s">
        <v>58</v>
      </c>
      <c r="I22" s="60" t="s">
        <v>58</v>
      </c>
      <c r="J22" s="59">
        <f t="shared" si="0"/>
        <v>20.354573225969503</v>
      </c>
      <c r="K22" s="59">
        <f t="shared" si="1"/>
        <v>57.488446754458025</v>
      </c>
      <c r="L22" s="61"/>
    </row>
    <row r="23" spans="2:12" ht="27.95" customHeight="1" outlineLevel="1" x14ac:dyDescent="0.2">
      <c r="B23" s="82" t="s">
        <v>60</v>
      </c>
      <c r="C23" s="58">
        <f>C24+C26+C28+C30+C32+C34+C36+C38+C40</f>
        <v>73579133813.339996</v>
      </c>
      <c r="D23" s="58">
        <f>D24+D26+D28+D30+D32+D34+D36+D38+D40</f>
        <v>43999754765.909996</v>
      </c>
      <c r="E23" s="60" t="s">
        <v>58</v>
      </c>
      <c r="F23" s="60" t="s">
        <v>58</v>
      </c>
      <c r="G23" s="60" t="s">
        <v>58</v>
      </c>
      <c r="H23" s="60" t="s">
        <v>58</v>
      </c>
      <c r="I23" s="60" t="s">
        <v>58</v>
      </c>
      <c r="J23" s="59">
        <f t="shared" si="0"/>
        <v>16.585329511396385</v>
      </c>
      <c r="K23" s="59">
        <f t="shared" si="1"/>
        <v>59.799229055252596</v>
      </c>
      <c r="L23" s="61"/>
    </row>
    <row r="24" spans="2:12" ht="24.95" customHeight="1" outlineLevel="1" x14ac:dyDescent="0.2">
      <c r="B24" s="81" t="s">
        <v>9</v>
      </c>
      <c r="C24" s="24">
        <f>24316140047.91</f>
        <v>24316140047.91</v>
      </c>
      <c r="D24" s="24">
        <f>19946828383.18</f>
        <v>19946828383.18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7.5187855751102886</v>
      </c>
      <c r="K24" s="35">
        <f t="shared" si="1"/>
        <v>82.031228409931998</v>
      </c>
      <c r="L24" s="30"/>
    </row>
    <row r="25" spans="2:12" ht="12.95" customHeight="1" outlineLevel="1" x14ac:dyDescent="0.2">
      <c r="B25" s="83" t="s">
        <v>6</v>
      </c>
      <c r="C25" s="24">
        <f>443475879.23</f>
        <v>443475879.23000002</v>
      </c>
      <c r="D25" s="24">
        <f>317696708.45</f>
        <v>317696708.44999999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0.11975304458768618</v>
      </c>
      <c r="K25" s="35">
        <f t="shared" si="1"/>
        <v>71.637877803323065</v>
      </c>
      <c r="L25" s="30"/>
    </row>
    <row r="26" spans="2:12" ht="12.95" customHeight="1" outlineLevel="1" x14ac:dyDescent="0.2">
      <c r="B26" s="81" t="s">
        <v>7</v>
      </c>
      <c r="C26" s="24">
        <f>7152986884.8</f>
        <v>7152986884.8000002</v>
      </c>
      <c r="D26" s="24">
        <f>4978710734.28</f>
        <v>4978710734.2799997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1.8766822340095437</v>
      </c>
      <c r="K26" s="35">
        <f t="shared" si="1"/>
        <v>69.603241477482541</v>
      </c>
      <c r="L26" s="30"/>
    </row>
    <row r="27" spans="2:12" ht="12.95" customHeight="1" outlineLevel="1" x14ac:dyDescent="0.2">
      <c r="B27" s="83" t="s">
        <v>6</v>
      </c>
      <c r="C27" s="24">
        <f>1131087685.55</f>
        <v>1131087685.55</v>
      </c>
      <c r="D27" s="24">
        <f>567018955.21</f>
        <v>567018955.21000004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0.21373292331737523</v>
      </c>
      <c r="K27" s="35">
        <f t="shared" si="1"/>
        <v>50.130415391648683</v>
      </c>
      <c r="L27" s="30"/>
    </row>
    <row r="28" spans="2:12" ht="33" customHeight="1" outlineLevel="1" x14ac:dyDescent="0.2">
      <c r="B28" s="81" t="s">
        <v>10</v>
      </c>
      <c r="C28" s="24">
        <f>395257268.58</f>
        <v>395257268.57999998</v>
      </c>
      <c r="D28" s="24">
        <f>268526935.35</f>
        <v>268526935.35000002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0.10121892108625427</v>
      </c>
      <c r="K28" s="35">
        <f t="shared" si="1"/>
        <v>67.937254212859656</v>
      </c>
      <c r="L28" s="30"/>
    </row>
    <row r="29" spans="2:12" ht="12.95" customHeight="1" outlineLevel="1" x14ac:dyDescent="0.2">
      <c r="B29" s="83" t="s">
        <v>6</v>
      </c>
      <c r="C29" s="24">
        <f>63019413.49</f>
        <v>63019413.490000002</v>
      </c>
      <c r="D29" s="24">
        <f>21954436.33</f>
        <v>21954436.329999998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8.2755361412181084E-3</v>
      </c>
      <c r="K29" s="35">
        <f t="shared" si="1"/>
        <v>34.837576413629677</v>
      </c>
      <c r="L29" s="30"/>
    </row>
    <row r="30" spans="2:12" ht="27.95" customHeight="1" outlineLevel="1" x14ac:dyDescent="0.2">
      <c r="B30" s="81" t="s">
        <v>11</v>
      </c>
      <c r="C30" s="24">
        <f>2021163018.23</f>
        <v>2021163018.23</v>
      </c>
      <c r="D30" s="24">
        <f>1260647688.42</f>
        <v>1260647688.4200001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0.47519031461568728</v>
      </c>
      <c r="K30" s="35">
        <f t="shared" si="1"/>
        <v>62.372390403421853</v>
      </c>
      <c r="L30" s="30"/>
    </row>
    <row r="31" spans="2:12" ht="12.95" customHeight="1" outlineLevel="1" x14ac:dyDescent="0.2">
      <c r="B31" s="83" t="s">
        <v>6</v>
      </c>
      <c r="C31" s="24">
        <f>459648404.28</f>
        <v>459648404.27999997</v>
      </c>
      <c r="D31" s="24">
        <f>140407187.01</f>
        <v>140407187.00999999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5.2925282759378627E-2</v>
      </c>
      <c r="K31" s="35">
        <f t="shared" si="1"/>
        <v>30.546649504839657</v>
      </c>
      <c r="L31" s="30"/>
    </row>
    <row r="32" spans="2:12" ht="33.75" outlineLevel="1" x14ac:dyDescent="0.2">
      <c r="B32" s="81" t="s">
        <v>79</v>
      </c>
      <c r="C32" s="24">
        <f>2586272711.96</f>
        <v>2586272711.96</v>
      </c>
      <c r="D32" s="24">
        <f>1307917913.81</f>
        <v>1307917913.8099999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0.49300841992882294</v>
      </c>
      <c r="K32" s="35">
        <f t="shared" si="1"/>
        <v>50.571539024544627</v>
      </c>
      <c r="L32" s="30"/>
    </row>
    <row r="33" spans="2:12" ht="12.95" customHeight="1" outlineLevel="1" x14ac:dyDescent="0.2">
      <c r="B33" s="83" t="s">
        <v>6</v>
      </c>
      <c r="C33" s="24">
        <f>2182563104.74</f>
        <v>2182563104.7399998</v>
      </c>
      <c r="D33" s="24">
        <f>1070878948.93</f>
        <v>1070878948.9299999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0.40365861876536169</v>
      </c>
      <c r="K33" s="35">
        <f t="shared" si="1"/>
        <v>49.065199837947851</v>
      </c>
      <c r="L33" s="30"/>
    </row>
    <row r="34" spans="2:12" ht="12.95" customHeight="1" outlineLevel="1" x14ac:dyDescent="0.2">
      <c r="B34" s="81" t="s">
        <v>8</v>
      </c>
      <c r="C34" s="24">
        <f>921906305.08</f>
        <v>921906305.08000004</v>
      </c>
      <c r="D34" s="24">
        <f>448039874.26</f>
        <v>448039874.25999999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0.16888478102618848</v>
      </c>
      <c r="K34" s="35">
        <f t="shared" si="1"/>
        <v>48.599285175853154</v>
      </c>
      <c r="L34" s="30"/>
    </row>
    <row r="35" spans="2:12" ht="12.95" customHeight="1" outlineLevel="1" x14ac:dyDescent="0.2">
      <c r="B35" s="83" t="s">
        <v>6</v>
      </c>
      <c r="C35" s="24">
        <f>757880648.01</f>
        <v>757880648.00999999</v>
      </c>
      <c r="D35" s="24">
        <f>336379321.44</f>
        <v>336379321.44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0.12679529503252537</v>
      </c>
      <c r="K35" s="35">
        <f t="shared" si="1"/>
        <v>44.384207767178872</v>
      </c>
      <c r="L35" s="30"/>
    </row>
    <row r="36" spans="2:12" ht="67.5" outlineLevel="1" x14ac:dyDescent="0.2">
      <c r="B36" s="81" t="s">
        <v>96</v>
      </c>
      <c r="C36" s="24">
        <f>30294796.67</f>
        <v>30294796.670000002</v>
      </c>
      <c r="D36" s="24">
        <f>3981729.98</f>
        <v>3981729.98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1.5008789047813215E-3</v>
      </c>
      <c r="K36" s="35">
        <f t="shared" si="1"/>
        <v>13.143280093188359</v>
      </c>
      <c r="L36" s="30"/>
    </row>
    <row r="37" spans="2:12" ht="12.95" customHeight="1" outlineLevel="1" x14ac:dyDescent="0.2">
      <c r="B37" s="83" t="s">
        <v>94</v>
      </c>
      <c r="C37" s="24">
        <f>26808875.63</f>
        <v>26808875.629999999</v>
      </c>
      <c r="D37" s="24">
        <f>2217165.53</f>
        <v>2217165.5299999998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8.3574149656057237E-4</v>
      </c>
      <c r="K37" s="35">
        <f t="shared" si="1"/>
        <v>8.2702667601580409</v>
      </c>
      <c r="L37" s="30"/>
    </row>
    <row r="38" spans="2:12" ht="45" outlineLevel="1" x14ac:dyDescent="0.2">
      <c r="B38" s="84" t="s">
        <v>93</v>
      </c>
      <c r="C38" s="24">
        <f>31876616627.36</f>
        <v>31876616627.360001</v>
      </c>
      <c r="D38" s="24">
        <f>11716639709.95</f>
        <v>11716639709.950001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4.4164866688391307</v>
      </c>
      <c r="K38" s="35">
        <f t="shared" si="1"/>
        <v>36.756221172774957</v>
      </c>
      <c r="L38" s="30"/>
    </row>
    <row r="39" spans="2:12" ht="12.95" customHeight="1" outlineLevel="1" x14ac:dyDescent="0.2">
      <c r="B39" s="85" t="s">
        <v>6</v>
      </c>
      <c r="C39" s="24">
        <f>30886710334.69</f>
        <v>30886710334.689999</v>
      </c>
      <c r="D39" s="24">
        <f>11058057177.91</f>
        <v>11058057177.91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4.1682396419535186</v>
      </c>
      <c r="K39" s="35">
        <f t="shared" si="1"/>
        <v>35.801990752930038</v>
      </c>
      <c r="L39" s="30"/>
    </row>
    <row r="40" spans="2:12" ht="22.5" outlineLevel="1" x14ac:dyDescent="0.2">
      <c r="B40" s="84" t="s">
        <v>105</v>
      </c>
      <c r="C40" s="24">
        <f>4278496152.75</f>
        <v>4278496152.75</v>
      </c>
      <c r="D40" s="24">
        <f>4068461796.68</f>
        <v>4068461796.6799998</v>
      </c>
      <c r="E40" s="24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35">
        <f t="shared" si="0"/>
        <v>1.5335717178756874</v>
      </c>
      <c r="K40" s="35">
        <f t="shared" si="1"/>
        <v>95.090930350959866</v>
      </c>
      <c r="L40" s="30"/>
    </row>
    <row r="41" spans="2:12" ht="12.95" customHeight="1" outlineLevel="1" x14ac:dyDescent="0.2">
      <c r="B41" s="85" t="s">
        <v>6</v>
      </c>
      <c r="C41" s="24">
        <f>13977807.81</f>
        <v>13977807.810000001</v>
      </c>
      <c r="D41" s="24">
        <f>1932798.31</f>
        <v>1932798.31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7.2855171627584584E-4</v>
      </c>
      <c r="K41" s="35">
        <f t="shared" si="1"/>
        <v>13.827621156854352</v>
      </c>
      <c r="L41" s="30"/>
    </row>
    <row r="42" spans="2:12" ht="14.1" customHeight="1" outlineLevel="1" x14ac:dyDescent="0.2">
      <c r="B42" s="82" t="s">
        <v>71</v>
      </c>
      <c r="C42" s="58">
        <f>2395939056.26</f>
        <v>2395939056.2600002</v>
      </c>
      <c r="D42" s="58">
        <f>1211127596.32</f>
        <v>1211127596.3199999</v>
      </c>
      <c r="E42" s="60" t="s">
        <v>58</v>
      </c>
      <c r="F42" s="60" t="s">
        <v>58</v>
      </c>
      <c r="G42" s="60" t="s">
        <v>58</v>
      </c>
      <c r="H42" s="60" t="s">
        <v>58</v>
      </c>
      <c r="I42" s="60" t="s">
        <v>58</v>
      </c>
      <c r="J42" s="59">
        <f t="shared" si="0"/>
        <v>0.45652414137715991</v>
      </c>
      <c r="K42" s="59">
        <f t="shared" si="1"/>
        <v>50.549182090238112</v>
      </c>
      <c r="L42" s="30"/>
    </row>
    <row r="43" spans="2:12" ht="12.95" customHeight="1" outlineLevel="1" x14ac:dyDescent="0.2">
      <c r="B43" s="88" t="s">
        <v>72</v>
      </c>
      <c r="C43" s="23">
        <f>1726091555.44</f>
        <v>1726091555.4400001</v>
      </c>
      <c r="D43" s="23">
        <f>845677784.19</f>
        <v>845677784.19000006</v>
      </c>
      <c r="E43" s="23" t="s">
        <v>58</v>
      </c>
      <c r="F43" s="23" t="s">
        <v>58</v>
      </c>
      <c r="G43" s="23" t="s">
        <v>58</v>
      </c>
      <c r="H43" s="23" t="s">
        <v>58</v>
      </c>
      <c r="I43" s="23" t="s">
        <v>58</v>
      </c>
      <c r="J43" s="35">
        <f t="shared" si="0"/>
        <v>0.31877097465383175</v>
      </c>
      <c r="K43" s="35">
        <f t="shared" si="1"/>
        <v>48.993796506606934</v>
      </c>
      <c r="L43" s="30"/>
    </row>
    <row r="44" spans="2:12" ht="14.1" customHeight="1" outlineLevel="1" x14ac:dyDescent="0.2">
      <c r="B44" s="82" t="s">
        <v>84</v>
      </c>
      <c r="C44" s="58">
        <f>17955631206.75</f>
        <v>17955631206.75</v>
      </c>
      <c r="D44" s="58">
        <f>8788420436.79</f>
        <v>8788420436.7900009</v>
      </c>
      <c r="E44" s="60" t="s">
        <v>58</v>
      </c>
      <c r="F44" s="60" t="s">
        <v>58</v>
      </c>
      <c r="G44" s="60" t="s">
        <v>58</v>
      </c>
      <c r="H44" s="60" t="s">
        <v>58</v>
      </c>
      <c r="I44" s="60" t="s">
        <v>58</v>
      </c>
      <c r="J44" s="59">
        <f t="shared" si="0"/>
        <v>3.3127195731959604</v>
      </c>
      <c r="K44" s="59">
        <f t="shared" si="1"/>
        <v>48.945204630212054</v>
      </c>
      <c r="L44" s="30"/>
    </row>
    <row r="45" spans="2:12" ht="12.95" customHeight="1" outlineLevel="1" x14ac:dyDescent="0.2">
      <c r="B45" s="88" t="s">
        <v>85</v>
      </c>
      <c r="C45" s="23">
        <f>14627710799.34</f>
        <v>14627710799.34</v>
      </c>
      <c r="D45" s="23">
        <f>6618875285.7</f>
        <v>6618875285.6999998</v>
      </c>
      <c r="E45" s="23" t="s">
        <v>58</v>
      </c>
      <c r="F45" s="23" t="s">
        <v>58</v>
      </c>
      <c r="G45" s="23" t="s">
        <v>58</v>
      </c>
      <c r="H45" s="23" t="s">
        <v>58</v>
      </c>
      <c r="I45" s="23" t="s">
        <v>58</v>
      </c>
      <c r="J45" s="35">
        <f t="shared" si="0"/>
        <v>2.4949281693093543</v>
      </c>
      <c r="K45" s="35">
        <f t="shared" si="1"/>
        <v>45.248879858895229</v>
      </c>
      <c r="L45" s="30"/>
    </row>
    <row r="46" spans="2:12" ht="27.95" customHeight="1" x14ac:dyDescent="0.2">
      <c r="B46" s="77" t="s">
        <v>61</v>
      </c>
      <c r="C46" s="58">
        <f>C47+C48+C49+C50+C51+C52</f>
        <v>95499179443.630005</v>
      </c>
      <c r="D46" s="58">
        <f>D47+D48+D49+D50+D51+D52</f>
        <v>78559232639.240005</v>
      </c>
      <c r="E46" s="60" t="s">
        <v>58</v>
      </c>
      <c r="F46" s="60" t="s">
        <v>58</v>
      </c>
      <c r="G46" s="60" t="s">
        <v>58</v>
      </c>
      <c r="H46" s="60" t="s">
        <v>58</v>
      </c>
      <c r="I46" s="60" t="s">
        <v>58</v>
      </c>
      <c r="J46" s="59">
        <f t="shared" si="0"/>
        <v>29.612227759362927</v>
      </c>
      <c r="K46" s="59">
        <f t="shared" si="1"/>
        <v>82.261683395521658</v>
      </c>
      <c r="L46" s="30"/>
    </row>
    <row r="47" spans="2:12" ht="15" customHeight="1" outlineLevel="1" x14ac:dyDescent="0.2">
      <c r="B47" s="31" t="s">
        <v>47</v>
      </c>
      <c r="C47" s="23">
        <f>16520595104</f>
        <v>16520595104</v>
      </c>
      <c r="D47" s="23">
        <f>12387569058</f>
        <v>12387569058</v>
      </c>
      <c r="E47" s="23" t="s">
        <v>58</v>
      </c>
      <c r="F47" s="23" t="s">
        <v>58</v>
      </c>
      <c r="G47" s="23" t="s">
        <v>58</v>
      </c>
      <c r="H47" s="23" t="s">
        <v>58</v>
      </c>
      <c r="I47" s="23" t="s">
        <v>58</v>
      </c>
      <c r="J47" s="35">
        <f t="shared" si="0"/>
        <v>4.6693877219353856</v>
      </c>
      <c r="K47" s="35">
        <f t="shared" si="1"/>
        <v>74.982583738770387</v>
      </c>
      <c r="L47" s="30"/>
    </row>
    <row r="48" spans="2:12" ht="15" customHeight="1" outlineLevel="1" x14ac:dyDescent="0.2">
      <c r="B48" s="31" t="s">
        <v>46</v>
      </c>
      <c r="C48" s="23">
        <f>64273238850.29</f>
        <v>64273238850.290001</v>
      </c>
      <c r="D48" s="23">
        <f>54402008529</f>
        <v>54402008529</v>
      </c>
      <c r="E48" s="23" t="s">
        <v>58</v>
      </c>
      <c r="F48" s="23" t="s">
        <v>58</v>
      </c>
      <c r="G48" s="23" t="s">
        <v>58</v>
      </c>
      <c r="H48" s="23" t="s">
        <v>58</v>
      </c>
      <c r="I48" s="23" t="s">
        <v>58</v>
      </c>
      <c r="J48" s="35">
        <f t="shared" si="0"/>
        <v>20.506369690822087</v>
      </c>
      <c r="K48" s="35">
        <f t="shared" si="1"/>
        <v>84.641772380130391</v>
      </c>
      <c r="L48" s="30"/>
    </row>
    <row r="49" spans="1:26" ht="15" customHeight="1" outlineLevel="1" x14ac:dyDescent="0.2">
      <c r="B49" s="31" t="s">
        <v>45</v>
      </c>
      <c r="C49" s="23">
        <f>3430257</f>
        <v>3430257</v>
      </c>
      <c r="D49" s="23">
        <f>0</f>
        <v>0</v>
      </c>
      <c r="E49" s="23" t="s">
        <v>58</v>
      </c>
      <c r="F49" s="23" t="s">
        <v>58</v>
      </c>
      <c r="G49" s="23" t="s">
        <v>58</v>
      </c>
      <c r="H49" s="23" t="s">
        <v>58</v>
      </c>
      <c r="I49" s="23" t="s">
        <v>58</v>
      </c>
      <c r="J49" s="35">
        <f t="shared" si="0"/>
        <v>0</v>
      </c>
      <c r="K49" s="35">
        <f t="shared" si="1"/>
        <v>0</v>
      </c>
      <c r="L49" s="30"/>
    </row>
    <row r="50" spans="1:26" ht="15" customHeight="1" outlineLevel="1" x14ac:dyDescent="0.2">
      <c r="B50" s="31" t="s">
        <v>44</v>
      </c>
      <c r="C50" s="23">
        <f>2002812158</f>
        <v>2002812158</v>
      </c>
      <c r="D50" s="23">
        <f>1500763357</f>
        <v>1500763357</v>
      </c>
      <c r="E50" s="23" t="s">
        <v>58</v>
      </c>
      <c r="F50" s="23" t="s">
        <v>58</v>
      </c>
      <c r="G50" s="23" t="s">
        <v>58</v>
      </c>
      <c r="H50" s="23" t="s">
        <v>58</v>
      </c>
      <c r="I50" s="23" t="s">
        <v>58</v>
      </c>
      <c r="J50" s="35">
        <f t="shared" si="0"/>
        <v>0.56569985280370505</v>
      </c>
      <c r="K50" s="35">
        <f t="shared" si="1"/>
        <v>74.932806404503566</v>
      </c>
      <c r="L50" s="30"/>
    </row>
    <row r="51" spans="1:26" ht="15" customHeight="1" outlineLevel="1" x14ac:dyDescent="0.2">
      <c r="B51" s="31" t="s">
        <v>57</v>
      </c>
      <c r="C51" s="23">
        <f>1169058479</f>
        <v>1169058479</v>
      </c>
      <c r="D51" s="23">
        <f>876793860</f>
        <v>876793860</v>
      </c>
      <c r="E51" s="23" t="s">
        <v>58</v>
      </c>
      <c r="F51" s="23" t="s">
        <v>58</v>
      </c>
      <c r="G51" s="23" t="s">
        <v>58</v>
      </c>
      <c r="H51" s="23" t="s">
        <v>58</v>
      </c>
      <c r="I51" s="23" t="s">
        <v>58</v>
      </c>
      <c r="J51" s="35">
        <f t="shared" si="0"/>
        <v>0.33049991207987123</v>
      </c>
      <c r="K51" s="35">
        <f t="shared" si="1"/>
        <v>75.000000064154193</v>
      </c>
      <c r="L51" s="30"/>
    </row>
    <row r="52" spans="1:26" ht="15" customHeight="1" outlineLevel="1" x14ac:dyDescent="0.2">
      <c r="B52" s="31" t="s">
        <v>42</v>
      </c>
      <c r="C52" s="23">
        <f>11530044595.34</f>
        <v>11530044595.34</v>
      </c>
      <c r="D52" s="23">
        <f>9392097835.24</f>
        <v>9392097835.2399998</v>
      </c>
      <c r="E52" s="23" t="s">
        <v>58</v>
      </c>
      <c r="F52" s="23" t="s">
        <v>58</v>
      </c>
      <c r="G52" s="23" t="s">
        <v>58</v>
      </c>
      <c r="H52" s="23" t="s">
        <v>58</v>
      </c>
      <c r="I52" s="23" t="s">
        <v>58</v>
      </c>
      <c r="J52" s="35">
        <f t="shared" si="0"/>
        <v>3.5402705817218756</v>
      </c>
      <c r="K52" s="35">
        <f t="shared" si="1"/>
        <v>81.457601985649944</v>
      </c>
      <c r="L52" s="30"/>
    </row>
    <row r="53" spans="1:26" s="6" customFormat="1" ht="13.5" customHeight="1" x14ac:dyDescent="0.2">
      <c r="A53" s="3"/>
      <c r="B53" s="21"/>
      <c r="C53" s="8"/>
      <c r="D53" s="9"/>
      <c r="E53" s="16"/>
      <c r="F53" s="16"/>
      <c r="G53" s="16"/>
      <c r="H53" s="16"/>
      <c r="I53" s="16"/>
      <c r="J53" s="10"/>
      <c r="K53" s="10"/>
      <c r="L53" s="4"/>
    </row>
    <row r="54" spans="1:26" s="6" customFormat="1" ht="18.75" customHeight="1" x14ac:dyDescent="0.2">
      <c r="A54" s="3"/>
      <c r="B54" s="62" t="s">
        <v>5</v>
      </c>
      <c r="C54" s="63">
        <f t="shared" ref="C54:I54" si="4">+C6</f>
        <v>369489254049.91998</v>
      </c>
      <c r="D54" s="63">
        <f t="shared" si="4"/>
        <v>265293220346.79001</v>
      </c>
      <c r="E54" s="63">
        <f t="shared" si="4"/>
        <v>3636989854.2399998</v>
      </c>
      <c r="F54" s="63">
        <f t="shared" si="4"/>
        <v>652959866.37</v>
      </c>
      <c r="G54" s="63">
        <f t="shared" si="4"/>
        <v>85852332.290000007</v>
      </c>
      <c r="H54" s="63">
        <f t="shared" si="4"/>
        <v>190021355.19</v>
      </c>
      <c r="I54" s="63">
        <f t="shared" si="4"/>
        <v>2932022.79</v>
      </c>
      <c r="J54" s="64">
        <f>IF($D$54=0,"",100*$D54/$D$54)</f>
        <v>100</v>
      </c>
      <c r="K54" s="64">
        <f>IF(C54=0,"",100*D54/C54)</f>
        <v>71.799982662269102</v>
      </c>
      <c r="L54" s="4"/>
    </row>
    <row r="55" spans="1:26" s="6" customFormat="1" ht="20.100000000000001" customHeight="1" x14ac:dyDescent="0.2">
      <c r="A55" s="3"/>
      <c r="B55" s="55" t="s">
        <v>74</v>
      </c>
      <c r="C55" s="56">
        <f>67543320938.88</f>
        <v>67543320938.879997</v>
      </c>
      <c r="D55" s="56">
        <f>29379159285.74</f>
        <v>29379159285.740002</v>
      </c>
      <c r="E55" s="56">
        <f>0</f>
        <v>0</v>
      </c>
      <c r="F55" s="56">
        <f>0</f>
        <v>0</v>
      </c>
      <c r="G55" s="56">
        <f>0</f>
        <v>0</v>
      </c>
      <c r="H55" s="56">
        <f>0</f>
        <v>0</v>
      </c>
      <c r="I55" s="56">
        <f>622350</f>
        <v>622350</v>
      </c>
      <c r="J55" s="36">
        <f>IF($D$54=0,"",100*$D55/$D$54)</f>
        <v>11.074221665874351</v>
      </c>
      <c r="K55" s="36">
        <f>IF(C55=0,"",100*D55/C55)</f>
        <v>43.496764561406778</v>
      </c>
      <c r="L55" s="4"/>
    </row>
    <row r="56" spans="1:26" s="6" customFormat="1" ht="20.100000000000001" customHeight="1" x14ac:dyDescent="0.2">
      <c r="A56" s="3"/>
      <c r="B56" s="55" t="s">
        <v>75</v>
      </c>
      <c r="C56" s="56">
        <f>+C54-C55</f>
        <v>301945933111.03998</v>
      </c>
      <c r="D56" s="56">
        <f t="shared" ref="D56:I56" si="5">+D54-D55</f>
        <v>235914061061.05002</v>
      </c>
      <c r="E56" s="56">
        <f t="shared" si="5"/>
        <v>3636989854.2399998</v>
      </c>
      <c r="F56" s="56">
        <f t="shared" si="5"/>
        <v>652959866.37</v>
      </c>
      <c r="G56" s="56">
        <f t="shared" si="5"/>
        <v>85852332.290000007</v>
      </c>
      <c r="H56" s="56">
        <f t="shared" si="5"/>
        <v>190021355.19</v>
      </c>
      <c r="I56" s="56">
        <f t="shared" si="5"/>
        <v>2309672.79</v>
      </c>
      <c r="J56" s="36">
        <f>IF($D$54=0,"",100*$D56/$D$54)</f>
        <v>88.925778334125653</v>
      </c>
      <c r="K56" s="36">
        <f>IF(C56=0,"",100*D56/C56)</f>
        <v>78.13122655117634</v>
      </c>
      <c r="L56" s="4"/>
    </row>
    <row r="57" spans="1:26" s="6" customFormat="1" ht="13.5" customHeight="1" x14ac:dyDescent="0.2">
      <c r="A57" s="3"/>
      <c r="B57" s="92" t="s">
        <v>106</v>
      </c>
      <c r="C57" s="92"/>
      <c r="D57" s="92"/>
      <c r="E57" s="92"/>
      <c r="F57" s="92"/>
      <c r="G57" s="16"/>
      <c r="H57" s="16"/>
      <c r="I57" s="16"/>
      <c r="J57" s="16"/>
      <c r="K57" s="10"/>
      <c r="L57" s="10"/>
      <c r="M57" s="4"/>
    </row>
    <row r="58" spans="1:26" ht="27" customHeight="1" x14ac:dyDescent="0.2">
      <c r="B58" s="87" t="str">
        <f>CONCATENATE("Informacja z wykonania budżetów jednostek samorządu terytorialnego za ",$D$117," ",$C$118," roku")</f>
        <v>Informacja z wykonania budżetów jednostek samorządu terytorialnego za III Kwartały 2023 roku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26" s="6" customFormat="1" ht="9.75" customHeight="1" x14ac:dyDescent="0.2">
      <c r="B59" s="7"/>
      <c r="C59" s="8"/>
      <c r="D59" s="9"/>
      <c r="E59" s="9"/>
      <c r="F59" s="5"/>
      <c r="G59" s="5"/>
      <c r="H59" s="5"/>
      <c r="I59" s="5"/>
      <c r="J59" s="5"/>
      <c r="K59" s="10"/>
      <c r="L59" s="10"/>
      <c r="M59" s="4"/>
    </row>
    <row r="60" spans="1:26" ht="29.25" customHeight="1" x14ac:dyDescent="0.2">
      <c r="B60" s="106" t="s">
        <v>0</v>
      </c>
      <c r="C60" s="94" t="s">
        <v>53</v>
      </c>
      <c r="D60" s="94" t="s">
        <v>55</v>
      </c>
      <c r="E60" s="94" t="s">
        <v>54</v>
      </c>
      <c r="F60" s="94" t="s">
        <v>12</v>
      </c>
      <c r="G60" s="94"/>
      <c r="H60" s="94"/>
      <c r="I60" s="120" t="s">
        <v>86</v>
      </c>
      <c r="J60" s="120" t="s">
        <v>2</v>
      </c>
      <c r="K60" s="117" t="s">
        <v>18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 x14ac:dyDescent="0.2">
      <c r="B61" s="106"/>
      <c r="C61" s="94"/>
      <c r="D61" s="94"/>
      <c r="E61" s="94"/>
      <c r="F61" s="111" t="s">
        <v>56</v>
      </c>
      <c r="G61" s="95" t="s">
        <v>33</v>
      </c>
      <c r="H61" s="96"/>
      <c r="I61" s="121"/>
      <c r="J61" s="121"/>
      <c r="K61" s="118"/>
      <c r="L61" s="12"/>
      <c r="M61" s="13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66.75" customHeight="1" x14ac:dyDescent="0.2">
      <c r="B62" s="106"/>
      <c r="C62" s="94"/>
      <c r="D62" s="94"/>
      <c r="E62" s="94"/>
      <c r="F62" s="96"/>
      <c r="G62" s="18" t="s">
        <v>51</v>
      </c>
      <c r="H62" s="18" t="s">
        <v>52</v>
      </c>
      <c r="I62" s="122"/>
      <c r="J62" s="122"/>
      <c r="K62" s="119"/>
      <c r="L62" s="12"/>
      <c r="M62" s="11"/>
      <c r="N62" s="2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3.5" customHeight="1" x14ac:dyDescent="0.2">
      <c r="B63" s="106"/>
      <c r="C63" s="108" t="s">
        <v>78</v>
      </c>
      <c r="D63" s="109"/>
      <c r="E63" s="109"/>
      <c r="F63" s="109"/>
      <c r="G63" s="109"/>
      <c r="H63" s="110"/>
      <c r="I63" s="72"/>
      <c r="J63" s="107" t="s">
        <v>4</v>
      </c>
      <c r="K63" s="107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1.25" customHeight="1" x14ac:dyDescent="0.2">
      <c r="B64" s="17">
        <v>1</v>
      </c>
      <c r="C64" s="19">
        <v>2</v>
      </c>
      <c r="D64" s="19">
        <v>3</v>
      </c>
      <c r="E64" s="19">
        <v>4</v>
      </c>
      <c r="F64" s="17">
        <v>5</v>
      </c>
      <c r="G64" s="17">
        <v>6</v>
      </c>
      <c r="H64" s="19">
        <v>7</v>
      </c>
      <c r="I64" s="19">
        <v>8</v>
      </c>
      <c r="J64" s="17">
        <v>9</v>
      </c>
      <c r="K64" s="19">
        <v>10</v>
      </c>
      <c r="M64" s="11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13" ht="27" customHeight="1" x14ac:dyDescent="0.2">
      <c r="B65" s="57" t="s">
        <v>62</v>
      </c>
      <c r="C65" s="63">
        <f>420159182270.75</f>
        <v>420159182270.75</v>
      </c>
      <c r="D65" s="63">
        <f>257004501419.81</f>
        <v>257004501419.81</v>
      </c>
      <c r="E65" s="63">
        <f>346245122516.31</f>
        <v>346245122516.31</v>
      </c>
      <c r="F65" s="63">
        <f>10219520802.03</f>
        <v>10219520802.030001</v>
      </c>
      <c r="G65" s="63">
        <f>10331677.52</f>
        <v>10331677.52</v>
      </c>
      <c r="H65" s="63">
        <f>29201218.11</f>
        <v>29201218.109999999</v>
      </c>
      <c r="I65" s="69">
        <f>0</f>
        <v>0</v>
      </c>
      <c r="J65" s="50">
        <f>IF($D$65=0,"",100*$D65/$D$65)</f>
        <v>100</v>
      </c>
      <c r="K65" s="50">
        <f>IF(C65=0,"",100*D65/C65)</f>
        <v>61.168364816122633</v>
      </c>
    </row>
    <row r="66" spans="2:13" ht="16.5" customHeight="1" x14ac:dyDescent="0.2">
      <c r="B66" s="76" t="s">
        <v>14</v>
      </c>
      <c r="C66" s="27">
        <f>120104409565.5</f>
        <v>120104409565.5</v>
      </c>
      <c r="D66" s="27">
        <f>47922581224.64</f>
        <v>47922581224.639999</v>
      </c>
      <c r="E66" s="27">
        <f>86586409941.2401</f>
        <v>86586409941.240097</v>
      </c>
      <c r="F66" s="27">
        <f>3984828891.5</f>
        <v>3984828891.5</v>
      </c>
      <c r="G66" s="27">
        <f>179586.4</f>
        <v>179586.4</v>
      </c>
      <c r="H66" s="27">
        <f>4663312.26</f>
        <v>4663312.26</v>
      </c>
      <c r="I66" s="70">
        <f>0</f>
        <v>0</v>
      </c>
      <c r="J66" s="50">
        <f t="shared" ref="J66:J74" si="6">IF($D$65=0,"",100*$D66/$D$65)</f>
        <v>18.64659216468732</v>
      </c>
      <c r="K66" s="50">
        <f t="shared" ref="K66:K74" si="7">IF(C66=0,"",100*D66/C66)</f>
        <v>39.900767505546909</v>
      </c>
    </row>
    <row r="67" spans="2:13" ht="18" customHeight="1" outlineLevel="1" x14ac:dyDescent="0.2">
      <c r="B67" s="31" t="s">
        <v>13</v>
      </c>
      <c r="C67" s="23">
        <f>114903316193.94</f>
        <v>114903316193.94</v>
      </c>
      <c r="D67" s="23">
        <f>44841766598.2</f>
        <v>44841766598.199997</v>
      </c>
      <c r="E67" s="23">
        <f>83234026720.63</f>
        <v>83234026720.630005</v>
      </c>
      <c r="F67" s="23">
        <f>3956092734.71</f>
        <v>3956092734.71</v>
      </c>
      <c r="G67" s="23">
        <f>179586.4</f>
        <v>179586.4</v>
      </c>
      <c r="H67" s="23">
        <f>4663312.26</f>
        <v>4663312.26</v>
      </c>
      <c r="I67" s="71">
        <f>0</f>
        <v>0</v>
      </c>
      <c r="J67" s="50">
        <f t="shared" si="6"/>
        <v>17.447852605877969</v>
      </c>
      <c r="K67" s="50">
        <f t="shared" si="7"/>
        <v>39.025650506477682</v>
      </c>
    </row>
    <row r="68" spans="2:13" ht="27" customHeight="1" x14ac:dyDescent="0.2">
      <c r="B68" s="77" t="s">
        <v>63</v>
      </c>
      <c r="C68" s="63">
        <f t="shared" ref="C68:I68" si="8">C65-C66</f>
        <v>300054772705.25</v>
      </c>
      <c r="D68" s="63">
        <f t="shared" si="8"/>
        <v>209081920195.16998</v>
      </c>
      <c r="E68" s="63">
        <f t="shared" si="8"/>
        <v>259658712575.06989</v>
      </c>
      <c r="F68" s="63">
        <f t="shared" si="8"/>
        <v>6234691910.5300007</v>
      </c>
      <c r="G68" s="63">
        <f t="shared" si="8"/>
        <v>10152091.119999999</v>
      </c>
      <c r="H68" s="63">
        <f t="shared" si="8"/>
        <v>24537905.850000001</v>
      </c>
      <c r="I68" s="69">
        <f t="shared" si="8"/>
        <v>0</v>
      </c>
      <c r="J68" s="50">
        <f t="shared" si="6"/>
        <v>81.35340783531268</v>
      </c>
      <c r="K68" s="50">
        <f t="shared" si="7"/>
        <v>69.681251296260996</v>
      </c>
    </row>
    <row r="69" spans="2:13" ht="23.1" customHeight="1" outlineLevel="1" x14ac:dyDescent="0.2">
      <c r="B69" s="31" t="s">
        <v>101</v>
      </c>
      <c r="C69" s="23">
        <f>128113947493.27</f>
        <v>128113947493.27</v>
      </c>
      <c r="D69" s="23">
        <f>94449426570.6497</f>
        <v>94449426570.649704</v>
      </c>
      <c r="E69" s="23">
        <f>119840845035.63</f>
        <v>119840845035.63</v>
      </c>
      <c r="F69" s="23">
        <f>2760790295.57</f>
        <v>2760790295.5700002</v>
      </c>
      <c r="G69" s="23">
        <f>886884.13</f>
        <v>886884.13</v>
      </c>
      <c r="H69" s="23">
        <f>2019770.59</f>
        <v>2019770.59</v>
      </c>
      <c r="I69" s="71">
        <f>0</f>
        <v>0</v>
      </c>
      <c r="J69" s="50">
        <f t="shared" si="6"/>
        <v>36.750105951011761</v>
      </c>
      <c r="K69" s="50">
        <f t="shared" si="7"/>
        <v>73.72298521643107</v>
      </c>
    </row>
    <row r="70" spans="2:13" ht="18" customHeight="1" outlineLevel="1" x14ac:dyDescent="0.2">
      <c r="B70" s="31" t="s">
        <v>50</v>
      </c>
      <c r="C70" s="23">
        <f>36925902553.17</f>
        <v>36925902553.169998</v>
      </c>
      <c r="D70" s="23">
        <f>27674744960.61</f>
        <v>27674744960.610001</v>
      </c>
      <c r="E70" s="23">
        <f>32449858898.4</f>
        <v>32449858898.400002</v>
      </c>
      <c r="F70" s="23">
        <f>172747565.18</f>
        <v>172747565.18000001</v>
      </c>
      <c r="G70" s="23">
        <f>0</f>
        <v>0</v>
      </c>
      <c r="H70" s="23">
        <f>34548.25</f>
        <v>34548.25</v>
      </c>
      <c r="I70" s="71">
        <f>0</f>
        <v>0</v>
      </c>
      <c r="J70" s="50">
        <f t="shared" si="6"/>
        <v>10.768194645510913</v>
      </c>
      <c r="K70" s="50">
        <f t="shared" si="7"/>
        <v>74.94669878619986</v>
      </c>
    </row>
    <row r="71" spans="2:13" ht="18" customHeight="1" outlineLevel="1" x14ac:dyDescent="0.2">
      <c r="B71" s="31" t="s">
        <v>49</v>
      </c>
      <c r="C71" s="23">
        <f>6657744537.77</f>
        <v>6657744537.7700005</v>
      </c>
      <c r="D71" s="23">
        <f>4125721128.9</f>
        <v>4125721128.9000001</v>
      </c>
      <c r="E71" s="23">
        <f>5143528882.04</f>
        <v>5143528882.04</v>
      </c>
      <c r="F71" s="23">
        <f>218136199.52</f>
        <v>218136199.52000001</v>
      </c>
      <c r="G71" s="23">
        <f>58210</f>
        <v>58210</v>
      </c>
      <c r="H71" s="23">
        <f>0</f>
        <v>0</v>
      </c>
      <c r="I71" s="71">
        <f>0</f>
        <v>0</v>
      </c>
      <c r="J71" s="50">
        <f t="shared" si="6"/>
        <v>1.6053108432372336</v>
      </c>
      <c r="K71" s="50">
        <f t="shared" si="7"/>
        <v>61.968750910978976</v>
      </c>
    </row>
    <row r="72" spans="2:13" ht="23.1" customHeight="1" outlineLevel="1" x14ac:dyDescent="0.2">
      <c r="B72" s="31" t="s">
        <v>69</v>
      </c>
      <c r="C72" s="23">
        <f>273319272.57</f>
        <v>273319272.56999999</v>
      </c>
      <c r="D72" s="23">
        <f>30406096.55</f>
        <v>30406096.550000001</v>
      </c>
      <c r="E72" s="23">
        <f>50528987.09</f>
        <v>50528987.090000004</v>
      </c>
      <c r="F72" s="23">
        <f>115781.13</f>
        <v>115781.13</v>
      </c>
      <c r="G72" s="23">
        <f>0</f>
        <v>0</v>
      </c>
      <c r="H72" s="23">
        <f>0</f>
        <v>0</v>
      </c>
      <c r="I72" s="71">
        <f>0</f>
        <v>0</v>
      </c>
      <c r="J72" s="50">
        <f t="shared" si="6"/>
        <v>1.1830958750536611E-2</v>
      </c>
      <c r="K72" s="50">
        <f t="shared" si="7"/>
        <v>11.124753942191425</v>
      </c>
    </row>
    <row r="73" spans="2:13" ht="23.1" customHeight="1" outlineLevel="1" x14ac:dyDescent="0.2">
      <c r="B73" s="31" t="s">
        <v>70</v>
      </c>
      <c r="C73" s="23">
        <f>23088346755.17</f>
        <v>23088346755.169998</v>
      </c>
      <c r="D73" s="23">
        <f>17262991808.11</f>
        <v>17262991808.110001</v>
      </c>
      <c r="E73" s="23">
        <f>19872299457.49</f>
        <v>19872299457.490002</v>
      </c>
      <c r="F73" s="23">
        <f>177529399.17</f>
        <v>177529399.16999999</v>
      </c>
      <c r="G73" s="23">
        <f>14440.95</f>
        <v>14440.95</v>
      </c>
      <c r="H73" s="23">
        <f>496451.08</f>
        <v>496451.08</v>
      </c>
      <c r="I73" s="71">
        <f>0</f>
        <v>0</v>
      </c>
      <c r="J73" s="50">
        <f t="shared" si="6"/>
        <v>6.7169997851171344</v>
      </c>
      <c r="K73" s="50">
        <f t="shared" si="7"/>
        <v>74.769285090732751</v>
      </c>
    </row>
    <row r="74" spans="2:13" ht="18" customHeight="1" outlineLevel="1" x14ac:dyDescent="0.2">
      <c r="B74" s="31" t="s">
        <v>48</v>
      </c>
      <c r="C74" s="23">
        <f t="shared" ref="C74:I74" si="9">C68-C69-C70-C71-C72-C73</f>
        <v>104995512093.29997</v>
      </c>
      <c r="D74" s="23">
        <f t="shared" si="9"/>
        <v>65538629630.350281</v>
      </c>
      <c r="E74" s="23">
        <f t="shared" si="9"/>
        <v>82301651314.419891</v>
      </c>
      <c r="F74" s="23">
        <f t="shared" si="9"/>
        <v>2905372669.9600005</v>
      </c>
      <c r="G74" s="23">
        <f t="shared" si="9"/>
        <v>9192556.0399999991</v>
      </c>
      <c r="H74" s="23">
        <f t="shared" si="9"/>
        <v>21987135.930000003</v>
      </c>
      <c r="I74" s="71">
        <f t="shared" si="9"/>
        <v>0</v>
      </c>
      <c r="J74" s="50">
        <f t="shared" si="6"/>
        <v>25.500965651685096</v>
      </c>
      <c r="K74" s="50">
        <f t="shared" si="7"/>
        <v>62.420410476318317</v>
      </c>
    </row>
    <row r="75" spans="2:13" ht="18.75" customHeight="1" x14ac:dyDescent="0.2">
      <c r="B75" s="20" t="s">
        <v>15</v>
      </c>
      <c r="C75" s="27">
        <f>C6-C65</f>
        <v>-50669928220.830017</v>
      </c>
      <c r="D75" s="27">
        <f>D6-D65</f>
        <v>8288718926.980011</v>
      </c>
      <c r="E75" s="29"/>
      <c r="F75" s="29"/>
      <c r="G75" s="14"/>
    </row>
    <row r="76" spans="2:13" ht="38.25" x14ac:dyDescent="0.2">
      <c r="B76" s="51" t="s">
        <v>104</v>
      </c>
      <c r="C76" s="52">
        <f>+C56-C68</f>
        <v>1891160405.789978</v>
      </c>
      <c r="D76" s="52">
        <f>+D56-D68</f>
        <v>26832140865.880035</v>
      </c>
      <c r="E76" s="29"/>
      <c r="F76" s="29"/>
      <c r="G76" s="14"/>
    </row>
    <row r="77" spans="2:13" ht="12" customHeight="1" x14ac:dyDescent="0.2">
      <c r="B77" s="53"/>
      <c r="C77" s="54"/>
      <c r="D77" s="54"/>
      <c r="E77" s="54"/>
      <c r="F77" s="2"/>
      <c r="G77" s="2"/>
      <c r="H77" s="2"/>
      <c r="I77" s="2"/>
      <c r="L77" s="11"/>
      <c r="M77" s="11"/>
    </row>
    <row r="78" spans="2:13" ht="12" customHeight="1" x14ac:dyDescent="0.2">
      <c r="B78" s="90" t="s">
        <v>107</v>
      </c>
      <c r="C78" s="54"/>
      <c r="D78" s="54"/>
      <c r="E78" s="54"/>
      <c r="F78" s="2"/>
      <c r="G78" s="2"/>
      <c r="H78" s="2"/>
      <c r="I78" s="2"/>
      <c r="L78" s="11"/>
      <c r="M78" s="11"/>
    </row>
    <row r="79" spans="2:13" ht="27.95" customHeight="1" x14ac:dyDescent="0.2">
      <c r="B79" s="91" t="s">
        <v>73</v>
      </c>
      <c r="C79" s="63">
        <f>28353950131.85</f>
        <v>28353950131.849998</v>
      </c>
      <c r="D79" s="63">
        <f>13485489293.07</f>
        <v>13485489293.07</v>
      </c>
      <c r="E79" s="63">
        <f>21740356603.29</f>
        <v>21740356603.290001</v>
      </c>
      <c r="F79" s="63">
        <f>678797424.570001</f>
        <v>678797424.57000101</v>
      </c>
      <c r="G79" s="63">
        <f>3962.59</f>
        <v>3962.59</v>
      </c>
      <c r="H79" s="63">
        <f>1906816.33</f>
        <v>1906816.33</v>
      </c>
      <c r="I79" s="69">
        <f>0</f>
        <v>0</v>
      </c>
      <c r="J79" s="50">
        <f>IF($D$79=0,"",100*$D79/$D$79)</f>
        <v>100</v>
      </c>
      <c r="K79" s="50">
        <f>IF(C79=0,"",100*D79/C79)</f>
        <v>47.561236548560288</v>
      </c>
      <c r="L79" s="11"/>
    </row>
    <row r="80" spans="2:13" ht="20.100000000000001" customHeight="1" x14ac:dyDescent="0.2">
      <c r="B80" s="55" t="s">
        <v>76</v>
      </c>
      <c r="C80" s="65">
        <f>22870048397.83</f>
        <v>22870048397.830002</v>
      </c>
      <c r="D80" s="65">
        <f>10273406309.12</f>
        <v>10273406309.120001</v>
      </c>
      <c r="E80" s="65">
        <f>17754369882.37</f>
        <v>17754369882.369999</v>
      </c>
      <c r="F80" s="65">
        <f>634123433.600001</f>
        <v>634123433.60000098</v>
      </c>
      <c r="G80" s="65">
        <f>3233.33</f>
        <v>3233.33</v>
      </c>
      <c r="H80" s="65">
        <f>1823811.05</f>
        <v>1823811.05</v>
      </c>
      <c r="I80" s="74">
        <f>0</f>
        <v>0</v>
      </c>
      <c r="J80" s="50">
        <f>IF($D$79=0,"",100*$D80/$D$79)</f>
        <v>76.181190655049932</v>
      </c>
      <c r="K80" s="50">
        <f>IF(C80=0,"",100*D80/C80)</f>
        <v>44.920789542775005</v>
      </c>
      <c r="L80" s="11"/>
    </row>
    <row r="81" spans="2:13" ht="20.100000000000001" customHeight="1" x14ac:dyDescent="0.2">
      <c r="B81" s="55" t="s">
        <v>77</v>
      </c>
      <c r="C81" s="65">
        <f t="shared" ref="C81:I81" si="10">C79-C80</f>
        <v>5483901734.0199966</v>
      </c>
      <c r="D81" s="65">
        <f t="shared" si="10"/>
        <v>3212082983.9499989</v>
      </c>
      <c r="E81" s="65">
        <f t="shared" si="10"/>
        <v>3985986720.920002</v>
      </c>
      <c r="F81" s="65">
        <f t="shared" si="10"/>
        <v>44673990.970000029</v>
      </c>
      <c r="G81" s="65">
        <f t="shared" si="10"/>
        <v>729.26000000000022</v>
      </c>
      <c r="H81" s="65">
        <f t="shared" si="10"/>
        <v>83005.280000000028</v>
      </c>
      <c r="I81" s="74">
        <f t="shared" si="10"/>
        <v>0</v>
      </c>
      <c r="J81" s="50">
        <f>IF($D$79=0,"",100*$D81/$D$79)</f>
        <v>23.818809344950076</v>
      </c>
      <c r="K81" s="50">
        <f>IF(C81=0,"",100*D81/C81)</f>
        <v>58.572949329552777</v>
      </c>
    </row>
    <row r="82" spans="2:13" ht="20.25" x14ac:dyDescent="0.2">
      <c r="B82" s="87" t="str">
        <f>CONCATENATE("Informacja z wykonania budżetów jednostek samorządu terytorialnego za ",$D$117," ",$C$118," roku")</f>
        <v>Informacja z wykonania budżetów jednostek samorządu terytorialnego za III Kwartały 2023 roku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3" spans="2:13" ht="18" customHeight="1" x14ac:dyDescent="0.2">
      <c r="B83" s="41" t="s">
        <v>16</v>
      </c>
      <c r="C83" s="73" t="s">
        <v>17</v>
      </c>
      <c r="D83" s="73" t="s">
        <v>1</v>
      </c>
      <c r="E83" s="97" t="s">
        <v>58</v>
      </c>
      <c r="F83" s="98"/>
      <c r="G83" s="98"/>
      <c r="H83" s="98"/>
      <c r="I83" s="99"/>
      <c r="J83" s="19" t="s">
        <v>26</v>
      </c>
      <c r="K83" s="19" t="s">
        <v>27</v>
      </c>
    </row>
    <row r="84" spans="2:13" x14ac:dyDescent="0.2">
      <c r="B84" s="41"/>
      <c r="C84" s="111" t="s">
        <v>78</v>
      </c>
      <c r="D84" s="112"/>
      <c r="E84" s="100"/>
      <c r="F84" s="101"/>
      <c r="G84" s="101"/>
      <c r="H84" s="101"/>
      <c r="I84" s="102"/>
      <c r="J84" s="115" t="s">
        <v>4</v>
      </c>
      <c r="K84" s="116"/>
    </row>
    <row r="85" spans="2:13" x14ac:dyDescent="0.2">
      <c r="B85" s="39">
        <v>1</v>
      </c>
      <c r="C85" s="73">
        <v>2</v>
      </c>
      <c r="D85" s="73">
        <v>3</v>
      </c>
      <c r="E85" s="103"/>
      <c r="F85" s="104"/>
      <c r="G85" s="104"/>
      <c r="H85" s="104"/>
      <c r="I85" s="105"/>
      <c r="J85" s="40">
        <v>4</v>
      </c>
      <c r="K85" s="40">
        <v>5</v>
      </c>
    </row>
    <row r="86" spans="2:13" ht="25.5" x14ac:dyDescent="0.2">
      <c r="B86" s="38" t="s">
        <v>64</v>
      </c>
      <c r="C86" s="43">
        <f>61471297040.99</f>
        <v>61471297040.989998</v>
      </c>
      <c r="D86" s="43">
        <f>50100790535.83</f>
        <v>50100790535.830002</v>
      </c>
      <c r="E86" s="43" t="s">
        <v>58</v>
      </c>
      <c r="F86" s="43" t="s">
        <v>58</v>
      </c>
      <c r="G86" s="43" t="s">
        <v>58</v>
      </c>
      <c r="H86" s="43" t="s">
        <v>58</v>
      </c>
      <c r="I86" s="43" t="s">
        <v>58</v>
      </c>
      <c r="J86" s="42">
        <f>IF($D$86=0,"",100*$D86/$D$86)</f>
        <v>100</v>
      </c>
      <c r="K86" s="37">
        <f t="shared" ref="K86:K101" si="11">IF(C86=0,"",100*D86/C86)</f>
        <v>81.502738591024084</v>
      </c>
    </row>
    <row r="87" spans="2:13" ht="33.75" x14ac:dyDescent="0.2">
      <c r="B87" s="78" t="s">
        <v>108</v>
      </c>
      <c r="C87" s="44">
        <f>27407752688.91</f>
        <v>27407752688.91</v>
      </c>
      <c r="D87" s="44">
        <f>5521048501.13</f>
        <v>5521048501.1300001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48">
        <f t="shared" ref="J87:J96" si="12">IF($D$86=0,"",100*$D87/$D$86)</f>
        <v>11.019883004004848</v>
      </c>
      <c r="K87" s="49">
        <f t="shared" si="11"/>
        <v>20.144112375050664</v>
      </c>
    </row>
    <row r="88" spans="2:13" ht="22.5" x14ac:dyDescent="0.2">
      <c r="B88" s="79" t="s">
        <v>87</v>
      </c>
      <c r="C88" s="67">
        <f>2001180735.91</f>
        <v>2001180735.9100001</v>
      </c>
      <c r="D88" s="67">
        <f>971811000</f>
        <v>971811000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68">
        <f t="shared" si="12"/>
        <v>1.9397119079488401</v>
      </c>
      <c r="K88" s="66">
        <f t="shared" si="11"/>
        <v>48.561880621846328</v>
      </c>
    </row>
    <row r="89" spans="2:13" x14ac:dyDescent="0.2">
      <c r="B89" s="32" t="s">
        <v>88</v>
      </c>
      <c r="C89" s="67">
        <f>424918095</f>
        <v>424918095</v>
      </c>
      <c r="D89" s="67">
        <f>156497755.54</f>
        <v>156497755.53999999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8">
        <f t="shared" si="12"/>
        <v>0.31236584067087586</v>
      </c>
      <c r="K89" s="66">
        <f t="shared" si="11"/>
        <v>36.830099113571521</v>
      </c>
    </row>
    <row r="90" spans="2:13" ht="48" customHeight="1" x14ac:dyDescent="0.2">
      <c r="B90" s="32" t="s">
        <v>97</v>
      </c>
      <c r="C90" s="67">
        <f>6569785081.7</f>
        <v>6569785081.6999998</v>
      </c>
      <c r="D90" s="67">
        <f>10774517695.41</f>
        <v>10774517695.41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8">
        <f t="shared" si="12"/>
        <v>21.505684002539866</v>
      </c>
      <c r="K90" s="66">
        <f t="shared" si="11"/>
        <v>164.00106794090107</v>
      </c>
    </row>
    <row r="91" spans="2:13" ht="33.75" x14ac:dyDescent="0.2">
      <c r="B91" s="32" t="s">
        <v>98</v>
      </c>
      <c r="C91" s="67">
        <f>6071447181.82</f>
        <v>6071447181.8199997</v>
      </c>
      <c r="D91" s="67">
        <f>6961288440</f>
        <v>6961288440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8">
        <f t="shared" si="12"/>
        <v>13.894568060800509</v>
      </c>
      <c r="K91" s="66">
        <f t="shared" si="11"/>
        <v>114.65616403358479</v>
      </c>
    </row>
    <row r="92" spans="2:13" x14ac:dyDescent="0.2">
      <c r="B92" s="32" t="s">
        <v>89</v>
      </c>
      <c r="C92" s="67">
        <f>22960000</f>
        <v>22960000</v>
      </c>
      <c r="D92" s="67">
        <f>0</f>
        <v>0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68">
        <f t="shared" si="12"/>
        <v>0</v>
      </c>
      <c r="K92" s="66">
        <f t="shared" si="11"/>
        <v>0</v>
      </c>
    </row>
    <row r="93" spans="2:13" ht="33.75" x14ac:dyDescent="0.2">
      <c r="B93" s="32" t="s">
        <v>90</v>
      </c>
      <c r="C93" s="67">
        <f>17517393834.43</f>
        <v>17517393834.43</v>
      </c>
      <c r="D93" s="67">
        <f>22958035022.62</f>
        <v>22958035022.619999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68">
        <f t="shared" si="12"/>
        <v>45.82369814344819</v>
      </c>
      <c r="K93" s="66">
        <f t="shared" si="11"/>
        <v>131.05850812976846</v>
      </c>
    </row>
    <row r="94" spans="2:13" ht="56.25" x14ac:dyDescent="0.2">
      <c r="B94" s="32" t="s">
        <v>109</v>
      </c>
      <c r="C94" s="67">
        <f>0</f>
        <v>0</v>
      </c>
      <c r="D94" s="67">
        <f>278069767.78</f>
        <v>278069767.77999997</v>
      </c>
      <c r="E94" s="43"/>
      <c r="F94" s="43"/>
      <c r="G94" s="43"/>
      <c r="H94" s="43"/>
      <c r="I94" s="43"/>
      <c r="J94" s="68">
        <f>IF($D$86=0,"",100*$D94/$D$86)</f>
        <v>0.55502071884701309</v>
      </c>
      <c r="K94" s="66" t="str">
        <f>IF(C94=0,"",100*D94/C94)</f>
        <v/>
      </c>
    </row>
    <row r="95" spans="2:13" x14ac:dyDescent="0.2">
      <c r="B95" s="32" t="s">
        <v>110</v>
      </c>
      <c r="C95" s="67">
        <f>3457040159.13</f>
        <v>3457040159.1300001</v>
      </c>
      <c r="D95" s="67">
        <f>3451333353.35</f>
        <v>3451333353.3499999</v>
      </c>
      <c r="E95" s="43"/>
      <c r="F95" s="43"/>
      <c r="G95" s="43"/>
      <c r="H95" s="43"/>
      <c r="I95" s="43"/>
      <c r="J95" s="48">
        <f t="shared" si="12"/>
        <v>6.8887802296886909</v>
      </c>
      <c r="K95" s="49">
        <f>IF(C95=0,"",100*D95/C95)</f>
        <v>99.834922201730038</v>
      </c>
    </row>
    <row r="96" spans="2:13" ht="22.5" x14ac:dyDescent="0.2">
      <c r="B96" s="79" t="s">
        <v>111</v>
      </c>
      <c r="C96" s="67">
        <f>3088238211.97</f>
        <v>3088238211.9699998</v>
      </c>
      <c r="D96" s="67">
        <f>3105622955.77</f>
        <v>3105622955.77</v>
      </c>
      <c r="E96" s="43" t="s">
        <v>58</v>
      </c>
      <c r="F96" s="43" t="s">
        <v>58</v>
      </c>
      <c r="G96" s="43" t="s">
        <v>58</v>
      </c>
      <c r="H96" s="43" t="s">
        <v>58</v>
      </c>
      <c r="I96" s="43" t="s">
        <v>58</v>
      </c>
      <c r="J96" s="68">
        <f t="shared" si="12"/>
        <v>6.1987504040459953</v>
      </c>
      <c r="K96" s="66">
        <f>IF(C96=0,"",100*D96/C96)</f>
        <v>100.56293402926681</v>
      </c>
    </row>
    <row r="97" spans="2:11" ht="25.5" x14ac:dyDescent="0.2">
      <c r="B97" s="38" t="s">
        <v>65</v>
      </c>
      <c r="C97" s="26">
        <f>10704954936.3</f>
        <v>10704954936.299999</v>
      </c>
      <c r="D97" s="26">
        <f>8443611965.7</f>
        <v>8443611965.6999998</v>
      </c>
      <c r="E97" s="43" t="s">
        <v>58</v>
      </c>
      <c r="F97" s="43" t="s">
        <v>58</v>
      </c>
      <c r="G97" s="43" t="s">
        <v>58</v>
      </c>
      <c r="H97" s="43" t="s">
        <v>58</v>
      </c>
      <c r="I97" s="43" t="s">
        <v>58</v>
      </c>
      <c r="J97" s="42">
        <f t="shared" ref="J97:J102" si="13">IF($D$97=0,"",100*$D97/$D$97)</f>
        <v>100</v>
      </c>
      <c r="K97" s="37">
        <f t="shared" si="11"/>
        <v>78.875735731199654</v>
      </c>
    </row>
    <row r="98" spans="2:11" ht="22.5" x14ac:dyDescent="0.2">
      <c r="B98" s="78" t="s">
        <v>91</v>
      </c>
      <c r="C98" s="67">
        <f>8967067100.79</f>
        <v>8967067100.7900009</v>
      </c>
      <c r="D98" s="67">
        <f>5388676033.96</f>
        <v>5388676033.96</v>
      </c>
      <c r="E98" s="43" t="s">
        <v>58</v>
      </c>
      <c r="F98" s="43" t="s">
        <v>58</v>
      </c>
      <c r="G98" s="43" t="s">
        <v>58</v>
      </c>
      <c r="H98" s="43" t="s">
        <v>58</v>
      </c>
      <c r="I98" s="43" t="s">
        <v>58</v>
      </c>
      <c r="J98" s="48">
        <f t="shared" si="13"/>
        <v>63.819560347516081</v>
      </c>
      <c r="K98" s="49">
        <f t="shared" si="11"/>
        <v>60.094075056996687</v>
      </c>
    </row>
    <row r="99" spans="2:11" x14ac:dyDescent="0.2">
      <c r="B99" s="79" t="s">
        <v>92</v>
      </c>
      <c r="C99" s="67">
        <f>363289038.02</f>
        <v>363289038.01999998</v>
      </c>
      <c r="D99" s="67">
        <f>177436788.82</f>
        <v>177436788.81999999</v>
      </c>
      <c r="E99" s="43" t="s">
        <v>58</v>
      </c>
      <c r="F99" s="43" t="s">
        <v>58</v>
      </c>
      <c r="G99" s="43" t="s">
        <v>58</v>
      </c>
      <c r="H99" s="43" t="s">
        <v>58</v>
      </c>
      <c r="I99" s="43" t="s">
        <v>58</v>
      </c>
      <c r="J99" s="68">
        <f t="shared" si="13"/>
        <v>2.1014322962825775</v>
      </c>
      <c r="K99" s="66">
        <f t="shared" si="11"/>
        <v>48.841767917652298</v>
      </c>
    </row>
    <row r="100" spans="2:11" x14ac:dyDescent="0.2">
      <c r="B100" s="32" t="s">
        <v>99</v>
      </c>
      <c r="C100" s="67">
        <f>482156968.21</f>
        <v>482156968.20999998</v>
      </c>
      <c r="D100" s="67">
        <f>377789342.34</f>
        <v>377789342.33999997</v>
      </c>
      <c r="E100" s="43" t="s">
        <v>58</v>
      </c>
      <c r="F100" s="43" t="s">
        <v>58</v>
      </c>
      <c r="G100" s="43" t="s">
        <v>58</v>
      </c>
      <c r="H100" s="43" t="s">
        <v>58</v>
      </c>
      <c r="I100" s="43" t="s">
        <v>58</v>
      </c>
      <c r="J100" s="68">
        <f t="shared" si="13"/>
        <v>4.4742622455256349</v>
      </c>
      <c r="K100" s="66">
        <f t="shared" si="11"/>
        <v>78.354014822711548</v>
      </c>
    </row>
    <row r="101" spans="2:11" x14ac:dyDescent="0.2">
      <c r="B101" s="80" t="s">
        <v>112</v>
      </c>
      <c r="C101" s="67">
        <f>1255730867.3</f>
        <v>1255730867.3</v>
      </c>
      <c r="D101" s="67">
        <f>2677146589.4</f>
        <v>2677146589.4000001</v>
      </c>
      <c r="E101" s="43" t="s">
        <v>58</v>
      </c>
      <c r="F101" s="43" t="s">
        <v>58</v>
      </c>
      <c r="G101" s="43" t="s">
        <v>58</v>
      </c>
      <c r="H101" s="43" t="s">
        <v>58</v>
      </c>
      <c r="I101" s="43" t="s">
        <v>58</v>
      </c>
      <c r="J101" s="48">
        <f t="shared" si="13"/>
        <v>31.70617740695829</v>
      </c>
      <c r="K101" s="49">
        <f t="shared" si="11"/>
        <v>213.19429657377509</v>
      </c>
    </row>
    <row r="102" spans="2:11" ht="22.5" x14ac:dyDescent="0.2">
      <c r="B102" s="93" t="s">
        <v>113</v>
      </c>
      <c r="C102" s="67">
        <f>316079437.03</f>
        <v>316079437.02999997</v>
      </c>
      <c r="D102" s="67">
        <f>75456805.03</f>
        <v>75456805.030000001</v>
      </c>
      <c r="E102" s="43" t="s">
        <v>58</v>
      </c>
      <c r="F102" s="43" t="s">
        <v>58</v>
      </c>
      <c r="G102" s="43" t="s">
        <v>58</v>
      </c>
      <c r="H102" s="43" t="s">
        <v>58</v>
      </c>
      <c r="I102" s="43" t="s">
        <v>58</v>
      </c>
      <c r="J102" s="48">
        <f t="shared" si="13"/>
        <v>0.89365552723791486</v>
      </c>
      <c r="K102" s="49">
        <f>IF(C102=0,"",100*D102/C102)</f>
        <v>23.872734569202041</v>
      </c>
    </row>
    <row r="104" spans="2:11" ht="18" customHeight="1" x14ac:dyDescent="0.2">
      <c r="B104" s="41" t="s">
        <v>16</v>
      </c>
      <c r="C104" s="73" t="s">
        <v>17</v>
      </c>
      <c r="D104" s="19" t="s">
        <v>1</v>
      </c>
    </row>
    <row r="105" spans="2:11" x14ac:dyDescent="0.2">
      <c r="B105" s="41"/>
      <c r="C105" s="111" t="s">
        <v>78</v>
      </c>
      <c r="D105" s="112"/>
    </row>
    <row r="106" spans="2:11" x14ac:dyDescent="0.2">
      <c r="B106" s="39">
        <v>1</v>
      </c>
      <c r="C106" s="73">
        <v>2</v>
      </c>
      <c r="D106" s="19">
        <v>3</v>
      </c>
    </row>
    <row r="107" spans="2:11" ht="33.75" x14ac:dyDescent="0.2">
      <c r="B107" s="47" t="s">
        <v>114</v>
      </c>
      <c r="C107" s="45">
        <f>50822255727.51</f>
        <v>50822255727.510002</v>
      </c>
      <c r="D107" s="28">
        <f>0</f>
        <v>0</v>
      </c>
    </row>
    <row r="108" spans="2:11" ht="33.75" x14ac:dyDescent="0.2">
      <c r="B108" s="86" t="s">
        <v>80</v>
      </c>
      <c r="C108" s="46">
        <f>1646259975.25</f>
        <v>1646259975.25</v>
      </c>
      <c r="D108" s="75">
        <f>0</f>
        <v>0</v>
      </c>
    </row>
    <row r="109" spans="2:11" x14ac:dyDescent="0.2">
      <c r="B109" s="86" t="s">
        <v>81</v>
      </c>
      <c r="C109" s="46">
        <f>20719321580.56</f>
        <v>20719321580.560001</v>
      </c>
      <c r="D109" s="75">
        <f>0</f>
        <v>0</v>
      </c>
    </row>
    <row r="110" spans="2:11" ht="22.5" x14ac:dyDescent="0.2">
      <c r="B110" s="86" t="s">
        <v>82</v>
      </c>
      <c r="C110" s="46">
        <f>22960000</f>
        <v>22960000</v>
      </c>
      <c r="D110" s="75">
        <f>0</f>
        <v>0</v>
      </c>
    </row>
    <row r="111" spans="2:11" ht="56.25" x14ac:dyDescent="0.2">
      <c r="B111" s="86" t="s">
        <v>100</v>
      </c>
      <c r="C111" s="46">
        <f>5619364881.51</f>
        <v>5619364881.5100002</v>
      </c>
      <c r="D111" s="75">
        <f>0</f>
        <v>0</v>
      </c>
    </row>
    <row r="112" spans="2:11" ht="78.75" x14ac:dyDescent="0.2">
      <c r="B112" s="86" t="s">
        <v>83</v>
      </c>
      <c r="C112" s="46">
        <f>13999129342.37</f>
        <v>13999129342.370001</v>
      </c>
      <c r="D112" s="75">
        <f>0</f>
        <v>0</v>
      </c>
    </row>
    <row r="113" spans="2:4" ht="146.25" x14ac:dyDescent="0.2">
      <c r="B113" s="86" t="s">
        <v>102</v>
      </c>
      <c r="C113" s="46">
        <f>5717097313.23</f>
        <v>5717097313.2299995</v>
      </c>
      <c r="D113" s="75">
        <f>0</f>
        <v>0</v>
      </c>
    </row>
    <row r="114" spans="2:4" ht="22.5" x14ac:dyDescent="0.2">
      <c r="B114" s="86" t="s">
        <v>95</v>
      </c>
      <c r="C114" s="46">
        <f>162095276.91</f>
        <v>162095276.91</v>
      </c>
      <c r="D114" s="75">
        <f>0</f>
        <v>0</v>
      </c>
    </row>
    <row r="115" spans="2:4" ht="22.5" x14ac:dyDescent="0.2">
      <c r="B115" s="86" t="s">
        <v>111</v>
      </c>
      <c r="C115" s="46">
        <f>2936027357.68</f>
        <v>2936027357.6799998</v>
      </c>
      <c r="D115" s="75">
        <f>0</f>
        <v>0</v>
      </c>
    </row>
    <row r="117" spans="2:4" x14ac:dyDescent="0.2">
      <c r="B117" s="33" t="s">
        <v>66</v>
      </c>
      <c r="C117" s="33">
        <f>3</f>
        <v>3</v>
      </c>
      <c r="D117" s="33" t="str">
        <f>IF(C117=1,"I Kwartał",IF(C117=2,"II Kwartały",IF(C117=3,"III Kwartały",IF(C117=4,"IV Kwartały",IF(C117="M1","Styczeń",IF(C117="M11","Listopad",IF(C117="M12","Grudzień","-")))))))</f>
        <v>III Kwartały</v>
      </c>
    </row>
    <row r="118" spans="2:4" x14ac:dyDescent="0.2">
      <c r="B118" s="33" t="s">
        <v>67</v>
      </c>
      <c r="C118" s="89">
        <f>2023</f>
        <v>2023</v>
      </c>
    </row>
    <row r="119" spans="2:4" x14ac:dyDescent="0.2">
      <c r="B119" s="33" t="s">
        <v>68</v>
      </c>
      <c r="C119" s="113" t="str">
        <f>"Nov 14 2023 12:00AM"</f>
        <v>Nov 14 2023 12:00AM</v>
      </c>
      <c r="D119" s="114"/>
    </row>
  </sheetData>
  <mergeCells count="20">
    <mergeCell ref="C119:D119"/>
    <mergeCell ref="C105:D105"/>
    <mergeCell ref="J84:K84"/>
    <mergeCell ref="J63:K63"/>
    <mergeCell ref="K60:K62"/>
    <mergeCell ref="I60:I62"/>
    <mergeCell ref="J60:J62"/>
    <mergeCell ref="F60:H60"/>
    <mergeCell ref="C60:C62"/>
    <mergeCell ref="G61:H61"/>
    <mergeCell ref="E83:I85"/>
    <mergeCell ref="B3:B4"/>
    <mergeCell ref="J4:L4"/>
    <mergeCell ref="B60:B63"/>
    <mergeCell ref="C4:I4"/>
    <mergeCell ref="D60:D62"/>
    <mergeCell ref="E60:E62"/>
    <mergeCell ref="C63:H63"/>
    <mergeCell ref="C84:D84"/>
    <mergeCell ref="F61:F62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7" max="16383" man="1"/>
    <brk id="8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2023-11-27T09:46:56Z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2023-11-27T10:46:53.8426540+01:00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GRN-a12d5e17-9d45-4851-9d09-0200a33e6f86</vt:lpwstr>
  </property>
  <property fmtid="{D5CDD505-2E9C-101B-9397-08002B2CF9AE}" pid="7" name="MFHash">
    <vt:lpwstr>aFIp1Gs/u3iXQdHk1iHd436gRAWzDBLf74QNVw6cmaw=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