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'doch_wyd'!$A$1:$M$132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7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8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<sst xmlns="http://schemas.openxmlformats.org/spreadsheetml/2006/main" count="337" uniqueCount="121">
  <si>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</si>
  <si>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</si>
  <si>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</si>
  <si>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</si>
  <si>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</si>
  <si>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</si>
  <si>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</si>
  <si>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</si>
  <si>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</si>
  <si>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</si>
  <si>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</si>
  <si>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</si>
  <si>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</si>
  <si>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</si>
  <si>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</si>
  <si>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</si>
  <si>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</si>
  <si>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</si>
  <si>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</si>
  <si>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</si>
  <si>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</si>
  <si>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</si>
  <si>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</si>
  <si>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</si>
  <si>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</si>
  <si>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>Struktura</t>
  </si>
  <si>
    <t>Wskaźnik</t>
  </si>
  <si>
    <t xml:space="preserve">podatek od spadków i darowizn       </t>
  </si>
  <si>
    <t>podatek od czynności cywilnoprawnych</t>
  </si>
  <si>
    <t>inne cele</t>
  </si>
  <si>
    <t>w tym wymagalne: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</si>
  <si>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</si>
  <si>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</si>
  <si>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</si>
  <si>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</si>
  <si>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</rPr>
      <t>R7</t>
    </r>
  </si>
  <si>
    <r>
      <t xml:space="preserve">Ulgi i zwolnienia
</t>
    </r>
    <r>
      <rPr>
        <b/>
        <sz val="10"/>
        <color indexed="8"/>
        <rFont val="Arial"/>
        <family val="2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</si>
  <si>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</si>
  <si>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</rPr>
      <t>R11R</t>
    </r>
  </si>
  <si>
    <r>
      <t xml:space="preserve">Potrącenia 
</t>
    </r>
    <r>
      <rPr>
        <b/>
        <sz val="10"/>
        <color indexed="8"/>
        <rFont val="Arial"/>
        <family val="2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</si>
  <si>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</si>
  <si>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</si>
  <si>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</si>
  <si>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</si>
  <si>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</si>
  <si>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</si>
  <si>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w tym:   wynagrodzenia osobowe</t>
  </si>
  <si>
    <t>pozostałe wydatki</t>
  </si>
  <si>
    <t>wydatki na obsługę długu</t>
  </si>
  <si>
    <t>dotacje</t>
  </si>
  <si>
    <t>pochodne od wynagrodzeń</t>
  </si>
  <si>
    <t xml:space="preserve">wydatki na wynagrodzenia 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</si>
  <si>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</si>
  <si>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</si>
  <si>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</si>
  <si>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</si>
  <si>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</si>
  <si>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</si>
  <si>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opłata skarbowa</t>
  </si>
  <si>
    <t>opłata eksploatacyjna</t>
  </si>
  <si>
    <t>opłata targowa</t>
  </si>
  <si>
    <t>- część gminna</t>
  </si>
  <si>
    <t>- część powiatowa</t>
  </si>
  <si>
    <t>- pozostałe</t>
  </si>
  <si>
    <t>Subwencja ogólna dla gmin z tego:</t>
  </si>
  <si>
    <t>Subwencja ogólna dla powiatów z tego:</t>
  </si>
  <si>
    <t>#</t>
  </si>
  <si>
    <t>Razem dochody własne 
z tego:</t>
  </si>
  <si>
    <t>podatek dochodowy od osób prawnych - 
część gminna</t>
  </si>
  <si>
    <t>podatek dochodowy od osób prawnych - 
część powiatowa</t>
  </si>
  <si>
    <t>podatek dochodowy od osób fizycznych - 
część gminna</t>
  </si>
  <si>
    <t>podatek dochodowy od osób fizycznych - 
część powiatowa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</si>
  <si>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</si>
  <si>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</si>
  <si>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</si>
  <si>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</si>
  <si>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</si>
  <si>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</si>
  <si>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</si>
  <si>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Dotacje ogółem                      z tego:</t>
  </si>
  <si>
    <t>świadczenia na rzecz osób fizycznych</t>
  </si>
  <si>
    <t>majątkowe</t>
  </si>
  <si>
    <t>bieżące</t>
  </si>
  <si>
    <t>UE</t>
  </si>
  <si>
    <t>wydatki majątkowe</t>
  </si>
  <si>
    <t>wydatki bieżące</t>
  </si>
  <si>
    <t>Dochody bieżące minus Wydatki bieżące</t>
  </si>
  <si>
    <t>w złotych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</si>
  <si>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</si>
  <si>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</si>
  <si>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</si>
  <si>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</si>
  <si>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</si>
  <si>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</si>
  <si>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</si>
  <si>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</si>
  <si>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</si>
  <si>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</si>
  <si>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</si>
  <si>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</si>
  <si>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</si>
  <si>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</si>
  <si>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</si>
  <si>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</si>
  <si>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Dotacje §§ 200 i 620</t>
  </si>
  <si>
    <t>w tym: inwestycyjne § 620</t>
  </si>
  <si>
    <t>Dotacje §§ 205 i 625</t>
  </si>
  <si>
    <t>w tym: inwestycyjne § 625</t>
  </si>
  <si>
    <t>WYDATKI OGÓŁEM UE            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</si>
  <si>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</si>
  <si>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</si>
  <si>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</si>
  <si>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</si>
  <si>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</si>
  <si>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spłaty kredytów i pożyczek, wykup papierów wartościowych w tym:</t>
  </si>
  <si>
    <t>wykup papierów wartościowych</t>
  </si>
  <si>
    <t xml:space="preserve"> udzielone pożyczki</t>
  </si>
  <si>
    <t>wolne środki, o których mowa w art. 217 ust. 2 pkt 6 ustawy o finansach publicznych</t>
  </si>
  <si>
    <t>Kwota planowanych wydatków bieżących ponoszonych na spłatę przejętych zobowiązań samodzielnego publicznego zakładu opieki zdrowotnej przekształconego na zasadach określonych w ustawie o działalności leczniczej</t>
  </si>
  <si>
    <t>Kwota wykonanychwydatków bieżących ponoszonych na spłatę przejętych zobowiązań samodzielnego publicznego zakładu opieki zdrowotnej przekształconego na zasadach określonych w ustawie o działalności leczniczej</t>
  </si>
  <si>
    <t xml:space="preserve">Informacja z wykonania budżetów miast na prawach powiatu za IV Kwartały 2018 rok  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</si>
</sst>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dd/mm/yy\ h:mm;@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6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2" borderId="0" applyNumberFormat="0" applyBorder="0" applyAlignment="0" applyProtection="0"/>
    <xf numFmtId="0" fontId="16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40" borderId="1" applyNumberFormat="0" applyAlignment="0" applyProtection="0"/>
    <xf numFmtId="0" fontId="19" fillId="41" borderId="2" applyNumberFormat="0" applyAlignment="0" applyProtection="0"/>
    <xf numFmtId="0" fontId="40" fillId="42" borderId="3" applyNumberFormat="0" applyAlignment="0" applyProtection="0"/>
    <xf numFmtId="0" fontId="41" fillId="43" borderId="4" applyNumberFormat="0" applyAlignment="0" applyProtection="0"/>
    <xf numFmtId="0" fontId="42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6" borderId="1" applyNumberFormat="0" applyAlignment="0" applyProtection="0"/>
    <xf numFmtId="0" fontId="43" fillId="0" borderId="8" applyNumberFormat="0" applyFill="0" applyAlignment="0" applyProtection="0"/>
    <xf numFmtId="0" fontId="44" fillId="46" borderId="9" applyNumberFormat="0" applyAlignment="0" applyProtection="0"/>
    <xf numFmtId="0" fontId="26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48" fillId="47" borderId="0" applyNumberFormat="0" applyBorder="0" applyAlignment="0" applyProtection="0"/>
    <xf numFmtId="0" fontId="38" fillId="0" borderId="0">
      <alignment/>
      <protection/>
    </xf>
    <xf numFmtId="0" fontId="0" fillId="4" borderId="14" applyNumberFormat="0" applyFont="0" applyAlignment="0" applyProtection="0"/>
    <xf numFmtId="0" fontId="49" fillId="43" borderId="3" applyNumberFormat="0" applyAlignment="0" applyProtection="0"/>
    <xf numFmtId="0" fontId="2" fillId="0" borderId="0" applyNumberFormat="0" applyFill="0" applyBorder="0" applyAlignment="0" applyProtection="0"/>
    <xf numFmtId="0" fontId="28" fillId="40" borderId="15" applyNumberFormat="0" applyAlignment="0" applyProtection="0"/>
    <xf numFmtId="9" fontId="0" fillId="0" borderId="0" applyFon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4" fillId="49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 indent="1"/>
    </xf>
    <xf numFmtId="0" fontId="5" fillId="0" borderId="19" xfId="0" applyFont="1" applyFill="1" applyBorder="1" applyAlignment="1">
      <alignment horizontal="left" vertical="center" wrapText="1" indent="1"/>
    </xf>
    <xf numFmtId="0" fontId="5" fillId="0" borderId="19" xfId="0" applyFont="1" applyFill="1" applyBorder="1" applyAlignment="1">
      <alignment horizontal="left" vertical="center" wrapText="1" indent="2"/>
    </xf>
    <xf numFmtId="0" fontId="5" fillId="0" borderId="19" xfId="0" applyFont="1" applyFill="1" applyBorder="1" applyAlignment="1">
      <alignment horizontal="right" vertical="center" wrapText="1" indent="1"/>
    </xf>
    <xf numFmtId="0" fontId="7" fillId="0" borderId="0" xfId="0" applyFont="1" applyAlignment="1">
      <alignment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3" fillId="40" borderId="19" xfId="0" applyFont="1" applyFill="1" applyBorder="1" applyAlignment="1">
      <alignment horizontal="left" vertical="center" wrapText="1"/>
    </xf>
    <xf numFmtId="0" fontId="13" fillId="40" borderId="19" xfId="0" applyFont="1" applyFill="1" applyBorder="1" applyAlignment="1" quotePrefix="1">
      <alignment horizontal="left" vertical="center" wrapText="1" indent="1"/>
    </xf>
    <xf numFmtId="0" fontId="13" fillId="0" borderId="0" xfId="0" applyFont="1" applyBorder="1" applyAlignment="1">
      <alignment horizontal="left" vertical="center"/>
    </xf>
    <xf numFmtId="0" fontId="12" fillId="2" borderId="19" xfId="0" applyFont="1" applyFill="1" applyBorder="1" applyAlignment="1">
      <alignment horizontal="center" vertical="center" wrapText="1"/>
    </xf>
    <xf numFmtId="4" fontId="33" fillId="40" borderId="19" xfId="0" applyNumberFormat="1" applyFont="1" applyFill="1" applyBorder="1" applyAlignment="1">
      <alignment horizontal="right" vertical="center"/>
    </xf>
    <xf numFmtId="164" fontId="33" fillId="4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Border="1" applyAlignment="1">
      <alignment horizontal="right" vertical="center"/>
    </xf>
    <xf numFmtId="164" fontId="34" fillId="0" borderId="19" xfId="0" applyNumberFormat="1" applyFont="1" applyFill="1" applyBorder="1" applyAlignment="1">
      <alignment horizontal="right" vertical="center"/>
    </xf>
    <xf numFmtId="4" fontId="34" fillId="40" borderId="19" xfId="0" applyNumberFormat="1" applyFont="1" applyFill="1" applyBorder="1" applyAlignment="1">
      <alignment horizontal="right" vertical="center"/>
    </xf>
    <xf numFmtId="164" fontId="34" fillId="4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Fill="1" applyBorder="1" applyAlignment="1">
      <alignment horizontal="right" vertical="center"/>
    </xf>
    <xf numFmtId="4" fontId="35" fillId="0" borderId="19" xfId="0" applyNumberFormat="1" applyFont="1" applyBorder="1" applyAlignment="1">
      <alignment horizontal="right" vertical="center"/>
    </xf>
    <xf numFmtId="164" fontId="35" fillId="0" borderId="0" xfId="0" applyNumberFormat="1" applyFont="1" applyAlignment="1">
      <alignment horizontal="right" vertical="center"/>
    </xf>
    <xf numFmtId="164" fontId="35" fillId="0" borderId="0" xfId="0" applyNumberFormat="1" applyFont="1" applyFill="1" applyAlignment="1">
      <alignment horizontal="right" vertical="center"/>
    </xf>
    <xf numFmtId="164" fontId="35" fillId="0" borderId="0" xfId="0" applyNumberFormat="1" applyFont="1" applyFill="1" applyAlignment="1">
      <alignment/>
    </xf>
    <xf numFmtId="4" fontId="33" fillId="40" borderId="19" xfId="0" applyNumberFormat="1" applyFont="1" applyFill="1" applyBorder="1" applyAlignment="1">
      <alignment horizontal="right" vertical="center" wrapText="1"/>
    </xf>
    <xf numFmtId="164" fontId="36" fillId="40" borderId="19" xfId="0" applyNumberFormat="1" applyFont="1" applyFill="1" applyBorder="1" applyAlignment="1">
      <alignment horizontal="right" vertical="center"/>
    </xf>
    <xf numFmtId="4" fontId="35" fillId="0" borderId="0" xfId="0" applyNumberFormat="1" applyFont="1" applyBorder="1" applyAlignment="1">
      <alignment horizontal="right" vertical="center"/>
    </xf>
    <xf numFmtId="3" fontId="33" fillId="0" borderId="0" xfId="0" applyNumberFormat="1" applyFont="1" applyBorder="1" applyAlignment="1">
      <alignment horizontal="right" vertical="center"/>
    </xf>
    <xf numFmtId="164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3" fontId="33" fillId="0" borderId="19" xfId="0" applyNumberFormat="1" applyFont="1" applyBorder="1" applyAlignment="1">
      <alignment horizontal="right" vertical="center"/>
    </xf>
    <xf numFmtId="164" fontId="35" fillId="0" borderId="19" xfId="0" applyNumberFormat="1" applyFont="1" applyBorder="1" applyAlignment="1">
      <alignment/>
    </xf>
    <xf numFmtId="0" fontId="35" fillId="0" borderId="19" xfId="0" applyFont="1" applyBorder="1" applyAlignment="1">
      <alignment/>
    </xf>
    <xf numFmtId="4" fontId="36" fillId="40" borderId="20" xfId="0" applyNumberFormat="1" applyFont="1" applyFill="1" applyBorder="1" applyAlignment="1">
      <alignment horizontal="right" vertical="center"/>
    </xf>
    <xf numFmtId="4" fontId="36" fillId="40" borderId="21" xfId="0" applyNumberFormat="1" applyFont="1" applyFill="1" applyBorder="1" applyAlignment="1">
      <alignment horizontal="right" vertical="center"/>
    </xf>
    <xf numFmtId="164" fontId="36" fillId="40" borderId="19" xfId="71" applyNumberFormat="1" applyFont="1" applyFill="1" applyBorder="1" applyAlignment="1">
      <alignment horizontal="right" vertical="center"/>
    </xf>
    <xf numFmtId="4" fontId="35" fillId="0" borderId="20" xfId="0" applyNumberFormat="1" applyFont="1" applyBorder="1" applyAlignment="1">
      <alignment horizontal="right" vertical="center"/>
    </xf>
    <xf numFmtId="4" fontId="35" fillId="0" borderId="21" xfId="0" applyNumberFormat="1" applyFont="1" applyBorder="1" applyAlignment="1">
      <alignment horizontal="right" vertical="center"/>
    </xf>
    <xf numFmtId="164" fontId="36" fillId="50" borderId="19" xfId="71" applyNumberFormat="1" applyFont="1" applyFill="1" applyBorder="1" applyAlignment="1">
      <alignment horizontal="right" vertical="center"/>
    </xf>
    <xf numFmtId="164" fontId="36" fillId="50" borderId="19" xfId="0" applyNumberFormat="1" applyFont="1" applyFill="1" applyBorder="1" applyAlignment="1">
      <alignment horizontal="right" vertical="center"/>
    </xf>
    <xf numFmtId="164" fontId="36" fillId="51" borderId="19" xfId="71" applyNumberFormat="1" applyFont="1" applyFill="1" applyBorder="1" applyAlignment="1">
      <alignment horizontal="right" vertical="center"/>
    </xf>
    <xf numFmtId="164" fontId="36" fillId="51" borderId="19" xfId="0" applyNumberFormat="1" applyFont="1" applyFill="1" applyBorder="1" applyAlignment="1">
      <alignment horizontal="right" vertical="center"/>
    </xf>
    <xf numFmtId="4" fontId="36" fillId="51" borderId="20" xfId="0" applyNumberFormat="1" applyFont="1" applyFill="1" applyBorder="1" applyAlignment="1">
      <alignment horizontal="right" vertical="center"/>
    </xf>
    <xf numFmtId="4" fontId="36" fillId="51" borderId="21" xfId="0" applyNumberFormat="1" applyFont="1" applyFill="1" applyBorder="1" applyAlignment="1">
      <alignment horizontal="right" vertical="center"/>
    </xf>
    <xf numFmtId="0" fontId="55" fillId="0" borderId="19" xfId="89" applyFont="1" applyBorder="1" applyAlignment="1">
      <alignment horizontal="left" vertical="top" wrapText="1"/>
      <protection/>
    </xf>
    <xf numFmtId="0" fontId="12" fillId="40" borderId="19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55" fillId="51" borderId="19" xfId="89" applyFont="1" applyFill="1" applyBorder="1" applyAlignment="1">
      <alignment horizontal="left" vertical="top" wrapText="1"/>
      <protection/>
    </xf>
    <xf numFmtId="0" fontId="13" fillId="51" borderId="19" xfId="0" applyFont="1" applyFill="1" applyBorder="1" applyAlignment="1">
      <alignment horizontal="left" vertical="center" wrapText="1"/>
    </xf>
    <xf numFmtId="4" fontId="33" fillId="51" borderId="19" xfId="0" applyNumberFormat="1" applyFont="1" applyFill="1" applyBorder="1" applyAlignment="1">
      <alignment horizontal="right" vertical="center"/>
    </xf>
    <xf numFmtId="164" fontId="33" fillId="51" borderId="19" xfId="0" applyNumberFormat="1" applyFont="1" applyFill="1" applyBorder="1" applyAlignment="1">
      <alignment horizontal="right" vertical="center"/>
    </xf>
    <xf numFmtId="4" fontId="35" fillId="0" borderId="19" xfId="0" applyNumberFormat="1" applyFont="1" applyFill="1" applyBorder="1" applyAlignment="1">
      <alignment horizontal="right" vertical="center"/>
    </xf>
    <xf numFmtId="4" fontId="34" fillId="50" borderId="19" xfId="0" applyNumberFormat="1" applyFont="1" applyFill="1" applyBorder="1" applyAlignment="1">
      <alignment horizontal="right" vertical="center"/>
    </xf>
    <xf numFmtId="4" fontId="34" fillId="51" borderId="19" xfId="0" applyNumberFormat="1" applyFont="1" applyFill="1" applyBorder="1" applyAlignment="1">
      <alignment horizontal="right" vertical="center"/>
    </xf>
    <xf numFmtId="164" fontId="34" fillId="0" borderId="0" xfId="0" applyNumberFormat="1" applyFont="1" applyFill="1" applyBorder="1" applyAlignment="1">
      <alignment horizontal="right" vertical="center"/>
    </xf>
    <xf numFmtId="0" fontId="13" fillId="51" borderId="19" xfId="0" applyFont="1" applyFill="1" applyBorder="1" applyAlignment="1" quotePrefix="1">
      <alignment horizontal="left" vertical="center" wrapText="1" indent="1"/>
    </xf>
    <xf numFmtId="0" fontId="5" fillId="50" borderId="19" xfId="0" applyFont="1" applyFill="1" applyBorder="1" applyAlignment="1">
      <alignment horizontal="left" vertical="center" wrapText="1" indent="2"/>
    </xf>
    <xf numFmtId="164" fontId="34" fillId="50" borderId="1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 indent="1"/>
    </xf>
    <xf numFmtId="4" fontId="34" fillId="0" borderId="0" xfId="0" applyNumberFormat="1" applyFont="1" applyFill="1" applyBorder="1" applyAlignment="1">
      <alignment horizontal="right" vertical="center"/>
    </xf>
    <xf numFmtId="0" fontId="13" fillId="51" borderId="19" xfId="0" applyFont="1" applyFill="1" applyBorder="1" applyAlignment="1">
      <alignment horizontal="left" vertical="center" wrapText="1" indent="1"/>
    </xf>
    <xf numFmtId="164" fontId="36" fillId="0" borderId="19" xfId="0" applyNumberFormat="1" applyFont="1" applyFill="1" applyBorder="1" applyAlignment="1">
      <alignment horizontal="right" vertical="center"/>
    </xf>
    <xf numFmtId="164" fontId="35" fillId="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Fill="1" applyBorder="1" applyAlignment="1">
      <alignment horizontal="right" vertical="center" wrapText="1"/>
    </xf>
    <xf numFmtId="4" fontId="36" fillId="51" borderId="19" xfId="0" applyNumberFormat="1" applyFont="1" applyFill="1" applyBorder="1" applyAlignment="1">
      <alignment horizontal="right" vertical="center"/>
    </xf>
    <xf numFmtId="4" fontId="33" fillId="51" borderId="19" xfId="0" applyNumberFormat="1" applyFont="1" applyFill="1" applyBorder="1" applyAlignment="1">
      <alignment horizontal="right" vertical="center" wrapText="1"/>
    </xf>
    <xf numFmtId="4" fontId="34" fillId="51" borderId="19" xfId="0" applyNumberFormat="1" applyFont="1" applyFill="1" applyBorder="1" applyAlignment="1">
      <alignment horizontal="right" vertical="center" wrapText="1"/>
    </xf>
    <xf numFmtId="3" fontId="33" fillId="0" borderId="21" xfId="0" applyNumberFormat="1" applyFont="1" applyBorder="1" applyAlignment="1">
      <alignment horizontal="right" vertical="center"/>
    </xf>
    <xf numFmtId="4" fontId="34" fillId="51" borderId="21" xfId="0" applyNumberFormat="1" applyFont="1" applyFill="1" applyBorder="1" applyAlignment="1">
      <alignment horizontal="right" vertical="center" wrapText="1"/>
    </xf>
    <xf numFmtId="0" fontId="13" fillId="0" borderId="19" xfId="0" applyFont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4" fontId="34" fillId="0" borderId="21" xfId="0" applyNumberFormat="1" applyFont="1" applyFill="1" applyBorder="1" applyAlignment="1">
      <alignment horizontal="right" vertical="center" wrapText="1"/>
    </xf>
    <xf numFmtId="0" fontId="12" fillId="0" borderId="19" xfId="0" applyFont="1" applyFill="1" applyBorder="1" applyAlignment="1">
      <alignment/>
    </xf>
    <xf numFmtId="0" fontId="12" fillId="51" borderId="19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 indent="1"/>
    </xf>
    <xf numFmtId="4" fontId="35" fillId="0" borderId="20" xfId="0" applyNumberFormat="1" applyFont="1" applyFill="1" applyBorder="1" applyAlignment="1">
      <alignment horizontal="right" vertical="center"/>
    </xf>
    <xf numFmtId="4" fontId="35" fillId="0" borderId="21" xfId="0" applyNumberFormat="1" applyFont="1" applyFill="1" applyBorder="1" applyAlignment="1">
      <alignment horizontal="right" vertical="center"/>
    </xf>
    <xf numFmtId="164" fontId="36" fillId="0" borderId="19" xfId="71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top" wrapText="1"/>
    </xf>
    <xf numFmtId="4" fontId="36" fillId="0" borderId="21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55" fillId="0" borderId="19" xfId="89" applyFont="1" applyFill="1" applyBorder="1" applyAlignment="1">
      <alignment horizontal="left" vertical="top" wrapText="1"/>
      <protection/>
    </xf>
    <xf numFmtId="4" fontId="34" fillId="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Fill="1" applyBorder="1" applyAlignment="1">
      <alignment horizontal="right" vertical="center" wrapText="1"/>
    </xf>
    <xf numFmtId="4" fontId="34" fillId="0" borderId="20" xfId="0" applyNumberFormat="1" applyFont="1" applyFill="1" applyBorder="1" applyAlignment="1">
      <alignment horizontal="right" vertical="center" wrapText="1"/>
    </xf>
    <xf numFmtId="0" fontId="37" fillId="0" borderId="21" xfId="0" applyFont="1" applyFill="1" applyBorder="1" applyAlignment="1">
      <alignment horizontal="right" vertical="center" wrapText="1"/>
    </xf>
    <xf numFmtId="0" fontId="32" fillId="0" borderId="0" xfId="0" applyFont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4" fontId="36" fillId="51" borderId="19" xfId="0" applyNumberFormat="1" applyFont="1" applyFill="1" applyBorder="1" applyAlignment="1">
      <alignment horizontal="right" vertical="center"/>
    </xf>
    <xf numFmtId="4" fontId="33" fillId="51" borderId="19" xfId="0" applyNumberFormat="1" applyFont="1" applyFill="1" applyBorder="1" applyAlignment="1">
      <alignment horizontal="right" vertical="center" wrapText="1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35" fillId="2" borderId="20" xfId="0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35" fillId="2" borderId="2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35" fillId="51" borderId="20" xfId="0" applyNumberFormat="1" applyFont="1" applyFill="1" applyBorder="1" applyAlignment="1">
      <alignment horizontal="center" vertical="center"/>
    </xf>
    <xf numFmtId="0" fontId="35" fillId="2" borderId="2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31"/>
  <sheetViews>
    <sheetView tabSelected="1" workbookViewId="0" topLeftCell="B1">
      <selection activeCell="B5" sqref="B5"/>
    </sheetView>
  </sheetViews>
  <sheetFormatPr defaultColWidth="9.00390625" defaultRowHeight="12.75"/>
  <cols>
    <col min="1" max="1" width="5.75390625" style="1" hidden="1" customWidth="1"/>
    <col min="2" max="2" width="22.875" style="1" customWidth="1"/>
    <col min="3" max="5" width="14.625" style="1" customWidth="1"/>
    <col min="6" max="6" width="13.875" style="1" customWidth="1"/>
    <col min="7" max="7" width="13.00390625" style="1" customWidth="1"/>
    <col min="8" max="9" width="12.25390625" style="1" customWidth="1"/>
    <col min="10" max="10" width="13.00390625" style="1" customWidth="1"/>
    <col min="11" max="11" width="7.375" style="1" customWidth="1"/>
    <col min="12" max="12" width="7.25390625" style="1" customWidth="1"/>
    <col min="13" max="13" width="8.125" style="1" customWidth="1"/>
    <col min="14" max="16384" width="9.125" style="1" customWidth="1"/>
  </cols>
  <sheetData>
    <row r="1" spans="2:13" ht="27.75" customHeight="1">
      <c r="B1" s="112" t="s">
        <v>120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2:13" ht="63" customHeight="1">
      <c r="B2" s="126" t="s">
        <v>0</v>
      </c>
      <c r="C2" s="14" t="s">
        <v>32</v>
      </c>
      <c r="D2" s="14" t="s">
        <v>33</v>
      </c>
      <c r="E2" s="14" t="s">
        <v>34</v>
      </c>
      <c r="F2" s="14" t="s">
        <v>35</v>
      </c>
      <c r="G2" s="14" t="s">
        <v>36</v>
      </c>
      <c r="H2" s="14" t="s">
        <v>37</v>
      </c>
      <c r="I2" s="14" t="s">
        <v>38</v>
      </c>
      <c r="J2" s="14" t="s">
        <v>39</v>
      </c>
      <c r="K2" s="15" t="s">
        <v>2</v>
      </c>
      <c r="L2" s="14" t="s">
        <v>18</v>
      </c>
      <c r="M2" s="14" t="s">
        <v>3</v>
      </c>
    </row>
    <row r="3" spans="2:13" ht="12.75">
      <c r="B3" s="126"/>
      <c r="C3" s="128" t="s">
        <v>87</v>
      </c>
      <c r="D3" s="128"/>
      <c r="E3" s="128"/>
      <c r="F3" s="128"/>
      <c r="G3" s="128"/>
      <c r="H3" s="128"/>
      <c r="I3" s="128"/>
      <c r="J3" s="128"/>
      <c r="K3" s="128" t="s">
        <v>4</v>
      </c>
      <c r="L3" s="128"/>
      <c r="M3" s="128"/>
    </row>
    <row r="4" spans="2:13" ht="12.75">
      <c r="B4" s="15">
        <v>1</v>
      </c>
      <c r="C4" s="17">
        <v>2</v>
      </c>
      <c r="D4" s="17">
        <v>3</v>
      </c>
      <c r="E4" s="17">
        <v>4</v>
      </c>
      <c r="F4" s="15">
        <v>5</v>
      </c>
      <c r="G4" s="17">
        <v>6</v>
      </c>
      <c r="H4" s="15">
        <v>7</v>
      </c>
      <c r="I4" s="17">
        <v>8</v>
      </c>
      <c r="J4" s="15">
        <v>9</v>
      </c>
      <c r="K4" s="17">
        <v>10</v>
      </c>
      <c r="L4" s="15">
        <v>11</v>
      </c>
      <c r="M4" s="17">
        <v>12</v>
      </c>
    </row>
    <row r="5" spans="2:13" ht="12.75">
      <c r="B5" s="68" t="s">
        <v>5</v>
      </c>
      <c r="C5" s="69">
        <f>85792186220.62</f>
        <v>85792186220.62</v>
      </c>
      <c r="D5" s="69">
        <f>85507790337.14</f>
        <v>85507790337.14</v>
      </c>
      <c r="E5" s="69">
        <f>85476836875.65</f>
        <v>85476836875.65</v>
      </c>
      <c r="F5" s="69">
        <f>504042418.68</f>
        <v>504042418.68</v>
      </c>
      <c r="G5" s="69">
        <f>111233869</f>
        <v>111233869</v>
      </c>
      <c r="H5" s="69">
        <f>23267420.31</f>
        <v>23267420.31</v>
      </c>
      <c r="I5" s="69">
        <f>59905439.2</f>
        <v>59905439.2</v>
      </c>
      <c r="J5" s="69">
        <f>1078226.93</f>
        <v>1078226.93</v>
      </c>
      <c r="K5" s="70">
        <f aca="true" t="shared" si="0" ref="K5:K63">IF($D$5=0,"",100*$D5/$D$5)</f>
        <v>100</v>
      </c>
      <c r="L5" s="70">
        <f aca="true" t="shared" si="1" ref="L5:L63">IF(C5=0,"",100*D5/C5)</f>
        <v>99.66850607729164</v>
      </c>
      <c r="M5" s="70"/>
    </row>
    <row r="6" spans="2:13" ht="25.5" customHeight="1">
      <c r="B6" s="28" t="s">
        <v>67</v>
      </c>
      <c r="C6" s="32">
        <f>C5-C23-C50</f>
        <v>51278133235.229996</v>
      </c>
      <c r="D6" s="32">
        <f>D5-D23-D50</f>
        <v>52411259109.6</v>
      </c>
      <c r="E6" s="32">
        <f>E5-E23-E50</f>
        <v>52276772385.79999</v>
      </c>
      <c r="F6" s="32">
        <f>F5</f>
        <v>504042418.68</v>
      </c>
      <c r="G6" s="32">
        <f>G5</f>
        <v>111233869</v>
      </c>
      <c r="H6" s="32">
        <f>H5</f>
        <v>23267420.31</v>
      </c>
      <c r="I6" s="32">
        <f>I5</f>
        <v>59905439.2</v>
      </c>
      <c r="J6" s="32">
        <f>J5</f>
        <v>1078226.93</v>
      </c>
      <c r="K6" s="33">
        <f t="shared" si="0"/>
        <v>61.29413343854748</v>
      </c>
      <c r="L6" s="33">
        <f t="shared" si="1"/>
        <v>102.20976428524021</v>
      </c>
      <c r="M6" s="33">
        <f aca="true" t="shared" si="2" ref="M6:M22">IF($D$6=0,"",100*$D6/$D$6)</f>
        <v>100</v>
      </c>
    </row>
    <row r="7" spans="2:13" ht="33.75">
      <c r="B7" s="18" t="s">
        <v>68</v>
      </c>
      <c r="C7" s="34">
        <f>1668158296.67</f>
        <v>1668158296.67</v>
      </c>
      <c r="D7" s="34">
        <f>1890061123.48</f>
        <v>1890061123.48</v>
      </c>
      <c r="E7" s="34">
        <f>1892197241.19</f>
        <v>1892197241.19</v>
      </c>
      <c r="F7" s="34">
        <f>0</f>
        <v>0</v>
      </c>
      <c r="G7" s="34">
        <f>0</f>
        <v>0</v>
      </c>
      <c r="H7" s="34">
        <f>0</f>
        <v>0</v>
      </c>
      <c r="I7" s="34">
        <f>0</f>
        <v>0</v>
      </c>
      <c r="J7" s="34">
        <f>0</f>
        <v>0</v>
      </c>
      <c r="K7" s="35">
        <f t="shared" si="0"/>
        <v>2.210396404851382</v>
      </c>
      <c r="L7" s="35">
        <f t="shared" si="1"/>
        <v>113.30226437460793</v>
      </c>
      <c r="M7" s="35">
        <f t="shared" si="2"/>
        <v>3.606212015490015</v>
      </c>
    </row>
    <row r="8" spans="2:13" ht="33.75">
      <c r="B8" s="19" t="s">
        <v>69</v>
      </c>
      <c r="C8" s="38">
        <f>355770640.32</f>
        <v>355770640.32</v>
      </c>
      <c r="D8" s="38">
        <f>394339074.36</f>
        <v>394339074.36</v>
      </c>
      <c r="E8" s="38">
        <f>395040834.33</f>
        <v>395040834.33</v>
      </c>
      <c r="F8" s="38">
        <f>0</f>
        <v>0</v>
      </c>
      <c r="G8" s="38">
        <f>0</f>
        <v>0</v>
      </c>
      <c r="H8" s="38">
        <f>0</f>
        <v>0</v>
      </c>
      <c r="I8" s="38">
        <f>0</f>
        <v>0</v>
      </c>
      <c r="J8" s="38">
        <f>0</f>
        <v>0</v>
      </c>
      <c r="K8" s="35">
        <f t="shared" si="0"/>
        <v>0.46117327182143336</v>
      </c>
      <c r="L8" s="35">
        <f t="shared" si="1"/>
        <v>110.84081418447273</v>
      </c>
      <c r="M8" s="35">
        <f t="shared" si="2"/>
        <v>0.7523938196855305</v>
      </c>
    </row>
    <row r="9" spans="2:13" ht="33.75">
      <c r="B9" s="19" t="s">
        <v>70</v>
      </c>
      <c r="C9" s="38">
        <f>17167192173.73</f>
        <v>17167192173.73</v>
      </c>
      <c r="D9" s="38">
        <f>17933843750</f>
        <v>17933843750</v>
      </c>
      <c r="E9" s="38">
        <f>17880979292</f>
        <v>17880979292</v>
      </c>
      <c r="F9" s="38">
        <f>0</f>
        <v>0</v>
      </c>
      <c r="G9" s="38">
        <f>0</f>
        <v>0</v>
      </c>
      <c r="H9" s="38">
        <f>0</f>
        <v>0</v>
      </c>
      <c r="I9" s="38">
        <f>0</f>
        <v>0</v>
      </c>
      <c r="J9" s="38">
        <f>0</f>
        <v>0</v>
      </c>
      <c r="K9" s="35">
        <f t="shared" si="0"/>
        <v>20.97334486049805</v>
      </c>
      <c r="L9" s="35">
        <f t="shared" si="1"/>
        <v>104.46579480506524</v>
      </c>
      <c r="M9" s="35">
        <f t="shared" si="2"/>
        <v>34.21754038096581</v>
      </c>
    </row>
    <row r="10" spans="2:13" ht="33.75">
      <c r="B10" s="19" t="s">
        <v>71</v>
      </c>
      <c r="C10" s="38">
        <f>4632012744</f>
        <v>4632012744</v>
      </c>
      <c r="D10" s="38">
        <f>4833189386</f>
        <v>4833189386</v>
      </c>
      <c r="E10" s="38">
        <f>4759306112</f>
        <v>4759306112</v>
      </c>
      <c r="F10" s="38">
        <f>0</f>
        <v>0</v>
      </c>
      <c r="G10" s="38">
        <f>0</f>
        <v>0</v>
      </c>
      <c r="H10" s="38">
        <f>0</f>
        <v>0</v>
      </c>
      <c r="I10" s="38">
        <f>0</f>
        <v>0</v>
      </c>
      <c r="J10" s="38">
        <f>0</f>
        <v>0</v>
      </c>
      <c r="K10" s="35">
        <f t="shared" si="0"/>
        <v>5.652338069950946</v>
      </c>
      <c r="L10" s="35">
        <f t="shared" si="1"/>
        <v>104.3431798036521</v>
      </c>
      <c r="M10" s="35">
        <f t="shared" si="2"/>
        <v>9.22166242160498</v>
      </c>
    </row>
    <row r="11" spans="2:13" ht="12.75">
      <c r="B11" s="19" t="s">
        <v>19</v>
      </c>
      <c r="C11" s="38">
        <f>21456499</f>
        <v>21456499</v>
      </c>
      <c r="D11" s="38">
        <f>21506290.57</f>
        <v>21506290.57</v>
      </c>
      <c r="E11" s="38">
        <f>21505500.65</f>
        <v>21505500.65</v>
      </c>
      <c r="F11" s="38">
        <f>719936.87</f>
        <v>719936.87</v>
      </c>
      <c r="G11" s="38">
        <f>6214.24</f>
        <v>6214.24</v>
      </c>
      <c r="H11" s="38">
        <f>28999.06</f>
        <v>28999.06</v>
      </c>
      <c r="I11" s="38">
        <f>98490.98</f>
        <v>98490.98</v>
      </c>
      <c r="J11" s="38">
        <f>63.4</f>
        <v>63.4</v>
      </c>
      <c r="K11" s="35">
        <f t="shared" si="0"/>
        <v>0.025151264563386594</v>
      </c>
      <c r="L11" s="35">
        <f t="shared" si="1"/>
        <v>100.23205822161388</v>
      </c>
      <c r="M11" s="35">
        <f t="shared" si="2"/>
        <v>0.041033722401186815</v>
      </c>
    </row>
    <row r="12" spans="2:13" ht="12.75">
      <c r="B12" s="19" t="s">
        <v>20</v>
      </c>
      <c r="C12" s="38">
        <f>8730163565</f>
        <v>8730163565</v>
      </c>
      <c r="D12" s="71">
        <f>8816999016.26</f>
        <v>8816999016.26</v>
      </c>
      <c r="E12" s="38">
        <f>8816852378.81</f>
        <v>8816852378.81</v>
      </c>
      <c r="F12" s="38">
        <f>255119706.68</f>
        <v>255119706.68</v>
      </c>
      <c r="G12" s="38">
        <f>110119553.09</f>
        <v>110119553.09</v>
      </c>
      <c r="H12" s="38">
        <f>17163293.05</f>
        <v>17163293.05</v>
      </c>
      <c r="I12" s="38">
        <f>43575978.7</f>
        <v>43575978.7</v>
      </c>
      <c r="J12" s="38">
        <f>699762.9</f>
        <v>699762.9</v>
      </c>
      <c r="K12" s="35">
        <f t="shared" si="0"/>
        <v>10.311340032874606</v>
      </c>
      <c r="L12" s="35">
        <f t="shared" si="1"/>
        <v>100.99466007267185</v>
      </c>
      <c r="M12" s="35">
        <f t="shared" si="2"/>
        <v>16.822719327964055</v>
      </c>
    </row>
    <row r="13" spans="2:13" ht="12.75">
      <c r="B13" s="19" t="s">
        <v>21</v>
      </c>
      <c r="C13" s="38">
        <f>4437410</f>
        <v>4437410</v>
      </c>
      <c r="D13" s="71">
        <f>4731246.44</f>
        <v>4731246.44</v>
      </c>
      <c r="E13" s="38">
        <f>4731246.59</f>
        <v>4731246.59</v>
      </c>
      <c r="F13" s="38">
        <f>0</f>
        <v>0</v>
      </c>
      <c r="G13" s="38">
        <f>23427.75</f>
        <v>23427.75</v>
      </c>
      <c r="H13" s="38">
        <f>3606.43</f>
        <v>3606.43</v>
      </c>
      <c r="I13" s="38">
        <f>336.41</f>
        <v>336.41</v>
      </c>
      <c r="J13" s="38">
        <f>0</f>
        <v>0</v>
      </c>
      <c r="K13" s="35">
        <f t="shared" si="0"/>
        <v>0.00553311741695774</v>
      </c>
      <c r="L13" s="35">
        <f t="shared" si="1"/>
        <v>106.62180055482817</v>
      </c>
      <c r="M13" s="35">
        <f t="shared" si="2"/>
        <v>0.009027156607907925</v>
      </c>
    </row>
    <row r="14" spans="2:13" ht="22.5">
      <c r="B14" s="19" t="s">
        <v>22</v>
      </c>
      <c r="C14" s="38">
        <f>353787623</f>
        <v>353787623</v>
      </c>
      <c r="D14" s="71">
        <f>348994049.19</f>
        <v>348994049.19</v>
      </c>
      <c r="E14" s="38">
        <f>348990896</f>
        <v>348990896</v>
      </c>
      <c r="F14" s="38">
        <f>247212056.86</f>
        <v>247212056.86</v>
      </c>
      <c r="G14" s="38">
        <f>40109.64</f>
        <v>40109.64</v>
      </c>
      <c r="H14" s="38">
        <f>399684.33</f>
        <v>399684.33</v>
      </c>
      <c r="I14" s="38">
        <f>1405720.45</f>
        <v>1405720.45</v>
      </c>
      <c r="J14" s="38">
        <f>6708.36</f>
        <v>6708.36</v>
      </c>
      <c r="K14" s="35">
        <f t="shared" si="0"/>
        <v>0.40814298652086173</v>
      </c>
      <c r="L14" s="35">
        <f t="shared" si="1"/>
        <v>98.64507023469275</v>
      </c>
      <c r="M14" s="35">
        <f t="shared" si="2"/>
        <v>0.6658761020417384</v>
      </c>
    </row>
    <row r="15" spans="2:13" ht="33.75">
      <c r="B15" s="19" t="s">
        <v>41</v>
      </c>
      <c r="C15" s="38">
        <f>32007064</f>
        <v>32007064</v>
      </c>
      <c r="D15" s="71">
        <f>30355318.34</f>
        <v>30355318.34</v>
      </c>
      <c r="E15" s="38">
        <f>30298602.15</f>
        <v>30298602.15</v>
      </c>
      <c r="F15" s="38">
        <f>0</f>
        <v>0</v>
      </c>
      <c r="G15" s="38">
        <f>0</f>
        <v>0</v>
      </c>
      <c r="H15" s="38">
        <f>23649.61</f>
        <v>23649.61</v>
      </c>
      <c r="I15" s="38">
        <f>376439.46</f>
        <v>376439.46</v>
      </c>
      <c r="J15" s="38">
        <f>0</f>
        <v>0</v>
      </c>
      <c r="K15" s="35">
        <f t="shared" si="0"/>
        <v>0.03550006171404394</v>
      </c>
      <c r="L15" s="35">
        <f t="shared" si="1"/>
        <v>94.83943400744286</v>
      </c>
      <c r="M15" s="35">
        <f t="shared" si="2"/>
        <v>0.05791755217428065</v>
      </c>
    </row>
    <row r="16" spans="2:13" ht="22.5" customHeight="1">
      <c r="B16" s="19" t="s">
        <v>27</v>
      </c>
      <c r="C16" s="38">
        <f>156691827</f>
        <v>156691827</v>
      </c>
      <c r="D16" s="71">
        <f>166474653.06</f>
        <v>166474653.06</v>
      </c>
      <c r="E16" s="38">
        <f>166960863.15</f>
        <v>166960863.15</v>
      </c>
      <c r="F16" s="38">
        <f>0</f>
        <v>0</v>
      </c>
      <c r="G16" s="38">
        <f>0</f>
        <v>0</v>
      </c>
      <c r="H16" s="38">
        <f>1565052.23</f>
        <v>1565052.23</v>
      </c>
      <c r="I16" s="38">
        <f>5927116.69</f>
        <v>5927116.69</v>
      </c>
      <c r="J16" s="38">
        <f>0</f>
        <v>0</v>
      </c>
      <c r="K16" s="35">
        <f t="shared" si="0"/>
        <v>0.194689457420925</v>
      </c>
      <c r="L16" s="35">
        <f t="shared" si="1"/>
        <v>106.24335439014314</v>
      </c>
      <c r="M16" s="35">
        <f t="shared" si="2"/>
        <v>0.31763147058130375</v>
      </c>
    </row>
    <row r="17" spans="2:13" ht="22.5" customHeight="1">
      <c r="B17" s="19" t="s">
        <v>28</v>
      </c>
      <c r="C17" s="38">
        <f>1362529187</f>
        <v>1362529187</v>
      </c>
      <c r="D17" s="71">
        <f>1568971389.2</f>
        <v>1568971389.2</v>
      </c>
      <c r="E17" s="38">
        <f>1565290527.13</f>
        <v>1565290527.13</v>
      </c>
      <c r="F17" s="38">
        <f>0</f>
        <v>0</v>
      </c>
      <c r="G17" s="38">
        <f>0</f>
        <v>0</v>
      </c>
      <c r="H17" s="38">
        <f>32142</f>
        <v>32142</v>
      </c>
      <c r="I17" s="38">
        <f>168405.82</f>
        <v>168405.82</v>
      </c>
      <c r="J17" s="38">
        <f>0</f>
        <v>0</v>
      </c>
      <c r="K17" s="35">
        <f t="shared" si="0"/>
        <v>1.8348870705392593</v>
      </c>
      <c r="L17" s="35">
        <f t="shared" si="1"/>
        <v>115.15139669444747</v>
      </c>
      <c r="M17" s="35">
        <f t="shared" si="2"/>
        <v>2.993576982989551</v>
      </c>
    </row>
    <row r="18" spans="2:13" ht="12.75">
      <c r="B18" s="19" t="s">
        <v>58</v>
      </c>
      <c r="C18" s="38">
        <f>284110000</f>
        <v>284110000</v>
      </c>
      <c r="D18" s="71">
        <f>306062643.55</f>
        <v>306062643.55</v>
      </c>
      <c r="E18" s="38">
        <f>306024561.88</f>
        <v>306024561.88</v>
      </c>
      <c r="F18" s="38">
        <f>0</f>
        <v>0</v>
      </c>
      <c r="G18" s="38">
        <f>0</f>
        <v>0</v>
      </c>
      <c r="H18" s="38">
        <f>84441.6</f>
        <v>84441.6</v>
      </c>
      <c r="I18" s="38">
        <f>962</f>
        <v>962</v>
      </c>
      <c r="J18" s="38">
        <f>0</f>
        <v>0</v>
      </c>
      <c r="K18" s="35">
        <f t="shared" si="0"/>
        <v>0.3579353908494847</v>
      </c>
      <c r="L18" s="35">
        <f t="shared" si="1"/>
        <v>107.72681128788146</v>
      </c>
      <c r="M18" s="35">
        <f t="shared" si="2"/>
        <v>0.5839635390364807</v>
      </c>
    </row>
    <row r="19" spans="2:13" ht="12.75">
      <c r="B19" s="19" t="s">
        <v>59</v>
      </c>
      <c r="C19" s="38">
        <f>10550710</f>
        <v>10550710</v>
      </c>
      <c r="D19" s="71">
        <f>10079402.27</f>
        <v>10079402.27</v>
      </c>
      <c r="E19" s="38">
        <f>10079402.27</f>
        <v>10079402.27</v>
      </c>
      <c r="F19" s="38">
        <f>0</f>
        <v>0</v>
      </c>
      <c r="G19" s="38">
        <f>0</f>
        <v>0</v>
      </c>
      <c r="H19" s="38">
        <f>0</f>
        <v>0</v>
      </c>
      <c r="I19" s="38">
        <f>0</f>
        <v>0</v>
      </c>
      <c r="J19" s="38">
        <f>0</f>
        <v>0</v>
      </c>
      <c r="K19" s="35">
        <f t="shared" si="0"/>
        <v>0.0117877005478202</v>
      </c>
      <c r="L19" s="35">
        <f t="shared" si="1"/>
        <v>95.53292877920065</v>
      </c>
      <c r="M19" s="35">
        <f t="shared" si="2"/>
        <v>0.01923136829993422</v>
      </c>
    </row>
    <row r="20" spans="2:13" ht="12.75">
      <c r="B20" s="19" t="s">
        <v>60</v>
      </c>
      <c r="C20" s="38">
        <f>23199620</f>
        <v>23199620</v>
      </c>
      <c r="D20" s="71">
        <f>22406603.04</f>
        <v>22406603.04</v>
      </c>
      <c r="E20" s="38">
        <f>22406799.44</f>
        <v>22406799.44</v>
      </c>
      <c r="F20" s="38">
        <f>0</f>
        <v>0</v>
      </c>
      <c r="G20" s="38">
        <f>0</f>
        <v>0</v>
      </c>
      <c r="H20" s="38">
        <f>13418.95</f>
        <v>13418.95</v>
      </c>
      <c r="I20" s="38">
        <f>8637</f>
        <v>8637</v>
      </c>
      <c r="J20" s="38">
        <f>0</f>
        <v>0</v>
      </c>
      <c r="K20" s="35">
        <f t="shared" si="0"/>
        <v>0.026204165669180872</v>
      </c>
      <c r="L20" s="35">
        <f t="shared" si="1"/>
        <v>96.58176745998426</v>
      </c>
      <c r="M20" s="35">
        <f t="shared" si="2"/>
        <v>0.042751506872109955</v>
      </c>
    </row>
    <row r="21" spans="2:13" ht="12.75">
      <c r="B21" s="19" t="s">
        <v>23</v>
      </c>
      <c r="C21" s="38">
        <f>4273694650.88</f>
        <v>4273694650.88</v>
      </c>
      <c r="D21" s="71">
        <f>3930704294.1</f>
        <v>3930704294.1</v>
      </c>
      <c r="E21" s="38">
        <f>3930166664.88</f>
        <v>3930166664.88</v>
      </c>
      <c r="F21" s="38">
        <f>0</f>
        <v>0</v>
      </c>
      <c r="G21" s="38">
        <f>0</f>
        <v>0</v>
      </c>
      <c r="H21" s="38">
        <f>0</f>
        <v>0</v>
      </c>
      <c r="I21" s="38">
        <f>0</f>
        <v>0</v>
      </c>
      <c r="J21" s="38">
        <f>0</f>
        <v>0</v>
      </c>
      <c r="K21" s="35">
        <f t="shared" si="0"/>
        <v>4.5968961174204415</v>
      </c>
      <c r="L21" s="35">
        <f t="shared" si="1"/>
        <v>91.97438317898134</v>
      </c>
      <c r="M21" s="35">
        <f t="shared" si="2"/>
        <v>7.499732616383615</v>
      </c>
    </row>
    <row r="22" spans="2:13" ht="13.5" customHeight="1">
      <c r="B22" s="19" t="s">
        <v>24</v>
      </c>
      <c r="C22" s="38">
        <f>C6-SUM(C7:C21)</f>
        <v>12202371224.629997</v>
      </c>
      <c r="D22" s="38">
        <f aca="true" t="shared" si="3" ref="D22:J22">D6-SUM(D7:D21)</f>
        <v>12132540869.740005</v>
      </c>
      <c r="E22" s="38">
        <f t="shared" si="3"/>
        <v>12125941463.329987</v>
      </c>
      <c r="F22" s="38">
        <f t="shared" si="3"/>
        <v>990718.2699999809</v>
      </c>
      <c r="G22" s="38">
        <f t="shared" si="3"/>
        <v>1044564.2800000012</v>
      </c>
      <c r="H22" s="38">
        <f t="shared" si="3"/>
        <v>3953133.0500000007</v>
      </c>
      <c r="I22" s="38">
        <f t="shared" si="3"/>
        <v>8343351.690000005</v>
      </c>
      <c r="J22" s="38">
        <f t="shared" si="3"/>
        <v>371692.2699999999</v>
      </c>
      <c r="K22" s="35">
        <f t="shared" si="0"/>
        <v>14.188813465888709</v>
      </c>
      <c r="L22" s="35">
        <f t="shared" si="1"/>
        <v>99.42773126956634</v>
      </c>
      <c r="M22" s="35">
        <f t="shared" si="2"/>
        <v>23.148730016901517</v>
      </c>
    </row>
    <row r="23" spans="2:13" ht="26.25" customHeight="1">
      <c r="B23" s="68" t="s">
        <v>79</v>
      </c>
      <c r="C23" s="69">
        <f>C24+C46+C48</f>
        <v>19132343375.39</v>
      </c>
      <c r="D23" s="69">
        <f>D24+D46+D48</f>
        <v>17712990823.54</v>
      </c>
      <c r="E23" s="69">
        <f>E24+E46+E48</f>
        <v>17767501579.850002</v>
      </c>
      <c r="F23" s="73" t="s">
        <v>66</v>
      </c>
      <c r="G23" s="73" t="s">
        <v>66</v>
      </c>
      <c r="H23" s="73" t="s">
        <v>66</v>
      </c>
      <c r="I23" s="73" t="s">
        <v>66</v>
      </c>
      <c r="J23" s="73" t="s">
        <v>66</v>
      </c>
      <c r="K23" s="70">
        <f t="shared" si="0"/>
        <v>20.71506087772967</v>
      </c>
      <c r="L23" s="70">
        <f t="shared" si="1"/>
        <v>92.58139724966614</v>
      </c>
      <c r="M23" s="74"/>
    </row>
    <row r="24" spans="2:13" ht="25.5" customHeight="1">
      <c r="B24" s="68" t="s">
        <v>72</v>
      </c>
      <c r="C24" s="69">
        <f>C25+C32+C39</f>
        <v>13723348729.630001</v>
      </c>
      <c r="D24" s="69">
        <f>D25+D32+D39</f>
        <v>13510698537.87</v>
      </c>
      <c r="E24" s="69">
        <f>E25+E32+E39</f>
        <v>13560070043.980001</v>
      </c>
      <c r="F24" s="73" t="s">
        <v>66</v>
      </c>
      <c r="G24" s="73" t="s">
        <v>66</v>
      </c>
      <c r="H24" s="73" t="s">
        <v>66</v>
      </c>
      <c r="I24" s="73" t="s">
        <v>66</v>
      </c>
      <c r="J24" s="73" t="s">
        <v>66</v>
      </c>
      <c r="K24" s="70">
        <f t="shared" si="0"/>
        <v>15.80054692630933</v>
      </c>
      <c r="L24" s="70">
        <f t="shared" si="1"/>
        <v>98.4504496974498</v>
      </c>
      <c r="M24" s="40"/>
    </row>
    <row r="25" spans="2:13" ht="13.5" customHeight="1">
      <c r="B25" s="29" t="s">
        <v>61</v>
      </c>
      <c r="C25" s="32">
        <f>C26+C28+C30</f>
        <v>11250124847.26</v>
      </c>
      <c r="D25" s="32">
        <f>D26+D28+D30</f>
        <v>11102523344.730001</v>
      </c>
      <c r="E25" s="32">
        <f>E26+E28+E30</f>
        <v>11136570550.42</v>
      </c>
      <c r="F25" s="36" t="s">
        <v>66</v>
      </c>
      <c r="G25" s="36" t="s">
        <v>66</v>
      </c>
      <c r="H25" s="36" t="s">
        <v>66</v>
      </c>
      <c r="I25" s="36" t="s">
        <v>66</v>
      </c>
      <c r="J25" s="36" t="s">
        <v>66</v>
      </c>
      <c r="K25" s="33">
        <f t="shared" si="0"/>
        <v>12.984224362429421</v>
      </c>
      <c r="L25" s="33">
        <f t="shared" si="1"/>
        <v>98.68800120412934</v>
      </c>
      <c r="M25" s="40"/>
    </row>
    <row r="26" spans="2:13" ht="22.5" customHeight="1">
      <c r="B26" s="19" t="s">
        <v>9</v>
      </c>
      <c r="C26" s="34">
        <f>9727889877.87</f>
        <v>9727889877.87</v>
      </c>
      <c r="D26" s="39">
        <f>9623027980.93</f>
        <v>9623027980.93</v>
      </c>
      <c r="E26" s="34">
        <f>9647813395.83</f>
        <v>9647813395.83</v>
      </c>
      <c r="F26" s="34" t="s">
        <v>66</v>
      </c>
      <c r="G26" s="34" t="s">
        <v>66</v>
      </c>
      <c r="H26" s="34" t="s">
        <v>66</v>
      </c>
      <c r="I26" s="34" t="s">
        <v>66</v>
      </c>
      <c r="J26" s="34" t="s">
        <v>66</v>
      </c>
      <c r="K26" s="35">
        <f t="shared" si="0"/>
        <v>11.253978079644368</v>
      </c>
      <c r="L26" s="35">
        <f t="shared" si="1"/>
        <v>98.92204888977463</v>
      </c>
      <c r="M26" s="40"/>
    </row>
    <row r="27" spans="2:13" ht="12.75">
      <c r="B27" s="20" t="s">
        <v>6</v>
      </c>
      <c r="C27" s="38">
        <f>2591905.4</f>
        <v>2591905.4</v>
      </c>
      <c r="D27" s="38">
        <f>2355600.02</f>
        <v>2355600.02</v>
      </c>
      <c r="E27" s="38">
        <f>2351181.43</f>
        <v>2351181.43</v>
      </c>
      <c r="F27" s="38" t="s">
        <v>66</v>
      </c>
      <c r="G27" s="38" t="s">
        <v>66</v>
      </c>
      <c r="H27" s="38" t="s">
        <v>66</v>
      </c>
      <c r="I27" s="38" t="s">
        <v>66</v>
      </c>
      <c r="J27" s="38" t="s">
        <v>66</v>
      </c>
      <c r="K27" s="35">
        <f t="shared" si="0"/>
        <v>0.002754836735591393</v>
      </c>
      <c r="L27" s="35">
        <f t="shared" si="1"/>
        <v>90.88294734830986</v>
      </c>
      <c r="M27" s="40"/>
    </row>
    <row r="28" spans="2:13" ht="13.5" customHeight="1">
      <c r="B28" s="19" t="s">
        <v>7</v>
      </c>
      <c r="C28" s="38">
        <f>1509180698.99</f>
        <v>1509180698.99</v>
      </c>
      <c r="D28" s="71">
        <f>1467615883.95</f>
        <v>1467615883.95</v>
      </c>
      <c r="E28" s="38">
        <f>1476724998.84</f>
        <v>1476724998.84</v>
      </c>
      <c r="F28" s="38" t="s">
        <v>66</v>
      </c>
      <c r="G28" s="38" t="s">
        <v>66</v>
      </c>
      <c r="H28" s="38" t="s">
        <v>66</v>
      </c>
      <c r="I28" s="38" t="s">
        <v>66</v>
      </c>
      <c r="J28" s="38" t="s">
        <v>66</v>
      </c>
      <c r="K28" s="35">
        <f t="shared" si="0"/>
        <v>1.7163534201544515</v>
      </c>
      <c r="L28" s="35">
        <f t="shared" si="1"/>
        <v>97.24586889642727</v>
      </c>
      <c r="M28" s="40"/>
    </row>
    <row r="29" spans="2:13" ht="12.75">
      <c r="B29" s="20" t="s">
        <v>6</v>
      </c>
      <c r="C29" s="38">
        <f>92096711.94</f>
        <v>92096711.94</v>
      </c>
      <c r="D29" s="38">
        <f>74661341.2</f>
        <v>74661341.2</v>
      </c>
      <c r="E29" s="38">
        <f>74662675.74</f>
        <v>74662675.74</v>
      </c>
      <c r="F29" s="38" t="s">
        <v>66</v>
      </c>
      <c r="G29" s="38" t="s">
        <v>66</v>
      </c>
      <c r="H29" s="38" t="s">
        <v>66</v>
      </c>
      <c r="I29" s="38" t="s">
        <v>66</v>
      </c>
      <c r="J29" s="38" t="s">
        <v>66</v>
      </c>
      <c r="K29" s="35">
        <f t="shared" si="0"/>
        <v>0.08731525034809737</v>
      </c>
      <c r="L29" s="35">
        <f t="shared" si="1"/>
        <v>81.0684112681906</v>
      </c>
      <c r="M29" s="40"/>
    </row>
    <row r="30" spans="2:13" ht="33.75">
      <c r="B30" s="19" t="s">
        <v>10</v>
      </c>
      <c r="C30" s="38">
        <f>13054270.4</f>
        <v>13054270.4</v>
      </c>
      <c r="D30" s="71">
        <f>11879479.85</f>
        <v>11879479.85</v>
      </c>
      <c r="E30" s="38">
        <f>12032155.75</f>
        <v>12032155.75</v>
      </c>
      <c r="F30" s="38" t="s">
        <v>66</v>
      </c>
      <c r="G30" s="38" t="s">
        <v>66</v>
      </c>
      <c r="H30" s="38" t="s">
        <v>66</v>
      </c>
      <c r="I30" s="38" t="s">
        <v>66</v>
      </c>
      <c r="J30" s="38" t="s">
        <v>66</v>
      </c>
      <c r="K30" s="35">
        <f t="shared" si="0"/>
        <v>0.013892862630599625</v>
      </c>
      <c r="L30" s="35">
        <f t="shared" si="1"/>
        <v>91.00071843157163</v>
      </c>
      <c r="M30" s="40"/>
    </row>
    <row r="31" spans="2:13" ht="12.75">
      <c r="B31" s="20" t="s">
        <v>6</v>
      </c>
      <c r="C31" s="38">
        <f>2308306.03</f>
        <v>2308306.03</v>
      </c>
      <c r="D31" s="38">
        <f>1711951.76</f>
        <v>1711951.76</v>
      </c>
      <c r="E31" s="38">
        <f>1717892.92</f>
        <v>1717892.92</v>
      </c>
      <c r="F31" s="38" t="s">
        <v>66</v>
      </c>
      <c r="G31" s="38" t="s">
        <v>66</v>
      </c>
      <c r="H31" s="38" t="s">
        <v>66</v>
      </c>
      <c r="I31" s="38" t="s">
        <v>66</v>
      </c>
      <c r="J31" s="38" t="s">
        <v>66</v>
      </c>
      <c r="K31" s="35">
        <f t="shared" si="0"/>
        <v>0.002002100338752901</v>
      </c>
      <c r="L31" s="35">
        <f t="shared" si="1"/>
        <v>74.16485239610972</v>
      </c>
      <c r="M31" s="40"/>
    </row>
    <row r="32" spans="2:13" ht="13.5" customHeight="1">
      <c r="B32" s="75" t="s">
        <v>62</v>
      </c>
      <c r="C32" s="69">
        <f>C33+C35+C37</f>
        <v>1861154177.17</v>
      </c>
      <c r="D32" s="69">
        <f>D33+D35+D37</f>
        <v>1823593851.89</v>
      </c>
      <c r="E32" s="69">
        <f>E33+E35+E37</f>
        <v>1838597661.2900002</v>
      </c>
      <c r="F32" s="73" t="s">
        <v>66</v>
      </c>
      <c r="G32" s="73" t="s">
        <v>66</v>
      </c>
      <c r="H32" s="73" t="s">
        <v>66</v>
      </c>
      <c r="I32" s="73" t="s">
        <v>66</v>
      </c>
      <c r="J32" s="73" t="s">
        <v>66</v>
      </c>
      <c r="K32" s="70">
        <f t="shared" si="0"/>
        <v>2.132663988509043</v>
      </c>
      <c r="L32" s="70">
        <f t="shared" si="1"/>
        <v>97.98187996777823</v>
      </c>
      <c r="M32" s="40"/>
    </row>
    <row r="33" spans="2:13" ht="22.5">
      <c r="B33" s="19" t="s">
        <v>9</v>
      </c>
      <c r="C33" s="38">
        <f>1601933991.7</f>
        <v>1601933991.7</v>
      </c>
      <c r="D33" s="38">
        <f>1587792110.63</f>
        <v>1587792110.63</v>
      </c>
      <c r="E33" s="38">
        <f>1595862251.21</f>
        <v>1595862251.21</v>
      </c>
      <c r="F33" s="38" t="s">
        <v>66</v>
      </c>
      <c r="G33" s="38" t="s">
        <v>66</v>
      </c>
      <c r="H33" s="38" t="s">
        <v>66</v>
      </c>
      <c r="I33" s="38" t="s">
        <v>66</v>
      </c>
      <c r="J33" s="38" t="s">
        <v>66</v>
      </c>
      <c r="K33" s="35">
        <f t="shared" si="0"/>
        <v>1.8568976047324524</v>
      </c>
      <c r="L33" s="35">
        <f t="shared" si="1"/>
        <v>99.11719951363337</v>
      </c>
      <c r="M33" s="40"/>
    </row>
    <row r="34" spans="2:13" ht="12.75">
      <c r="B34" s="20" t="s">
        <v>6</v>
      </c>
      <c r="C34" s="38">
        <f>48035225.98</f>
        <v>48035225.98</v>
      </c>
      <c r="D34" s="71">
        <f>44932426.18</f>
        <v>44932426.18</v>
      </c>
      <c r="E34" s="38">
        <f>44963246.1</f>
        <v>44963246.1</v>
      </c>
      <c r="F34" s="38" t="s">
        <v>66</v>
      </c>
      <c r="G34" s="38" t="s">
        <v>66</v>
      </c>
      <c r="H34" s="38" t="s">
        <v>66</v>
      </c>
      <c r="I34" s="38" t="s">
        <v>66</v>
      </c>
      <c r="J34" s="38" t="s">
        <v>66</v>
      </c>
      <c r="K34" s="35">
        <f t="shared" si="0"/>
        <v>0.052547757348003606</v>
      </c>
      <c r="L34" s="35">
        <f t="shared" si="1"/>
        <v>93.54057415844805</v>
      </c>
      <c r="M34" s="40"/>
    </row>
    <row r="35" spans="2:13" ht="13.5" customHeight="1">
      <c r="B35" s="19" t="s">
        <v>7</v>
      </c>
      <c r="C35" s="38">
        <f>231324526.74</f>
        <v>231324526.74</v>
      </c>
      <c r="D35" s="38">
        <f>221641499.07</f>
        <v>221641499.07</v>
      </c>
      <c r="E35" s="38">
        <f>221703194.44</f>
        <v>221703194.44</v>
      </c>
      <c r="F35" s="38" t="s">
        <v>66</v>
      </c>
      <c r="G35" s="38" t="s">
        <v>66</v>
      </c>
      <c r="H35" s="38" t="s">
        <v>66</v>
      </c>
      <c r="I35" s="38" t="s">
        <v>66</v>
      </c>
      <c r="J35" s="38" t="s">
        <v>66</v>
      </c>
      <c r="K35" s="35">
        <f t="shared" si="0"/>
        <v>0.25920620588616805</v>
      </c>
      <c r="L35" s="35">
        <f t="shared" si="1"/>
        <v>95.81409381596472</v>
      </c>
      <c r="M35" s="40"/>
    </row>
    <row r="36" spans="2:13" ht="12.75">
      <c r="B36" s="20" t="s">
        <v>6</v>
      </c>
      <c r="C36" s="38">
        <f>42121498.74</f>
        <v>42121498.74</v>
      </c>
      <c r="D36" s="71">
        <f>33357164.43</f>
        <v>33357164.43</v>
      </c>
      <c r="E36" s="38">
        <f>33379277.89</f>
        <v>33379277.89</v>
      </c>
      <c r="F36" s="38" t="s">
        <v>66</v>
      </c>
      <c r="G36" s="38" t="s">
        <v>66</v>
      </c>
      <c r="H36" s="38" t="s">
        <v>66</v>
      </c>
      <c r="I36" s="38" t="s">
        <v>66</v>
      </c>
      <c r="J36" s="38" t="s">
        <v>66</v>
      </c>
      <c r="K36" s="35">
        <f t="shared" si="0"/>
        <v>0.03901067294392642</v>
      </c>
      <c r="L36" s="35">
        <f t="shared" si="1"/>
        <v>79.19272919489663</v>
      </c>
      <c r="M36" s="40"/>
    </row>
    <row r="37" spans="2:13" ht="33.75">
      <c r="B37" s="19" t="s">
        <v>10</v>
      </c>
      <c r="C37" s="38">
        <f>27895658.73</f>
        <v>27895658.73</v>
      </c>
      <c r="D37" s="38">
        <f>14160242.19</f>
        <v>14160242.19</v>
      </c>
      <c r="E37" s="38">
        <f>21032215.64</f>
        <v>21032215.64</v>
      </c>
      <c r="F37" s="38" t="s">
        <v>66</v>
      </c>
      <c r="G37" s="38" t="s">
        <v>66</v>
      </c>
      <c r="H37" s="38" t="s">
        <v>66</v>
      </c>
      <c r="I37" s="38" t="s">
        <v>66</v>
      </c>
      <c r="J37" s="38" t="s">
        <v>66</v>
      </c>
      <c r="K37" s="35">
        <f t="shared" si="0"/>
        <v>0.016560177890422634</v>
      </c>
      <c r="L37" s="35">
        <f t="shared" si="1"/>
        <v>50.761454773504106</v>
      </c>
      <c r="M37" s="40"/>
    </row>
    <row r="38" spans="2:13" ht="12.75">
      <c r="B38" s="20" t="s">
        <v>6</v>
      </c>
      <c r="C38" s="38">
        <f>59600</f>
        <v>59600</v>
      </c>
      <c r="D38" s="71">
        <f>59600</f>
        <v>59600</v>
      </c>
      <c r="E38" s="38">
        <f>27860</f>
        <v>27860</v>
      </c>
      <c r="F38" s="38" t="s">
        <v>66</v>
      </c>
      <c r="G38" s="38" t="s">
        <v>66</v>
      </c>
      <c r="H38" s="38" t="s">
        <v>66</v>
      </c>
      <c r="I38" s="38" t="s">
        <v>66</v>
      </c>
      <c r="J38" s="38" t="s">
        <v>66</v>
      </c>
      <c r="K38" s="35">
        <f t="shared" si="0"/>
        <v>6.970125150586772E-05</v>
      </c>
      <c r="L38" s="35">
        <f t="shared" si="1"/>
        <v>100</v>
      </c>
      <c r="M38" s="40"/>
    </row>
    <row r="39" spans="2:13" ht="13.5" customHeight="1">
      <c r="B39" s="29" t="s">
        <v>63</v>
      </c>
      <c r="C39" s="32">
        <f>C40+C42+C44</f>
        <v>612069705.2</v>
      </c>
      <c r="D39" s="32">
        <f>D40+D42+D44</f>
        <v>584581341.25</v>
      </c>
      <c r="E39" s="32">
        <f>E40+E42+E44</f>
        <v>584901832.27</v>
      </c>
      <c r="F39" s="36" t="s">
        <v>66</v>
      </c>
      <c r="G39" s="36" t="s">
        <v>66</v>
      </c>
      <c r="H39" s="36" t="s">
        <v>66</v>
      </c>
      <c r="I39" s="36" t="s">
        <v>66</v>
      </c>
      <c r="J39" s="36" t="s">
        <v>66</v>
      </c>
      <c r="K39" s="33">
        <f t="shared" si="0"/>
        <v>0.6836585753708679</v>
      </c>
      <c r="L39" s="33">
        <f t="shared" si="1"/>
        <v>95.5089487820643</v>
      </c>
      <c r="M39" s="40"/>
    </row>
    <row r="40" spans="2:13" ht="33.75">
      <c r="B40" s="19" t="s">
        <v>11</v>
      </c>
      <c r="C40" s="34">
        <f>387310046.48</f>
        <v>387310046.48</v>
      </c>
      <c r="D40" s="39">
        <f>378423229.99</f>
        <v>378423229.99</v>
      </c>
      <c r="E40" s="34">
        <f>378797022.01</f>
        <v>378797022.01</v>
      </c>
      <c r="F40" s="34" t="s">
        <v>66</v>
      </c>
      <c r="G40" s="34" t="s">
        <v>66</v>
      </c>
      <c r="H40" s="34" t="s">
        <v>66</v>
      </c>
      <c r="I40" s="34" t="s">
        <v>66</v>
      </c>
      <c r="J40" s="34" t="s">
        <v>66</v>
      </c>
      <c r="K40" s="35">
        <f t="shared" si="0"/>
        <v>0.4425599451207351</v>
      </c>
      <c r="L40" s="35">
        <f t="shared" si="1"/>
        <v>97.70550323422636</v>
      </c>
      <c r="M40" s="40"/>
    </row>
    <row r="41" spans="2:13" ht="12.75">
      <c r="B41" s="20" t="s">
        <v>6</v>
      </c>
      <c r="C41" s="38">
        <f>10711924.38</f>
        <v>10711924.38</v>
      </c>
      <c r="D41" s="38">
        <f>9228967.46</f>
        <v>9228967.46</v>
      </c>
      <c r="E41" s="38">
        <f>9403655.62</f>
        <v>9403655.62</v>
      </c>
      <c r="F41" s="38" t="s">
        <v>66</v>
      </c>
      <c r="G41" s="38" t="s">
        <v>66</v>
      </c>
      <c r="H41" s="38" t="s">
        <v>66</v>
      </c>
      <c r="I41" s="38" t="s">
        <v>66</v>
      </c>
      <c r="J41" s="38" t="s">
        <v>66</v>
      </c>
      <c r="K41" s="35">
        <f t="shared" si="0"/>
        <v>0.01079313057162633</v>
      </c>
      <c r="L41" s="35">
        <f t="shared" si="1"/>
        <v>86.15601765478483</v>
      </c>
      <c r="M41" s="40"/>
    </row>
    <row r="42" spans="2:13" ht="24" customHeight="1">
      <c r="B42" s="19" t="s">
        <v>8</v>
      </c>
      <c r="C42" s="38">
        <f>112137026.82</f>
        <v>112137026.82</v>
      </c>
      <c r="D42" s="71">
        <f>102333468.25</f>
        <v>102333468.25</v>
      </c>
      <c r="E42" s="38">
        <f>102335647.22</f>
        <v>102335647.22</v>
      </c>
      <c r="F42" s="38" t="s">
        <v>66</v>
      </c>
      <c r="G42" s="38" t="s">
        <v>66</v>
      </c>
      <c r="H42" s="38" t="s">
        <v>66</v>
      </c>
      <c r="I42" s="38" t="s">
        <v>66</v>
      </c>
      <c r="J42" s="38" t="s">
        <v>66</v>
      </c>
      <c r="K42" s="35">
        <f t="shared" si="0"/>
        <v>0.11967736254968084</v>
      </c>
      <c r="L42" s="35">
        <f t="shared" si="1"/>
        <v>91.25751872685508</v>
      </c>
      <c r="M42" s="40"/>
    </row>
    <row r="43" spans="2:13" ht="12.75">
      <c r="B43" s="20" t="s">
        <v>6</v>
      </c>
      <c r="C43" s="38">
        <f>99573725.47</f>
        <v>99573725.47</v>
      </c>
      <c r="D43" s="38">
        <f>90226079.22</f>
        <v>90226079.22</v>
      </c>
      <c r="E43" s="38">
        <f>90226249.21</f>
        <v>90226249.21</v>
      </c>
      <c r="F43" s="38" t="s">
        <v>66</v>
      </c>
      <c r="G43" s="38" t="s">
        <v>66</v>
      </c>
      <c r="H43" s="38" t="s">
        <v>66</v>
      </c>
      <c r="I43" s="38" t="s">
        <v>66</v>
      </c>
      <c r="J43" s="38" t="s">
        <v>66</v>
      </c>
      <c r="K43" s="35">
        <f t="shared" si="0"/>
        <v>0.10551796376009337</v>
      </c>
      <c r="L43" s="35">
        <f t="shared" si="1"/>
        <v>90.61233653167241</v>
      </c>
      <c r="M43" s="40"/>
    </row>
    <row r="44" spans="2:13" ht="45">
      <c r="B44" s="19" t="s">
        <v>88</v>
      </c>
      <c r="C44" s="38">
        <f>112622631.9</f>
        <v>112622631.9</v>
      </c>
      <c r="D44" s="38">
        <f>103824643.01</f>
        <v>103824643.01</v>
      </c>
      <c r="E44" s="38">
        <f>103769163.04</f>
        <v>103769163.04</v>
      </c>
      <c r="F44" s="38" t="s">
        <v>66</v>
      </c>
      <c r="G44" s="38" t="s">
        <v>66</v>
      </c>
      <c r="H44" s="38" t="s">
        <v>66</v>
      </c>
      <c r="I44" s="38" t="s">
        <v>66</v>
      </c>
      <c r="J44" s="38" t="s">
        <v>66</v>
      </c>
      <c r="K44" s="35">
        <f t="shared" si="0"/>
        <v>0.12142126770045202</v>
      </c>
      <c r="L44" s="35">
        <f t="shared" si="1"/>
        <v>92.1880809020589</v>
      </c>
      <c r="M44" s="40"/>
    </row>
    <row r="45" spans="2:13" ht="12.75">
      <c r="B45" s="20" t="s">
        <v>6</v>
      </c>
      <c r="C45" s="38">
        <f>102747365.75</f>
        <v>102747365.75</v>
      </c>
      <c r="D45" s="38">
        <f>94037715.18</f>
        <v>94037715.18</v>
      </c>
      <c r="E45" s="38">
        <f>94037715.18</f>
        <v>94037715.18</v>
      </c>
      <c r="F45" s="38" t="s">
        <v>66</v>
      </c>
      <c r="G45" s="38" t="s">
        <v>66</v>
      </c>
      <c r="H45" s="38" t="s">
        <v>66</v>
      </c>
      <c r="I45" s="38" t="s">
        <v>66</v>
      </c>
      <c r="J45" s="38" t="s">
        <v>66</v>
      </c>
      <c r="K45" s="35">
        <f t="shared" si="0"/>
        <v>0.10997561135567674</v>
      </c>
      <c r="L45" s="35">
        <f t="shared" si="1"/>
        <v>91.52323711033925</v>
      </c>
      <c r="M45" s="40"/>
    </row>
    <row r="46" spans="2:13" ht="13.5" customHeight="1">
      <c r="B46" s="68" t="s">
        <v>104</v>
      </c>
      <c r="C46" s="69">
        <f>237074541.94</f>
        <v>237074541.94</v>
      </c>
      <c r="D46" s="69">
        <f>124560730.96</f>
        <v>124560730.96</v>
      </c>
      <c r="E46" s="69">
        <f>124970715.01</f>
        <v>124970715.01</v>
      </c>
      <c r="F46" s="73" t="s">
        <v>66</v>
      </c>
      <c r="G46" s="73" t="s">
        <v>66</v>
      </c>
      <c r="H46" s="73" t="s">
        <v>66</v>
      </c>
      <c r="I46" s="73" t="s">
        <v>66</v>
      </c>
      <c r="J46" s="73" t="s">
        <v>66</v>
      </c>
      <c r="K46" s="70">
        <f t="shared" si="0"/>
        <v>0.1456717925570081</v>
      </c>
      <c r="L46" s="70">
        <f t="shared" si="1"/>
        <v>52.54074517690071</v>
      </c>
      <c r="M46" s="40"/>
    </row>
    <row r="47" spans="2:13" ht="13.5" customHeight="1">
      <c r="B47" s="20" t="s">
        <v>105</v>
      </c>
      <c r="C47" s="38">
        <f>181852972.14</f>
        <v>181852972.14</v>
      </c>
      <c r="D47" s="38">
        <f>81512295.85</f>
        <v>81512295.85</v>
      </c>
      <c r="E47" s="38">
        <f>81383577.59</f>
        <v>81383577.59</v>
      </c>
      <c r="F47" s="38" t="s">
        <v>66</v>
      </c>
      <c r="G47" s="38" t="s">
        <v>66</v>
      </c>
      <c r="H47" s="38" t="s">
        <v>66</v>
      </c>
      <c r="I47" s="38" t="s">
        <v>66</v>
      </c>
      <c r="J47" s="38" t="s">
        <v>66</v>
      </c>
      <c r="K47" s="35">
        <f t="shared" si="0"/>
        <v>0.09532733278291185</v>
      </c>
      <c r="L47" s="35">
        <f t="shared" si="1"/>
        <v>44.82318594564819</v>
      </c>
      <c r="M47" s="40"/>
    </row>
    <row r="48" spans="2:13" ht="13.5" customHeight="1">
      <c r="B48" s="68" t="s">
        <v>106</v>
      </c>
      <c r="C48" s="36">
        <f>5171920103.82</f>
        <v>5171920103.82</v>
      </c>
      <c r="D48" s="36">
        <f>4077731554.71</f>
        <v>4077731554.71</v>
      </c>
      <c r="E48" s="36">
        <f>4082460820.86</f>
        <v>4082460820.86</v>
      </c>
      <c r="F48" s="36" t="s">
        <v>66</v>
      </c>
      <c r="G48" s="36" t="s">
        <v>66</v>
      </c>
      <c r="H48" s="36" t="s">
        <v>66</v>
      </c>
      <c r="I48" s="36" t="s">
        <v>66</v>
      </c>
      <c r="J48" s="36" t="s">
        <v>66</v>
      </c>
      <c r="K48" s="37">
        <f t="shared" si="0"/>
        <v>4.768842158863333</v>
      </c>
      <c r="L48" s="37">
        <f t="shared" si="1"/>
        <v>78.84366875076381</v>
      </c>
      <c r="M48" s="40"/>
    </row>
    <row r="49" spans="2:13" ht="13.5" customHeight="1">
      <c r="B49" s="76" t="s">
        <v>107</v>
      </c>
      <c r="C49" s="72">
        <f>4453154160.16</f>
        <v>4453154160.16</v>
      </c>
      <c r="D49" s="72">
        <f>3501330050.89</f>
        <v>3501330050.89</v>
      </c>
      <c r="E49" s="72">
        <f>3502114554.47</f>
        <v>3502114554.47</v>
      </c>
      <c r="F49" s="72" t="s">
        <v>66</v>
      </c>
      <c r="G49" s="72" t="s">
        <v>66</v>
      </c>
      <c r="H49" s="72" t="s">
        <v>66</v>
      </c>
      <c r="I49" s="72" t="s">
        <v>66</v>
      </c>
      <c r="J49" s="72" t="s">
        <v>66</v>
      </c>
      <c r="K49" s="77">
        <f t="shared" si="0"/>
        <v>4.09474977319021</v>
      </c>
      <c r="L49" s="77">
        <f t="shared" si="1"/>
        <v>78.62584417612435</v>
      </c>
      <c r="M49" s="40"/>
    </row>
    <row r="50" spans="2:13" s="5" customFormat="1" ht="25.5" customHeight="1">
      <c r="B50" s="68" t="s">
        <v>73</v>
      </c>
      <c r="C50" s="69">
        <f>C51+C52+C53+C57</f>
        <v>15381709610</v>
      </c>
      <c r="D50" s="69">
        <f>D51+D52+D53+D57</f>
        <v>15383540404</v>
      </c>
      <c r="E50" s="69">
        <f>E51+E52+E53+E57</f>
        <v>15432562910</v>
      </c>
      <c r="F50" s="73" t="s">
        <v>66</v>
      </c>
      <c r="G50" s="73" t="s">
        <v>66</v>
      </c>
      <c r="H50" s="73" t="s">
        <v>66</v>
      </c>
      <c r="I50" s="73" t="s">
        <v>66</v>
      </c>
      <c r="J50" s="73" t="s">
        <v>66</v>
      </c>
      <c r="K50" s="70">
        <f t="shared" si="0"/>
        <v>17.990805683722847</v>
      </c>
      <c r="L50" s="70">
        <f t="shared" si="1"/>
        <v>100.01190240907168</v>
      </c>
      <c r="M50" s="41"/>
    </row>
    <row r="51" spans="2:13" ht="13.5" customHeight="1">
      <c r="B51" s="19" t="s">
        <v>44</v>
      </c>
      <c r="C51" s="38">
        <f>14224837161</f>
        <v>14224837161</v>
      </c>
      <c r="D51" s="38">
        <f>14225133991</f>
        <v>14225133991</v>
      </c>
      <c r="E51" s="38">
        <f>14274156497</f>
        <v>14274156497</v>
      </c>
      <c r="F51" s="38" t="s">
        <v>66</v>
      </c>
      <c r="G51" s="38" t="s">
        <v>66</v>
      </c>
      <c r="H51" s="38" t="s">
        <v>66</v>
      </c>
      <c r="I51" s="38" t="s">
        <v>66</v>
      </c>
      <c r="J51" s="38" t="s">
        <v>66</v>
      </c>
      <c r="K51" s="35">
        <f t="shared" si="0"/>
        <v>16.63606781898253</v>
      </c>
      <c r="L51" s="35">
        <f t="shared" si="1"/>
        <v>100.0020867022704</v>
      </c>
      <c r="M51" s="40"/>
    </row>
    <row r="52" spans="2:13" s="5" customFormat="1" ht="22.5">
      <c r="B52" s="19" t="s">
        <v>40</v>
      </c>
      <c r="C52" s="34">
        <f>172658763</f>
        <v>172658763</v>
      </c>
      <c r="D52" s="39">
        <f>174192629</f>
        <v>174192629</v>
      </c>
      <c r="E52" s="34">
        <f>174192629</f>
        <v>174192629</v>
      </c>
      <c r="F52" s="34" t="s">
        <v>66</v>
      </c>
      <c r="G52" s="34" t="s">
        <v>66</v>
      </c>
      <c r="H52" s="34" t="s">
        <v>66</v>
      </c>
      <c r="I52" s="34" t="s">
        <v>66</v>
      </c>
      <c r="J52" s="34" t="s">
        <v>66</v>
      </c>
      <c r="K52" s="35">
        <f t="shared" si="0"/>
        <v>0.20371550745633063</v>
      </c>
      <c r="L52" s="35">
        <f t="shared" si="1"/>
        <v>100.88838004706427</v>
      </c>
      <c r="M52" s="41"/>
    </row>
    <row r="53" spans="2:13" s="5" customFormat="1" ht="25.5" customHeight="1">
      <c r="B53" s="28" t="s">
        <v>64</v>
      </c>
      <c r="C53" s="32">
        <f>C54+C55+C56</f>
        <v>266380030</v>
      </c>
      <c r="D53" s="32">
        <f>D54+D55+D56</f>
        <v>266380030</v>
      </c>
      <c r="E53" s="32">
        <f>E54+E55+E56</f>
        <v>266380030</v>
      </c>
      <c r="F53" s="36" t="s">
        <v>66</v>
      </c>
      <c r="G53" s="36" t="s">
        <v>66</v>
      </c>
      <c r="H53" s="36" t="s">
        <v>66</v>
      </c>
      <c r="I53" s="36" t="s">
        <v>66</v>
      </c>
      <c r="J53" s="36" t="s">
        <v>66</v>
      </c>
      <c r="K53" s="33">
        <f t="shared" si="0"/>
        <v>0.3115272058250098</v>
      </c>
      <c r="L53" s="33">
        <f t="shared" si="1"/>
        <v>100</v>
      </c>
      <c r="M53" s="41"/>
    </row>
    <row r="54" spans="2:13" ht="13.5" customHeight="1">
      <c r="B54" s="19" t="s">
        <v>45</v>
      </c>
      <c r="C54" s="34">
        <f>141970132</f>
        <v>141970132</v>
      </c>
      <c r="D54" s="39">
        <f>141970132</f>
        <v>141970132</v>
      </c>
      <c r="E54" s="34">
        <f>141970132</f>
        <v>141970132</v>
      </c>
      <c r="F54" s="34" t="s">
        <v>66</v>
      </c>
      <c r="G54" s="34" t="s">
        <v>66</v>
      </c>
      <c r="H54" s="34" t="s">
        <v>66</v>
      </c>
      <c r="I54" s="34" t="s">
        <v>66</v>
      </c>
      <c r="J54" s="34" t="s">
        <v>66</v>
      </c>
      <c r="K54" s="35">
        <f t="shared" si="0"/>
        <v>0.16603181001431608</v>
      </c>
      <c r="L54" s="35">
        <f t="shared" si="1"/>
        <v>100</v>
      </c>
      <c r="M54" s="40"/>
    </row>
    <row r="55" spans="2:13" ht="13.5" customHeight="1">
      <c r="B55" s="19" t="s">
        <v>43</v>
      </c>
      <c r="C55" s="38">
        <f>212483</f>
        <v>212483</v>
      </c>
      <c r="D55" s="38">
        <f>212483</f>
        <v>212483</v>
      </c>
      <c r="E55" s="38">
        <f>212483</f>
        <v>212483</v>
      </c>
      <c r="F55" s="38" t="s">
        <v>66</v>
      </c>
      <c r="G55" s="38" t="s">
        <v>66</v>
      </c>
      <c r="H55" s="38" t="s">
        <v>66</v>
      </c>
      <c r="I55" s="38" t="s">
        <v>66</v>
      </c>
      <c r="J55" s="38" t="s">
        <v>66</v>
      </c>
      <c r="K55" s="35">
        <f t="shared" si="0"/>
        <v>0.0002484954869751894</v>
      </c>
      <c r="L55" s="35">
        <f t="shared" si="1"/>
        <v>100</v>
      </c>
      <c r="M55" s="40"/>
    </row>
    <row r="56" spans="2:13" ht="13.5" customHeight="1">
      <c r="B56" s="19" t="s">
        <v>42</v>
      </c>
      <c r="C56" s="34">
        <f>124197415</f>
        <v>124197415</v>
      </c>
      <c r="D56" s="39">
        <f>124197415</f>
        <v>124197415</v>
      </c>
      <c r="E56" s="34">
        <f>124197415</f>
        <v>124197415</v>
      </c>
      <c r="F56" s="34" t="s">
        <v>66</v>
      </c>
      <c r="G56" s="34" t="s">
        <v>66</v>
      </c>
      <c r="H56" s="34" t="s">
        <v>66</v>
      </c>
      <c r="I56" s="34" t="s">
        <v>66</v>
      </c>
      <c r="J56" s="34" t="s">
        <v>66</v>
      </c>
      <c r="K56" s="35">
        <f t="shared" si="0"/>
        <v>0.14524690032371856</v>
      </c>
      <c r="L56" s="35">
        <f t="shared" si="1"/>
        <v>100</v>
      </c>
      <c r="M56" s="40"/>
    </row>
    <row r="57" spans="2:13" s="5" customFormat="1" ht="25.5" customHeight="1">
      <c r="B57" s="28" t="s">
        <v>65</v>
      </c>
      <c r="C57" s="32">
        <f>C58+C59</f>
        <v>717833656</v>
      </c>
      <c r="D57" s="32">
        <f>D58+D59</f>
        <v>717833754</v>
      </c>
      <c r="E57" s="32">
        <f>E58+E59</f>
        <v>717833754</v>
      </c>
      <c r="F57" s="36" t="s">
        <v>66</v>
      </c>
      <c r="G57" s="36" t="s">
        <v>66</v>
      </c>
      <c r="H57" s="36" t="s">
        <v>66</v>
      </c>
      <c r="I57" s="36" t="s">
        <v>66</v>
      </c>
      <c r="J57" s="36" t="s">
        <v>66</v>
      </c>
      <c r="K57" s="33">
        <f t="shared" si="0"/>
        <v>0.8394951514589795</v>
      </c>
      <c r="L57" s="33">
        <f t="shared" si="1"/>
        <v>100.00001365218796</v>
      </c>
      <c r="M57" s="41"/>
    </row>
    <row r="58" spans="2:13" ht="13.5" customHeight="1">
      <c r="B58" s="19" t="s">
        <v>42</v>
      </c>
      <c r="C58" s="34">
        <f>642619700</f>
        <v>642619700</v>
      </c>
      <c r="D58" s="39">
        <f>642619798</f>
        <v>642619798</v>
      </c>
      <c r="E58" s="34">
        <f>642619798</f>
        <v>642619798</v>
      </c>
      <c r="F58" s="34" t="s">
        <v>66</v>
      </c>
      <c r="G58" s="34" t="s">
        <v>66</v>
      </c>
      <c r="H58" s="34" t="s">
        <v>66</v>
      </c>
      <c r="I58" s="34" t="s">
        <v>66</v>
      </c>
      <c r="J58" s="34" t="s">
        <v>66</v>
      </c>
      <c r="K58" s="35">
        <f t="shared" si="0"/>
        <v>0.7515336268967769</v>
      </c>
      <c r="L58" s="35">
        <f t="shared" si="1"/>
        <v>100.00001525007714</v>
      </c>
      <c r="M58" s="40"/>
    </row>
    <row r="59" spans="2:13" ht="13.5" customHeight="1">
      <c r="B59" s="19" t="s">
        <v>45</v>
      </c>
      <c r="C59" s="38">
        <f>75213956</f>
        <v>75213956</v>
      </c>
      <c r="D59" s="38">
        <f>75213956</f>
        <v>75213956</v>
      </c>
      <c r="E59" s="38">
        <f>75213956</f>
        <v>75213956</v>
      </c>
      <c r="F59" s="38" t="s">
        <v>66</v>
      </c>
      <c r="G59" s="38" t="s">
        <v>66</v>
      </c>
      <c r="H59" s="38" t="s">
        <v>66</v>
      </c>
      <c r="I59" s="38" t="s">
        <v>66</v>
      </c>
      <c r="J59" s="38" t="s">
        <v>66</v>
      </c>
      <c r="K59" s="35">
        <f t="shared" si="0"/>
        <v>0.08796152456220248</v>
      </c>
      <c r="L59" s="35">
        <f t="shared" si="1"/>
        <v>100</v>
      </c>
      <c r="M59" s="40"/>
    </row>
    <row r="60" spans="2:13" ht="11.25" customHeight="1">
      <c r="B60" s="78"/>
      <c r="C60" s="79"/>
      <c r="D60" s="79"/>
      <c r="E60" s="79"/>
      <c r="F60" s="79"/>
      <c r="G60" s="79"/>
      <c r="H60" s="79"/>
      <c r="I60" s="79"/>
      <c r="J60" s="79"/>
      <c r="K60" s="74"/>
      <c r="L60" s="74"/>
      <c r="M60" s="40"/>
    </row>
    <row r="61" spans="2:13" ht="13.5" customHeight="1">
      <c r="B61" s="80" t="s">
        <v>5</v>
      </c>
      <c r="C61" s="73">
        <f aca="true" t="shared" si="4" ref="C61:J61">+C5</f>
        <v>85792186220.62</v>
      </c>
      <c r="D61" s="73">
        <f t="shared" si="4"/>
        <v>85507790337.14</v>
      </c>
      <c r="E61" s="73">
        <f t="shared" si="4"/>
        <v>85476836875.65</v>
      </c>
      <c r="F61" s="73">
        <f t="shared" si="4"/>
        <v>504042418.68</v>
      </c>
      <c r="G61" s="73">
        <f t="shared" si="4"/>
        <v>111233869</v>
      </c>
      <c r="H61" s="73">
        <f t="shared" si="4"/>
        <v>23267420.31</v>
      </c>
      <c r="I61" s="73">
        <f t="shared" si="4"/>
        <v>59905439.2</v>
      </c>
      <c r="J61" s="73">
        <f t="shared" si="4"/>
        <v>1078226.93</v>
      </c>
      <c r="K61" s="70">
        <f t="shared" si="0"/>
        <v>100</v>
      </c>
      <c r="L61" s="70">
        <f t="shared" si="1"/>
        <v>99.66850607729164</v>
      </c>
      <c r="M61" s="40"/>
    </row>
    <row r="62" spans="2:13" ht="12.75">
      <c r="B62" s="21" t="s">
        <v>81</v>
      </c>
      <c r="C62" s="38">
        <f>7477141125.88</f>
        <v>7477141125.88</v>
      </c>
      <c r="D62" s="38">
        <f>6034642957.31</f>
        <v>6034642957.31</v>
      </c>
      <c r="E62" s="38">
        <f>6035339945.39</f>
        <v>6035339945.39</v>
      </c>
      <c r="F62" s="38">
        <f>0</f>
        <v>0</v>
      </c>
      <c r="G62" s="38">
        <f>0</f>
        <v>0</v>
      </c>
      <c r="H62" s="38">
        <f>0</f>
        <v>0</v>
      </c>
      <c r="I62" s="38">
        <f>0</f>
        <v>0</v>
      </c>
      <c r="J62" s="38">
        <f>0</f>
        <v>0</v>
      </c>
      <c r="K62" s="35">
        <f t="shared" si="0"/>
        <v>7.057418901268081</v>
      </c>
      <c r="L62" s="35">
        <f t="shared" si="1"/>
        <v>80.70789163551825</v>
      </c>
      <c r="M62" s="40"/>
    </row>
    <row r="63" spans="1:13" s="5" customFormat="1" ht="12.75">
      <c r="A63" s="2"/>
      <c r="B63" s="21" t="s">
        <v>82</v>
      </c>
      <c r="C63" s="38">
        <f>C61-C62</f>
        <v>78315045094.73999</v>
      </c>
      <c r="D63" s="38">
        <f aca="true" t="shared" si="5" ref="D63:J63">D61-D62</f>
        <v>79473147379.83</v>
      </c>
      <c r="E63" s="38">
        <f t="shared" si="5"/>
        <v>79441496930.26</v>
      </c>
      <c r="F63" s="38">
        <f t="shared" si="5"/>
        <v>504042418.68</v>
      </c>
      <c r="G63" s="38">
        <f t="shared" si="5"/>
        <v>111233869</v>
      </c>
      <c r="H63" s="38">
        <f t="shared" si="5"/>
        <v>23267420.31</v>
      </c>
      <c r="I63" s="38">
        <f t="shared" si="5"/>
        <v>59905439.2</v>
      </c>
      <c r="J63" s="38">
        <f t="shared" si="5"/>
        <v>1078226.93</v>
      </c>
      <c r="K63" s="35">
        <f t="shared" si="0"/>
        <v>92.94258109873192</v>
      </c>
      <c r="L63" s="35">
        <f t="shared" si="1"/>
        <v>101.47877369372516</v>
      </c>
      <c r="M63" s="42"/>
    </row>
    <row r="64" spans="2:13" ht="18">
      <c r="B64" s="112" t="s">
        <v>120</v>
      </c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</row>
    <row r="65" spans="2:13" s="5" customFormat="1" ht="6" customHeight="1">
      <c r="B65" s="6"/>
      <c r="C65" s="7"/>
      <c r="D65" s="8"/>
      <c r="E65" s="8"/>
      <c r="F65" s="4"/>
      <c r="G65" s="4"/>
      <c r="H65" s="4"/>
      <c r="I65" s="4"/>
      <c r="J65" s="4"/>
      <c r="K65" s="9"/>
      <c r="L65" s="9"/>
      <c r="M65" s="3"/>
    </row>
    <row r="66" spans="2:27" ht="29.25" customHeight="1">
      <c r="B66" s="127" t="s">
        <v>0</v>
      </c>
      <c r="C66" s="113" t="s">
        <v>54</v>
      </c>
      <c r="D66" s="113" t="s">
        <v>55</v>
      </c>
      <c r="E66" s="113" t="s">
        <v>56</v>
      </c>
      <c r="F66" s="113" t="s">
        <v>12</v>
      </c>
      <c r="G66" s="113"/>
      <c r="H66" s="113"/>
      <c r="I66" s="113" t="s">
        <v>103</v>
      </c>
      <c r="J66" s="113"/>
      <c r="K66" s="113" t="s">
        <v>2</v>
      </c>
      <c r="L66" s="125" t="s">
        <v>31</v>
      </c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2:27" ht="18" customHeight="1">
      <c r="B67" s="127"/>
      <c r="C67" s="113"/>
      <c r="D67" s="114"/>
      <c r="E67" s="113"/>
      <c r="F67" s="115" t="s">
        <v>57</v>
      </c>
      <c r="G67" s="116" t="s">
        <v>30</v>
      </c>
      <c r="H67" s="114"/>
      <c r="I67" s="113"/>
      <c r="J67" s="113"/>
      <c r="K67" s="113"/>
      <c r="L67" s="125"/>
      <c r="M67" s="11"/>
      <c r="N67" s="12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2:27" ht="36" customHeight="1">
      <c r="B68" s="127"/>
      <c r="C68" s="113"/>
      <c r="D68" s="114"/>
      <c r="E68" s="113"/>
      <c r="F68" s="114"/>
      <c r="G68" s="16" t="s">
        <v>52</v>
      </c>
      <c r="H68" s="16" t="s">
        <v>53</v>
      </c>
      <c r="I68" s="113"/>
      <c r="J68" s="113"/>
      <c r="K68" s="113"/>
      <c r="L68" s="125"/>
      <c r="M68" s="11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2:27" ht="13.5" customHeight="1">
      <c r="B69" s="127"/>
      <c r="C69" s="128" t="s">
        <v>87</v>
      </c>
      <c r="D69" s="128"/>
      <c r="E69" s="128"/>
      <c r="F69" s="128"/>
      <c r="G69" s="128"/>
      <c r="H69" s="128"/>
      <c r="I69" s="128"/>
      <c r="J69" s="128"/>
      <c r="K69" s="128" t="s">
        <v>4</v>
      </c>
      <c r="L69" s="128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2:27" ht="11.25" customHeight="1">
      <c r="B70" s="15">
        <v>1</v>
      </c>
      <c r="C70" s="17">
        <v>2</v>
      </c>
      <c r="D70" s="17">
        <v>3</v>
      </c>
      <c r="E70" s="17">
        <v>4</v>
      </c>
      <c r="F70" s="15">
        <v>5</v>
      </c>
      <c r="G70" s="15">
        <v>6</v>
      </c>
      <c r="H70" s="17">
        <v>7</v>
      </c>
      <c r="I70" s="114">
        <v>8</v>
      </c>
      <c r="J70" s="114"/>
      <c r="K70" s="15">
        <v>9</v>
      </c>
      <c r="L70" s="17">
        <v>10</v>
      </c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2:12" ht="25.5" customHeight="1">
      <c r="B71" s="68" t="s">
        <v>74</v>
      </c>
      <c r="C71" s="84">
        <f>92779171342.7</f>
        <v>92779171342.7</v>
      </c>
      <c r="D71" s="84">
        <f>87216812879.29</f>
        <v>87216812879.29</v>
      </c>
      <c r="E71" s="84">
        <f>87014611786</f>
        <v>87014611786</v>
      </c>
      <c r="F71" s="84">
        <f>4479537287.68</f>
        <v>4479537287.68</v>
      </c>
      <c r="G71" s="84">
        <f>326672.73</f>
        <v>326672.73</v>
      </c>
      <c r="H71" s="84">
        <f>26134609.29</f>
        <v>26134609.29</v>
      </c>
      <c r="I71" s="117">
        <f>432856787.54</f>
        <v>432856787.54</v>
      </c>
      <c r="J71" s="117"/>
      <c r="K71" s="61">
        <f aca="true" t="shared" si="6" ref="K71:K82">IF($E$71=0,"",100*$E71/$E$71)</f>
        <v>100</v>
      </c>
      <c r="L71" s="61">
        <f aca="true" t="shared" si="7" ref="L71:L82">IF(C71=0,"",100*E71/C71)</f>
        <v>93.78679559940524</v>
      </c>
    </row>
    <row r="72" spans="2:12" ht="12.75">
      <c r="B72" s="68" t="s">
        <v>14</v>
      </c>
      <c r="C72" s="85">
        <f>17991132665.99</f>
        <v>17991132665.99</v>
      </c>
      <c r="D72" s="85">
        <f>14855848236.4</f>
        <v>14855848236.4</v>
      </c>
      <c r="E72" s="85">
        <f>14703551602.34</f>
        <v>14703551602.34</v>
      </c>
      <c r="F72" s="85">
        <f>713609772.83</f>
        <v>713609772.83</v>
      </c>
      <c r="G72" s="85">
        <f>323853.77</f>
        <v>323853.77</v>
      </c>
      <c r="H72" s="85">
        <f>2196925.48</f>
        <v>2196925.48</v>
      </c>
      <c r="I72" s="118">
        <f>416764339.98</f>
        <v>416764339.98</v>
      </c>
      <c r="J72" s="118"/>
      <c r="K72" s="61">
        <f t="shared" si="6"/>
        <v>16.897796014422592</v>
      </c>
      <c r="L72" s="61">
        <f t="shared" si="7"/>
        <v>81.72665876748958</v>
      </c>
    </row>
    <row r="73" spans="2:12" ht="22.5">
      <c r="B73" s="19" t="s">
        <v>13</v>
      </c>
      <c r="C73" s="38">
        <f>16894841494.38</f>
        <v>16894841494.38</v>
      </c>
      <c r="D73" s="38">
        <f>13809761802.49</f>
        <v>13809761802.49</v>
      </c>
      <c r="E73" s="38">
        <f>13657465168.43</f>
        <v>13657465168.43</v>
      </c>
      <c r="F73" s="38">
        <f>584881476.32</f>
        <v>584881476.32</v>
      </c>
      <c r="G73" s="38">
        <f>323853.77</f>
        <v>323853.77</v>
      </c>
      <c r="H73" s="38">
        <f>2196925.48</f>
        <v>2196925.48</v>
      </c>
      <c r="I73" s="108">
        <f>416764339.98</f>
        <v>416764339.98</v>
      </c>
      <c r="J73" s="108"/>
      <c r="K73" s="82">
        <f t="shared" si="6"/>
        <v>15.6955997252721</v>
      </c>
      <c r="L73" s="82">
        <f t="shared" si="7"/>
        <v>80.83807813747823</v>
      </c>
    </row>
    <row r="74" spans="2:12" ht="25.5" customHeight="1">
      <c r="B74" s="68" t="s">
        <v>75</v>
      </c>
      <c r="C74" s="85">
        <f aca="true" t="shared" si="8" ref="C74:I74">C71-C72</f>
        <v>74788038676.70999</v>
      </c>
      <c r="D74" s="85">
        <f t="shared" si="8"/>
        <v>72360964642.89</v>
      </c>
      <c r="E74" s="85">
        <f t="shared" si="8"/>
        <v>72311060183.66</v>
      </c>
      <c r="F74" s="85">
        <f t="shared" si="8"/>
        <v>3765927514.8500004</v>
      </c>
      <c r="G74" s="85">
        <f t="shared" si="8"/>
        <v>2818.9599999999627</v>
      </c>
      <c r="H74" s="85">
        <f t="shared" si="8"/>
        <v>23937683.81</v>
      </c>
      <c r="I74" s="118">
        <f t="shared" si="8"/>
        <v>16092447.560000002</v>
      </c>
      <c r="J74" s="118"/>
      <c r="K74" s="61">
        <f t="shared" si="6"/>
        <v>83.1022039855774</v>
      </c>
      <c r="L74" s="61">
        <f t="shared" si="7"/>
        <v>96.68800180232383</v>
      </c>
    </row>
    <row r="75" spans="2:12" ht="12.75">
      <c r="B75" s="19" t="s">
        <v>51</v>
      </c>
      <c r="C75" s="38">
        <f>23674343460.55</f>
        <v>23674343460.55</v>
      </c>
      <c r="D75" s="38">
        <f>23402350880.36</f>
        <v>23402350880.36</v>
      </c>
      <c r="E75" s="38">
        <f>23401894771.5</f>
        <v>23401894771.5</v>
      </c>
      <c r="F75" s="38">
        <f>2046639877.83</f>
        <v>2046639877.83</v>
      </c>
      <c r="G75" s="38">
        <f>221.85</f>
        <v>221.85</v>
      </c>
      <c r="H75" s="38">
        <f>2599878.63</f>
        <v>2599878.63</v>
      </c>
      <c r="I75" s="108">
        <f>9668</f>
        <v>9668</v>
      </c>
      <c r="J75" s="108"/>
      <c r="K75" s="82">
        <f t="shared" si="6"/>
        <v>26.894212697349744</v>
      </c>
      <c r="L75" s="82">
        <f t="shared" si="7"/>
        <v>98.84918164888502</v>
      </c>
    </row>
    <row r="76" spans="2:12" ht="22.5" customHeight="1">
      <c r="B76" s="20" t="s">
        <v>46</v>
      </c>
      <c r="C76" s="83">
        <f>21687850303.79</f>
        <v>21687850303.79</v>
      </c>
      <c r="D76" s="83">
        <f>21469080438.01</f>
        <v>21469080438.01</v>
      </c>
      <c r="E76" s="83">
        <f>21468652522.19</f>
        <v>21468652522.19</v>
      </c>
      <c r="F76" s="83">
        <f>436872340.48</f>
        <v>436872340.48</v>
      </c>
      <c r="G76" s="83">
        <f>0</f>
        <v>0</v>
      </c>
      <c r="H76" s="83">
        <f>2593630.97</f>
        <v>2593630.97</v>
      </c>
      <c r="I76" s="109">
        <f>0</f>
        <v>0</v>
      </c>
      <c r="J76" s="109"/>
      <c r="K76" s="82">
        <f t="shared" si="6"/>
        <v>24.672468314849326</v>
      </c>
      <c r="L76" s="82">
        <f t="shared" si="7"/>
        <v>98.98930609290632</v>
      </c>
    </row>
    <row r="77" spans="2:12" ht="12.75">
      <c r="B77" s="19" t="s">
        <v>50</v>
      </c>
      <c r="C77" s="38">
        <f>4269418601.97</f>
        <v>4269418601.97</v>
      </c>
      <c r="D77" s="38">
        <f>4166613181.04</f>
        <v>4166613181.04</v>
      </c>
      <c r="E77" s="38">
        <f>4166324787.15</f>
        <v>4166324787.15</v>
      </c>
      <c r="F77" s="38">
        <f>521535139.42</f>
        <v>521535139.42</v>
      </c>
      <c r="G77" s="38">
        <f>0</f>
        <v>0</v>
      </c>
      <c r="H77" s="38">
        <f>2088440.78</f>
        <v>2088440.78</v>
      </c>
      <c r="I77" s="108">
        <f>0</f>
        <v>0</v>
      </c>
      <c r="J77" s="108"/>
      <c r="K77" s="82">
        <f t="shared" si="6"/>
        <v>4.7880749010252215</v>
      </c>
      <c r="L77" s="82">
        <f t="shared" si="7"/>
        <v>97.5852961625166</v>
      </c>
    </row>
    <row r="78" spans="2:12" ht="13.5" customHeight="1">
      <c r="B78" s="19" t="s">
        <v>49</v>
      </c>
      <c r="C78" s="83">
        <f>8404494466</f>
        <v>8404494466</v>
      </c>
      <c r="D78" s="83">
        <f>8290351709.67</f>
        <v>8290351709.67</v>
      </c>
      <c r="E78" s="83">
        <f>8282064448.61</f>
        <v>8282064448.61</v>
      </c>
      <c r="F78" s="83">
        <f>11895664.84</f>
        <v>11895664.84</v>
      </c>
      <c r="G78" s="83">
        <f>0</f>
        <v>0</v>
      </c>
      <c r="H78" s="83">
        <f>10467382.02</f>
        <v>10467382.02</v>
      </c>
      <c r="I78" s="109">
        <f>682237</f>
        <v>682237</v>
      </c>
      <c r="J78" s="109"/>
      <c r="K78" s="82">
        <f t="shared" si="6"/>
        <v>9.518015743124332</v>
      </c>
      <c r="L78" s="82">
        <f t="shared" si="7"/>
        <v>98.54327921940713</v>
      </c>
    </row>
    <row r="79" spans="2:12" ht="12.75">
      <c r="B79" s="19" t="s">
        <v>48</v>
      </c>
      <c r="C79" s="38">
        <f>923404358.84</f>
        <v>923404358.84</v>
      </c>
      <c r="D79" s="38">
        <f>853237953.11</f>
        <v>853237953.11</v>
      </c>
      <c r="E79" s="38">
        <f>852055759.56</f>
        <v>852055759.56</v>
      </c>
      <c r="F79" s="38">
        <f>22319092.65</f>
        <v>22319092.65</v>
      </c>
      <c r="G79" s="38">
        <f>0</f>
        <v>0</v>
      </c>
      <c r="H79" s="38">
        <f>0</f>
        <v>0</v>
      </c>
      <c r="I79" s="108">
        <f>0</f>
        <v>0</v>
      </c>
      <c r="J79" s="108"/>
      <c r="K79" s="82">
        <f t="shared" si="6"/>
        <v>0.9792099764296017</v>
      </c>
      <c r="L79" s="82">
        <f t="shared" si="7"/>
        <v>92.2733092391258</v>
      </c>
    </row>
    <row r="80" spans="2:12" ht="22.5" customHeight="1">
      <c r="B80" s="19" t="s">
        <v>78</v>
      </c>
      <c r="C80" s="83">
        <f>62201823.07</f>
        <v>62201823.07</v>
      </c>
      <c r="D80" s="83">
        <f>5083940.81</f>
        <v>5083940.81</v>
      </c>
      <c r="E80" s="83">
        <f>5083940.81</f>
        <v>5083940.81</v>
      </c>
      <c r="F80" s="83">
        <f>0</f>
        <v>0</v>
      </c>
      <c r="G80" s="83">
        <f>0</f>
        <v>0</v>
      </c>
      <c r="H80" s="83">
        <f>0</f>
        <v>0</v>
      </c>
      <c r="I80" s="109">
        <f>0</f>
        <v>0</v>
      </c>
      <c r="J80" s="109"/>
      <c r="K80" s="82">
        <f t="shared" si="6"/>
        <v>0.00584262884778849</v>
      </c>
      <c r="L80" s="82">
        <f t="shared" si="7"/>
        <v>8.173298721934067</v>
      </c>
    </row>
    <row r="81" spans="2:12" ht="22.5" customHeight="1">
      <c r="B81" s="19" t="s">
        <v>80</v>
      </c>
      <c r="C81" s="83">
        <f>11131393227.71</f>
        <v>11131393227.71</v>
      </c>
      <c r="D81" s="83">
        <f>10942414912.5</f>
        <v>10942414912.5</v>
      </c>
      <c r="E81" s="83">
        <f>10942153684.81</f>
        <v>10942153684.81</v>
      </c>
      <c r="F81" s="83">
        <f>148569104.16</f>
        <v>148569104.16</v>
      </c>
      <c r="G81" s="83">
        <f>0</f>
        <v>0</v>
      </c>
      <c r="H81" s="83">
        <f>198536.17</f>
        <v>198536.17</v>
      </c>
      <c r="I81" s="110">
        <f>67030</f>
        <v>67030</v>
      </c>
      <c r="J81" s="111"/>
      <c r="K81" s="82">
        <f t="shared" si="6"/>
        <v>12.575076139764507</v>
      </c>
      <c r="L81" s="82">
        <f t="shared" si="7"/>
        <v>98.299947373803</v>
      </c>
    </row>
    <row r="82" spans="2:12" ht="12.75">
      <c r="B82" s="19" t="s">
        <v>47</v>
      </c>
      <c r="C82" s="38">
        <f aca="true" t="shared" si="9" ref="C82:I82">C74-C75-C77-C78-C79-C80-C81</f>
        <v>26322782738.569992</v>
      </c>
      <c r="D82" s="38">
        <f t="shared" si="9"/>
        <v>24700912065.4</v>
      </c>
      <c r="E82" s="38">
        <f t="shared" si="9"/>
        <v>24661482791.22001</v>
      </c>
      <c r="F82" s="38">
        <f t="shared" si="9"/>
        <v>1014968635.9500004</v>
      </c>
      <c r="G82" s="38">
        <f t="shared" si="9"/>
        <v>2597.109999999963</v>
      </c>
      <c r="H82" s="38">
        <f t="shared" si="9"/>
        <v>8583446.209999999</v>
      </c>
      <c r="I82" s="110">
        <f t="shared" si="9"/>
        <v>15333512.560000002</v>
      </c>
      <c r="J82" s="111"/>
      <c r="K82" s="82">
        <f t="shared" si="6"/>
        <v>28.341771899036225</v>
      </c>
      <c r="L82" s="82">
        <f t="shared" si="7"/>
        <v>93.68873738065798</v>
      </c>
    </row>
    <row r="83" spans="2:13" ht="12.75">
      <c r="B83" s="28" t="s">
        <v>15</v>
      </c>
      <c r="C83" s="43">
        <f>C5-C71</f>
        <v>-6986985122.080002</v>
      </c>
      <c r="D83" s="43"/>
      <c r="E83" s="43">
        <f>D5-E71</f>
        <v>-1506821448.8600006</v>
      </c>
      <c r="F83" s="43"/>
      <c r="G83" s="43"/>
      <c r="H83" s="43"/>
      <c r="I83" s="118"/>
      <c r="J83" s="118"/>
      <c r="K83" s="45"/>
      <c r="L83" s="45"/>
      <c r="M83" s="13"/>
    </row>
    <row r="84" spans="2:13" ht="22.5">
      <c r="B84" s="28" t="s">
        <v>86</v>
      </c>
      <c r="C84" s="43">
        <f>+C63-C74</f>
        <v>3527006418.029999</v>
      </c>
      <c r="D84" s="43"/>
      <c r="E84" s="43">
        <f>+D63-E74</f>
        <v>7162087196.169998</v>
      </c>
      <c r="F84" s="43"/>
      <c r="G84" s="43"/>
      <c r="H84" s="43"/>
      <c r="I84" s="43"/>
      <c r="J84" s="43"/>
      <c r="K84" s="45"/>
      <c r="L84" s="45"/>
      <c r="M84" s="13"/>
    </row>
    <row r="85" spans="2:13" ht="8.25" customHeight="1">
      <c r="B85" s="30"/>
      <c r="C85" s="46"/>
      <c r="D85" s="46"/>
      <c r="E85" s="46"/>
      <c r="F85" s="47"/>
      <c r="G85" s="47"/>
      <c r="H85" s="47"/>
      <c r="I85" s="47"/>
      <c r="J85" s="48"/>
      <c r="K85" s="48"/>
      <c r="L85" s="49"/>
      <c r="M85" s="10"/>
    </row>
    <row r="86" spans="2:13" ht="12.75">
      <c r="B86" s="89" t="s">
        <v>83</v>
      </c>
      <c r="C86" s="87"/>
      <c r="D86" s="50"/>
      <c r="E86" s="50"/>
      <c r="F86" s="51"/>
      <c r="G86" s="51"/>
      <c r="H86" s="51"/>
      <c r="I86" s="51"/>
      <c r="J86" s="52"/>
      <c r="K86" s="52"/>
      <c r="L86" s="52"/>
      <c r="M86" s="10"/>
    </row>
    <row r="87" spans="2:13" ht="26.25" customHeight="1">
      <c r="B87" s="68" t="s">
        <v>108</v>
      </c>
      <c r="C87" s="88">
        <f>8213858429.05</f>
        <v>8213858429.05</v>
      </c>
      <c r="D87" s="86">
        <f>6641200543.53</f>
        <v>6641200543.53</v>
      </c>
      <c r="E87" s="86">
        <f>6580567932.13</f>
        <v>6580567932.13</v>
      </c>
      <c r="F87" s="86">
        <f>184624221.99</f>
        <v>184624221.99</v>
      </c>
      <c r="G87" s="86">
        <f>56709.55</f>
        <v>56709.55</v>
      </c>
      <c r="H87" s="86">
        <f>33598</f>
        <v>33598</v>
      </c>
      <c r="I87" s="86">
        <f>135150856.38</f>
        <v>135150856.38</v>
      </c>
      <c r="J87" s="86">
        <f>0</f>
        <v>0</v>
      </c>
      <c r="K87" s="61">
        <f>IF($E$71=0,"",100*$E87/$E$87)</f>
        <v>100</v>
      </c>
      <c r="L87" s="61">
        <f>IF(C87=0,"",100*E87/C87)</f>
        <v>80.1154291734134</v>
      </c>
      <c r="M87" s="10"/>
    </row>
    <row r="88" spans="2:13" ht="15" customHeight="1">
      <c r="B88" s="90" t="s">
        <v>84</v>
      </c>
      <c r="C88" s="91">
        <f>7252332038.6</f>
        <v>7252332038.6</v>
      </c>
      <c r="D88" s="83">
        <f>5962695372.15</f>
        <v>5962695372.15</v>
      </c>
      <c r="E88" s="83">
        <f>5905265689.9</f>
        <v>5905265689.9</v>
      </c>
      <c r="F88" s="83">
        <f>175226410.63</f>
        <v>175226410.63</v>
      </c>
      <c r="G88" s="83">
        <f>56709.55</f>
        <v>56709.55</v>
      </c>
      <c r="H88" s="83">
        <f>33598</f>
        <v>33598</v>
      </c>
      <c r="I88" s="83">
        <f>135138855.38</f>
        <v>135138855.38</v>
      </c>
      <c r="J88" s="83">
        <f>0</f>
        <v>0</v>
      </c>
      <c r="K88" s="82">
        <f>IF($E$71=0,"",100*$E88/$E$87)</f>
        <v>89.7379337285951</v>
      </c>
      <c r="L88" s="81">
        <f>IF(C88=0,"",100*E88/C88)</f>
        <v>81.42574910345611</v>
      </c>
      <c r="M88" s="10"/>
    </row>
    <row r="89" spans="2:12" ht="12.75">
      <c r="B89" s="92" t="s">
        <v>85</v>
      </c>
      <c r="C89" s="91">
        <f>C87-C88</f>
        <v>961526390.4499998</v>
      </c>
      <c r="D89" s="83">
        <f aca="true" t="shared" si="10" ref="D89:J89">D87-D88</f>
        <v>678505171.3800001</v>
      </c>
      <c r="E89" s="83">
        <f t="shared" si="10"/>
        <v>675302242.2300005</v>
      </c>
      <c r="F89" s="83">
        <f t="shared" si="10"/>
        <v>9397811.360000014</v>
      </c>
      <c r="G89" s="83">
        <f t="shared" si="10"/>
        <v>0</v>
      </c>
      <c r="H89" s="83">
        <f t="shared" si="10"/>
        <v>0</v>
      </c>
      <c r="I89" s="83">
        <f t="shared" si="10"/>
        <v>12001</v>
      </c>
      <c r="J89" s="83">
        <f t="shared" si="10"/>
        <v>0</v>
      </c>
      <c r="K89" s="82">
        <f>IF($E$71=0,"",100*$E89/$E$87)</f>
        <v>10.262066271404912</v>
      </c>
      <c r="L89" s="81">
        <f>IF(C89=0,"",100*E89/C89)</f>
        <v>70.2323148836253</v>
      </c>
    </row>
    <row r="90" ht="6" customHeight="1"/>
    <row r="91" spans="2:13" ht="18">
      <c r="B91" s="112" t="s">
        <v>120</v>
      </c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</row>
    <row r="92" ht="6.75" customHeight="1"/>
    <row r="93" spans="2:8" ht="12.75">
      <c r="B93" s="25" t="s">
        <v>16</v>
      </c>
      <c r="C93" s="119" t="s">
        <v>17</v>
      </c>
      <c r="D93" s="120"/>
      <c r="E93" s="119" t="s">
        <v>1</v>
      </c>
      <c r="F93" s="120"/>
      <c r="G93" s="17" t="s">
        <v>25</v>
      </c>
      <c r="H93" s="17" t="s">
        <v>26</v>
      </c>
    </row>
    <row r="94" spans="2:8" ht="12.75">
      <c r="B94" s="25"/>
      <c r="C94" s="115" t="s">
        <v>87</v>
      </c>
      <c r="D94" s="121"/>
      <c r="E94" s="121"/>
      <c r="F94" s="122"/>
      <c r="G94" s="123" t="s">
        <v>4</v>
      </c>
      <c r="H94" s="124"/>
    </row>
    <row r="95" spans="2:8" ht="12.75">
      <c r="B95" s="23">
        <v>1</v>
      </c>
      <c r="C95" s="26">
        <v>2</v>
      </c>
      <c r="D95" s="27"/>
      <c r="E95" s="26">
        <v>3</v>
      </c>
      <c r="F95" s="27"/>
      <c r="G95" s="24">
        <v>4</v>
      </c>
      <c r="H95" s="24">
        <v>5</v>
      </c>
    </row>
    <row r="96" spans="2:8" ht="22.5">
      <c r="B96" s="65" t="s">
        <v>76</v>
      </c>
      <c r="C96" s="53">
        <f>11836330924.77</f>
        <v>11836330924.77</v>
      </c>
      <c r="D96" s="54"/>
      <c r="E96" s="53">
        <f>11776439777.04</f>
        <v>11776439777.04</v>
      </c>
      <c r="F96" s="54"/>
      <c r="G96" s="55">
        <f>IF($E$96=0,"",100*$E96/$E$96)</f>
        <v>99.99999999999999</v>
      </c>
      <c r="H96" s="44">
        <f>IF(C96=0,"",100*E96/C96)</f>
        <v>99.49400580204575</v>
      </c>
    </row>
    <row r="97" spans="2:8" ht="33.75">
      <c r="B97" s="66" t="s">
        <v>109</v>
      </c>
      <c r="C97" s="56">
        <f>5429673027.89</f>
        <v>5429673027.89</v>
      </c>
      <c r="D97" s="57"/>
      <c r="E97" s="56">
        <f>4523699844.78</f>
        <v>4523699844.78</v>
      </c>
      <c r="F97" s="57"/>
      <c r="G97" s="58">
        <f aca="true" t="shared" si="11" ref="G97:G102">IF($E$96=0,"",100*$E97/$E$96)</f>
        <v>38.41313614662774</v>
      </c>
      <c r="H97" s="59">
        <f aca="true" t="shared" si="12" ref="H97:H108">IF(C97=0,"",100*E97/C97)</f>
        <v>83.31440625510251</v>
      </c>
    </row>
    <row r="98" spans="2:8" ht="22.5">
      <c r="B98" s="94" t="s">
        <v>110</v>
      </c>
      <c r="C98" s="95">
        <f>0</f>
        <v>0</v>
      </c>
      <c r="D98" s="96"/>
      <c r="E98" s="95">
        <f>0</f>
        <v>0</v>
      </c>
      <c r="F98" s="96"/>
      <c r="G98" s="97">
        <f t="shared" si="11"/>
        <v>0</v>
      </c>
      <c r="H98" s="81">
        <f t="shared" si="12"/>
      </c>
    </row>
    <row r="99" spans="2:8" ht="12.75">
      <c r="B99" s="98" t="s">
        <v>111</v>
      </c>
      <c r="C99" s="95">
        <f>40255644</f>
        <v>40255644</v>
      </c>
      <c r="D99" s="96"/>
      <c r="E99" s="95">
        <f>25694979.35</f>
        <v>25694979.35</v>
      </c>
      <c r="F99" s="96"/>
      <c r="G99" s="97">
        <f t="shared" si="11"/>
        <v>0.21818970619708306</v>
      </c>
      <c r="H99" s="81">
        <f t="shared" si="12"/>
        <v>63.82950760892063</v>
      </c>
    </row>
    <row r="100" spans="2:8" ht="12.75">
      <c r="B100" s="98" t="s">
        <v>112</v>
      </c>
      <c r="C100" s="95">
        <f>80579405.72</f>
        <v>80579405.72</v>
      </c>
      <c r="D100" s="96"/>
      <c r="E100" s="95">
        <f>156946954.5</f>
        <v>156946954.5</v>
      </c>
      <c r="F100" s="96"/>
      <c r="G100" s="97">
        <f t="shared" si="11"/>
        <v>1.3327198836951766</v>
      </c>
      <c r="H100" s="81">
        <f t="shared" si="12"/>
        <v>194.77303548919744</v>
      </c>
    </row>
    <row r="101" spans="2:8" ht="12.75">
      <c r="B101" s="98" t="s">
        <v>113</v>
      </c>
      <c r="C101" s="95">
        <f>0</f>
        <v>0</v>
      </c>
      <c r="D101" s="96"/>
      <c r="E101" s="95">
        <f>0</f>
        <v>0</v>
      </c>
      <c r="F101" s="96"/>
      <c r="G101" s="97">
        <f t="shared" si="11"/>
        <v>0</v>
      </c>
      <c r="H101" s="81">
        <f t="shared" si="12"/>
      </c>
    </row>
    <row r="102" spans="2:8" ht="37.5" customHeight="1">
      <c r="B102" s="98" t="s">
        <v>117</v>
      </c>
      <c r="C102" s="95">
        <f>6277304092.16</f>
        <v>6277304092.16</v>
      </c>
      <c r="D102" s="96"/>
      <c r="E102" s="95">
        <f>7054838897.51</f>
        <v>7054838897.51</v>
      </c>
      <c r="F102" s="96"/>
      <c r="G102" s="97">
        <f t="shared" si="11"/>
        <v>59.90638113960812</v>
      </c>
      <c r="H102" s="81">
        <f t="shared" si="12"/>
        <v>112.38644478480973</v>
      </c>
    </row>
    <row r="103" spans="2:8" ht="12.75">
      <c r="B103" s="98" t="s">
        <v>89</v>
      </c>
      <c r="C103" s="95">
        <f>8518755</f>
        <v>8518755</v>
      </c>
      <c r="D103" s="96"/>
      <c r="E103" s="95">
        <f>15259100.9</f>
        <v>15259100.9</v>
      </c>
      <c r="F103" s="96"/>
      <c r="G103" s="97"/>
      <c r="H103" s="81"/>
    </row>
    <row r="104" spans="2:8" ht="22.5">
      <c r="B104" s="93" t="s">
        <v>77</v>
      </c>
      <c r="C104" s="62">
        <f>4772817786.69</f>
        <v>4772817786.69</v>
      </c>
      <c r="D104" s="63"/>
      <c r="E104" s="62">
        <f>4628875581.24</f>
        <v>4628875581.24</v>
      </c>
      <c r="F104" s="63"/>
      <c r="G104" s="60">
        <f>IF($E$104=0,"",100*$E104/$E$104)</f>
        <v>100</v>
      </c>
      <c r="H104" s="61">
        <f t="shared" si="12"/>
        <v>96.98412527183811</v>
      </c>
    </row>
    <row r="105" spans="2:8" ht="33.75">
      <c r="B105" s="98" t="s">
        <v>114</v>
      </c>
      <c r="C105" s="95">
        <f>3082544152.85</f>
        <v>3082544152.85</v>
      </c>
      <c r="D105" s="96"/>
      <c r="E105" s="95">
        <f>3073657062.33</f>
        <v>3073657062.33</v>
      </c>
      <c r="F105" s="96"/>
      <c r="G105" s="97">
        <f>IF($E$104=0,"",100*$E105/$E$104)</f>
        <v>66.40180770438029</v>
      </c>
      <c r="H105" s="81">
        <f t="shared" si="12"/>
        <v>99.71169624572018</v>
      </c>
    </row>
    <row r="106" spans="2:8" ht="22.5">
      <c r="B106" s="94" t="s">
        <v>115</v>
      </c>
      <c r="C106" s="95">
        <f>346000000</f>
        <v>346000000</v>
      </c>
      <c r="D106" s="96"/>
      <c r="E106" s="95">
        <f>346000000</f>
        <v>346000000</v>
      </c>
      <c r="F106" s="96"/>
      <c r="G106" s="97">
        <f>IF($E$104=0,"",100*$E106/$E$104)</f>
        <v>7.474817456798273</v>
      </c>
      <c r="H106" s="81">
        <f t="shared" si="12"/>
        <v>100</v>
      </c>
    </row>
    <row r="107" spans="2:8" ht="12.75">
      <c r="B107" s="98" t="s">
        <v>116</v>
      </c>
      <c r="C107" s="95">
        <f>87823633.84</f>
        <v>87823633.84</v>
      </c>
      <c r="D107" s="96"/>
      <c r="E107" s="95">
        <f>70267215</f>
        <v>70267215</v>
      </c>
      <c r="F107" s="96"/>
      <c r="G107" s="97">
        <f>IF($E$104=0,"",100*$E107/$E$104)</f>
        <v>1.5180190905277382</v>
      </c>
      <c r="H107" s="81">
        <f t="shared" si="12"/>
        <v>80.00945978620645</v>
      </c>
    </row>
    <row r="108" spans="2:8" ht="12.75">
      <c r="B108" s="98" t="s">
        <v>29</v>
      </c>
      <c r="C108" s="95">
        <f>1602450000</f>
        <v>1602450000</v>
      </c>
      <c r="D108" s="96"/>
      <c r="E108" s="95">
        <f>1484951303.91</f>
        <v>1484951303.91</v>
      </c>
      <c r="F108" s="96"/>
      <c r="G108" s="97">
        <f>IF($E$104=0,"",100*$E108/$E$104)</f>
        <v>32.08017320509198</v>
      </c>
      <c r="H108" s="81">
        <f t="shared" si="12"/>
        <v>92.66755929420574</v>
      </c>
    </row>
    <row r="109" spans="2:8" ht="12.75">
      <c r="B109" s="5"/>
      <c r="C109" s="5"/>
      <c r="D109" s="5"/>
      <c r="E109" s="5"/>
      <c r="F109" s="5"/>
      <c r="G109" s="5"/>
      <c r="H109" s="5"/>
    </row>
    <row r="110" spans="2:8" ht="12.75">
      <c r="B110" s="100" t="s">
        <v>16</v>
      </c>
      <c r="C110" s="132" t="s">
        <v>17</v>
      </c>
      <c r="D110" s="133"/>
      <c r="E110" s="132" t="s">
        <v>1</v>
      </c>
      <c r="F110" s="133"/>
      <c r="G110" s="101" t="s">
        <v>25</v>
      </c>
      <c r="H110" s="101" t="s">
        <v>26</v>
      </c>
    </row>
    <row r="111" spans="2:8" ht="12.75">
      <c r="B111" s="102"/>
      <c r="C111" s="134" t="s">
        <v>87</v>
      </c>
      <c r="D111" s="135"/>
      <c r="E111" s="135"/>
      <c r="F111" s="136"/>
      <c r="G111" s="137" t="s">
        <v>4</v>
      </c>
      <c r="H111" s="138"/>
    </row>
    <row r="112" spans="2:8" ht="12.75">
      <c r="B112" s="103">
        <v>1</v>
      </c>
      <c r="C112" s="104">
        <v>2</v>
      </c>
      <c r="D112" s="105"/>
      <c r="E112" s="104">
        <v>3</v>
      </c>
      <c r="F112" s="105"/>
      <c r="G112" s="106">
        <v>4</v>
      </c>
      <c r="H112" s="106">
        <v>5</v>
      </c>
    </row>
    <row r="113" spans="2:8" ht="28.5" customHeight="1">
      <c r="B113" s="107" t="s">
        <v>90</v>
      </c>
      <c r="C113" s="95">
        <f>6997284066.08</f>
        <v>6997284066.08</v>
      </c>
      <c r="D113" s="96"/>
      <c r="E113" s="95">
        <f>2266420285.88</f>
        <v>2266420285.88</v>
      </c>
      <c r="F113" s="99"/>
      <c r="G113" s="97"/>
      <c r="H113" s="81"/>
    </row>
    <row r="114" spans="2:8" ht="56.25">
      <c r="B114" s="107" t="s">
        <v>91</v>
      </c>
      <c r="C114" s="95">
        <f>0</f>
        <v>0</v>
      </c>
      <c r="D114" s="96"/>
      <c r="E114" s="95">
        <f>0</f>
        <v>0</v>
      </c>
      <c r="F114" s="96"/>
      <c r="G114" s="97"/>
      <c r="H114" s="81"/>
    </row>
    <row r="115" spans="2:8" ht="12.75">
      <c r="B115" s="107" t="s">
        <v>92</v>
      </c>
      <c r="C115" s="95">
        <f>3530276501.96</f>
        <v>3530276501.96</v>
      </c>
      <c r="D115" s="96"/>
      <c r="E115" s="95">
        <f>1749414922.04</f>
        <v>1749414922.04</v>
      </c>
      <c r="F115" s="96"/>
      <c r="G115" s="97"/>
      <c r="H115" s="81"/>
    </row>
    <row r="116" spans="2:8" ht="33.75">
      <c r="B116" s="107" t="s">
        <v>93</v>
      </c>
      <c r="C116" s="95">
        <f>0</f>
        <v>0</v>
      </c>
      <c r="D116" s="96"/>
      <c r="E116" s="95">
        <f>0</f>
        <v>0</v>
      </c>
      <c r="F116" s="96"/>
      <c r="G116" s="97"/>
      <c r="H116" s="81"/>
    </row>
    <row r="117" spans="2:8" ht="33.75">
      <c r="B117" s="107" t="s">
        <v>94</v>
      </c>
      <c r="C117" s="95">
        <f>54674808.8</f>
        <v>54674808.8</v>
      </c>
      <c r="D117" s="96"/>
      <c r="E117" s="95">
        <f>6101636</f>
        <v>6101636</v>
      </c>
      <c r="F117" s="96"/>
      <c r="G117" s="97"/>
      <c r="H117" s="81"/>
    </row>
    <row r="118" spans="2:8" ht="101.25">
      <c r="B118" s="107" t="s">
        <v>95</v>
      </c>
      <c r="C118" s="95">
        <f>3412332755.32</f>
        <v>3412332755.32</v>
      </c>
      <c r="D118" s="96"/>
      <c r="E118" s="95">
        <f>510903727.84</f>
        <v>510903727.84</v>
      </c>
      <c r="F118" s="96"/>
      <c r="G118" s="97"/>
      <c r="H118" s="81"/>
    </row>
    <row r="119" spans="2:8" ht="12.75">
      <c r="B119" s="22"/>
      <c r="C119" s="48"/>
      <c r="D119" s="48"/>
      <c r="E119" s="48"/>
      <c r="F119" s="48"/>
      <c r="G119" s="48"/>
      <c r="H119" s="48"/>
    </row>
    <row r="120" spans="2:6" ht="12.75">
      <c r="B120" s="31" t="s">
        <v>16</v>
      </c>
      <c r="C120" s="139" t="s">
        <v>1</v>
      </c>
      <c r="D120" s="140"/>
      <c r="E120" s="140"/>
      <c r="F120" s="120"/>
    </row>
    <row r="121" spans="2:6" ht="12.75">
      <c r="B121" s="31"/>
      <c r="C121" s="129" t="s">
        <v>87</v>
      </c>
      <c r="D121" s="130"/>
      <c r="E121" s="130"/>
      <c r="F121" s="131"/>
    </row>
    <row r="122" spans="2:6" ht="12.75">
      <c r="B122" s="23">
        <v>1</v>
      </c>
      <c r="C122" s="142">
        <v>2</v>
      </c>
      <c r="D122" s="143"/>
      <c r="E122" s="143"/>
      <c r="F122" s="144"/>
    </row>
    <row r="123" spans="2:6" ht="56.25">
      <c r="B123" s="67" t="s">
        <v>96</v>
      </c>
      <c r="C123" s="141">
        <f>142077694.78</f>
        <v>142077694.78</v>
      </c>
      <c r="D123" s="140"/>
      <c r="E123" s="140"/>
      <c r="F123" s="120"/>
    </row>
    <row r="124" spans="2:6" ht="45">
      <c r="B124" s="64" t="s">
        <v>97</v>
      </c>
      <c r="C124" s="141">
        <f>86322497.56</f>
        <v>86322497.56</v>
      </c>
      <c r="D124" s="140"/>
      <c r="E124" s="140"/>
      <c r="F124" s="120"/>
    </row>
    <row r="125" spans="2:6" ht="39.75" customHeight="1">
      <c r="B125" s="64" t="s">
        <v>98</v>
      </c>
      <c r="C125" s="141">
        <f>43617964.45</f>
        <v>43617964.45</v>
      </c>
      <c r="D125" s="140"/>
      <c r="E125" s="140"/>
      <c r="F125" s="120"/>
    </row>
    <row r="126" spans="2:6" ht="78.75">
      <c r="B126" s="64" t="s">
        <v>99</v>
      </c>
      <c r="C126" s="141">
        <f>0</f>
        <v>0</v>
      </c>
      <c r="D126" s="140"/>
      <c r="E126" s="140"/>
      <c r="F126" s="120"/>
    </row>
    <row r="127" spans="2:6" ht="56.25">
      <c r="B127" s="64" t="s">
        <v>100</v>
      </c>
      <c r="C127" s="141">
        <f>0</f>
        <v>0</v>
      </c>
      <c r="D127" s="140"/>
      <c r="E127" s="140"/>
      <c r="F127" s="120"/>
    </row>
    <row r="128" spans="2:6" ht="56.25">
      <c r="B128" s="107" t="s">
        <v>101</v>
      </c>
      <c r="C128" s="141">
        <f>87460</f>
        <v>87460</v>
      </c>
      <c r="D128" s="140"/>
      <c r="E128" s="140"/>
      <c r="F128" s="120"/>
    </row>
    <row r="129" spans="2:6" ht="56.25">
      <c r="B129" s="107" t="s">
        <v>102</v>
      </c>
      <c r="C129" s="141">
        <f>407152474.64</f>
        <v>407152474.64</v>
      </c>
      <c r="D129" s="140"/>
      <c r="E129" s="140"/>
      <c r="F129" s="120"/>
    </row>
    <row r="130" spans="2:6" ht="80.25" customHeight="1">
      <c r="B130" s="107" t="s">
        <v>118</v>
      </c>
      <c r="C130" s="141">
        <f>2922237</f>
        <v>2922237</v>
      </c>
      <c r="D130" s="140"/>
      <c r="E130" s="140"/>
      <c r="F130" s="120"/>
    </row>
    <row r="131" spans="2:6" ht="81" customHeight="1">
      <c r="B131" s="107" t="s">
        <v>119</v>
      </c>
      <c r="C131" s="141">
        <f>2792643.15</f>
        <v>2792643.15</v>
      </c>
      <c r="D131" s="140"/>
      <c r="E131" s="140"/>
      <c r="F131" s="120"/>
    </row>
  </sheetData>
  <sheetProtection/>
  <mergeCells count="52">
    <mergeCell ref="C128:F128"/>
    <mergeCell ref="C129:F129"/>
    <mergeCell ref="C130:F130"/>
    <mergeCell ref="C131:F131"/>
    <mergeCell ref="C122:F122"/>
    <mergeCell ref="C123:F123"/>
    <mergeCell ref="C124:F124"/>
    <mergeCell ref="C125:F125"/>
    <mergeCell ref="C126:F126"/>
    <mergeCell ref="C127:F127"/>
    <mergeCell ref="C121:F121"/>
    <mergeCell ref="C110:D110"/>
    <mergeCell ref="E110:F110"/>
    <mergeCell ref="C111:F111"/>
    <mergeCell ref="G111:H111"/>
    <mergeCell ref="C120:F120"/>
    <mergeCell ref="L66:L68"/>
    <mergeCell ref="B2:B3"/>
    <mergeCell ref="C66:C68"/>
    <mergeCell ref="B66:B69"/>
    <mergeCell ref="K66:K68"/>
    <mergeCell ref="K69:L69"/>
    <mergeCell ref="K3:M3"/>
    <mergeCell ref="C3:J3"/>
    <mergeCell ref="B64:M64"/>
    <mergeCell ref="C69:J69"/>
    <mergeCell ref="C93:D93"/>
    <mergeCell ref="E93:F93"/>
    <mergeCell ref="C94:F94"/>
    <mergeCell ref="G94:H94"/>
    <mergeCell ref="I70:J70"/>
    <mergeCell ref="I73:J73"/>
    <mergeCell ref="I74:J74"/>
    <mergeCell ref="I76:J76"/>
    <mergeCell ref="I83:J83"/>
    <mergeCell ref="I81:J81"/>
    <mergeCell ref="B1:M1"/>
    <mergeCell ref="B91:M91"/>
    <mergeCell ref="I66:J68"/>
    <mergeCell ref="D66:D68"/>
    <mergeCell ref="E66:E68"/>
    <mergeCell ref="F67:F68"/>
    <mergeCell ref="F66:H66"/>
    <mergeCell ref="G67:H67"/>
    <mergeCell ref="I71:J71"/>
    <mergeCell ref="I72:J72"/>
    <mergeCell ref="I75:J75"/>
    <mergeCell ref="I77:J77"/>
    <mergeCell ref="I78:J78"/>
    <mergeCell ref="I79:J79"/>
    <mergeCell ref="I80:J80"/>
    <mergeCell ref="I82:J82"/>
  </mergeCells>
  <printOptions/>
  <pageMargins left="0.1968503937007874" right="0.1968503937007874" top="0.3937007874015748" bottom="0.3937007874015748" header="0.31496062992125984" footer="0.1968503937007874"/>
  <pageSetup firstPageNumber="1" useFirstPageNumber="1" fitToHeight="2" fitToWidth="2" horizontalDpi="600" verticalDpi="600" orientation="landscape" paperSize="9" scale="85" r:id="rId3"/>
  <headerFooter alignWithMargins="0">
    <oddFooter>&amp;RStrona &amp;P z &amp;N</oddFooter>
  </headerFooter>
  <rowBreaks count="6" manualBreakCount="6">
    <brk id="22" max="255" man="1"/>
    <brk id="49" max="12" man="1"/>
    <brk id="63" max="255" man="1"/>
    <brk id="90" max="255" man="1"/>
    <brk id="109" max="255" man="1"/>
    <brk id="119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2018-03-19T09:19:34Z</cp:lastPrinted>
  <dcterms:created xsi:type="dcterms:W3CDTF">2001-05-17T08:58:03Z</dcterms:created>
  <dcterms:modified xsi:type="dcterms:W3CDTF">2019-04-08T09:38:54Z</dcterms:modified>
  <cp:category/>
  <cp:version/>
  <cp:contentType/>
  <cp:contentStatus/>
</cp:coreProperties>
</file>