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engovpl-my.sharepoint.com/personal/joanna_ekstowicz_men_gov_pl/Documents/Dokumenty/GOV/"/>
    </mc:Choice>
  </mc:AlternateContent>
  <xr:revisionPtr revIDLastSave="15" documentId="8_{AA8254E3-1888-46A5-B1C5-782D36DD7D4A}" xr6:coauthVersionLast="47" xr6:coauthVersionMax="47" xr10:uidLastSave="{F58A0EFC-1E8E-400D-BA59-F7D6512F279F}"/>
  <bookViews>
    <workbookView xWindow="-28920" yWindow="-120" windowWidth="29040" windowHeight="1584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9" i="1" l="1"/>
  <c r="I419" i="1"/>
  <c r="G419" i="1"/>
  <c r="K142" i="1"/>
  <c r="I142" i="1"/>
  <c r="G142" i="1"/>
  <c r="K477" i="1"/>
  <c r="I477" i="1"/>
  <c r="G477" i="1"/>
  <c r="K476" i="1"/>
  <c r="I476" i="1"/>
  <c r="G476" i="1"/>
  <c r="K475" i="1"/>
  <c r="I475" i="1"/>
  <c r="G475" i="1"/>
  <c r="K141" i="1"/>
  <c r="I141" i="1"/>
  <c r="G141" i="1"/>
  <c r="K122" i="1"/>
  <c r="I122" i="1"/>
  <c r="G122" i="1"/>
  <c r="K121" i="1"/>
  <c r="I121" i="1"/>
  <c r="G121" i="1"/>
  <c r="K120" i="1"/>
  <c r="I120" i="1"/>
  <c r="G120" i="1"/>
  <c r="K119" i="1"/>
  <c r="I119" i="1"/>
  <c r="G119" i="1"/>
  <c r="K118" i="1"/>
  <c r="I118" i="1"/>
  <c r="G118" i="1"/>
  <c r="K117" i="1"/>
  <c r="I117" i="1"/>
  <c r="G117" i="1"/>
  <c r="K232" i="1"/>
  <c r="I232" i="1"/>
  <c r="G232" i="1"/>
  <c r="K325" i="1"/>
  <c r="I325" i="1"/>
  <c r="G325" i="1"/>
  <c r="K183" i="1"/>
  <c r="I183" i="1"/>
  <c r="G183" i="1"/>
  <c r="K231" i="1"/>
  <c r="I231" i="1"/>
  <c r="G231" i="1"/>
  <c r="K613" i="1"/>
  <c r="I613" i="1"/>
  <c r="G613" i="1"/>
  <c r="K52" i="1"/>
  <c r="I52" i="1"/>
  <c r="G52" i="1"/>
  <c r="K474" i="1"/>
  <c r="I474" i="1"/>
  <c r="G474" i="1"/>
  <c r="K367" i="1"/>
  <c r="I367" i="1"/>
  <c r="G367" i="1"/>
  <c r="K324" i="1"/>
  <c r="I324" i="1"/>
  <c r="G324" i="1"/>
  <c r="K230" i="1"/>
  <c r="I230" i="1"/>
  <c r="G230" i="1"/>
  <c r="K229" i="1"/>
  <c r="I229" i="1"/>
  <c r="G229" i="1"/>
  <c r="K228" i="1"/>
  <c r="I228" i="1"/>
  <c r="G228" i="1"/>
  <c r="K227" i="1"/>
  <c r="I227" i="1"/>
  <c r="G227" i="1"/>
  <c r="K226" i="1"/>
  <c r="I226" i="1"/>
  <c r="G226" i="1"/>
  <c r="K182" i="1"/>
  <c r="I182" i="1"/>
  <c r="G182" i="1"/>
  <c r="K181" i="1"/>
  <c r="I181" i="1"/>
  <c r="G181" i="1"/>
  <c r="K225" i="1"/>
  <c r="I225" i="1"/>
  <c r="G225" i="1"/>
  <c r="K388" i="1"/>
  <c r="I388" i="1"/>
  <c r="G388" i="1"/>
  <c r="K387" i="1"/>
  <c r="I387" i="1"/>
  <c r="G387" i="1"/>
  <c r="K224" i="1"/>
  <c r="I224" i="1"/>
  <c r="G224" i="1"/>
  <c r="K323" i="1"/>
  <c r="I323" i="1"/>
  <c r="G323" i="1"/>
  <c r="K322" i="1"/>
  <c r="I322" i="1"/>
  <c r="G322" i="1"/>
  <c r="K223" i="1"/>
  <c r="I223" i="1"/>
  <c r="G223" i="1"/>
  <c r="K473" i="1"/>
  <c r="I473" i="1"/>
  <c r="G473" i="1"/>
  <c r="K222" i="1"/>
  <c r="I222" i="1"/>
  <c r="G222" i="1"/>
  <c r="K321" i="1"/>
  <c r="I321" i="1"/>
  <c r="G321" i="1"/>
  <c r="K472" i="1"/>
  <c r="I472" i="1"/>
  <c r="G472" i="1"/>
  <c r="K471" i="1"/>
  <c r="I471" i="1"/>
  <c r="G471" i="1"/>
  <c r="K470" i="1"/>
  <c r="I470" i="1"/>
  <c r="G470" i="1"/>
  <c r="K341" i="1"/>
  <c r="I341" i="1"/>
  <c r="G341" i="1"/>
  <c r="K469" i="1"/>
  <c r="I469" i="1"/>
  <c r="G469" i="1"/>
  <c r="K180" i="1"/>
  <c r="I180" i="1"/>
  <c r="H180" i="1"/>
  <c r="G180" i="1"/>
  <c r="K494" i="1"/>
  <c r="I494" i="1"/>
  <c r="G494" i="1"/>
  <c r="K468" i="1"/>
  <c r="I468" i="1"/>
  <c r="G468" i="1"/>
  <c r="K340" i="1"/>
  <c r="I340" i="1"/>
  <c r="G340" i="1"/>
  <c r="K467" i="1"/>
  <c r="I467" i="1"/>
  <c r="G467" i="1"/>
  <c r="K51" i="1"/>
  <c r="I51" i="1"/>
  <c r="G51" i="1"/>
  <c r="K466" i="1"/>
  <c r="I466" i="1"/>
  <c r="G466" i="1"/>
  <c r="K465" i="1"/>
  <c r="I465" i="1"/>
  <c r="G465" i="1"/>
  <c r="K81" i="1"/>
  <c r="I81" i="1"/>
  <c r="G81" i="1"/>
  <c r="K320" i="1"/>
  <c r="I320" i="1"/>
  <c r="H320" i="1"/>
  <c r="G320" i="1"/>
  <c r="K464" i="1"/>
  <c r="I464" i="1"/>
  <c r="G464" i="1"/>
  <c r="K339" i="1"/>
  <c r="I339" i="1"/>
  <c r="G339" i="1"/>
  <c r="K319" i="1"/>
  <c r="I319" i="1"/>
  <c r="G319" i="1"/>
  <c r="K318" i="1"/>
  <c r="I318" i="1"/>
  <c r="G318" i="1"/>
  <c r="K50" i="1"/>
  <c r="I50" i="1"/>
  <c r="G50" i="1"/>
  <c r="K49" i="1"/>
  <c r="I49" i="1"/>
  <c r="G49" i="1"/>
  <c r="K463" i="1"/>
  <c r="I463" i="1"/>
  <c r="G463" i="1"/>
  <c r="K462" i="1"/>
  <c r="I462" i="1"/>
  <c r="G462" i="1"/>
  <c r="K116" i="1"/>
  <c r="I116" i="1"/>
  <c r="G116" i="1"/>
  <c r="K520" i="1"/>
  <c r="I520" i="1"/>
  <c r="G520" i="1"/>
  <c r="K48" i="1"/>
  <c r="I48" i="1"/>
  <c r="G48" i="1"/>
  <c r="K47" i="1"/>
  <c r="I47" i="1"/>
  <c r="G47" i="1"/>
  <c r="K221" i="1"/>
  <c r="I221" i="1"/>
  <c r="G221" i="1"/>
  <c r="K220" i="1"/>
  <c r="I220" i="1"/>
  <c r="G220" i="1"/>
  <c r="K219" i="1"/>
  <c r="I219" i="1"/>
  <c r="G219" i="1"/>
  <c r="K218" i="1"/>
  <c r="I218" i="1"/>
  <c r="G218" i="1"/>
  <c r="K581" i="1"/>
  <c r="I581" i="1"/>
  <c r="G581" i="1"/>
  <c r="K580" i="1"/>
  <c r="I580" i="1"/>
  <c r="G580" i="1"/>
  <c r="K612" i="1"/>
  <c r="I612" i="1"/>
  <c r="G612" i="1"/>
  <c r="K179" i="1"/>
  <c r="I179" i="1"/>
  <c r="G179" i="1"/>
  <c r="K386" i="1"/>
  <c r="I386" i="1"/>
  <c r="H386" i="1"/>
  <c r="G386" i="1"/>
  <c r="K579" i="1"/>
  <c r="I579" i="1"/>
  <c r="G579" i="1"/>
  <c r="K461" i="1"/>
  <c r="I461" i="1"/>
  <c r="G461" i="1"/>
  <c r="K178" i="1"/>
  <c r="I178" i="1"/>
  <c r="G178" i="1"/>
  <c r="K493" i="1"/>
  <c r="I493" i="1"/>
  <c r="G493" i="1"/>
  <c r="K115" i="1"/>
  <c r="I115" i="1"/>
  <c r="G115" i="1"/>
  <c r="K177" i="1"/>
  <c r="I177" i="1"/>
  <c r="G177" i="1"/>
  <c r="K317" i="1"/>
  <c r="I317" i="1"/>
  <c r="G317" i="1"/>
  <c r="K578" i="1"/>
  <c r="I578" i="1"/>
  <c r="G578" i="1"/>
  <c r="K519" i="1"/>
  <c r="I519" i="1"/>
  <c r="G519" i="1"/>
  <c r="K217" i="1"/>
  <c r="I217" i="1"/>
  <c r="G217" i="1"/>
  <c r="K216" i="1"/>
  <c r="I216" i="1"/>
  <c r="G216" i="1"/>
  <c r="K215" i="1"/>
  <c r="I215" i="1"/>
  <c r="G215" i="1"/>
  <c r="K214" i="1"/>
  <c r="I214" i="1"/>
  <c r="G214" i="1"/>
  <c r="K80" i="1"/>
  <c r="I80" i="1"/>
  <c r="G80" i="1"/>
  <c r="K176" i="1"/>
  <c r="I176" i="1"/>
  <c r="G176" i="1"/>
  <c r="K611" i="1"/>
  <c r="I611" i="1"/>
  <c r="G611" i="1"/>
  <c r="K79" i="1"/>
  <c r="I79" i="1"/>
  <c r="G79" i="1"/>
  <c r="K78" i="1"/>
  <c r="I78" i="1"/>
  <c r="G78" i="1"/>
  <c r="K46" i="1"/>
  <c r="I46" i="1"/>
  <c r="G46" i="1"/>
  <c r="K45" i="1"/>
  <c r="I45" i="1"/>
  <c r="G45" i="1"/>
  <c r="K44" i="1"/>
  <c r="I44" i="1"/>
  <c r="G44" i="1"/>
  <c r="K43" i="1"/>
  <c r="I43" i="1"/>
  <c r="G43" i="1"/>
  <c r="K518" i="1"/>
  <c r="I518" i="1"/>
  <c r="G518" i="1"/>
  <c r="K517" i="1"/>
  <c r="I517" i="1"/>
  <c r="G517" i="1"/>
  <c r="K460" i="1"/>
  <c r="I460" i="1"/>
  <c r="G460" i="1"/>
  <c r="K459" i="1"/>
  <c r="I459" i="1"/>
  <c r="G459" i="1"/>
  <c r="K458" i="1"/>
  <c r="I458" i="1"/>
  <c r="G458" i="1"/>
  <c r="K492" i="1"/>
  <c r="I492" i="1"/>
  <c r="G492" i="1"/>
  <c r="K491" i="1"/>
  <c r="I491" i="1"/>
  <c r="G491" i="1"/>
  <c r="K385" i="1"/>
  <c r="I385" i="1"/>
  <c r="G385" i="1"/>
  <c r="K114" i="1"/>
  <c r="I114" i="1"/>
  <c r="G114" i="1"/>
  <c r="K113" i="1"/>
  <c r="I113" i="1"/>
  <c r="G113" i="1"/>
  <c r="K112" i="1"/>
  <c r="I112" i="1"/>
  <c r="G112" i="1"/>
  <c r="K111" i="1"/>
  <c r="I111" i="1"/>
  <c r="G111" i="1"/>
  <c r="K457" i="1"/>
  <c r="I457" i="1"/>
  <c r="G457" i="1"/>
  <c r="K42" i="1"/>
  <c r="I42" i="1"/>
  <c r="G42" i="1"/>
  <c r="K41" i="1"/>
  <c r="I41" i="1"/>
  <c r="G41" i="1"/>
  <c r="K40" i="1"/>
  <c r="I40" i="1"/>
  <c r="G40" i="1"/>
  <c r="K610" i="1"/>
  <c r="I610" i="1"/>
  <c r="G610" i="1"/>
  <c r="K577" i="1"/>
  <c r="I577" i="1"/>
  <c r="G577" i="1"/>
  <c r="K516" i="1"/>
  <c r="I516" i="1"/>
  <c r="G516" i="1"/>
  <c r="K39" i="1"/>
  <c r="I39" i="1"/>
  <c r="G39" i="1"/>
  <c r="K576" i="1"/>
  <c r="I576" i="1"/>
  <c r="G576" i="1"/>
  <c r="K213" i="1"/>
  <c r="I213" i="1"/>
  <c r="G213" i="1"/>
  <c r="K316" i="1"/>
  <c r="I316" i="1"/>
  <c r="G316" i="1"/>
  <c r="K175" i="1"/>
  <c r="I175" i="1"/>
  <c r="G175" i="1"/>
  <c r="K77" i="1"/>
  <c r="I77" i="1"/>
  <c r="G77" i="1"/>
  <c r="K515" i="1"/>
  <c r="I515" i="1"/>
  <c r="G515" i="1"/>
  <c r="K456" i="1"/>
  <c r="I456" i="1"/>
  <c r="G456" i="1"/>
  <c r="K455" i="1"/>
  <c r="I455" i="1"/>
  <c r="G455" i="1"/>
  <c r="K315" i="1"/>
  <c r="I315" i="1"/>
  <c r="G315" i="1"/>
  <c r="K454" i="1"/>
  <c r="I454" i="1"/>
  <c r="G454" i="1"/>
  <c r="K575" i="1"/>
  <c r="I575" i="1"/>
  <c r="G575" i="1"/>
  <c r="K314" i="1"/>
  <c r="I314" i="1"/>
  <c r="G314" i="1"/>
  <c r="K140" i="1"/>
  <c r="I140" i="1"/>
  <c r="G140" i="1"/>
  <c r="K139" i="1"/>
  <c r="I139" i="1"/>
  <c r="G139" i="1"/>
  <c r="K574" i="1"/>
  <c r="I574" i="1"/>
  <c r="G574" i="1"/>
  <c r="K573" i="1"/>
  <c r="I573" i="1"/>
  <c r="G573" i="1"/>
  <c r="K490" i="1"/>
  <c r="I490" i="1"/>
  <c r="G490" i="1"/>
  <c r="K110" i="1"/>
  <c r="I110" i="1"/>
  <c r="G110" i="1"/>
  <c r="K453" i="1"/>
  <c r="I453" i="1"/>
  <c r="H453" i="1"/>
  <c r="G453" i="1"/>
  <c r="K313" i="1"/>
  <c r="I313" i="1"/>
  <c r="G313" i="1"/>
  <c r="K76" i="1"/>
  <c r="I76" i="1"/>
  <c r="G76" i="1"/>
  <c r="K138" i="1"/>
  <c r="I138" i="1"/>
  <c r="G138" i="1"/>
  <c r="K312" i="1"/>
  <c r="I312" i="1"/>
  <c r="G312" i="1"/>
  <c r="K38" i="1"/>
  <c r="I38" i="1"/>
  <c r="G38" i="1"/>
  <c r="K174" i="1"/>
  <c r="I174" i="1"/>
  <c r="G174" i="1"/>
  <c r="K212" i="1"/>
  <c r="I212" i="1"/>
  <c r="G212" i="1"/>
  <c r="K452" i="1"/>
  <c r="I452" i="1"/>
  <c r="G452" i="1"/>
  <c r="K37" i="1"/>
  <c r="I37" i="1"/>
  <c r="G37" i="1"/>
  <c r="K311" i="1"/>
  <c r="I311" i="1"/>
  <c r="G311" i="1"/>
  <c r="K211" i="1"/>
  <c r="I211" i="1"/>
  <c r="G211" i="1"/>
  <c r="K310" i="1"/>
  <c r="I310" i="1"/>
  <c r="G310" i="1"/>
  <c r="K384" i="1"/>
  <c r="I384" i="1"/>
  <c r="G384" i="1"/>
  <c r="K36" i="1"/>
  <c r="I36" i="1"/>
  <c r="G36" i="1"/>
  <c r="K309" i="1"/>
  <c r="I309" i="1"/>
  <c r="G309" i="1"/>
  <c r="K109" i="1"/>
  <c r="I109" i="1"/>
  <c r="G109" i="1"/>
  <c r="K173" i="1"/>
  <c r="I173" i="1"/>
  <c r="G173" i="1"/>
  <c r="K418" i="1"/>
  <c r="I418" i="1"/>
  <c r="G418" i="1"/>
  <c r="K308" i="1"/>
  <c r="I308" i="1"/>
  <c r="G308" i="1"/>
  <c r="K172" i="1"/>
  <c r="I172" i="1"/>
  <c r="G172" i="1"/>
  <c r="K307" i="1"/>
  <c r="I307" i="1"/>
  <c r="G307" i="1"/>
  <c r="K210" i="1"/>
  <c r="I210" i="1"/>
  <c r="G210" i="1"/>
  <c r="K366" i="1"/>
  <c r="I366" i="1"/>
  <c r="G366" i="1"/>
  <c r="K572" i="1"/>
  <c r="I572" i="1"/>
  <c r="G572" i="1"/>
  <c r="K571" i="1"/>
  <c r="I571" i="1"/>
  <c r="G571" i="1"/>
  <c r="K108" i="1"/>
  <c r="I108" i="1"/>
  <c r="G108" i="1"/>
  <c r="K306" i="1"/>
  <c r="I306" i="1"/>
  <c r="G306" i="1"/>
  <c r="K417" i="1"/>
  <c r="I417" i="1"/>
  <c r="G417" i="1"/>
  <c r="K365" i="1"/>
  <c r="I365" i="1"/>
  <c r="G365" i="1"/>
  <c r="K609" i="1"/>
  <c r="I609" i="1"/>
  <c r="G609" i="1"/>
  <c r="K570" i="1"/>
  <c r="I570" i="1"/>
  <c r="G570" i="1"/>
  <c r="K35" i="1"/>
  <c r="I35" i="1"/>
  <c r="G35" i="1"/>
  <c r="K451" i="1"/>
  <c r="I451" i="1"/>
  <c r="G451" i="1"/>
  <c r="K34" i="1"/>
  <c r="I34" i="1"/>
  <c r="G34" i="1"/>
  <c r="K608" i="1"/>
  <c r="I608" i="1"/>
  <c r="G608" i="1"/>
  <c r="K107" i="1"/>
  <c r="I107" i="1"/>
  <c r="G107" i="1"/>
  <c r="K33" i="1"/>
  <c r="I33" i="1"/>
  <c r="G33" i="1"/>
  <c r="K32" i="1"/>
  <c r="I32" i="1"/>
  <c r="H32" i="1"/>
  <c r="G32" i="1"/>
  <c r="K31" i="1"/>
  <c r="I31" i="1"/>
  <c r="G31" i="1"/>
  <c r="K416" i="1"/>
  <c r="I416" i="1"/>
  <c r="G416" i="1"/>
  <c r="K489" i="1"/>
  <c r="I489" i="1"/>
  <c r="G489" i="1"/>
  <c r="K364" i="1"/>
  <c r="I364" i="1"/>
  <c r="G364" i="1"/>
  <c r="K569" i="1"/>
  <c r="I569" i="1"/>
  <c r="G569" i="1"/>
  <c r="K568" i="1"/>
  <c r="I568" i="1"/>
  <c r="G568" i="1"/>
  <c r="K415" i="1"/>
  <c r="I415" i="1"/>
  <c r="G415" i="1"/>
  <c r="K305" i="1"/>
  <c r="I305" i="1"/>
  <c r="G305" i="1"/>
  <c r="K567" i="1"/>
  <c r="I567" i="1"/>
  <c r="G567" i="1"/>
  <c r="K137" i="1"/>
  <c r="I137" i="1"/>
  <c r="G137" i="1"/>
  <c r="K171" i="1"/>
  <c r="I171" i="1"/>
  <c r="G171" i="1"/>
  <c r="K488" i="1"/>
  <c r="I488" i="1"/>
  <c r="G488" i="1"/>
  <c r="K304" i="1"/>
  <c r="I304" i="1"/>
  <c r="G304" i="1"/>
  <c r="K170" i="1"/>
  <c r="I170" i="1"/>
  <c r="G170" i="1"/>
  <c r="K450" i="1"/>
  <c r="I450" i="1"/>
  <c r="G450" i="1"/>
  <c r="K303" i="1"/>
  <c r="I303" i="1"/>
  <c r="G303" i="1"/>
  <c r="K487" i="1"/>
  <c r="I487" i="1"/>
  <c r="G487" i="1"/>
  <c r="K75" i="1"/>
  <c r="I75" i="1"/>
  <c r="G75" i="1"/>
  <c r="K449" i="1"/>
  <c r="I449" i="1"/>
  <c r="G449" i="1"/>
  <c r="K414" i="1"/>
  <c r="I414" i="1"/>
  <c r="G414" i="1"/>
  <c r="K448" i="1"/>
  <c r="I448" i="1"/>
  <c r="G448" i="1"/>
  <c r="K363" i="1"/>
  <c r="I363" i="1"/>
  <c r="G363" i="1"/>
  <c r="K566" i="1"/>
  <c r="I566" i="1"/>
  <c r="G566" i="1"/>
  <c r="K106" i="1"/>
  <c r="I106" i="1"/>
  <c r="H106" i="1"/>
  <c r="G106" i="1"/>
  <c r="K169" i="1"/>
  <c r="I169" i="1"/>
  <c r="G169" i="1"/>
  <c r="K565" i="1"/>
  <c r="I565" i="1"/>
  <c r="G565" i="1"/>
  <c r="K105" i="1"/>
  <c r="I105" i="1"/>
  <c r="G105" i="1"/>
  <c r="K302" i="1"/>
  <c r="I302" i="1"/>
  <c r="G302" i="1"/>
  <c r="K168" i="1"/>
  <c r="I168" i="1"/>
  <c r="G168" i="1"/>
  <c r="K301" i="1"/>
  <c r="I301" i="1"/>
  <c r="G301" i="1"/>
  <c r="K447" i="1"/>
  <c r="I447" i="1"/>
  <c r="G447" i="1"/>
  <c r="K564" i="1"/>
  <c r="I564" i="1"/>
  <c r="G564" i="1"/>
  <c r="K300" i="1"/>
  <c r="I300" i="1"/>
  <c r="G300" i="1"/>
  <c r="K104" i="1"/>
  <c r="I104" i="1"/>
  <c r="G104" i="1"/>
  <c r="K299" i="1"/>
  <c r="I299" i="1"/>
  <c r="G299" i="1"/>
  <c r="K413" i="1"/>
  <c r="I413" i="1"/>
  <c r="G413" i="1"/>
  <c r="K338" i="1"/>
  <c r="I338" i="1"/>
  <c r="G338" i="1"/>
  <c r="K298" i="1"/>
  <c r="I298" i="1"/>
  <c r="G298" i="1"/>
  <c r="K103" i="1"/>
  <c r="I103" i="1"/>
  <c r="G103" i="1"/>
  <c r="K167" i="1"/>
  <c r="I167" i="1"/>
  <c r="G167" i="1"/>
  <c r="K297" i="1"/>
  <c r="I297" i="1"/>
  <c r="G297" i="1"/>
  <c r="K486" i="1"/>
  <c r="I486" i="1"/>
  <c r="G486" i="1"/>
  <c r="K446" i="1"/>
  <c r="I446" i="1"/>
  <c r="G446" i="1"/>
  <c r="K514" i="1"/>
  <c r="I514" i="1"/>
  <c r="H514" i="1"/>
  <c r="G514" i="1"/>
  <c r="K166" i="1"/>
  <c r="I166" i="1"/>
  <c r="G166" i="1"/>
  <c r="K337" i="1"/>
  <c r="I337" i="1"/>
  <c r="G337" i="1"/>
  <c r="K296" i="1"/>
  <c r="I296" i="1"/>
  <c r="G296" i="1"/>
  <c r="K485" i="1"/>
  <c r="I485" i="1"/>
  <c r="G485" i="1"/>
  <c r="K209" i="1"/>
  <c r="I209" i="1"/>
  <c r="G209" i="1"/>
  <c r="K295" i="1"/>
  <c r="I295" i="1"/>
  <c r="G295" i="1"/>
  <c r="K484" i="1"/>
  <c r="I484" i="1"/>
  <c r="G484" i="1"/>
  <c r="K513" i="1"/>
  <c r="I513" i="1"/>
  <c r="G513" i="1"/>
  <c r="K102" i="1"/>
  <c r="I102" i="1"/>
  <c r="G102" i="1"/>
  <c r="K336" i="1"/>
  <c r="I336" i="1"/>
  <c r="G336" i="1"/>
  <c r="K165" i="1"/>
  <c r="I165" i="1"/>
  <c r="G165" i="1"/>
  <c r="K164" i="1"/>
  <c r="I164" i="1"/>
  <c r="G164" i="1"/>
  <c r="K483" i="1"/>
  <c r="I483" i="1"/>
  <c r="G483" i="1"/>
  <c r="K208" i="1"/>
  <c r="I208" i="1"/>
  <c r="G208" i="1"/>
  <c r="K30" i="1"/>
  <c r="I30" i="1"/>
  <c r="G30" i="1"/>
  <c r="K512" i="1"/>
  <c r="I512" i="1"/>
  <c r="G512" i="1"/>
  <c r="K29" i="1"/>
  <c r="I29" i="1"/>
  <c r="G29" i="1"/>
  <c r="K563" i="1"/>
  <c r="I563" i="1"/>
  <c r="G563" i="1"/>
  <c r="K335" i="1"/>
  <c r="I335" i="1"/>
  <c r="G335" i="1"/>
  <c r="K207" i="1"/>
  <c r="I207" i="1"/>
  <c r="G207" i="1"/>
  <c r="K294" i="1"/>
  <c r="I294" i="1"/>
  <c r="G294" i="1"/>
  <c r="K334" i="1"/>
  <c r="I334" i="1"/>
  <c r="G334" i="1"/>
  <c r="K445" i="1"/>
  <c r="I445" i="1"/>
  <c r="G445" i="1"/>
  <c r="K607" i="1"/>
  <c r="I607" i="1"/>
  <c r="G607" i="1"/>
  <c r="K511" i="1"/>
  <c r="I511" i="1"/>
  <c r="G511" i="1"/>
  <c r="K510" i="1"/>
  <c r="I510" i="1"/>
  <c r="G510" i="1"/>
  <c r="K383" i="1"/>
  <c r="I383" i="1"/>
  <c r="G383" i="1"/>
  <c r="K74" i="1"/>
  <c r="I74" i="1"/>
  <c r="G74" i="1"/>
  <c r="K293" i="1"/>
  <c r="I293" i="1"/>
  <c r="G293" i="1"/>
  <c r="K292" i="1"/>
  <c r="I292" i="1"/>
  <c r="G292" i="1"/>
  <c r="K28" i="1"/>
  <c r="I28" i="1"/>
  <c r="G28" i="1"/>
  <c r="K362" i="1"/>
  <c r="I362" i="1"/>
  <c r="G362" i="1"/>
  <c r="K562" i="1"/>
  <c r="I562" i="1"/>
  <c r="G562" i="1"/>
  <c r="K206" i="1"/>
  <c r="I206" i="1"/>
  <c r="G206" i="1"/>
  <c r="K412" i="1"/>
  <c r="I412" i="1"/>
  <c r="G412" i="1"/>
  <c r="K291" i="1"/>
  <c r="I291" i="1"/>
  <c r="G291" i="1"/>
  <c r="K27" i="1"/>
  <c r="I27" i="1"/>
  <c r="G27" i="1"/>
  <c r="K101" i="1"/>
  <c r="I101" i="1"/>
  <c r="G101" i="1"/>
  <c r="K561" i="1"/>
  <c r="I561" i="1"/>
  <c r="G561" i="1"/>
  <c r="K560" i="1"/>
  <c r="I560" i="1"/>
  <c r="G560" i="1"/>
  <c r="K559" i="1"/>
  <c r="I559" i="1"/>
  <c r="G559" i="1"/>
  <c r="K26" i="1"/>
  <c r="I26" i="1"/>
  <c r="G26" i="1"/>
  <c r="K25" i="1"/>
  <c r="I25" i="1"/>
  <c r="G25" i="1"/>
  <c r="K361" i="1"/>
  <c r="I361" i="1"/>
  <c r="G361" i="1"/>
  <c r="K163" i="1"/>
  <c r="I163" i="1"/>
  <c r="G163" i="1"/>
  <c r="K290" i="1"/>
  <c r="I290" i="1"/>
  <c r="G290" i="1"/>
  <c r="K289" i="1"/>
  <c r="I289" i="1"/>
  <c r="G289" i="1"/>
  <c r="K73" i="1"/>
  <c r="I73" i="1"/>
  <c r="G73" i="1"/>
  <c r="K558" i="1"/>
  <c r="I558" i="1"/>
  <c r="G558" i="1"/>
  <c r="K100" i="1"/>
  <c r="I100" i="1"/>
  <c r="G100" i="1"/>
  <c r="K382" i="1"/>
  <c r="I382" i="1"/>
  <c r="G382" i="1"/>
  <c r="K411" i="1"/>
  <c r="I411" i="1"/>
  <c r="G411" i="1"/>
  <c r="K410" i="1"/>
  <c r="I410" i="1"/>
  <c r="G410" i="1"/>
  <c r="K162" i="1"/>
  <c r="I162" i="1"/>
  <c r="G162" i="1"/>
  <c r="K557" i="1"/>
  <c r="I557" i="1"/>
  <c r="G557" i="1"/>
  <c r="K205" i="1"/>
  <c r="I205" i="1"/>
  <c r="G205" i="1"/>
  <c r="K556" i="1"/>
  <c r="I556" i="1"/>
  <c r="G556" i="1"/>
  <c r="K288" i="1"/>
  <c r="I288" i="1"/>
  <c r="G288" i="1"/>
  <c r="K136" i="1"/>
  <c r="I136" i="1"/>
  <c r="G136" i="1"/>
  <c r="K161" i="1"/>
  <c r="I161" i="1"/>
  <c r="G161" i="1"/>
  <c r="K482" i="1"/>
  <c r="I482" i="1"/>
  <c r="G482" i="1"/>
  <c r="K160" i="1"/>
  <c r="I160" i="1"/>
  <c r="G160" i="1"/>
  <c r="K381" i="1"/>
  <c r="I381" i="1"/>
  <c r="G381" i="1"/>
  <c r="K360" i="1"/>
  <c r="I360" i="1"/>
  <c r="G360" i="1"/>
  <c r="K555" i="1"/>
  <c r="I555" i="1"/>
  <c r="G555" i="1"/>
  <c r="K444" i="1"/>
  <c r="I444" i="1"/>
  <c r="G444" i="1"/>
  <c r="K333" i="1"/>
  <c r="I333" i="1"/>
  <c r="G333" i="1"/>
  <c r="K204" i="1"/>
  <c r="I204" i="1"/>
  <c r="G204" i="1"/>
  <c r="K554" i="1"/>
  <c r="I554" i="1"/>
  <c r="G554" i="1"/>
  <c r="K481" i="1"/>
  <c r="I481" i="1"/>
  <c r="G481" i="1"/>
  <c r="K409" i="1"/>
  <c r="I409" i="1"/>
  <c r="G409" i="1"/>
  <c r="K606" i="1"/>
  <c r="I606" i="1"/>
  <c r="G606" i="1"/>
  <c r="K24" i="1"/>
  <c r="I24" i="1"/>
  <c r="G24" i="1"/>
  <c r="K480" i="1"/>
  <c r="I480" i="1"/>
  <c r="G480" i="1"/>
  <c r="K443" i="1"/>
  <c r="I443" i="1"/>
  <c r="G443" i="1"/>
  <c r="K359" i="1"/>
  <c r="I359" i="1"/>
  <c r="G359" i="1"/>
  <c r="K553" i="1"/>
  <c r="I553" i="1"/>
  <c r="G553" i="1"/>
  <c r="K99" i="1"/>
  <c r="I99" i="1"/>
  <c r="G99" i="1"/>
  <c r="K72" i="1"/>
  <c r="I72" i="1"/>
  <c r="G72" i="1"/>
  <c r="K71" i="1"/>
  <c r="I71" i="1"/>
  <c r="G71" i="1"/>
  <c r="K287" i="1"/>
  <c r="I287" i="1"/>
  <c r="G287" i="1"/>
  <c r="K98" i="1"/>
  <c r="I98" i="1"/>
  <c r="G98" i="1"/>
  <c r="K135" i="1"/>
  <c r="I135" i="1"/>
  <c r="G135" i="1"/>
  <c r="K605" i="1"/>
  <c r="I605" i="1"/>
  <c r="G605" i="1"/>
  <c r="K604" i="1"/>
  <c r="I604" i="1"/>
  <c r="G604" i="1"/>
  <c r="K603" i="1"/>
  <c r="I603" i="1"/>
  <c r="G603" i="1"/>
  <c r="K286" i="1"/>
  <c r="I286" i="1"/>
  <c r="G286" i="1"/>
  <c r="K332" i="1"/>
  <c r="I332" i="1"/>
  <c r="G332" i="1"/>
  <c r="K380" i="1"/>
  <c r="I380" i="1"/>
  <c r="G380" i="1"/>
  <c r="K552" i="1"/>
  <c r="I552" i="1"/>
  <c r="G552" i="1"/>
  <c r="K285" i="1"/>
  <c r="I285" i="1"/>
  <c r="G285" i="1"/>
  <c r="K23" i="1"/>
  <c r="I23" i="1"/>
  <c r="G23" i="1"/>
  <c r="K203" i="1"/>
  <c r="I203" i="1"/>
  <c r="G203" i="1"/>
  <c r="K202" i="1"/>
  <c r="I202" i="1"/>
  <c r="G202" i="1"/>
  <c r="K509" i="1"/>
  <c r="I509" i="1"/>
  <c r="G509" i="1"/>
  <c r="K22" i="1"/>
  <c r="I22" i="1"/>
  <c r="G22" i="1"/>
  <c r="K442" i="1"/>
  <c r="I442" i="1"/>
  <c r="G442" i="1"/>
  <c r="K284" i="1"/>
  <c r="I284" i="1"/>
  <c r="G284" i="1"/>
  <c r="K508" i="1"/>
  <c r="I508" i="1"/>
  <c r="G508" i="1"/>
  <c r="K507" i="1"/>
  <c r="I507" i="1"/>
  <c r="G507" i="1"/>
  <c r="K602" i="1"/>
  <c r="I602" i="1"/>
  <c r="G602" i="1"/>
  <c r="K201" i="1"/>
  <c r="I201" i="1"/>
  <c r="G201" i="1"/>
  <c r="K601" i="1"/>
  <c r="I601" i="1"/>
  <c r="G601" i="1"/>
  <c r="K358" i="1"/>
  <c r="I358" i="1"/>
  <c r="G358" i="1"/>
  <c r="K200" i="1"/>
  <c r="I200" i="1"/>
  <c r="G200" i="1"/>
  <c r="K551" i="1"/>
  <c r="I551" i="1"/>
  <c r="G551" i="1"/>
  <c r="K283" i="1"/>
  <c r="I283" i="1"/>
  <c r="G283" i="1"/>
  <c r="K199" i="1"/>
  <c r="I199" i="1"/>
  <c r="G199" i="1"/>
  <c r="K600" i="1"/>
  <c r="I600" i="1"/>
  <c r="G600" i="1"/>
  <c r="K408" i="1"/>
  <c r="I408" i="1"/>
  <c r="G408" i="1"/>
  <c r="K70" i="1"/>
  <c r="I70" i="1"/>
  <c r="G70" i="1"/>
  <c r="K69" i="1"/>
  <c r="I69" i="1"/>
  <c r="G69" i="1"/>
  <c r="K407" i="1"/>
  <c r="I407" i="1"/>
  <c r="G407" i="1"/>
  <c r="K479" i="1"/>
  <c r="I479" i="1"/>
  <c r="G479" i="1"/>
  <c r="K159" i="1"/>
  <c r="I159" i="1"/>
  <c r="G159" i="1"/>
  <c r="K198" i="1"/>
  <c r="I198" i="1"/>
  <c r="G198" i="1"/>
  <c r="K197" i="1"/>
  <c r="I197" i="1"/>
  <c r="G197" i="1"/>
  <c r="K21" i="1"/>
  <c r="I21" i="1"/>
  <c r="G21" i="1"/>
  <c r="K331" i="1"/>
  <c r="I331" i="1"/>
  <c r="G331" i="1"/>
  <c r="K506" i="1"/>
  <c r="I506" i="1"/>
  <c r="G506" i="1"/>
  <c r="K20" i="1"/>
  <c r="I20" i="1"/>
  <c r="G20" i="1"/>
  <c r="K19" i="1"/>
  <c r="I19" i="1"/>
  <c r="G19" i="1"/>
  <c r="K282" i="1"/>
  <c r="I282" i="1"/>
  <c r="G282" i="1"/>
  <c r="K97" i="1"/>
  <c r="I97" i="1"/>
  <c r="H97" i="1"/>
  <c r="G97" i="1"/>
  <c r="K441" i="1"/>
  <c r="I441" i="1"/>
  <c r="G441" i="1"/>
  <c r="K96" i="1"/>
  <c r="I96" i="1"/>
  <c r="G96" i="1"/>
  <c r="K158" i="1"/>
  <c r="I158" i="1"/>
  <c r="G158" i="1"/>
  <c r="K599" i="1"/>
  <c r="I599" i="1"/>
  <c r="G599" i="1"/>
  <c r="K379" i="1"/>
  <c r="I379" i="1"/>
  <c r="G379" i="1"/>
  <c r="K196" i="1"/>
  <c r="I196" i="1"/>
  <c r="G196" i="1"/>
  <c r="K68" i="1"/>
  <c r="I68" i="1"/>
  <c r="G68" i="1"/>
  <c r="K18" i="1"/>
  <c r="I18" i="1"/>
  <c r="G18" i="1"/>
  <c r="K281" i="1"/>
  <c r="I281" i="1"/>
  <c r="G281" i="1"/>
  <c r="K17" i="1"/>
  <c r="I17" i="1"/>
  <c r="G17" i="1"/>
  <c r="K280" i="1"/>
  <c r="I280" i="1"/>
  <c r="G280" i="1"/>
  <c r="K550" i="1"/>
  <c r="I550" i="1"/>
  <c r="H550" i="1"/>
  <c r="G550" i="1"/>
  <c r="K406" i="1"/>
  <c r="I406" i="1"/>
  <c r="G406" i="1"/>
  <c r="K549" i="1"/>
  <c r="I549" i="1"/>
  <c r="G549" i="1"/>
  <c r="K279" i="1"/>
  <c r="I279" i="1"/>
  <c r="G279" i="1"/>
  <c r="K548" i="1"/>
  <c r="I548" i="1"/>
  <c r="G548" i="1"/>
  <c r="K157" i="1"/>
  <c r="I157" i="1"/>
  <c r="G157" i="1"/>
  <c r="K278" i="1"/>
  <c r="I278" i="1"/>
  <c r="G278" i="1"/>
  <c r="K405" i="1"/>
  <c r="I405" i="1"/>
  <c r="G405" i="1"/>
  <c r="K547" i="1"/>
  <c r="I547" i="1"/>
  <c r="G547" i="1"/>
  <c r="K440" i="1"/>
  <c r="I440" i="1"/>
  <c r="G440" i="1"/>
  <c r="K16" i="1"/>
  <c r="I16" i="1"/>
  <c r="G16" i="1"/>
  <c r="K156" i="1"/>
  <c r="I156" i="1"/>
  <c r="G156" i="1"/>
  <c r="K277" i="1"/>
  <c r="I277" i="1"/>
  <c r="G277" i="1"/>
  <c r="K404" i="1"/>
  <c r="I404" i="1"/>
  <c r="G404" i="1"/>
  <c r="K546" i="1"/>
  <c r="I546" i="1"/>
  <c r="G546" i="1"/>
  <c r="K195" i="1"/>
  <c r="I195" i="1"/>
  <c r="G195" i="1"/>
  <c r="K276" i="1"/>
  <c r="I276" i="1"/>
  <c r="G276" i="1"/>
  <c r="K598" i="1"/>
  <c r="I598" i="1"/>
  <c r="G598" i="1"/>
  <c r="K155" i="1"/>
  <c r="I155" i="1"/>
  <c r="G155" i="1"/>
  <c r="K15" i="1"/>
  <c r="I15" i="1"/>
  <c r="G15" i="1"/>
  <c r="K505" i="1"/>
  <c r="I505" i="1"/>
  <c r="G505" i="1"/>
  <c r="K95" i="1"/>
  <c r="I95" i="1"/>
  <c r="G95" i="1"/>
  <c r="K194" i="1"/>
  <c r="I194" i="1"/>
  <c r="G194" i="1"/>
  <c r="K403" i="1"/>
  <c r="I403" i="1"/>
  <c r="G403" i="1"/>
  <c r="K154" i="1"/>
  <c r="I154" i="1"/>
  <c r="G154" i="1"/>
  <c r="K275" i="1"/>
  <c r="I275" i="1"/>
  <c r="G275" i="1"/>
  <c r="K597" i="1"/>
  <c r="I597" i="1"/>
  <c r="G597" i="1"/>
  <c r="K439" i="1"/>
  <c r="I439" i="1"/>
  <c r="G439" i="1"/>
  <c r="K545" i="1"/>
  <c r="I545" i="1"/>
  <c r="H545" i="1"/>
  <c r="G545" i="1"/>
  <c r="K274" i="1"/>
  <c r="I274" i="1"/>
  <c r="G274" i="1"/>
  <c r="K273" i="1"/>
  <c r="I273" i="1"/>
  <c r="G273" i="1"/>
  <c r="K272" i="1"/>
  <c r="I272" i="1"/>
  <c r="G272" i="1"/>
  <c r="K438" i="1"/>
  <c r="I438" i="1"/>
  <c r="G438" i="1"/>
  <c r="K94" i="1"/>
  <c r="I94" i="1"/>
  <c r="G94" i="1"/>
  <c r="K14" i="1"/>
  <c r="I14" i="1"/>
  <c r="G14" i="1"/>
  <c r="K193" i="1"/>
  <c r="I193" i="1"/>
  <c r="G193" i="1"/>
  <c r="K93" i="1"/>
  <c r="I93" i="1"/>
  <c r="G93" i="1"/>
  <c r="K67" i="1"/>
  <c r="I67" i="1"/>
  <c r="G67" i="1"/>
  <c r="K378" i="1"/>
  <c r="I378" i="1"/>
  <c r="G378" i="1"/>
  <c r="K437" i="1"/>
  <c r="I437" i="1"/>
  <c r="G437" i="1"/>
  <c r="K596" i="1"/>
  <c r="I596" i="1"/>
  <c r="G596" i="1"/>
  <c r="K271" i="1"/>
  <c r="I271" i="1"/>
  <c r="H271" i="1"/>
  <c r="G271" i="1"/>
  <c r="K270" i="1"/>
  <c r="I270" i="1"/>
  <c r="G270" i="1"/>
  <c r="K357" i="1"/>
  <c r="I357" i="1"/>
  <c r="G357" i="1"/>
  <c r="K153" i="1"/>
  <c r="I153" i="1"/>
  <c r="G153" i="1"/>
  <c r="K13" i="1"/>
  <c r="I13" i="1"/>
  <c r="G13" i="1"/>
  <c r="K544" i="1"/>
  <c r="I544" i="1"/>
  <c r="G544" i="1"/>
  <c r="K269" i="1"/>
  <c r="I269" i="1"/>
  <c r="G269" i="1"/>
  <c r="K268" i="1"/>
  <c r="I268" i="1"/>
  <c r="G268" i="1"/>
  <c r="K267" i="1"/>
  <c r="I267" i="1"/>
  <c r="G267" i="1"/>
  <c r="K266" i="1"/>
  <c r="I266" i="1"/>
  <c r="G266" i="1"/>
  <c r="K265" i="1"/>
  <c r="I265" i="1"/>
  <c r="G265" i="1"/>
  <c r="K264" i="1"/>
  <c r="I264" i="1"/>
  <c r="G264" i="1"/>
  <c r="K263" i="1"/>
  <c r="I263" i="1"/>
  <c r="G263" i="1"/>
  <c r="K262" i="1"/>
  <c r="I262" i="1"/>
  <c r="G262" i="1"/>
  <c r="K92" i="1"/>
  <c r="I92" i="1"/>
  <c r="G92" i="1"/>
  <c r="K436" i="1"/>
  <c r="I436" i="1"/>
  <c r="G436" i="1"/>
  <c r="K356" i="1"/>
  <c r="I356" i="1"/>
  <c r="G356" i="1"/>
  <c r="K504" i="1"/>
  <c r="I504" i="1"/>
  <c r="G504" i="1"/>
  <c r="K91" i="1"/>
  <c r="I91" i="1"/>
  <c r="G91" i="1"/>
  <c r="K12" i="1"/>
  <c r="I12" i="1"/>
  <c r="G12" i="1"/>
  <c r="K192" i="1"/>
  <c r="I192" i="1"/>
  <c r="G192" i="1"/>
  <c r="K543" i="1"/>
  <c r="I543" i="1"/>
  <c r="G543" i="1"/>
  <c r="K134" i="1"/>
  <c r="I134" i="1"/>
  <c r="G134" i="1"/>
  <c r="K402" i="1"/>
  <c r="I402" i="1"/>
  <c r="G402" i="1"/>
  <c r="K90" i="1"/>
  <c r="I90" i="1"/>
  <c r="G90" i="1"/>
  <c r="K377" i="1"/>
  <c r="I377" i="1"/>
  <c r="G377" i="1"/>
  <c r="K261" i="1"/>
  <c r="I261" i="1"/>
  <c r="G261" i="1"/>
  <c r="K595" i="1"/>
  <c r="I595" i="1"/>
  <c r="G595" i="1"/>
  <c r="K66" i="1"/>
  <c r="I66" i="1"/>
  <c r="G66" i="1"/>
  <c r="K435" i="1"/>
  <c r="I435" i="1"/>
  <c r="G435" i="1"/>
  <c r="K152" i="1"/>
  <c r="I152" i="1"/>
  <c r="G152" i="1"/>
  <c r="K11" i="1"/>
  <c r="I11" i="1"/>
  <c r="H11" i="1"/>
  <c r="G11" i="1"/>
  <c r="K355" i="1"/>
  <c r="I355" i="1"/>
  <c r="G355" i="1"/>
  <c r="K354" i="1"/>
  <c r="I354" i="1"/>
  <c r="G354" i="1"/>
  <c r="K542" i="1"/>
  <c r="I542" i="1"/>
  <c r="G542" i="1"/>
  <c r="K541" i="1"/>
  <c r="I541" i="1"/>
  <c r="H541" i="1"/>
  <c r="G541" i="1"/>
  <c r="K260" i="1"/>
  <c r="I260" i="1"/>
  <c r="G260" i="1"/>
  <c r="K594" i="1"/>
  <c r="I594" i="1"/>
  <c r="G594" i="1"/>
  <c r="K259" i="1"/>
  <c r="I259" i="1"/>
  <c r="G259" i="1"/>
  <c r="K503" i="1"/>
  <c r="I503" i="1"/>
  <c r="G503" i="1"/>
  <c r="K434" i="1"/>
  <c r="I434" i="1"/>
  <c r="H434" i="1"/>
  <c r="G434" i="1"/>
  <c r="K330" i="1"/>
  <c r="I330" i="1"/>
  <c r="G330" i="1"/>
  <c r="K191" i="1"/>
  <c r="I191" i="1"/>
  <c r="G191" i="1"/>
  <c r="K133" i="1"/>
  <c r="I133" i="1"/>
  <c r="G133" i="1"/>
  <c r="K540" i="1"/>
  <c r="I540" i="1"/>
  <c r="G540" i="1"/>
  <c r="K258" i="1"/>
  <c r="I258" i="1"/>
  <c r="G258" i="1"/>
  <c r="K433" i="1"/>
  <c r="I433" i="1"/>
  <c r="G433" i="1"/>
  <c r="K257" i="1"/>
  <c r="I257" i="1"/>
  <c r="G257" i="1"/>
  <c r="K132" i="1"/>
  <c r="I132" i="1"/>
  <c r="G132" i="1"/>
  <c r="K256" i="1"/>
  <c r="I256" i="1"/>
  <c r="G256" i="1"/>
  <c r="K502" i="1"/>
  <c r="I502" i="1"/>
  <c r="G502" i="1"/>
  <c r="K65" i="1"/>
  <c r="I65" i="1"/>
  <c r="G65" i="1"/>
  <c r="K593" i="1"/>
  <c r="I593" i="1"/>
  <c r="G593" i="1"/>
  <c r="K10" i="1"/>
  <c r="I10" i="1"/>
  <c r="G10" i="1"/>
  <c r="K592" i="1"/>
  <c r="I592" i="1"/>
  <c r="G592" i="1"/>
  <c r="K501" i="1"/>
  <c r="I501" i="1"/>
  <c r="G501" i="1"/>
  <c r="K9" i="1"/>
  <c r="I9" i="1"/>
  <c r="G9" i="1"/>
  <c r="K8" i="1"/>
  <c r="I8" i="1"/>
  <c r="G8" i="1"/>
  <c r="K500" i="1"/>
  <c r="I500" i="1"/>
  <c r="G500" i="1"/>
  <c r="K151" i="1"/>
  <c r="I151" i="1"/>
  <c r="G151" i="1"/>
  <c r="K432" i="1"/>
  <c r="I432" i="1"/>
  <c r="G432" i="1"/>
  <c r="K7" i="1"/>
  <c r="I7" i="1"/>
  <c r="G7" i="1"/>
  <c r="K353" i="1"/>
  <c r="I353" i="1"/>
  <c r="G353" i="1"/>
  <c r="K401" i="1"/>
  <c r="I401" i="1"/>
  <c r="G401" i="1"/>
  <c r="K400" i="1"/>
  <c r="I400" i="1"/>
  <c r="G400" i="1"/>
  <c r="K190" i="1"/>
  <c r="I190" i="1"/>
  <c r="G190" i="1"/>
  <c r="K255" i="1"/>
  <c r="I255" i="1"/>
  <c r="G255" i="1"/>
  <c r="K431" i="1"/>
  <c r="I431" i="1"/>
  <c r="G431" i="1"/>
  <c r="K352" i="1"/>
  <c r="I352" i="1"/>
  <c r="G352" i="1"/>
  <c r="K254" i="1"/>
  <c r="I254" i="1"/>
  <c r="G254" i="1"/>
  <c r="K539" i="1"/>
  <c r="I539" i="1"/>
  <c r="G539" i="1"/>
  <c r="K64" i="1"/>
  <c r="I64" i="1"/>
  <c r="G64" i="1"/>
  <c r="K538" i="1"/>
  <c r="I538" i="1"/>
  <c r="G538" i="1"/>
  <c r="K351" i="1"/>
  <c r="I351" i="1"/>
  <c r="G351" i="1"/>
  <c r="K253" i="1"/>
  <c r="I253" i="1"/>
  <c r="G253" i="1"/>
  <c r="K131" i="1"/>
  <c r="I131" i="1"/>
  <c r="G131" i="1"/>
  <c r="K430" i="1"/>
  <c r="I430" i="1"/>
  <c r="G430" i="1"/>
  <c r="K189" i="1"/>
  <c r="I189" i="1"/>
  <c r="G189" i="1"/>
  <c r="K130" i="1"/>
  <c r="I130" i="1"/>
  <c r="G130" i="1"/>
  <c r="K399" i="1"/>
  <c r="I399" i="1"/>
  <c r="G399" i="1"/>
  <c r="K398" i="1"/>
  <c r="I398" i="1"/>
  <c r="G398" i="1"/>
  <c r="K397" i="1"/>
  <c r="I397" i="1"/>
  <c r="G397" i="1"/>
  <c r="K129" i="1"/>
  <c r="I129" i="1"/>
  <c r="G129" i="1"/>
  <c r="K63" i="1"/>
  <c r="I63" i="1"/>
  <c r="G63" i="1"/>
  <c r="K6" i="1"/>
  <c r="I6" i="1"/>
  <c r="G6" i="1"/>
  <c r="K188" i="1"/>
  <c r="I188" i="1"/>
  <c r="G188" i="1"/>
  <c r="K429" i="1"/>
  <c r="I429" i="1"/>
  <c r="G429" i="1"/>
  <c r="K252" i="1"/>
  <c r="I252" i="1"/>
  <c r="G252" i="1"/>
  <c r="K350" i="1"/>
  <c r="I350" i="1"/>
  <c r="G350" i="1"/>
  <c r="K89" i="1"/>
  <c r="I89" i="1"/>
  <c r="G89" i="1"/>
  <c r="K376" i="1"/>
  <c r="I376" i="1"/>
  <c r="G376" i="1"/>
  <c r="K5" i="1"/>
  <c r="I5" i="1"/>
  <c r="G5" i="1"/>
  <c r="K428" i="1"/>
  <c r="I428" i="1"/>
  <c r="G428" i="1"/>
  <c r="K251" i="1"/>
  <c r="I251" i="1"/>
  <c r="G251" i="1"/>
  <c r="K88" i="1"/>
  <c r="I88" i="1"/>
  <c r="G88" i="1"/>
  <c r="K62" i="1"/>
  <c r="I62" i="1"/>
  <c r="G62" i="1"/>
  <c r="K150" i="1"/>
  <c r="I150" i="1"/>
  <c r="G150" i="1"/>
  <c r="K591" i="1"/>
  <c r="I591" i="1"/>
  <c r="G591" i="1"/>
  <c r="K375" i="1"/>
  <c r="I375" i="1"/>
  <c r="G375" i="1"/>
  <c r="K250" i="1"/>
  <c r="I250" i="1"/>
  <c r="G250" i="1"/>
  <c r="K396" i="1"/>
  <c r="I396" i="1"/>
  <c r="H396" i="1"/>
  <c r="G396" i="1"/>
  <c r="K149" i="1"/>
  <c r="I149" i="1"/>
  <c r="G149" i="1"/>
  <c r="K374" i="1"/>
  <c r="I374" i="1"/>
  <c r="G374" i="1"/>
  <c r="K128" i="1"/>
  <c r="I128" i="1"/>
  <c r="G128" i="1"/>
  <c r="K537" i="1"/>
  <c r="I537" i="1"/>
  <c r="G537" i="1"/>
  <c r="K536" i="1"/>
  <c r="I536" i="1"/>
  <c r="G536" i="1"/>
  <c r="K61" i="1"/>
  <c r="I61" i="1"/>
  <c r="G61" i="1"/>
  <c r="K249" i="1"/>
  <c r="I249" i="1"/>
  <c r="G249" i="1"/>
  <c r="K395" i="1"/>
  <c r="I395" i="1"/>
  <c r="G395" i="1"/>
  <c r="K499" i="1"/>
  <c r="I499" i="1"/>
  <c r="G499" i="1"/>
  <c r="K373" i="1"/>
  <c r="I373" i="1"/>
  <c r="G373" i="1"/>
  <c r="K127" i="1"/>
  <c r="I127" i="1"/>
  <c r="G127" i="1"/>
  <c r="K349" i="1"/>
  <c r="I349" i="1"/>
  <c r="G349" i="1"/>
  <c r="K329" i="1"/>
  <c r="I329" i="1"/>
  <c r="G329" i="1"/>
  <c r="K372" i="1"/>
  <c r="I372" i="1"/>
  <c r="G372" i="1"/>
  <c r="K394" i="1"/>
  <c r="I394" i="1"/>
  <c r="G394" i="1"/>
  <c r="K126" i="1"/>
  <c r="I126" i="1"/>
  <c r="G126" i="1"/>
  <c r="K427" i="1"/>
  <c r="I427" i="1"/>
  <c r="G427" i="1"/>
  <c r="K371" i="1"/>
  <c r="I371" i="1"/>
  <c r="G371" i="1"/>
  <c r="K348" i="1"/>
  <c r="I348" i="1"/>
  <c r="G348" i="1"/>
  <c r="K87" i="1"/>
  <c r="I87" i="1"/>
  <c r="G87" i="1"/>
  <c r="K393" i="1"/>
  <c r="I393" i="1"/>
  <c r="G393" i="1"/>
  <c r="K426" i="1"/>
  <c r="I426" i="1"/>
  <c r="G426" i="1"/>
  <c r="K347" i="1"/>
  <c r="I347" i="1"/>
  <c r="G347" i="1"/>
  <c r="K4" i="1"/>
  <c r="I4" i="1"/>
  <c r="G4" i="1"/>
  <c r="K590" i="1"/>
  <c r="I590" i="1"/>
  <c r="G590" i="1"/>
  <c r="K589" i="1"/>
  <c r="I589" i="1"/>
  <c r="G589" i="1"/>
  <c r="K148" i="1"/>
  <c r="I148" i="1"/>
  <c r="G148" i="1"/>
  <c r="K535" i="1"/>
  <c r="I535" i="1"/>
  <c r="G535" i="1"/>
  <c r="K534" i="1"/>
  <c r="I534" i="1"/>
  <c r="G534" i="1"/>
  <c r="K147" i="1"/>
  <c r="I147" i="1"/>
  <c r="G147" i="1"/>
  <c r="K498" i="1"/>
  <c r="I498" i="1"/>
  <c r="H498" i="1"/>
  <c r="G498" i="1"/>
  <c r="K346" i="1"/>
  <c r="I346" i="1"/>
  <c r="G346" i="1"/>
  <c r="K328" i="1"/>
  <c r="I328" i="1"/>
  <c r="G328" i="1"/>
  <c r="K248" i="1"/>
  <c r="I248" i="1"/>
  <c r="G248" i="1"/>
  <c r="K187" i="1"/>
  <c r="I187" i="1"/>
  <c r="G187" i="1"/>
  <c r="K425" i="1"/>
  <c r="I425" i="1"/>
  <c r="G425" i="1"/>
  <c r="K125" i="1"/>
  <c r="I125" i="1"/>
  <c r="G125" i="1"/>
  <c r="K186" i="1"/>
  <c r="I186" i="1"/>
  <c r="G186" i="1"/>
  <c r="K247" i="1"/>
  <c r="I247" i="1"/>
  <c r="G247" i="1"/>
  <c r="K60" i="1"/>
  <c r="I60" i="1"/>
  <c r="G60" i="1"/>
  <c r="K59" i="1"/>
  <c r="I59" i="1"/>
  <c r="G59" i="1"/>
  <c r="K86" i="1"/>
  <c r="I86" i="1"/>
  <c r="G86" i="1"/>
  <c r="K588" i="1"/>
  <c r="I588" i="1"/>
  <c r="G588" i="1"/>
  <c r="K345" i="1"/>
  <c r="I345" i="1"/>
  <c r="G345" i="1"/>
  <c r="K344" i="1"/>
  <c r="I344" i="1"/>
  <c r="G344" i="1"/>
  <c r="K246" i="1"/>
  <c r="I246" i="1"/>
  <c r="G246" i="1"/>
  <c r="K392" i="1"/>
  <c r="I392" i="1"/>
  <c r="G392" i="1"/>
  <c r="K146" i="1"/>
  <c r="I146" i="1"/>
  <c r="G146" i="1"/>
  <c r="K124" i="1"/>
  <c r="I124" i="1"/>
  <c r="G124" i="1"/>
  <c r="K327" i="1"/>
  <c r="I327" i="1"/>
  <c r="G327" i="1"/>
  <c r="K391" i="1"/>
  <c r="I391" i="1"/>
  <c r="G391" i="1"/>
  <c r="K533" i="1"/>
  <c r="I533" i="1"/>
  <c r="H533" i="1"/>
  <c r="G533" i="1"/>
  <c r="K587" i="1"/>
  <c r="I587" i="1"/>
  <c r="G587" i="1"/>
  <c r="K532" i="1"/>
  <c r="I532" i="1"/>
  <c r="G532" i="1"/>
  <c r="K3" i="1"/>
  <c r="I3" i="1"/>
  <c r="G3" i="1"/>
  <c r="K343" i="1"/>
  <c r="I343" i="1"/>
  <c r="G343" i="1"/>
  <c r="K531" i="1"/>
  <c r="I531" i="1"/>
  <c r="G531" i="1"/>
  <c r="K58" i="1"/>
  <c r="I58" i="1"/>
  <c r="G58" i="1"/>
  <c r="K586" i="1"/>
  <c r="I586" i="1"/>
  <c r="G586" i="1"/>
  <c r="K530" i="1"/>
  <c r="I530" i="1"/>
  <c r="G530" i="1"/>
  <c r="K145" i="1"/>
  <c r="I145" i="1"/>
  <c r="G145" i="1"/>
  <c r="K85" i="1"/>
  <c r="I85" i="1"/>
  <c r="G85" i="1"/>
  <c r="K424" i="1"/>
  <c r="I424" i="1"/>
  <c r="G424" i="1"/>
  <c r="K370" i="1"/>
  <c r="I370" i="1"/>
  <c r="G370" i="1"/>
  <c r="K390" i="1"/>
  <c r="I390" i="1"/>
  <c r="G390" i="1"/>
  <c r="K245" i="1"/>
  <c r="I245" i="1"/>
  <c r="G245" i="1"/>
  <c r="K423" i="1"/>
  <c r="I423" i="1"/>
  <c r="G423" i="1"/>
  <c r="K84" i="1"/>
  <c r="I84" i="1"/>
  <c r="G84" i="1"/>
  <c r="K57" i="1"/>
  <c r="I57" i="1"/>
  <c r="G57" i="1"/>
  <c r="K585" i="1"/>
  <c r="I585" i="1"/>
  <c r="G585" i="1"/>
  <c r="K83" i="1"/>
  <c r="I83" i="1"/>
  <c r="G83" i="1"/>
  <c r="K144" i="1"/>
  <c r="I144" i="1"/>
  <c r="G144" i="1"/>
  <c r="K56" i="1"/>
  <c r="I56" i="1"/>
  <c r="G56" i="1"/>
  <c r="K82" i="1"/>
  <c r="I82" i="1"/>
  <c r="G82" i="1"/>
  <c r="K244" i="1"/>
  <c r="I244" i="1"/>
  <c r="G244" i="1"/>
  <c r="K243" i="1"/>
  <c r="I243" i="1"/>
  <c r="G243" i="1"/>
  <c r="K422" i="1"/>
  <c r="I422" i="1"/>
  <c r="G422" i="1"/>
  <c r="K242" i="1"/>
  <c r="I242" i="1"/>
  <c r="G242" i="1"/>
  <c r="K369" i="1"/>
  <c r="I369" i="1"/>
  <c r="G369" i="1"/>
  <c r="K497" i="1"/>
  <c r="I497" i="1"/>
  <c r="G497" i="1"/>
  <c r="K241" i="1"/>
  <c r="I241" i="1"/>
  <c r="G241" i="1"/>
  <c r="K240" i="1"/>
  <c r="I240" i="1"/>
  <c r="H240" i="1"/>
  <c r="G240" i="1"/>
  <c r="K239" i="1"/>
  <c r="I239" i="1"/>
  <c r="G239" i="1"/>
  <c r="K368" i="1"/>
  <c r="I368" i="1"/>
  <c r="H368" i="1"/>
  <c r="G368" i="1"/>
  <c r="K496" i="1"/>
  <c r="I496" i="1"/>
  <c r="G496" i="1"/>
  <c r="K238" i="1"/>
  <c r="I238" i="1"/>
  <c r="G238" i="1"/>
  <c r="K185" i="1"/>
  <c r="I185" i="1"/>
  <c r="G185" i="1"/>
  <c r="K389" i="1"/>
  <c r="I389" i="1"/>
  <c r="G389" i="1"/>
  <c r="K55" i="1"/>
  <c r="I55" i="1"/>
  <c r="G55" i="1"/>
  <c r="K421" i="1"/>
  <c r="I421" i="1"/>
  <c r="G421" i="1"/>
  <c r="K123" i="1"/>
  <c r="I123" i="1"/>
  <c r="G123" i="1"/>
  <c r="K495" i="1"/>
  <c r="I495" i="1"/>
  <c r="G495" i="1"/>
  <c r="K237" i="1"/>
  <c r="I237" i="1"/>
  <c r="G237" i="1"/>
  <c r="K529" i="1"/>
  <c r="I529" i="1"/>
  <c r="G529" i="1"/>
  <c r="K236" i="1"/>
  <c r="I236" i="1"/>
  <c r="G236" i="1"/>
  <c r="K584" i="1"/>
  <c r="I584" i="1"/>
  <c r="G584" i="1"/>
  <c r="K54" i="1"/>
  <c r="I54" i="1"/>
  <c r="G54" i="1"/>
  <c r="K478" i="1"/>
  <c r="I478" i="1"/>
  <c r="G478" i="1"/>
  <c r="K342" i="1"/>
  <c r="I342" i="1"/>
  <c r="G342" i="1"/>
  <c r="K528" i="1"/>
  <c r="I528" i="1"/>
  <c r="G528" i="1"/>
  <c r="K583" i="1"/>
  <c r="I583" i="1"/>
  <c r="G583" i="1"/>
  <c r="K326" i="1"/>
  <c r="I326" i="1"/>
  <c r="G326" i="1"/>
  <c r="K527" i="1"/>
  <c r="I527" i="1"/>
  <c r="G527" i="1"/>
  <c r="K526" i="1"/>
  <c r="I526" i="1"/>
  <c r="G526" i="1"/>
  <c r="K525" i="1"/>
  <c r="I525" i="1"/>
  <c r="G525" i="1"/>
  <c r="K524" i="1"/>
  <c r="I524" i="1"/>
  <c r="G524" i="1"/>
  <c r="K523" i="1"/>
  <c r="I523" i="1"/>
  <c r="G523" i="1"/>
  <c r="K53" i="1"/>
  <c r="I53" i="1"/>
  <c r="G53" i="1"/>
  <c r="K522" i="1"/>
  <c r="I522" i="1"/>
  <c r="G522" i="1"/>
  <c r="I235" i="1"/>
  <c r="H235" i="1"/>
  <c r="G235" i="1"/>
  <c r="K184" i="1"/>
  <c r="I184" i="1"/>
  <c r="G184" i="1"/>
  <c r="K234" i="1"/>
  <c r="I234" i="1"/>
  <c r="G234" i="1"/>
  <c r="K233" i="1"/>
  <c r="I233" i="1"/>
  <c r="G233" i="1"/>
  <c r="K143" i="1"/>
  <c r="I143" i="1"/>
  <c r="G143" i="1"/>
  <c r="K521" i="1"/>
  <c r="I521" i="1"/>
  <c r="G521" i="1"/>
  <c r="K2" i="1"/>
  <c r="I2" i="1"/>
  <c r="G2" i="1"/>
  <c r="K582" i="1"/>
  <c r="I582" i="1"/>
  <c r="G582" i="1"/>
  <c r="K420" i="1"/>
  <c r="I420" i="1"/>
  <c r="G420" i="1"/>
</calcChain>
</file>

<file path=xl/sharedStrings.xml><?xml version="1.0" encoding="utf-8"?>
<sst xmlns="http://schemas.openxmlformats.org/spreadsheetml/2006/main" count="5427" uniqueCount="2869">
  <si>
    <t>Nazwa</t>
  </si>
  <si>
    <t>Województwo</t>
  </si>
  <si>
    <t>Powiat</t>
  </si>
  <si>
    <t>Gmina</t>
  </si>
  <si>
    <t>Miejscowość</t>
  </si>
  <si>
    <t>Ulica</t>
  </si>
  <si>
    <t>Numer budynku</t>
  </si>
  <si>
    <t>Numer lokalu</t>
  </si>
  <si>
    <t>Kod pocztowy</t>
  </si>
  <si>
    <t>Poczta</t>
  </si>
  <si>
    <t>Telefon</t>
  </si>
  <si>
    <t>E-mail</t>
  </si>
  <si>
    <t>Strona www</t>
  </si>
  <si>
    <t>CENTRUM INFORMACJI ZAWODOWEJ - SPAECJALISTYCZNA PORADNIA PSYCHOLOGICZNO-PEDAGOGICZNA</t>
  </si>
  <si>
    <t>ŚLĄSKIE</t>
  </si>
  <si>
    <t>Częstochowa</t>
  </si>
  <si>
    <t>ul. mjra Waleriana Łukasińskiego</t>
  </si>
  <si>
    <t>zppp@edukacja.czestochowa.pl</t>
  </si>
  <si>
    <t>https://zppp.ids.czest.pl/ciz</t>
  </si>
  <si>
    <t>CENTRUM PSYCHOLOGICZNO-PEDAGOGICZNE</t>
  </si>
  <si>
    <t>ZACHODNIOPOMORSKIE</t>
  </si>
  <si>
    <t>Szczecin</t>
  </si>
  <si>
    <t>ul. Adama Mickiewicza</t>
  </si>
  <si>
    <t>cpp@miasto.szczecin.pl</t>
  </si>
  <si>
    <t>www.cpp.szczecin.pl</t>
  </si>
  <si>
    <t>FAMILIJNA PORADNIA PSYCHOLOGICZNO-PEDAGOGICZNA</t>
  </si>
  <si>
    <t>DOLNOŚLĄSKIE</t>
  </si>
  <si>
    <t>Wrocław</t>
  </si>
  <si>
    <t>Wrocław-Śródmieście</t>
  </si>
  <si>
    <t>ul. Franklina Delano Roosevelta</t>
  </si>
  <si>
    <t>poradnia@fundacjaedukacja.pl</t>
  </si>
  <si>
    <t>www.ppp.wroclaw.pl</t>
  </si>
  <si>
    <t>WIELKOPOLSKIE</t>
  </si>
  <si>
    <t>Poznań</t>
  </si>
  <si>
    <t>Poznań-Jeżyce</t>
  </si>
  <si>
    <t>FAMILIJNA PORADNIA PSYCHOLOGICZNO-PEDAGOGICZNA NR 4</t>
  </si>
  <si>
    <t>Poznań-Grunwald</t>
  </si>
  <si>
    <t>ul. Fabianowo</t>
  </si>
  <si>
    <t>FAMILIJNA PORADNIA PSYCHOLOGICZNO-PEDAGOGICZNA NR 5 W ŁODZI</t>
  </si>
  <si>
    <t>ŁÓDZKIE</t>
  </si>
  <si>
    <t>Łódź</t>
  </si>
  <si>
    <t>Łódź-Bałuty</t>
  </si>
  <si>
    <t>ul. Gdyńska</t>
  </si>
  <si>
    <t>biuro@fundacjaedukacja.pl</t>
  </si>
  <si>
    <t>fundacjaedukacja.pl</t>
  </si>
  <si>
    <t>FILIA PORADNI PSYCHOLOGICZNO-PEDAGOGICZNEJ NR 20</t>
  </si>
  <si>
    <t>MAZOWIECKIE</t>
  </si>
  <si>
    <t>Warszawa</t>
  </si>
  <si>
    <t>Bemowo</t>
  </si>
  <si>
    <t>ul. gen. Tadeusza Pełczyńskiego</t>
  </si>
  <si>
    <t>sekretariat.ppp20@eduwarszawa.pl</t>
  </si>
  <si>
    <t>https://ppp20.pl/</t>
  </si>
  <si>
    <t>PORADNIA PSYCHOLOGICZNO-PEDAGOGICZNA NR 20</t>
  </si>
  <si>
    <t>FILIA PORADNI PSYCHOLOGICZNO-PEDAGOGICZNEJ NR 22</t>
  </si>
  <si>
    <t>Włochy</t>
  </si>
  <si>
    <t>ul. Hejnałowa</t>
  </si>
  <si>
    <t>PORADNIA PSYCHOLOGICZNO-PEDAGOGICZNA NR 22</t>
  </si>
  <si>
    <t>FILIA PORADNI PSYCHOLOGICZNO-PEDAGOGICZNEJ W OLKUSZU Z SIEDZIBĄ W WOLBROMIU</t>
  </si>
  <si>
    <t>MAŁOPOLSKIE</t>
  </si>
  <si>
    <t>olkuski</t>
  </si>
  <si>
    <t>Wolbrom</t>
  </si>
  <si>
    <t>ul. Łukasińskiego</t>
  </si>
  <si>
    <t>filiawolbrom@pppolkusz.pl</t>
  </si>
  <si>
    <t>Olkusz</t>
  </si>
  <si>
    <t>PORADNIA PSYCHOLOGICZNO-PEDAGOGICZNA W OLKUSZU</t>
  </si>
  <si>
    <t>FILIA PORADNI PSYCHOLOGICZNO-PEDAGOGICZNEJ W OŻAROWIE MAZOWIECKIM Z SIEDZIBĄ W BABICACH NOWYCH</t>
  </si>
  <si>
    <t>warszawski zachodni</t>
  </si>
  <si>
    <t>Stare Babice</t>
  </si>
  <si>
    <t>Babice Nowe</t>
  </si>
  <si>
    <t>ul. Warszawska</t>
  </si>
  <si>
    <t>apakoca07@gmail.com</t>
  </si>
  <si>
    <t>https://zpppblonie.pl/</t>
  </si>
  <si>
    <t>Ożarów Mazowiecki</t>
  </si>
  <si>
    <t>PORADNIA PSYCHOLOGICZNO-PEDAGOGICZNA W OŻAROWIE MAZOWIECKIM</t>
  </si>
  <si>
    <t>FILIA W BUKU</t>
  </si>
  <si>
    <t>poznański</t>
  </si>
  <si>
    <t>Buk</t>
  </si>
  <si>
    <t>ul. Szarych Szeregów</t>
  </si>
  <si>
    <t>buk@ppplubon.pl</t>
  </si>
  <si>
    <t>https://ppplubon.pl/</t>
  </si>
  <si>
    <t>PORADNIA PSYCHOLOGICZNO-PEDAGOGICZNA W LUBONIU</t>
  </si>
  <si>
    <t>FILIA W DOBRZEJEWICACH PORADNI PSYCHOLOGICZNO-PEDAGOGICZNEJ W CHEŁMŻY</t>
  </si>
  <si>
    <t>KUJAWSKO-POMORSKIE</t>
  </si>
  <si>
    <t>toruński</t>
  </si>
  <si>
    <t>Obrowo</t>
  </si>
  <si>
    <t>Dobrzejewice</t>
  </si>
  <si>
    <t>porpsych@wp.pl</t>
  </si>
  <si>
    <t>www.poradniachelmza.pl</t>
  </si>
  <si>
    <t>Toruń</t>
  </si>
  <si>
    <t>PORADNIA PSYCHOLOGICZNO-PEDAGOGICZNA W CHEŁMŻY</t>
  </si>
  <si>
    <t>FILIA W KÓRNIKU</t>
  </si>
  <si>
    <t>Kórnik</t>
  </si>
  <si>
    <t>ul. Poznańska</t>
  </si>
  <si>
    <t>sekretariat.kornik@pppuszczykowo.pl</t>
  </si>
  <si>
    <t>poradnie.powiat.poznan.pl</t>
  </si>
  <si>
    <t>PORADNIA PSYCHOLOGICZNO-PEDAGOGICZNA W PUSZCZYKOWIE</t>
  </si>
  <si>
    <t>FILIA W KOSTRZYNIE</t>
  </si>
  <si>
    <t>Kostrzyn</t>
  </si>
  <si>
    <t>ul. Braci Drzewieckich</t>
  </si>
  <si>
    <t>sekretariat.kostrzyn@pppswarzedz.pl</t>
  </si>
  <si>
    <t>pppswarzedz.pl</t>
  </si>
  <si>
    <t>PORADNIA PSYCHOLOGICZNO-PEDAGOGICZNA W KOBYLNICY</t>
  </si>
  <si>
    <t>FILIA W KOZIEGŁOWACH</t>
  </si>
  <si>
    <t>Czerwonak</t>
  </si>
  <si>
    <t>Koziegłowy</t>
  </si>
  <si>
    <t>sekretariat.czerwonak@pppswarzedz.pl</t>
  </si>
  <si>
    <t>FILIA W POBIEDZISKACH</t>
  </si>
  <si>
    <t>Pobiedziska</t>
  </si>
  <si>
    <t>ul. Kazimierza Odnowiciela</t>
  </si>
  <si>
    <t>sekretariat.pobiedziska@pppswarzedz.pl</t>
  </si>
  <si>
    <t>FILIA W STĘSZEWIE</t>
  </si>
  <si>
    <t>Stęszew</t>
  </si>
  <si>
    <t>ul. Janusza Korczaka</t>
  </si>
  <si>
    <t>steszew@ppplubon.pl</t>
  </si>
  <si>
    <t>MIEJSKA PORADNIA PSYCHOLOGICZNO - PEDAGOGICZNA</t>
  </si>
  <si>
    <t>OPOLSKIE</t>
  </si>
  <si>
    <t>Opole</t>
  </si>
  <si>
    <t>ul. Powstańców Śląskich</t>
  </si>
  <si>
    <t>sekretariat@mppp.opole.pl</t>
  </si>
  <si>
    <t>MIEJSKA PORADNIA PSYCHOLOGICZNO-PEDAGOGICZNA</t>
  </si>
  <si>
    <t>Koszalin</t>
  </si>
  <si>
    <t>ul. Morska</t>
  </si>
  <si>
    <t>mpp-p@mpp-p.com.pl</t>
  </si>
  <si>
    <t>www.mpp-p.com.pl</t>
  </si>
  <si>
    <t>MIEJSKA PORADNIA PSYCHOLOGICZNO-PEDAGOGICZNA W KONINIE</t>
  </si>
  <si>
    <t>Konin</t>
  </si>
  <si>
    <t>ul. Sosnowa</t>
  </si>
  <si>
    <t>m.poradniapp@wp.pl</t>
  </si>
  <si>
    <t>mpppk.pl</t>
  </si>
  <si>
    <t>MIEJSKA PORADNIA PSYCHOLOGICZNO-PEDAGOGICZNA W KROŚNIE</t>
  </si>
  <si>
    <t>PODKARPACKIE</t>
  </si>
  <si>
    <t>Krosno</t>
  </si>
  <si>
    <t>ul. Augusta Lewakowskiego</t>
  </si>
  <si>
    <t>poradnia@mpppkrosno.pl</t>
  </si>
  <si>
    <t>www.mpppkrosno.pl</t>
  </si>
  <si>
    <t>MIEJSKI ZESPÓŁ PORADNI PSYCHOLOGICZNO-PEDAGOGICZNYCH</t>
  </si>
  <si>
    <t>ŚWIĘTOKRZYSKIE</t>
  </si>
  <si>
    <t>Kielce</t>
  </si>
  <si>
    <t>ul. Urzędnicza</t>
  </si>
  <si>
    <t>sekretariat@mzppp.kielce.eu</t>
  </si>
  <si>
    <t>www.mzppp.kielce.eu</t>
  </si>
  <si>
    <t>PORADNIA PSYCHOLOGICZN0 - PEDAGOGICZNA</t>
  </si>
  <si>
    <t>świecki</t>
  </si>
  <si>
    <t>Świecie</t>
  </si>
  <si>
    <t>ul. Klasztorna</t>
  </si>
  <si>
    <t>poradnia@ppp.csw.pl</t>
  </si>
  <si>
    <t>www.ppp-swiecie.pl</t>
  </si>
  <si>
    <t>PORADNIA PSYCHOLOGICZNA-PEDAGOGICZNA W WAŁCZU</t>
  </si>
  <si>
    <t>wałecki</t>
  </si>
  <si>
    <t>Wałcz</t>
  </si>
  <si>
    <t>ul. Południowa</t>
  </si>
  <si>
    <t>pppwalcz@o2.pl</t>
  </si>
  <si>
    <t>www.pppwalcz.com</t>
  </si>
  <si>
    <t>PORADNIA PSYCHOLOGICZNA-PEDAGOGICZNA W ŻUROMINIE</t>
  </si>
  <si>
    <t>żuromiński</t>
  </si>
  <si>
    <t>Żuromin</t>
  </si>
  <si>
    <t>ul. Olszewska</t>
  </si>
  <si>
    <t>ppp.zuromin@wp.pl</t>
  </si>
  <si>
    <t>PORADNIA PSYCHOLOGICZNO - PEDAGOGICZNA</t>
  </si>
  <si>
    <t>ostrowski</t>
  </si>
  <si>
    <t>Ostrów Wielkopolski</t>
  </si>
  <si>
    <t>ul. Armii Krajowej</t>
  </si>
  <si>
    <t>sekretariat@poradnia-ostrow.pl</t>
  </si>
  <si>
    <t>www.poradnia-ostrow.pl</t>
  </si>
  <si>
    <t>grodziski</t>
  </si>
  <si>
    <t>Grodzisk Mazowiecki</t>
  </si>
  <si>
    <t>ul. Bałtycka</t>
  </si>
  <si>
    <t>pppgrodzisk@powiat-grodziski.pl</t>
  </si>
  <si>
    <t>WARMIŃSKO-MAZURSKIE</t>
  </si>
  <si>
    <t>bartoszycki</t>
  </si>
  <si>
    <t>Bartoszyce</t>
  </si>
  <si>
    <t>ul. Limanowskiego</t>
  </si>
  <si>
    <t>ppp@odn-pcre.pl</t>
  </si>
  <si>
    <t>www.poradniabartoszyce.eu</t>
  </si>
  <si>
    <t>LUBUSKIE</t>
  </si>
  <si>
    <t>żagański</t>
  </si>
  <si>
    <t>Szprotawa</t>
  </si>
  <si>
    <t>ul. Sobieskiego</t>
  </si>
  <si>
    <t>sekretariat@pppszprotawa.powiatzaganski.pl</t>
  </si>
  <si>
    <t>www.pppszprotawa.szkolnastrona.pl</t>
  </si>
  <si>
    <t>Żagań</t>
  </si>
  <si>
    <t>Bytom</t>
  </si>
  <si>
    <t>pl. Klasztorny</t>
  </si>
  <si>
    <t>sekretariat@ppp.bytom.pl</t>
  </si>
  <si>
    <t>www.ppp.bytom.pl</t>
  </si>
  <si>
    <t>radziejowski</t>
  </si>
  <si>
    <t>Radziejów</t>
  </si>
  <si>
    <t>ul. Kościuszki</t>
  </si>
  <si>
    <t>poradnia_psych@poczta.onet.pl</t>
  </si>
  <si>
    <t>POMORSKIE</t>
  </si>
  <si>
    <t>Słupsk</t>
  </si>
  <si>
    <t>ul. Gabriela Narutowicza</t>
  </si>
  <si>
    <t>sekretariat@ppp.slupsk.pl</t>
  </si>
  <si>
    <t>ppp.slupsk.pl</t>
  </si>
  <si>
    <t>PORADNIA PSYCHOLOGICZNO - PEDAGOGICZNA IM. STEFANA SZUMANA W BOCHNI</t>
  </si>
  <si>
    <t>bocheński</t>
  </si>
  <si>
    <t>Bochnia</t>
  </si>
  <si>
    <t>ul. gen. Henryka Dąbrowskiego</t>
  </si>
  <si>
    <t>ppp@powiatbochenski.pl</t>
  </si>
  <si>
    <t>PORADNIA PSYCHOLOGICZNO - PEDAGOGICZNA NR 1</t>
  </si>
  <si>
    <t>Śródmieście</t>
  </si>
  <si>
    <t>ul. Złota</t>
  </si>
  <si>
    <t>sekretariat.ppp1@eduwarszawa.pl</t>
  </si>
  <si>
    <t>www.ppp1.waw.pl</t>
  </si>
  <si>
    <t>PORADNIA PSYCHOLOGICZNO - PEDAGOGICZNA NR 1 W ELBLĄGU</t>
  </si>
  <si>
    <t>Elbląg</t>
  </si>
  <si>
    <t>ul. Słoneczna</t>
  </si>
  <si>
    <t>ppp1@elblag.eu</t>
  </si>
  <si>
    <t>http://pppjeden.ehost.pl/</t>
  </si>
  <si>
    <t>PORADNIA PSYCHOLOGICZNO - PEDAGOGICZNA NR 1 W ŁOMŻY</t>
  </si>
  <si>
    <t>PODLASKIE</t>
  </si>
  <si>
    <t>Łomża</t>
  </si>
  <si>
    <t>ul. Szosa Zambrowska</t>
  </si>
  <si>
    <t>ppp1@powiatlomzynski.pl</t>
  </si>
  <si>
    <t>http://poradniapp1lomza.szkolnastrona.pl/</t>
  </si>
  <si>
    <t>PORADNIA PSYCHOLOGICZNO - PEDAGOGICZNA NR 1 W RADOMIU</t>
  </si>
  <si>
    <t>Radom</t>
  </si>
  <si>
    <t>ul. Kolejowa</t>
  </si>
  <si>
    <t>sekretariat@ppp1.radom.pl</t>
  </si>
  <si>
    <t>www.pppnr1.radom.pl</t>
  </si>
  <si>
    <t>PORADNIA PSYCHOLOGICZNO - PEDAGOGICZNA NR 11</t>
  </si>
  <si>
    <t>al. Aleje Jerozolimskie</t>
  </si>
  <si>
    <t>ppp11@eduwarszawa.pl</t>
  </si>
  <si>
    <t>www.poradnia11.waw.pl</t>
  </si>
  <si>
    <t>PORADNIA PSYCHOLOGICZNO - PEDAGOGICZNA NR 12</t>
  </si>
  <si>
    <t>ul. Dzielna</t>
  </si>
  <si>
    <t>poradnia.ppp12@eduwarszawa.pl</t>
  </si>
  <si>
    <t>www.ppp12.waw.pl</t>
  </si>
  <si>
    <t>PORADNIA PSYCHOLOGICZNO - PEDAGOGICZNA NR 2 W ELBLĄGU</t>
  </si>
  <si>
    <t>ul. Kosynierów Gdyńskich</t>
  </si>
  <si>
    <t>ppp2@elblag.eu</t>
  </si>
  <si>
    <t>www.poradnia2elblag.pl</t>
  </si>
  <si>
    <t>PORADNIA PSYCHOLOGICZNO - PEDAGOGICZNA NR 2 W ŁOMŻY</t>
  </si>
  <si>
    <t>ul. Polna</t>
  </si>
  <si>
    <t>sekretariat@ppp2.miastolomza.pl</t>
  </si>
  <si>
    <t>http://www.ppp2lomza.pl/</t>
  </si>
  <si>
    <t>PORADNIA PSYCHOLOGICZNO - PEDAGOGICZNA NR 2 W RADOMIU</t>
  </si>
  <si>
    <t>ul. Kujawska</t>
  </si>
  <si>
    <t>sekretariat@ppp2.radom.pl</t>
  </si>
  <si>
    <t>www.ppp2.radom.pl</t>
  </si>
  <si>
    <t>PORADNIA PSYCHOLOGICZNO - PEDAGOGICZNA NR 2 W ZAWIERCIU</t>
  </si>
  <si>
    <t>zawierciański</t>
  </si>
  <si>
    <t>Zawiercie</t>
  </si>
  <si>
    <t>ul. Józefa Piłsudskiego</t>
  </si>
  <si>
    <t>sekretariat@ppp-zawiercie.pl</t>
  </si>
  <si>
    <t>PORADNIA PSYCHOLOGICZNO - PEDAGOGICZNA NR 24 W WARSZAWIE, AL. RZECZYPOSPOLITEJ 14</t>
  </si>
  <si>
    <t>Wilanów</t>
  </si>
  <si>
    <t>al. Aleja Rzeczypospolitej</t>
  </si>
  <si>
    <t>kontakt.ppp24@eduwarszawa.pl</t>
  </si>
  <si>
    <t>poradniawilanow.pl</t>
  </si>
  <si>
    <t>PORADNIA PSYCHOLOGICZNO - PEDAGOGICZNA NR 3 W RADOMIU</t>
  </si>
  <si>
    <t>ul. Główna</t>
  </si>
  <si>
    <t>sekretariat@ppp3.radom.pl</t>
  </si>
  <si>
    <t>www.ppp3.radom.pl</t>
  </si>
  <si>
    <t>PORADNIA PSYCHOLOGICZNO - PEDAGOGICZNA NR 7 W LUBLINIE</t>
  </si>
  <si>
    <t>LUBELSKIE</t>
  </si>
  <si>
    <t>Lublin</t>
  </si>
  <si>
    <t>ul. Okopowa</t>
  </si>
  <si>
    <t>ppp7wlublinie@powiat.lublin.pl</t>
  </si>
  <si>
    <t>www.ppp7.powiat.lublin.pl</t>
  </si>
  <si>
    <t>PORADNIA PSYCHOLOGICZNO - PEDAGOGICZNA W ALEKSANDROWIE KUJAWSKIM</t>
  </si>
  <si>
    <t>aleksandrowski</t>
  </si>
  <si>
    <t>Aleksandrów Kujawski</t>
  </si>
  <si>
    <t>ul. gen. Władysława Sikorskiego</t>
  </si>
  <si>
    <t>pppc.sekretariat@aleksandrow.pl</t>
  </si>
  <si>
    <t>aleksandrowkuj.naszaporadnia.com</t>
  </si>
  <si>
    <t>PORADNIA PSYCHOLOGICZNO - PEDAGOGICZNA W ALEKSANDROWIE ŁÓDZKIM</t>
  </si>
  <si>
    <t>zgierski</t>
  </si>
  <si>
    <t>Aleksandrów Łódzki</t>
  </si>
  <si>
    <t>ul. Piotrkowska</t>
  </si>
  <si>
    <t>kontakt@pppaleksandrow.pl</t>
  </si>
  <si>
    <t>www.pppaleksandrow.pl</t>
  </si>
  <si>
    <t>PORADNIA PSYCHOLOGICZNO - PEDAGOGICZNA W BEŁŻYCACH</t>
  </si>
  <si>
    <t>lubelski</t>
  </si>
  <si>
    <t>Bełżyce</t>
  </si>
  <si>
    <t>ul. Fabryczna</t>
  </si>
  <si>
    <t>ppp.belzyce@powiat.lublin.pl</t>
  </si>
  <si>
    <t>www.poradnia-belzyce.szkolnastrona.pl</t>
  </si>
  <si>
    <t>PORADNIA PSYCHOLOGICZNO - PEDAGOGICZNA W BIAŁOGARDZIE</t>
  </si>
  <si>
    <t>białogardzki</t>
  </si>
  <si>
    <t>Białogard</t>
  </si>
  <si>
    <t>ul. Dworcowa</t>
  </si>
  <si>
    <t>sekretariat@ppp.powiat-bialogard.pl</t>
  </si>
  <si>
    <t>PORADNIA PSYCHOLOGICZNO - PEDAGOGICZNA W BRODNICY</t>
  </si>
  <si>
    <t>brodnicki</t>
  </si>
  <si>
    <t>Brodnica</t>
  </si>
  <si>
    <t>ul. J. Kochanowskiego</t>
  </si>
  <si>
    <t>sekretariat@pppbrodnica.pl</t>
  </si>
  <si>
    <t>www.pppbrodnica.pl</t>
  </si>
  <si>
    <t>PORADNIA PSYCHOLOGICZNO - PEDAGOGICZNA W BYCHAWIE</t>
  </si>
  <si>
    <t>Bychawa</t>
  </si>
  <si>
    <t>ul. 11 Listopada</t>
  </si>
  <si>
    <t>ppp.bychawa@powiat.lublin.pl</t>
  </si>
  <si>
    <t>www.poradniawbychawie.pl</t>
  </si>
  <si>
    <t>PORADNIA PSYCHOLOGICZNO - PEDAGOGICZNA W CIESZYNIE ZESPOŁU PORADNI PSYCHOLOGICZNO - PEDAGOGICZNYCH W CIESZYNIE</t>
  </si>
  <si>
    <t>cieszyński</t>
  </si>
  <si>
    <t>Cieszyn</t>
  </si>
  <si>
    <t>ul. Ignacego Kraszewskiego</t>
  </si>
  <si>
    <t>sekretariat@zppp.cieszyn.pl</t>
  </si>
  <si>
    <t>PORADNIA PSYCHOLOGICZNO - PEDAGOGICZNA W CZERWINIE</t>
  </si>
  <si>
    <t>ostrołęcki</t>
  </si>
  <si>
    <t>Czerwin</t>
  </si>
  <si>
    <t>ul. Piastowska</t>
  </si>
  <si>
    <t>biuro@poradniawczerwinie.edu.pl</t>
  </si>
  <si>
    <t>www.poradniawczerwinie.edu.pl</t>
  </si>
  <si>
    <t>Ostrołęka</t>
  </si>
  <si>
    <t>PORADNIA PSYCHOLOGICZNO - PEDAGOGICZNA W CZŁUCHOWIE</t>
  </si>
  <si>
    <t>człuchowski</t>
  </si>
  <si>
    <t>Człuchów</t>
  </si>
  <si>
    <t>ul. Szczecińska</t>
  </si>
  <si>
    <t>poradnia@ppp.czluchow.org.pl</t>
  </si>
  <si>
    <t>http://www.ppp.czluchow.org.pl/</t>
  </si>
  <si>
    <t>PORADNIA PSYCHOLOGICZNO - PEDAGOGICZNA W DĄBROWIE BIAŁOSTOCKIEJ</t>
  </si>
  <si>
    <t>sokólski</t>
  </si>
  <si>
    <t>Dąbrowa Białostocka</t>
  </si>
  <si>
    <t>ul. Tysiąclecia Państwa Polskiego</t>
  </si>
  <si>
    <t>pppdabrowabial@wp.pl</t>
  </si>
  <si>
    <t>http://pppdabrowa.webserwer.pl</t>
  </si>
  <si>
    <t>Sokółka</t>
  </si>
  <si>
    <t>PORADNIA PSYCHOLOGICZNO - PEDAGOGICZNA W DĄBROWIE GÓRNICZEJ</t>
  </si>
  <si>
    <t>Dąbrowa Górnicza</t>
  </si>
  <si>
    <t>ul. 3 Maja</t>
  </si>
  <si>
    <t>sekretariat@ppp.dg.pl</t>
  </si>
  <si>
    <t>poradnia.dabrowa.pl</t>
  </si>
  <si>
    <t>PORADNIA PSYCHOLOGICZNO - PEDAGOGICZNA W DĘBLINIE</t>
  </si>
  <si>
    <t>rycki</t>
  </si>
  <si>
    <t>Dęblin</t>
  </si>
  <si>
    <t>ul. Podchorążych</t>
  </si>
  <si>
    <t>ppp@deblin.pl</t>
  </si>
  <si>
    <t>www.pppdeblin.szkolnastrona.pl</t>
  </si>
  <si>
    <t>Ryki</t>
  </si>
  <si>
    <t>PORADNIA PSYCHOLOGICZNO - PEDAGOGICZNA W GŁOWNIE</t>
  </si>
  <si>
    <t>Głowno</t>
  </si>
  <si>
    <t>ul. Tadeusza Kościuszki</t>
  </si>
  <si>
    <t>kontakt@poradniapp-glowno.pl</t>
  </si>
  <si>
    <t>www.poradniapp-glowno.pl</t>
  </si>
  <si>
    <t>Zgierz</t>
  </si>
  <si>
    <t>PORADNIA PSYCHOLOGICZNO - PEDAGOGICZNA W GNIEŹNIE</t>
  </si>
  <si>
    <t>gnieźnieński</t>
  </si>
  <si>
    <t>Gniezno</t>
  </si>
  <si>
    <t>ul. ks. Prymasa Stefana Wyszyńskiego</t>
  </si>
  <si>
    <t>poradnia@ppp.powiat-gniezno.pl</t>
  </si>
  <si>
    <t>www.powiat-gniezno.pl</t>
  </si>
  <si>
    <t>PORADNIA PSYCHOLOGICZNO - PEDAGOGICZNA W GOLENIOWIE</t>
  </si>
  <si>
    <t>goleniowski</t>
  </si>
  <si>
    <t>Goleniów</t>
  </si>
  <si>
    <t>ul. Maszewska</t>
  </si>
  <si>
    <t>sekretariat@pppgoleniow.pl</t>
  </si>
  <si>
    <t>www.poradniagoleniow.pl</t>
  </si>
  <si>
    <t>PORADNIA PSYCHOLOGICZNO - PEDAGOGICZNA W GOLUBIU-DOBRZYNIU</t>
  </si>
  <si>
    <t>golubsko-dobrzyński</t>
  </si>
  <si>
    <t>Golub-Dobrzyń</t>
  </si>
  <si>
    <t>ul. Stefana Żeromskiego</t>
  </si>
  <si>
    <t>ppp@golub-dobrzyn.com.pl</t>
  </si>
  <si>
    <t>www.poradniagolub.pl</t>
  </si>
  <si>
    <t>PORADNIA PSYCHOLOGICZNO - PEDAGOGICZNA W GRODZISKU WIELKOPOLSKIM</t>
  </si>
  <si>
    <t>Grodzisk Wielkopolski</t>
  </si>
  <si>
    <t>ul. Zbąszyńska</t>
  </si>
  <si>
    <t>poradnia@pgw.pl</t>
  </si>
  <si>
    <t>PORADNIA PSYCHOLOGICZNO - PEDAGOGICZNA W JAROSŁAWIU</t>
  </si>
  <si>
    <t>jarosławski</t>
  </si>
  <si>
    <t>Jarosław</t>
  </si>
  <si>
    <t>ul. Józefa Poniatowskiego</t>
  </si>
  <si>
    <t>poradnia@poradniapporg.pl</t>
  </si>
  <si>
    <t>www.poradniapp.org.pl</t>
  </si>
  <si>
    <t>PORADNIA PSYCHOLOGICZNO - PEDAGOGICZNA W JAWORZE</t>
  </si>
  <si>
    <t>jaworski</t>
  </si>
  <si>
    <t>Jawor</t>
  </si>
  <si>
    <t>sekretariat@pore-jawor.pl</t>
  </si>
  <si>
    <t>pore-jawor.pl</t>
  </si>
  <si>
    <t>PORADNIA PSYCHOLOGICZNO - PEDAGOGICZNA W KOLE</t>
  </si>
  <si>
    <t>kolski</t>
  </si>
  <si>
    <t>Koło</t>
  </si>
  <si>
    <t>sekretariat@pppkolo.szkolnastrona.pl</t>
  </si>
  <si>
    <t>https://pppkolo.szkolnastrona.pl/</t>
  </si>
  <si>
    <t>PORADNIA PSYCHOLOGICZNO - PEDAGOGICZNA W KOŁOBRZEGU</t>
  </si>
  <si>
    <t>kołobrzeski</t>
  </si>
  <si>
    <t>Kołobrzeg</t>
  </si>
  <si>
    <t>sekretariat@poradnia-kolobrzeg.pl</t>
  </si>
  <si>
    <t>www.poradnia-kolobrzeg.pl</t>
  </si>
  <si>
    <t>PORADNIA PSYCHOLOGICZNO - PEDAGOGICZNA W KOŚCIANIE</t>
  </si>
  <si>
    <t>kościański</t>
  </si>
  <si>
    <t>Kościan</t>
  </si>
  <si>
    <t>ul. Kościelna</t>
  </si>
  <si>
    <t>sekretariat@pppkoscian.pl</t>
  </si>
  <si>
    <t>www.pppkoscian.pl</t>
  </si>
  <si>
    <t>PORADNIA PSYCHOLOGICZNO - PEDAGOGICZNA W KOŚCIERZYNIE</t>
  </si>
  <si>
    <t>kościerski</t>
  </si>
  <si>
    <t>Kościerzyna</t>
  </si>
  <si>
    <t>ppp.koscierzyna@powiatkoscierski.pl</t>
  </si>
  <si>
    <t>www.pppkoscierzyna.pl</t>
  </si>
  <si>
    <t>PORADNIA PSYCHOLOGICZNO - PEDAGOGICZNA W KRAPKOWICACH</t>
  </si>
  <si>
    <t>krapkowicki</t>
  </si>
  <si>
    <t>Krapkowice</t>
  </si>
  <si>
    <t>ul. Kilińskiego</t>
  </si>
  <si>
    <t>poradnia@powiatkrapkowicki.pl</t>
  </si>
  <si>
    <t>www.poradnia.powiatkrapkowicki.pl</t>
  </si>
  <si>
    <t>PORADNIA PSYCHOLOGICZNO - PEDAGOGICZNA W KROŚNIE ODRZAŃSKIM</t>
  </si>
  <si>
    <t>krośnieński</t>
  </si>
  <si>
    <t>Krosno Odrzańskie</t>
  </si>
  <si>
    <t>ul. Piastów</t>
  </si>
  <si>
    <t>sekretariat@ppp.powiatkrosnienski.pl</t>
  </si>
  <si>
    <t>www.ppp.powiatkrosnienski.pl</t>
  </si>
  <si>
    <t>PORADNIA PSYCHOLOGICZNO - PEDAGOGICZNA W ŁASKU</t>
  </si>
  <si>
    <t>łaski</t>
  </si>
  <si>
    <t>Łask</t>
  </si>
  <si>
    <t>ul. 9 Maja</t>
  </si>
  <si>
    <t>ppplask@wikom.pl</t>
  </si>
  <si>
    <t>www.ppplask.wikom.pl</t>
  </si>
  <si>
    <t>PORADNIA PSYCHOLOGICZNO - PEDAGOGICZNA W LĘBORKU</t>
  </si>
  <si>
    <t>lęborski</t>
  </si>
  <si>
    <t>Lębork</t>
  </si>
  <si>
    <t>ul. Okrzei</t>
  </si>
  <si>
    <t>sekretariat@poradniapp.lebork.pl</t>
  </si>
  <si>
    <t>www.poradniapp.lebork.pl</t>
  </si>
  <si>
    <t>PORADNIA PSYCHOLOGICZNO - PEDAGOGICZNA W LEGIONOWIE</t>
  </si>
  <si>
    <t>legionowski</t>
  </si>
  <si>
    <t>Legionowo</t>
  </si>
  <si>
    <t>ul. Jagiellońska</t>
  </si>
  <si>
    <t>poradnia@ppplegionowo.pl</t>
  </si>
  <si>
    <t>www.ppplegionowo.pl</t>
  </si>
  <si>
    <t>PORADNIA PSYCHOLOGICZNO - PEDAGOGICZNA W LESKU</t>
  </si>
  <si>
    <t>leski</t>
  </si>
  <si>
    <t>Lesko</t>
  </si>
  <si>
    <t>ul. Wincentego Pola</t>
  </si>
  <si>
    <t>sekretariat@poradnialesko.pl</t>
  </si>
  <si>
    <t>PORADNIA PSYCHOLOGICZNO - PEDAGOGICZNA W LEŻAJSKU</t>
  </si>
  <si>
    <t>leżajski</t>
  </si>
  <si>
    <t>Leżajsk</t>
  </si>
  <si>
    <t>ul. Marii Curie-Skłodowskiej</t>
  </si>
  <si>
    <t>sekretariat@ppp.lezajsk.pl</t>
  </si>
  <si>
    <t>www.ppp.lezajsk.pl</t>
  </si>
  <si>
    <t>PORADNIA PSYCHOLOGICZNO - PEDAGOGICZNA W ŁOBZIE</t>
  </si>
  <si>
    <t>łobeski</t>
  </si>
  <si>
    <t>Łobez</t>
  </si>
  <si>
    <t>ul. Konopnickiej</t>
  </si>
  <si>
    <t>ppp@powiatlobeski.pl</t>
  </si>
  <si>
    <t>ppp.lobez.ibip.pl</t>
  </si>
  <si>
    <t>PORADNIA PSYCHOLOGICZNO - PEDAGOGICZNA W LUBARTOWIE</t>
  </si>
  <si>
    <t>lubartowski</t>
  </si>
  <si>
    <t>Lubartów</t>
  </si>
  <si>
    <t>ul. Słowackiego</t>
  </si>
  <si>
    <t>sekretariat@poradnialubartow.pl</t>
  </si>
  <si>
    <t>www.poradnialubartow.pl</t>
  </si>
  <si>
    <t>PORADNIA PSYCHOLOGICZNO - PEDAGOGICZNA W LUBIENIU KUJAWSKIM</t>
  </si>
  <si>
    <t>włocławski</t>
  </si>
  <si>
    <t>Lubień Kujawski</t>
  </si>
  <si>
    <t>ul. Wojska Polskiego</t>
  </si>
  <si>
    <t>sekretariat@ppplubienkuj.pl</t>
  </si>
  <si>
    <t>ppplubienkujawski.szkolnastrona.pl</t>
  </si>
  <si>
    <t>Włocławek</t>
  </si>
  <si>
    <t>PORADNIA PSYCHOLOGICZNO - PEDAGOGICZNA W LUBRAŃCU</t>
  </si>
  <si>
    <t>Lubraniec</t>
  </si>
  <si>
    <t>pl. dr. Mariana Szulca</t>
  </si>
  <si>
    <t>ppplubraniec@powiat.wloclawski.pl</t>
  </si>
  <si>
    <t>PORADNIA PSYCHOLOGICZNO - PEDAGOGICZNA W MAKOWIE MAZOWIECKIM</t>
  </si>
  <si>
    <t>makowski</t>
  </si>
  <si>
    <t>Maków Mazowiecki</t>
  </si>
  <si>
    <t>ul. Duńskiego Czerwonego Krzyża</t>
  </si>
  <si>
    <t>biuro@poradnia-makow.pl</t>
  </si>
  <si>
    <t>www.poradnia-makow.pl</t>
  </si>
  <si>
    <t>PORADNIA PSYCHOLOGICZNO - PEDAGOGICZNA W MAKOWIE PODHALAŃSKIM</t>
  </si>
  <si>
    <t>suski</t>
  </si>
  <si>
    <t>Maków Podhalański</t>
  </si>
  <si>
    <t>ul. Rynek</t>
  </si>
  <si>
    <t>ppp@powiatsuski.pl</t>
  </si>
  <si>
    <t>www.ppp.powiatsuski.pl</t>
  </si>
  <si>
    <t>PORADNIA PSYCHOLOGICZNO - PEDAGOGICZNA W MIĘDZYRZECZU</t>
  </si>
  <si>
    <t>międzyrzecki</t>
  </si>
  <si>
    <t>Międzyrzecz</t>
  </si>
  <si>
    <t>os. Osiedle Centrum</t>
  </si>
  <si>
    <t>kontakt@ppp-miedzyrzecz.pl</t>
  </si>
  <si>
    <t>www.ppp-miedzyrzecz.pl</t>
  </si>
  <si>
    <t>PORADNIA PSYCHOLOGICZNO - PEDAGOGICZNA W MIKOŁOWIE</t>
  </si>
  <si>
    <t>mikołowski</t>
  </si>
  <si>
    <t>Mikołów</t>
  </si>
  <si>
    <t>ul. Żwirki i Wigury</t>
  </si>
  <si>
    <t>poradnia@powiat.mikolowski.pl</t>
  </si>
  <si>
    <t>www.poradnia.mikolowski.pl</t>
  </si>
  <si>
    <t>PORADNIA PSYCHOLOGICZNO - PEDAGOGICZNA W MYŚLENICACH</t>
  </si>
  <si>
    <t>myślenicki</t>
  </si>
  <si>
    <t>Myślenice</t>
  </si>
  <si>
    <t>ul. Juliusza Słowackiego</t>
  </si>
  <si>
    <t>ppp@poradniamyslenice.pl</t>
  </si>
  <si>
    <t>www.poradniamyslenice.pl</t>
  </si>
  <si>
    <t>PORADNIA PSYCHOLOGICZNO - PEDAGOGICZNA W MYSZYŃCU</t>
  </si>
  <si>
    <t>Myszyniec</t>
  </si>
  <si>
    <t>ul. Dzieci Polskich</t>
  </si>
  <si>
    <t>sekretariat@ppp-myszyniec.pl</t>
  </si>
  <si>
    <t>www.ppp-myszyniec.pl</t>
  </si>
  <si>
    <t>PORADNIA PSYCHOLOGICZNO - PEDAGOGICZNA W NAMYSŁOWIE</t>
  </si>
  <si>
    <t>namysłowski</t>
  </si>
  <si>
    <t>Namysłów</t>
  </si>
  <si>
    <t>sekretariat@poradnia-namyslow.pl</t>
  </si>
  <si>
    <t>www.poradnia-namyslow.pl</t>
  </si>
  <si>
    <t>PORADNIA PSYCHOLOGICZNO - PEDAGOGICZNA W NOWEJ DĘBIE</t>
  </si>
  <si>
    <t>tarnobrzeski</t>
  </si>
  <si>
    <t>Nowa Dęba</t>
  </si>
  <si>
    <t>ul. Mikołaja Reja</t>
  </si>
  <si>
    <t>sekretariat@pppnd.naszaporadnia.com</t>
  </si>
  <si>
    <t>https://pppnd.naszaporadnia.com</t>
  </si>
  <si>
    <t>Tarnobrzeg</t>
  </si>
  <si>
    <t>PORADNIA PSYCHOLOGICZNO - PEDAGOGICZNA W ORNECIE</t>
  </si>
  <si>
    <t>lidzbarski</t>
  </si>
  <si>
    <t>Orneta</t>
  </si>
  <si>
    <t>sekretariat@ppporneta.szkolnastrona.pl</t>
  </si>
  <si>
    <t>ppporneta.szkolnastrona.pl</t>
  </si>
  <si>
    <t>Lidzbark Warmiński</t>
  </si>
  <si>
    <t>PORADNIA PSYCHOLOGICZNO - PEDAGOGICZNA W OZORKOWIE</t>
  </si>
  <si>
    <t>Ozorków</t>
  </si>
  <si>
    <t>ul. gen. Romualda Traugutta</t>
  </si>
  <si>
    <t>sekretariat@poradniaozorkow.pl</t>
  </si>
  <si>
    <t>www.poradniaozorkow.pl</t>
  </si>
  <si>
    <t>PORADNIA PSYCHOLOGICZNO - PEDAGOGICZNA W PILE</t>
  </si>
  <si>
    <t>pilski</t>
  </si>
  <si>
    <t>Piła</t>
  </si>
  <si>
    <t>ul. gen. Sikorskiego</t>
  </si>
  <si>
    <t>sekretariat.ppppila@zespolporadni.pila.pl</t>
  </si>
  <si>
    <t>www.zespolporadni.pila.pl</t>
  </si>
  <si>
    <t>PORADNIA PSYCHOLOGICZNO - PEDAGOGICZNA W PLESZEWIE</t>
  </si>
  <si>
    <t>pleszewski</t>
  </si>
  <si>
    <t>Pleszew</t>
  </si>
  <si>
    <t>sekretariat@poradnia-pleszew.org.pl</t>
  </si>
  <si>
    <t>www.poradnia-pleszew.org.pl</t>
  </si>
  <si>
    <t>PORADNIA PSYCHOLOGICZNO - PEDAGOGICZNA W PODDĘBICACH</t>
  </si>
  <si>
    <t>poddębicki</t>
  </si>
  <si>
    <t>Poddębice</t>
  </si>
  <si>
    <t>ul. Narutowicza</t>
  </si>
  <si>
    <t>ppppoddebice@wp.pl</t>
  </si>
  <si>
    <t>ppppoddebice.pl</t>
  </si>
  <si>
    <t>PORADNIA PSYCHOLOGICZNO - PEDAGOGICZNA W POŁCZYNIE - ZDROJU</t>
  </si>
  <si>
    <t>świdwiński</t>
  </si>
  <si>
    <t>Połczyn-Zdrój</t>
  </si>
  <si>
    <t>ul. Jana Pawła II</t>
  </si>
  <si>
    <t>sekretariat@polczynzdroj.naszaporadnia.com</t>
  </si>
  <si>
    <t>www.polczynzdroj.naszaporadnia.com</t>
  </si>
  <si>
    <t>Świdwin</t>
  </si>
  <si>
    <t>PORADNIA PSYCHOLOGICZNO - PEDAGOGICZNA W POLICACH</t>
  </si>
  <si>
    <t>policki</t>
  </si>
  <si>
    <t>Police</t>
  </si>
  <si>
    <t>sekretariat@poradniapolice.pl</t>
  </si>
  <si>
    <t>www.poradniapolice.pl</t>
  </si>
  <si>
    <t>PORADNIA PSYCHOLOGICZNO - PEDAGOGICZNA W POLKOWICACH</t>
  </si>
  <si>
    <t>polkowicki</t>
  </si>
  <si>
    <t>Polkowice</t>
  </si>
  <si>
    <t>ul. Targowa</t>
  </si>
  <si>
    <t>popppidm@polkowice.edu.pl</t>
  </si>
  <si>
    <t>www.polkowice.edu.pl</t>
  </si>
  <si>
    <t>PORADNIA PSYCHOLOGICZNO - PEDAGOGICZNA W PRZEWORSKU</t>
  </si>
  <si>
    <t>przeworski</t>
  </si>
  <si>
    <t>Przeworsk</t>
  </si>
  <si>
    <t>ul. Lwowska</t>
  </si>
  <si>
    <t>sekretariat@poradniap-p.powiatprzeworsk.pl</t>
  </si>
  <si>
    <t>poradniap-p.powiatprzeworsk.pl</t>
  </si>
  <si>
    <t>PORADNIA PSYCHOLOGICZNO - PEDAGOGICZNA W PSZCZYNIE</t>
  </si>
  <si>
    <t>pszczyński</t>
  </si>
  <si>
    <t>Pszczyna</t>
  </si>
  <si>
    <t>ul. L. Zamenhofa</t>
  </si>
  <si>
    <t>ppped@ppped.pl</t>
  </si>
  <si>
    <t>http://www.ppped.pl/</t>
  </si>
  <si>
    <t>PORADNIA PSYCHOLOGICZNO - PEDAGOGICZNA W PUCKU</t>
  </si>
  <si>
    <t>pucki</t>
  </si>
  <si>
    <t>Puck</t>
  </si>
  <si>
    <t>sekretariat@poradniapuck.pl</t>
  </si>
  <si>
    <t>poradniapuck.pl</t>
  </si>
  <si>
    <t>PORADNIA PSYCHOLOGICZNO - PEDAGOGICZNA W RYKACH</t>
  </si>
  <si>
    <t>ul. Żytnia</t>
  </si>
  <si>
    <t>pppryki@op.pl</t>
  </si>
  <si>
    <t>ppp-ryki.home.pl</t>
  </si>
  <si>
    <t>PORADNIA PSYCHOLOGICZNO - PEDAGOGICZNA W SANOKU</t>
  </si>
  <si>
    <t>sanocki</t>
  </si>
  <si>
    <t>Sanok</t>
  </si>
  <si>
    <t>ul. Szopena</t>
  </si>
  <si>
    <t>poradniapp@sanok.com.pl</t>
  </si>
  <si>
    <t>www.sanok.naszaporadnia.com</t>
  </si>
  <si>
    <t>PORADNIA PSYCHOLOGICZNO - PEDAGOGICZNA W SEJNACH</t>
  </si>
  <si>
    <t>sejneński</t>
  </si>
  <si>
    <t>Sejny</t>
  </si>
  <si>
    <t>ul. Łąkowa</t>
  </si>
  <si>
    <t>poradnia@powiat.sejny.pl</t>
  </si>
  <si>
    <t>www.pppsejny.szkolnastrona.pl</t>
  </si>
  <si>
    <t>PORADNIA PSYCHOLOGICZNO - PEDAGOGICZNA W SKOCZOWIE ZESPOŁU PORADNI PSYCHOLOGICZNO - PEDAGOGICZNYCH W CIESZYNIE</t>
  </si>
  <si>
    <t>Skoczów</t>
  </si>
  <si>
    <t>ul. Górecka</t>
  </si>
  <si>
    <t>skoczow@zppp.cieszyn.pl</t>
  </si>
  <si>
    <t>PORADNIA PSYCHOLOGICZNO - PEDAGOGICZNA W SKWIERZYNIE</t>
  </si>
  <si>
    <t>Skwierzyna</t>
  </si>
  <si>
    <t>ul. Mickiewicza</t>
  </si>
  <si>
    <t>ppp-skwierzyna@o2.pl</t>
  </si>
  <si>
    <t>www.miedzyrzecz.ppp2.bip.net.pl</t>
  </si>
  <si>
    <t>PORADNIA PSYCHOLOGICZNO - PEDAGOGICZNA W SŁUPSKU</t>
  </si>
  <si>
    <t>sekretariat@poradnia.slupsk.pl</t>
  </si>
  <si>
    <t>http://www.poradnia.slupsk.pl/</t>
  </si>
  <si>
    <t>PORADNIA PSYCHOLOGICZNO - PEDAGOGICZNA W SOKÓŁCE</t>
  </si>
  <si>
    <t>os. Os. Zielone</t>
  </si>
  <si>
    <t>pppsokolka@interia.pl</t>
  </si>
  <si>
    <t>www.ppp.sokolka.com</t>
  </si>
  <si>
    <t>PORADNIA PSYCHOLOGICZNO - PEDAGOGICZNA W STRZELCACH OPOLSKICH</t>
  </si>
  <si>
    <t>strzelecki</t>
  </si>
  <si>
    <t>Strzelce Opolskie</t>
  </si>
  <si>
    <t>ul. Bolesława Chrobrego</t>
  </si>
  <si>
    <t>sekretariat@ppp.powiatstrzelecki.pl</t>
  </si>
  <si>
    <t>www.pppstrzelce.szkolnastrona.pl</t>
  </si>
  <si>
    <t>PORADNIA PSYCHOLOGICZNO - PEDAGOGICZNA W STRZYŻOWIE</t>
  </si>
  <si>
    <t>strzyżowski</t>
  </si>
  <si>
    <t>Strzyżów</t>
  </si>
  <si>
    <t>ul. Parkowa</t>
  </si>
  <si>
    <t>poradniapsp@strzyzowski.pl</t>
  </si>
  <si>
    <t>www.ppp.strzyzowski.pl</t>
  </si>
  <si>
    <t>PORADNIA PSYCHOLOGICZNO - PEDAGOGICZNA W SULECHOWIE</t>
  </si>
  <si>
    <t>zielonogórski</t>
  </si>
  <si>
    <t>Sulechów</t>
  </si>
  <si>
    <t>ul. Kruszyna</t>
  </si>
  <si>
    <t>pppsulechow@wp.pl</t>
  </si>
  <si>
    <t>pppsulechow.edupage.org</t>
  </si>
  <si>
    <t>Zielona Góra</t>
  </si>
  <si>
    <t>PORADNIA PSYCHOLOGICZNO - PEDAGOGICZNA W SUWAŁKACH</t>
  </si>
  <si>
    <t>Suwałki</t>
  </si>
  <si>
    <t>ul. Nowomiejska</t>
  </si>
  <si>
    <t>sekretariat@ppp.suwalki.eu</t>
  </si>
  <si>
    <t>www.poradnia-suwalki.pl</t>
  </si>
  <si>
    <t>PORADNIA PSYCHOLOGICZNO - PEDAGOGICZNA W SZCZYTNIE</t>
  </si>
  <si>
    <t>szczycieński</t>
  </si>
  <si>
    <t>Szczytno</t>
  </si>
  <si>
    <t>ul. Jerzego Lanca</t>
  </si>
  <si>
    <t>sekretariat@ppp.szczytno.pl</t>
  </si>
  <si>
    <t>PORADNIA PSYCHOLOGICZNO - PEDAGOGICZNA W SZTUMIE</t>
  </si>
  <si>
    <t>sztumski</t>
  </si>
  <si>
    <t>Sztum</t>
  </si>
  <si>
    <t>ul. Kasprowicza</t>
  </si>
  <si>
    <t>sekretariat@ppp.sztum.edu.pl</t>
  </si>
  <si>
    <t>https://pppsztum.szkolnastrona.pl/</t>
  </si>
  <si>
    <t>PORADNIA PSYCHOLOGICZNO - PEDAGOGICZNA W SZYDŁOWCU</t>
  </si>
  <si>
    <t>szydłowiecki</t>
  </si>
  <si>
    <t>Szydłowiec</t>
  </si>
  <si>
    <t>sekretariat@poradniaszydlowiec.pl</t>
  </si>
  <si>
    <t>www.pppszydlowiec.pl</t>
  </si>
  <si>
    <t>PORADNIA PSYCHOLOGICZNO - PEDAGOGICZNA W TUCHOLI</t>
  </si>
  <si>
    <t>tucholski</t>
  </si>
  <si>
    <t>Tuchola</t>
  </si>
  <si>
    <t>poradnia@poradniatuchola.pl</t>
  </si>
  <si>
    <t>www.poradnia.tuchola.pl</t>
  </si>
  <si>
    <t>PORADNIA PSYCHOLOGICZNO - PEDAGOGICZNA W WĄGROWCU</t>
  </si>
  <si>
    <t>wągrowiecki</t>
  </si>
  <si>
    <t>Wągrowiec</t>
  </si>
  <si>
    <t>ul. Wierzbowa</t>
  </si>
  <si>
    <t>poradnia@pppwagrowiec.pl</t>
  </si>
  <si>
    <t>www.pppwagrowiec.pl</t>
  </si>
  <si>
    <t>PORADNIA PSYCHOLOGICZNO - PEDAGOGICZNA W WYRZYSKU</t>
  </si>
  <si>
    <t>Wyrzysk</t>
  </si>
  <si>
    <t>ul. Wiejska</t>
  </si>
  <si>
    <t>sekretariat.pppwyrzysk@zespolporadni.pila.pl</t>
  </si>
  <si>
    <t>zppp.pilanin.pl</t>
  </si>
  <si>
    <t>PORADNIA PSYCHOLOGICZNO - PEDAGOGICZNA W ŻAGANIU</t>
  </si>
  <si>
    <t>ul. Śląska</t>
  </si>
  <si>
    <t>pppzagan@wp.pl</t>
  </si>
  <si>
    <t>www.poradnia.zagan.pl</t>
  </si>
  <si>
    <t>PORADNIA PSYCHOLOGICZNO - PEDAGOGICZNA W ZAMBROWIE</t>
  </si>
  <si>
    <t>zambrowski</t>
  </si>
  <si>
    <t>Zambrów</t>
  </si>
  <si>
    <t>ul. Obwodowa</t>
  </si>
  <si>
    <t>ppp@powiatzambrowski.com</t>
  </si>
  <si>
    <t>www.pppzambrow.szkolnastrona.pl</t>
  </si>
  <si>
    <t>PORADNIA PSYCHOLOGICZNO - PEDAGOGICZNA W ZGIERZU</t>
  </si>
  <si>
    <t>ul. Długa</t>
  </si>
  <si>
    <t>poradnia@powiat.zgierz.pl</t>
  </si>
  <si>
    <t>PORADNIA PSYCHOLOGICZNO - PEDAGOGICZNA W ŻUKOWIE</t>
  </si>
  <si>
    <t>kartuski</t>
  </si>
  <si>
    <t>Żukowo</t>
  </si>
  <si>
    <t>ul. Książąt Pomorskich</t>
  </si>
  <si>
    <t>sekretariat@pppzukowo.pl</t>
  </si>
  <si>
    <t>Kartuzy</t>
  </si>
  <si>
    <t>PORADNIA PSYCHOLOGICZNO -PEDAGOGICZNA</t>
  </si>
  <si>
    <t>nowodworski</t>
  </si>
  <si>
    <t>Nowy Dwór Mazowiecki</t>
  </si>
  <si>
    <t>ul. Chemików</t>
  </si>
  <si>
    <t>sekretariat@pppndm.pl</t>
  </si>
  <si>
    <t>pppndm.pl</t>
  </si>
  <si>
    <t>PORADNIA PSYCHOLOGICZNO -PEDAGOGICZNA W BIELSKU PODLASKIM</t>
  </si>
  <si>
    <t>bielski</t>
  </si>
  <si>
    <t>Bielsk Podlaski</t>
  </si>
  <si>
    <t>ul. Widowska</t>
  </si>
  <si>
    <t>poradnia@powiatbielski.pl</t>
  </si>
  <si>
    <t>poradnia-bielsk.pl</t>
  </si>
  <si>
    <t>PORADNIA PSYCHOLOGICZNO -PEDAGOGICZNA W WOLINIE</t>
  </si>
  <si>
    <t>kamieński</t>
  </si>
  <si>
    <t>Wolin</t>
  </si>
  <si>
    <t>info@pppwolin.pl</t>
  </si>
  <si>
    <t>https://ppp-wolin.powiatkamienski.pl</t>
  </si>
  <si>
    <t>Kamień Pomorski</t>
  </si>
  <si>
    <t>PORADNIA PSYCHOLOGICZNO PEDAGOGICZNA</t>
  </si>
  <si>
    <t>wieluński</t>
  </si>
  <si>
    <t>Wieluń</t>
  </si>
  <si>
    <t>sekretariat@poradnia.wielun.pl</t>
  </si>
  <si>
    <t>www.poradnia.wielun.pl</t>
  </si>
  <si>
    <t>sępoleński</t>
  </si>
  <si>
    <t>Sępólno Krajeńskie</t>
  </si>
  <si>
    <t>sekretariat@poradnia-sepolno.pl</t>
  </si>
  <si>
    <t>www.poradnia-sepolno.pl</t>
  </si>
  <si>
    <t>PORADNIA PSYCHOLOGICZNO PEDAGOGICZNA NR 2 W ZAMOŚCIU</t>
  </si>
  <si>
    <t>Zamość</t>
  </si>
  <si>
    <t>ul. Stefana Okrzei</t>
  </si>
  <si>
    <t>sekretariat@por2zamosc.pl</t>
  </si>
  <si>
    <t>www.por2zamosc.pl</t>
  </si>
  <si>
    <t>PORADNIA PSYCHOLOGICZNO PEDAGOGICZNA NR 21</t>
  </si>
  <si>
    <t>Białołęka</t>
  </si>
  <si>
    <t>ul. Marywilska</t>
  </si>
  <si>
    <t>kontakt.ppp21@eduwarszawa.pl</t>
  </si>
  <si>
    <t>www.pp-p.waw.pl</t>
  </si>
  <si>
    <t>PORADNIA PSYCHOLOGICZNO PEDAGOGICZNA W CZERWIONCE-LESZCZYNACH</t>
  </si>
  <si>
    <t>Rybnik</t>
  </si>
  <si>
    <t>PPPCZERWIONKA@WP.PL</t>
  </si>
  <si>
    <t>www.poradnia-czerwionka.pl</t>
  </si>
  <si>
    <t>PORADNIA PSYCHOLOGICZNO PEDAGOGICZNA W GRYFOWIE ŚLĄSKIM</t>
  </si>
  <si>
    <t>lwówecki</t>
  </si>
  <si>
    <t>Gryfów Śląski</t>
  </si>
  <si>
    <t>pppgryf@interia.pl</t>
  </si>
  <si>
    <t>Lwówek Śląski</t>
  </si>
  <si>
    <t>PORADNIA PSYCHOLOGICZNO PEDAGOGICZNA W HAJNÓWCE</t>
  </si>
  <si>
    <t>hajnowski</t>
  </si>
  <si>
    <t>Hajnówka</t>
  </si>
  <si>
    <t>ul. Marszałka Józefa Piłsudskiego</t>
  </si>
  <si>
    <t>poradnia@powiat.hajnowka.pl</t>
  </si>
  <si>
    <t>https://samorzad.gov.pl/web/poradnia-pp-hajnowka</t>
  </si>
  <si>
    <t>PORADNIA PSYCHOLOGICZNO PEDAGOGICZNA W KRASNYMSTAWIE</t>
  </si>
  <si>
    <t>krasnostawski</t>
  </si>
  <si>
    <t>Krasnystaw</t>
  </si>
  <si>
    <t>poradnia@pppkrasnystaw.pl</t>
  </si>
  <si>
    <t>pppkrasnystaw.pl</t>
  </si>
  <si>
    <t>PORADNIA PSYCHOLOGICZNO PEDAGOGICZNA W ŁAŃCUCIE</t>
  </si>
  <si>
    <t>łańcucki</t>
  </si>
  <si>
    <t>Łańcut</t>
  </si>
  <si>
    <t>sekretariat@ppplancut.pl</t>
  </si>
  <si>
    <t>www.ppplancut.pl</t>
  </si>
  <si>
    <t>PORADNIA PSYCHOLOGICZNO PEDAGOGICZNA W ŁOSICACH</t>
  </si>
  <si>
    <t>łosicki</t>
  </si>
  <si>
    <t>Łosice</t>
  </si>
  <si>
    <t>sekretariat@poradnia.losice.pl</t>
  </si>
  <si>
    <t>www.poradnia.losice.pl</t>
  </si>
  <si>
    <t>PORADNIA PSYCHOLOGICZNO PEDAGOGICZNA W MILÓWCE</t>
  </si>
  <si>
    <t>żywiecki</t>
  </si>
  <si>
    <t>Milówka</t>
  </si>
  <si>
    <t>sekretariat@poradniamilowka.edu.pl</t>
  </si>
  <si>
    <t>https://poradniamilowka.edu.pl</t>
  </si>
  <si>
    <t>Żywiec</t>
  </si>
  <si>
    <t>PORADNIA PSYCHOLOGICZNO PEDAGOGICZNA W RABCE-ZDROJU</t>
  </si>
  <si>
    <t>nowotarski</t>
  </si>
  <si>
    <t>Rabka-Zdrój</t>
  </si>
  <si>
    <t>ppprabka@nowotarski.pl</t>
  </si>
  <si>
    <t>www.ppprabka.nowotarski.pl</t>
  </si>
  <si>
    <t>Nowy Targ</t>
  </si>
  <si>
    <t>PORADNIA PSYCHOLOGICZNO PEDAGOGICZNA W TRZEBNICY</t>
  </si>
  <si>
    <t>trzebnicki</t>
  </si>
  <si>
    <t>Trzebnica</t>
  </si>
  <si>
    <t>ul. Nowa</t>
  </si>
  <si>
    <t>sekretariat@poradniapp.trzebnica.pl</t>
  </si>
  <si>
    <t>poradniapp.trzebnica.pl</t>
  </si>
  <si>
    <t>PORADNIA PSYCHOLOGICZNO PEDAGOGICZNA W WĄBRZEŹNIE</t>
  </si>
  <si>
    <t>wąbrzeski</t>
  </si>
  <si>
    <t>Wąbrzeźno</t>
  </si>
  <si>
    <t>ul. Wolności</t>
  </si>
  <si>
    <t>poradnia.wabrzezno@data.pl</t>
  </si>
  <si>
    <t>poradnia-wab.szkolnastrona.pl</t>
  </si>
  <si>
    <t>PORADNIA PSYCHOLOGICZNO- PEDAGOGICZNA</t>
  </si>
  <si>
    <t>świebodziński</t>
  </si>
  <si>
    <t>Świebodzin</t>
  </si>
  <si>
    <t>ul. Żaków</t>
  </si>
  <si>
    <t>sekretariat@poradniapp.swiebodzin.pl</t>
  </si>
  <si>
    <t>www.poradniapp.swiebodzin.pl</t>
  </si>
  <si>
    <t>PORADNIA PSYCHOLOGICZNO- PEDAGOGICZNA NR 1</t>
  </si>
  <si>
    <t>Gdynia</t>
  </si>
  <si>
    <t>ul. Leopolda Staffa</t>
  </si>
  <si>
    <t>sekretariat@ppp1.edu.gdynia.pl</t>
  </si>
  <si>
    <t>http://ppp1.edugdynia.pl/</t>
  </si>
  <si>
    <t>PORADNIA PSYCHOLOGICZNO- PEDAGOGICZNA NR 2</t>
  </si>
  <si>
    <t>ul. Chylońska</t>
  </si>
  <si>
    <t>sekretariat@ppp2.edu.gdynia.pl</t>
  </si>
  <si>
    <t>http://www.ppp2.edu.gdynia.pl/</t>
  </si>
  <si>
    <t>PORADNIA PSYCHOLOGICZNO- PEDAGOGICZNA NR 3</t>
  </si>
  <si>
    <t>ul. płk. Stanisława Dąbka</t>
  </si>
  <si>
    <t>sekretariat@ppp3.edu.gdynia.pl</t>
  </si>
  <si>
    <t>http://ppp3edugdynia.pl/</t>
  </si>
  <si>
    <t>PORADNIA PSYCHOLOGICZNO- PEDAGOGICZNA W DREZDENKU</t>
  </si>
  <si>
    <t>strzelecko-drezdenecki</t>
  </si>
  <si>
    <t>Drezdenko</t>
  </si>
  <si>
    <t>poradnia@pppdrezdenko.pl</t>
  </si>
  <si>
    <t>pppdrezdenko.pl</t>
  </si>
  <si>
    <t>Strzelce Krajeńskie</t>
  </si>
  <si>
    <t>PORADNIA PSYCHOLOGICZNO- PEDAGOGICZNA W NOWYM TARGU</t>
  </si>
  <si>
    <t>ul. Królowej Jadwigi</t>
  </si>
  <si>
    <t>poradnia-nt@nowotarski.pl</t>
  </si>
  <si>
    <t>www.poradnia-nt.nowotarski.pl</t>
  </si>
  <si>
    <t>PORADNIA PSYCHOLOGICZNO- PEDAGOGICZNA W RACIBORZU</t>
  </si>
  <si>
    <t>raciborski</t>
  </si>
  <si>
    <t>Racibórz</t>
  </si>
  <si>
    <t>ul. Jana</t>
  </si>
  <si>
    <t>sekretariat@ppp-raciborz.pl</t>
  </si>
  <si>
    <t>PORADNIA PSYCHOLOGICZNO- PEDAGOGICZNA W STRZELCACH KRAJEŃSKICH</t>
  </si>
  <si>
    <t>ul. Okrężna</t>
  </si>
  <si>
    <t>a.bandura@pppstrzelce.pl</t>
  </si>
  <si>
    <t>pppstrzelce.pl</t>
  </si>
  <si>
    <t>PORADNIA PSYCHOLOGICZNO- PEDAGOGICZNA W ZWOLENIU</t>
  </si>
  <si>
    <t>zwoleński</t>
  </si>
  <si>
    <t>Zwoleń</t>
  </si>
  <si>
    <t>poradnia@zwolenpowiat.pl</t>
  </si>
  <si>
    <t>www.pppzwolen.pl</t>
  </si>
  <si>
    <t>PORADNIA PSYCHOLOGICZNO-PEDAGOGICZNA</t>
  </si>
  <si>
    <t>Przemyśl</t>
  </si>
  <si>
    <t>ul. Kapitulna</t>
  </si>
  <si>
    <t>ppp@um.przemysl.pl</t>
  </si>
  <si>
    <t>www.poradnia-przemysl.com.pl</t>
  </si>
  <si>
    <t>chodzieski</t>
  </si>
  <si>
    <t>Chodzież</t>
  </si>
  <si>
    <t>ul. Składowa</t>
  </si>
  <si>
    <t>sekretariat@poradniachodziez.edu.pl</t>
  </si>
  <si>
    <t>www.poradniachodziez.edu.pl</t>
  </si>
  <si>
    <t>ppp@edukacja.wloclawek.eu</t>
  </si>
  <si>
    <t>ppp.wloclawek.eu</t>
  </si>
  <si>
    <t>nowotomyski</t>
  </si>
  <si>
    <t>Nowy Tomyśl</t>
  </si>
  <si>
    <t>ul. Emilii Sczanieckiej</t>
  </si>
  <si>
    <t>sekretariat@pppnt.com.pl</t>
  </si>
  <si>
    <t>www.pppnt.com.pl</t>
  </si>
  <si>
    <t>piaseczyński</t>
  </si>
  <si>
    <t>Piaseczno</t>
  </si>
  <si>
    <t>poczta@poradnia.piaseczno.pl</t>
  </si>
  <si>
    <t>www.poradnia.piaseczno.pl</t>
  </si>
  <si>
    <t>niżański</t>
  </si>
  <si>
    <t>Nisko</t>
  </si>
  <si>
    <t>ul. Ignacego Paderewskiego</t>
  </si>
  <si>
    <t>sekretariat@pppnisko.pl</t>
  </si>
  <si>
    <t>pppnisko.naszaporadnia.com</t>
  </si>
  <si>
    <t>Chorzów</t>
  </si>
  <si>
    <t>ul. Racławicka</t>
  </si>
  <si>
    <t>ppp@chorzow.eu</t>
  </si>
  <si>
    <t>www.pppchorzow.pl</t>
  </si>
  <si>
    <t>miński</t>
  </si>
  <si>
    <t>Sulejówek</t>
  </si>
  <si>
    <t>ul. Idzikowskiego</t>
  </si>
  <si>
    <t>poradnia@poradniapsych.szkolnastrona.pl</t>
  </si>
  <si>
    <t>www.poradniapsych.szkolnastrona.pl</t>
  </si>
  <si>
    <t>Mińsk Mazowiecki</t>
  </si>
  <si>
    <t>proszowicki</t>
  </si>
  <si>
    <t>Proszowice</t>
  </si>
  <si>
    <t>sekretariat@poradnia.proszowice.edu.pl</t>
  </si>
  <si>
    <t>poradnia.proszowice.edu.pl</t>
  </si>
  <si>
    <t>Nowy Dwór Gdański</t>
  </si>
  <si>
    <t>ul. 3-go Maja</t>
  </si>
  <si>
    <t>poradnia@nowydworgdanski.pl</t>
  </si>
  <si>
    <t>pppndg.pl</t>
  </si>
  <si>
    <t>malborski</t>
  </si>
  <si>
    <t>Malbork</t>
  </si>
  <si>
    <t>Tadeusza Kotarbińskiego</t>
  </si>
  <si>
    <t>pppmalbork@post.pl</t>
  </si>
  <si>
    <t>www.ppp.malbork.pl</t>
  </si>
  <si>
    <t>brzozowski</t>
  </si>
  <si>
    <t>Brzozów</t>
  </si>
  <si>
    <t>ul. Henryka Sienkiewicza</t>
  </si>
  <si>
    <t>poradniapp.brzozow@gmail.com</t>
  </si>
  <si>
    <t>https://ppp.powiatbrzozow.pl/</t>
  </si>
  <si>
    <t>Wałbrzych</t>
  </si>
  <si>
    <t>ul. Bolesława Limanowskiego</t>
  </si>
  <si>
    <t>sekretariat@ppp.edu.pl</t>
  </si>
  <si>
    <t>www.ppp.edu.pl</t>
  </si>
  <si>
    <t>Tychy</t>
  </si>
  <si>
    <t>ul. Edukacji</t>
  </si>
  <si>
    <t>ppp@oswiata.tychy.pl</t>
  </si>
  <si>
    <t>https://www.ppptychy.edupage.org</t>
  </si>
  <si>
    <t>tomaszowski</t>
  </si>
  <si>
    <t>Tomaszów Mazowiecki</t>
  </si>
  <si>
    <t>ul. Majowa</t>
  </si>
  <si>
    <t>sekretariat@ppptm.pl</t>
  </si>
  <si>
    <t>www.ppptm.pl</t>
  </si>
  <si>
    <t>giżycki</t>
  </si>
  <si>
    <t>Giżycko</t>
  </si>
  <si>
    <t>ul. Smętka</t>
  </si>
  <si>
    <t>sekretariat@poregizycko.pl</t>
  </si>
  <si>
    <t>www.poradnia.gizycko.edu.pl</t>
  </si>
  <si>
    <t>złotoryjski</t>
  </si>
  <si>
    <t>Złotoryja</t>
  </si>
  <si>
    <t>ul. Szkolna</t>
  </si>
  <si>
    <t>sekretariat@poppp-zlotoryja.pl</t>
  </si>
  <si>
    <t>kamiennogórski</t>
  </si>
  <si>
    <t>Kamienna Góra</t>
  </si>
  <si>
    <t>ul. Papieża Jana Pawła II</t>
  </si>
  <si>
    <t>pcekamgora@o2.pl</t>
  </si>
  <si>
    <t>www.pce.kamienna-gora.pl</t>
  </si>
  <si>
    <t>nowomiejski</t>
  </si>
  <si>
    <t>Nowe Miasto Lubawskie</t>
  </si>
  <si>
    <t>sekretariat@pcre-nowemiasto.pl</t>
  </si>
  <si>
    <t>pcre-nowemiasto.pl</t>
  </si>
  <si>
    <t>pyrzycki</t>
  </si>
  <si>
    <t>Pyrzyce</t>
  </si>
  <si>
    <t>ul. Lipiańska</t>
  </si>
  <si>
    <t>sekretariat@poradniapyrzyce.pl</t>
  </si>
  <si>
    <t>średzki</t>
  </si>
  <si>
    <t>Środa Śląska</t>
  </si>
  <si>
    <t>ul. Wrocławska</t>
  </si>
  <si>
    <t>ppp@powiat-sredzki.pl</t>
  </si>
  <si>
    <t>www.ppp.powiat-sredzki.pl</t>
  </si>
  <si>
    <t>stargardzki</t>
  </si>
  <si>
    <t>Stargard</t>
  </si>
  <si>
    <t>pl. Plac Majdanek</t>
  </si>
  <si>
    <t>sekretariat@poradnia.stargard.pl</t>
  </si>
  <si>
    <t>Grudziądz</t>
  </si>
  <si>
    <t>sekretariat@ppp.grudziadz.pl</t>
  </si>
  <si>
    <t>www.ppp.grudziadz.pl</t>
  </si>
  <si>
    <t>węgorzewski</t>
  </si>
  <si>
    <t>Węgorzewo</t>
  </si>
  <si>
    <t>ul. Generała Józefa Bema</t>
  </si>
  <si>
    <t>sekretariat@poradniawegorzewo.pl</t>
  </si>
  <si>
    <t>www.poradniawegorzewo.pl</t>
  </si>
  <si>
    <t>pruszkowski</t>
  </si>
  <si>
    <t>Pruszków</t>
  </si>
  <si>
    <t>ul. Juliana Gomulińskiego</t>
  </si>
  <si>
    <t>kontakt@pruszkowporadnia.pl</t>
  </si>
  <si>
    <t>www.pruszkowporadnia.pl</t>
  </si>
  <si>
    <t>nowosolski</t>
  </si>
  <si>
    <t>Nowa Sól</t>
  </si>
  <si>
    <t>ul. marsz. Józefa Piłsudskiego</t>
  </si>
  <si>
    <t>sekretariat@pppns.pl</t>
  </si>
  <si>
    <t>www.pppns.pl</t>
  </si>
  <si>
    <t>przasnyski</t>
  </si>
  <si>
    <t>Przasnysz</t>
  </si>
  <si>
    <t>Berka Joselewicza</t>
  </si>
  <si>
    <t>ppp@powiat-przasnysz.pl</t>
  </si>
  <si>
    <t>pppprzasnysz.szkolnastrona.pl</t>
  </si>
  <si>
    <t>Jastrzębie-Zdrój</t>
  </si>
  <si>
    <t>poczta@ppp.jastrzebie.pl</t>
  </si>
  <si>
    <t>www.ppp.jastrzebie.pl</t>
  </si>
  <si>
    <t>białobrzeski</t>
  </si>
  <si>
    <t>Białobrzegi</t>
  </si>
  <si>
    <t>sekretariat@poradniabialobrzegi.szkolnastrona.pl</t>
  </si>
  <si>
    <t>ostrzeszowski</t>
  </si>
  <si>
    <t>Ostrzeszów</t>
  </si>
  <si>
    <t>sekretariat@poradniaostrzeszow.pl</t>
  </si>
  <si>
    <t>www.poradniaostrzeszow.pl</t>
  </si>
  <si>
    <t>sulęciński</t>
  </si>
  <si>
    <t>Sulęcin</t>
  </si>
  <si>
    <t>ul. Emilii Plater</t>
  </si>
  <si>
    <t>sekretariat@poradniasulecin.pl</t>
  </si>
  <si>
    <t>https://bip.poradniasulecin.pl/</t>
  </si>
  <si>
    <t>Tarnów</t>
  </si>
  <si>
    <t>ul. Chyszowska</t>
  </si>
  <si>
    <t>dyrppp@umt.tarnow.pl</t>
  </si>
  <si>
    <t>http://www.ppptarnow.pl/</t>
  </si>
  <si>
    <t>głubczycki</t>
  </si>
  <si>
    <t>Głubczyce</t>
  </si>
  <si>
    <t>ul. Raciborska</t>
  </si>
  <si>
    <t>pppglubczyce@op.pl</t>
  </si>
  <si>
    <t>www.pppglubczyce.pl</t>
  </si>
  <si>
    <t>Żory</t>
  </si>
  <si>
    <t>ul. Wodzisławska</t>
  </si>
  <si>
    <t>psychologiczna@wp.pl</t>
  </si>
  <si>
    <t>www.pppzory.pl</t>
  </si>
  <si>
    <t>nidzicki</t>
  </si>
  <si>
    <t>Nidzica</t>
  </si>
  <si>
    <t>ul. Wyborska</t>
  </si>
  <si>
    <t>pore.nidzica@op.pl</t>
  </si>
  <si>
    <t>https://www.pore-nidzica.pl/</t>
  </si>
  <si>
    <t>ul. Oświatowa</t>
  </si>
  <si>
    <t>kontakt@ppp.ostroleka.pl</t>
  </si>
  <si>
    <t>ppp.ostroleka.pl</t>
  </si>
  <si>
    <t>Świnoujście</t>
  </si>
  <si>
    <t>sekretariat@poradnia.swinoujscie.pl</t>
  </si>
  <si>
    <t>poradnia.swinoujscie.pl</t>
  </si>
  <si>
    <t>PORADNIA PSYCHOLOGICZNO-PEDAGOGICZNA "ŚWIAT DZIECKA"</t>
  </si>
  <si>
    <t>Targówek</t>
  </si>
  <si>
    <t>ul. Rembrandta</t>
  </si>
  <si>
    <t>kinga.gadomska@gmail.com</t>
  </si>
  <si>
    <t>lubiński</t>
  </si>
  <si>
    <t>Lubin</t>
  </si>
  <si>
    <t>PORADNIA PSYCHOLOGICZNO-PEDAGOGICZNA DLA DZIECI I MŁODZIEŻY Z AUTYZMEM</t>
  </si>
  <si>
    <t>ppp1poznan@wp.pl</t>
  </si>
  <si>
    <t>https://www.ppp1.poznan.pl/</t>
  </si>
  <si>
    <t>Poznań-Stare Miasto</t>
  </si>
  <si>
    <t>PORADNIA PSYCHOLOGICZNO-PEDAGOGICZNA DLA DZIECI I MŁODZIEŻY ZE SPECJALNYMI POTRZEBAMI EDUKACYJNYMI</t>
  </si>
  <si>
    <t>Poznań-Wilda</t>
  </si>
  <si>
    <t>ul. 28 Czerwca 1956 r.</t>
  </si>
  <si>
    <t>sekretariat.ps@zppp2.pl</t>
  </si>
  <si>
    <t>zppp2.pl</t>
  </si>
  <si>
    <t>PORADNIA PSYCHOLOGICZNO-PEDAGOGICZNA DLA POWIATU PRZEMYSKIEGO W PRZEMYŚL</t>
  </si>
  <si>
    <t>ul. Walerego Waygarta</t>
  </si>
  <si>
    <t>poradnia.powiat@wp.pl</t>
  </si>
  <si>
    <t>www.ppp.powiat.przemysl.pl</t>
  </si>
  <si>
    <t>PORADNIA PSYCHOLOGICZNO-PEDAGOGICZNA NR 1</t>
  </si>
  <si>
    <t>dyrektor_ppp1_krosno@oswiata.org.pl</t>
  </si>
  <si>
    <t>ppp1krosno.eu</t>
  </si>
  <si>
    <t>Wrocław-Stare Miasto</t>
  </si>
  <si>
    <t>sekretariat.ppp1@wroclawskaedukacja.pl</t>
  </si>
  <si>
    <t>www.ppp1.wroc.pl</t>
  </si>
  <si>
    <t>ul. Hipoteczna</t>
  </si>
  <si>
    <t>kontakt@ppp1.elodz.edu.pl</t>
  </si>
  <si>
    <t>www.ppp1lodz.edu.pl</t>
  </si>
  <si>
    <t>Łódź-Śródmieście</t>
  </si>
  <si>
    <t>Katowice</t>
  </si>
  <si>
    <t>ul. Macieja Rataja</t>
  </si>
  <si>
    <t>poradnia1@ppp1katowice.pl</t>
  </si>
  <si>
    <t>www.ppp1katowice.pl</t>
  </si>
  <si>
    <t>Bydgoszcz</t>
  </si>
  <si>
    <t>ul. Jana III Sobieskiego</t>
  </si>
  <si>
    <t>ppp1@edu.bydgoszcz.pl</t>
  </si>
  <si>
    <t>www.ppp1.edu.bydgoszcz.pl</t>
  </si>
  <si>
    <t>al. Papieża Jana Pawła II</t>
  </si>
  <si>
    <t>ppp1@miasto.szczecin.pl</t>
  </si>
  <si>
    <t>www.ppp1.szczecin.pl</t>
  </si>
  <si>
    <t>PORADNIA PSYCHOLOGICZNO-PEDAGOGICZNA NR 1 DLA DZIECI ZE SPECJALNYMI POTRZEBAMI EDUKACYJNYMI</t>
  </si>
  <si>
    <t>Płock</t>
  </si>
  <si>
    <t>ul. Szymona Kossobudzkiego</t>
  </si>
  <si>
    <t>ppp1@zjoplock.pl</t>
  </si>
  <si>
    <t>PORADNIA PSYCHOLOGICZNO-PEDAGOGICZNA NR 1 W BIAŁYMSTOKU</t>
  </si>
  <si>
    <t>Białystok</t>
  </si>
  <si>
    <t>Piotrkowska</t>
  </si>
  <si>
    <t>ppp1@um.bialystok.pl</t>
  </si>
  <si>
    <t>www.poradnia.bialystok.pl</t>
  </si>
  <si>
    <t>PORADNIA PSYCHOLOGICZNO-PEDAGOGICZNA NR 1 W CHEŁMIE</t>
  </si>
  <si>
    <t>Chełm</t>
  </si>
  <si>
    <t>ul. Połaniecka</t>
  </si>
  <si>
    <t>ppp1.chelm@zwippp1.szkolnastrona.pl</t>
  </si>
  <si>
    <t>PORADNIA PSYCHOLOGICZNO-PEDAGOGICZNA NR 1 W GDAŃSKU</t>
  </si>
  <si>
    <t>Gdańsk</t>
  </si>
  <si>
    <t>ul. Obywatelska</t>
  </si>
  <si>
    <t>sekretariat@ppp1.edu.gdansk.pl</t>
  </si>
  <si>
    <t>ppp1.edu.gdansk.pl</t>
  </si>
  <si>
    <t>PORADNIA PSYCHOLOGICZNO-PEDAGOGICZNA NR 1 W GORZOWIE WLKP.</t>
  </si>
  <si>
    <t>Gorzów Wielkopolski</t>
  </si>
  <si>
    <t>ul. Józefa Pankiewicza</t>
  </si>
  <si>
    <t>ksiegowosc@ppp1gorzow.pl</t>
  </si>
  <si>
    <t>www.ppp1gorzow.pl</t>
  </si>
  <si>
    <t>PORADNIA PSYCHOLOGICZNO-PEDAGOGICZNA NR 1 W KALISZU</t>
  </si>
  <si>
    <t>Kalisz</t>
  </si>
  <si>
    <t>ul. Augustyna Kordeckiego</t>
  </si>
  <si>
    <t>poradnia@ppp1kalisz.pl</t>
  </si>
  <si>
    <t>ppp1kalisz.pl</t>
  </si>
  <si>
    <t>PORADNIA PSYCHOLOGICZNO-PEDAGOGICZNA NR 1 W KRAKOWIE</t>
  </si>
  <si>
    <t>Kraków</t>
  </si>
  <si>
    <t>Kraków-Śródmieście</t>
  </si>
  <si>
    <t>ul. Adama Chmielowskiego</t>
  </si>
  <si>
    <t>ppp1@mjo.krakow.pl</t>
  </si>
  <si>
    <t>poradnia.oswiata.org.pl</t>
  </si>
  <si>
    <t>PORADNIA PSYCHOLOGICZNO-PEDAGOGICZNA NR 1 W LEGNICY</t>
  </si>
  <si>
    <t>Legnica</t>
  </si>
  <si>
    <t>sekretariat@cpppidn.legnica.eu</t>
  </si>
  <si>
    <t>www.ppp1.legnica.eu</t>
  </si>
  <si>
    <t>PORADNIA PSYCHOLOGICZNO-PEDAGOGICZNA NR 1 W LUBLINIE</t>
  </si>
  <si>
    <t>ul. Pogodna</t>
  </si>
  <si>
    <t>poczta@ppp1.lublin.eu</t>
  </si>
  <si>
    <t>www.ppp1.lublin.eu</t>
  </si>
  <si>
    <t>PORADNIA PSYCHOLOGICZNO-PEDAGOGICZNA NR 1 W OLSZTYNIE</t>
  </si>
  <si>
    <t>Olsztyn</t>
  </si>
  <si>
    <t>ul. Edwarda Turowskiego</t>
  </si>
  <si>
    <t>sekretariat@ppp1.olsztyn.eu</t>
  </si>
  <si>
    <t>https://ppp1.olsztyn.eu/</t>
  </si>
  <si>
    <t>PORADNIA PSYCHOLOGICZNO-PEDAGOGICZNA NR 1 W RZESZOWIE</t>
  </si>
  <si>
    <t>Rzeszów</t>
  </si>
  <si>
    <t>ul. Lucjana Siemieńskiego</t>
  </si>
  <si>
    <t>sekretariat@ppp1-rzeszow.edu.pl</t>
  </si>
  <si>
    <t>ppp1.powiat.rzeszowski.pl</t>
  </si>
  <si>
    <t>PORADNIA PSYCHOLOGICZNO-PEDAGOGICZNA NR 1 W SOSNOWCU</t>
  </si>
  <si>
    <t>Sosnowiec</t>
  </si>
  <si>
    <t>sekretariat@poradnia1.sosnowiec.pl</t>
  </si>
  <si>
    <t>https://www.poradnia1.sosnowiec.pl</t>
  </si>
  <si>
    <t>PORADNIA PSYCHOLOGICZNO-PEDAGOGICZNA NR 1 W ZAMOŚCIU</t>
  </si>
  <si>
    <t>ul. Peowiaków</t>
  </si>
  <si>
    <t>pppnr1@pppnr1.enetia.pl</t>
  </si>
  <si>
    <t>pppnr1zamosc.pl</t>
  </si>
  <si>
    <t>PORADNIA PSYCHOLOGICZNO-PEDAGOGICZNA NR 10</t>
  </si>
  <si>
    <t>Bielany</t>
  </si>
  <si>
    <t>ul. Wrzeciono</t>
  </si>
  <si>
    <t>sekretariat.ppp10@eduwarszawa.pl</t>
  </si>
  <si>
    <t>www.ppp10.waw.pl</t>
  </si>
  <si>
    <t>PORADNIA PSYCHOLOGICZNO-PEDAGOGICZNA NR 13</t>
  </si>
  <si>
    <t>ul. św. Jacka Odrowąża</t>
  </si>
  <si>
    <t>ppp13@eduwarszawa.pl</t>
  </si>
  <si>
    <t>https://ppp13targowek.eduwarszawa.pl/</t>
  </si>
  <si>
    <t>PORADNIA PSYCHOLOGICZNO-PEDAGOGICZNA NR 14</t>
  </si>
  <si>
    <t>Wola</t>
  </si>
  <si>
    <t>ul. Zawiszy</t>
  </si>
  <si>
    <t>zppp1@eduwarszawa.pl</t>
  </si>
  <si>
    <t>www.zppp1.waw.pl</t>
  </si>
  <si>
    <t>PORADNIA PSYCHOLOGICZNO-PEDAGOGICZNA NR 15</t>
  </si>
  <si>
    <t>Ursus</t>
  </si>
  <si>
    <t>ul. Dzieci Warszawy</t>
  </si>
  <si>
    <t>ppp15@eduwarszawa.pl</t>
  </si>
  <si>
    <t>www.poradnia15.pl</t>
  </si>
  <si>
    <t>PORADNIA PSYCHOLOGICZNO-PEDAGOGICZNA NR 16</t>
  </si>
  <si>
    <t>Praga-Południe</t>
  </si>
  <si>
    <t>ul. Siennicka</t>
  </si>
  <si>
    <t>ppp16@eduwarszawa.pl</t>
  </si>
  <si>
    <t>http://www.ppp16.waw.pl</t>
  </si>
  <si>
    <t>PORADNIA PSYCHOLOGICZNO-PEDAGOGICZNA NR 17</t>
  </si>
  <si>
    <t>Wawer</t>
  </si>
  <si>
    <t>ul. Żegańska</t>
  </si>
  <si>
    <t>ppp17@eduwarszawa.pl</t>
  </si>
  <si>
    <t>www.ppp17.pl</t>
  </si>
  <si>
    <t>PORADNIA PSYCHOLOGICZNO-PEDAGOGICZNA NR 18</t>
  </si>
  <si>
    <t>Ursynów</t>
  </si>
  <si>
    <t>ul. Koncertowa</t>
  </si>
  <si>
    <t>ppp18@eduwarszawa.pl</t>
  </si>
  <si>
    <t>www.ppp18.ursynow.warszawa.pl</t>
  </si>
  <si>
    <t>PORADNIA PSYCHOLOGICZNO-PEDAGOGICZNA NR 19</t>
  </si>
  <si>
    <t>ul. Eugeniusza Lokajskiego</t>
  </si>
  <si>
    <t>ppp19@eduwarszawa.pl</t>
  </si>
  <si>
    <t>https://ppp19.ursynow.warszawa.pl/</t>
  </si>
  <si>
    <t>PORADNIA PSYCHOLOGICZNO-PEDAGOGICZNA NR 2</t>
  </si>
  <si>
    <t>ul. Józefa Chociszewskiego</t>
  </si>
  <si>
    <t>sekretariat@ppp2poznan.pl</t>
  </si>
  <si>
    <t>ppp2poznan.pl</t>
  </si>
  <si>
    <t>ul. Jedności Narodowej</t>
  </si>
  <si>
    <t>sekretariat.ppp2@wroclawskaedukacja.pl</t>
  </si>
  <si>
    <t>www.ppp2.wroc.pl</t>
  </si>
  <si>
    <t>ul. Motylowa</t>
  </si>
  <si>
    <t>kontakt@ppp2.elodz.edu.pl</t>
  </si>
  <si>
    <t>www.ppp2.edu.lodz.pl</t>
  </si>
  <si>
    <t>al. Tadeusza Rejtana</t>
  </si>
  <si>
    <t>biuro@ppp2.rzeszow.pl</t>
  </si>
  <si>
    <t>https://www.ppp2.rzeszow.pl/</t>
  </si>
  <si>
    <t>ul. Jana Zygmunta Jakubowskiego</t>
  </si>
  <si>
    <t>ppp2@zjoplock.pl</t>
  </si>
  <si>
    <t>poradniaplock2.pl</t>
  </si>
  <si>
    <t>ul. Karolkowa</t>
  </si>
  <si>
    <t>sekretariat.ppp2@eduwarszawa.pl</t>
  </si>
  <si>
    <t>www.poradnia2.waw.pl</t>
  </si>
  <si>
    <t>ul. Jaśminowa</t>
  </si>
  <si>
    <t>ppp2@miasto.szczecin.pl</t>
  </si>
  <si>
    <t>PORADNIA PSYCHOLOGICZNO-PEDAGOGICZNA NR 2 IM. KS. DRA S.WILCZEWSKIEGO</t>
  </si>
  <si>
    <t>ul. Stanisława Łętowskiego</t>
  </si>
  <si>
    <t>sekretariat@ppp2.katowice.pl</t>
  </si>
  <si>
    <t>ppp2katowice.edupage.org</t>
  </si>
  <si>
    <t>PORADNIA PSYCHOLOGICZNO-PEDAGOGICZNA NR 2 W BIAŁYMSTOKU</t>
  </si>
  <si>
    <t>ul. Mazowiecka</t>
  </si>
  <si>
    <t>ppp2@um.bialystok.pl</t>
  </si>
  <si>
    <t>www.ppp2.eu</t>
  </si>
  <si>
    <t>PORADNIA PSYCHOLOGICZNO-PEDAGOGICZNA NR 2 W BYDGOSZCZY</t>
  </si>
  <si>
    <t>ul. Gawędy</t>
  </si>
  <si>
    <t>ppp2@edu.bydgoszcz.pl</t>
  </si>
  <si>
    <t>www.poradnia.bydgoszcz.pl</t>
  </si>
  <si>
    <t>PORADNIA PSYCHOLOGICZNO-PEDAGOGICZNA NR 2 W CHEŁMIE</t>
  </si>
  <si>
    <t>ul. Powstańców Warszawy</t>
  </si>
  <si>
    <t>sekretariat@zwipppnr2.pl</t>
  </si>
  <si>
    <t>zwipppnr2.pl</t>
  </si>
  <si>
    <t>PORADNIA PSYCHOLOGICZNO-PEDAGOGICZNA NR 2 W KRAKOWIE</t>
  </si>
  <si>
    <t>Kraków-Krowodrza</t>
  </si>
  <si>
    <t>ul. Siewna</t>
  </si>
  <si>
    <t>ppp2@mjo.krakow.pl</t>
  </si>
  <si>
    <t>poradnia2krakow.pl</t>
  </si>
  <si>
    <t>PORADNIA PSYCHOLOGICZNO-PEDAGOGICZNA NR 2 W LEGNICY</t>
  </si>
  <si>
    <t>ul. Witelona</t>
  </si>
  <si>
    <t>www.ppp2.legnica.eu</t>
  </si>
  <si>
    <t>PORADNIA PSYCHOLOGICZNO-PEDAGOGICZNA NR 2 W LUBLINIE</t>
  </si>
  <si>
    <t>ul. Radości</t>
  </si>
  <si>
    <t>poczta@ppp2.lublin.eu</t>
  </si>
  <si>
    <t>www.ppp2.lublin.eu</t>
  </si>
  <si>
    <t>PORADNIA PSYCHOLOGICZNO-PEDAGOGICZNA NR 2 W SOSNOWCU</t>
  </si>
  <si>
    <t>ul. Białostocka</t>
  </si>
  <si>
    <t>pp2@sosnowiec.edu.pl</t>
  </si>
  <si>
    <t>http://poradnia2.sosnowiec.pl</t>
  </si>
  <si>
    <t>ppp20.pl</t>
  </si>
  <si>
    <t>ul. Malownicza</t>
  </si>
  <si>
    <t>ppp22@eduwarszawa.pl</t>
  </si>
  <si>
    <t>www.ppp22.waw.pl</t>
  </si>
  <si>
    <t>PORADNIA PSYCHOLOGICZNO-PEDAGOGICZNA NR 23</t>
  </si>
  <si>
    <t>Wesoła</t>
  </si>
  <si>
    <t>ul. 1 Praskiego Pułku WP</t>
  </si>
  <si>
    <t>sekretariat.ppp23@eduwarszawa.pl</t>
  </si>
  <si>
    <t>www.ppp23.waw.pl</t>
  </si>
  <si>
    <t>PORADNIA PSYCHOLOGICZNO-PEDAGOGICZNA NR 3</t>
  </si>
  <si>
    <t>www.ppp1.poznan.pl</t>
  </si>
  <si>
    <t>ul. Szopienicka</t>
  </si>
  <si>
    <t>poradnia@ppp3.katowice.pl</t>
  </si>
  <si>
    <t>www.ppp3.katowice.pl</t>
  </si>
  <si>
    <t>ppp3@miasto.szczecin.pl</t>
  </si>
  <si>
    <t>www.ppp3.szczecin.pl</t>
  </si>
  <si>
    <t>Żoliborz</t>
  </si>
  <si>
    <t>ul. Alojzego Felińskiego</t>
  </si>
  <si>
    <t>sekretariat.ppp3@eduwarszawa.pl</t>
  </si>
  <si>
    <t>www.poradnia-nr3.pl</t>
  </si>
  <si>
    <t>ul. Dowborczyków</t>
  </si>
  <si>
    <t>kontakt@ppp3.elodz.edu.pl</t>
  </si>
  <si>
    <t>www.ppp3lodz.com</t>
  </si>
  <si>
    <t>PORADNIA PSYCHOLOGICZNO-PEDAGOGICZNA NR 3 W GDAŃSKU</t>
  </si>
  <si>
    <t>ul. Wałowa</t>
  </si>
  <si>
    <t>sekretariat@ppp3.edu.gdansk.pl</t>
  </si>
  <si>
    <t>ppp3.edu.gdansk.pl</t>
  </si>
  <si>
    <t>PORADNIA PSYCHOLOGICZNO-PEDAGOGICZNA NR 3 W KRAKOWIE</t>
  </si>
  <si>
    <t>Kraków-Podgórze</t>
  </si>
  <si>
    <t>ul. Konfederacka</t>
  </si>
  <si>
    <t>ppp3@mjo.krakow.pl</t>
  </si>
  <si>
    <t>poradnia3.krakow.pl</t>
  </si>
  <si>
    <t>PORADNIA PSYCHOLOGICZNO-PEDAGOGICZNA NR 3 W LUBLINIE</t>
  </si>
  <si>
    <t>ul. Ignacego Rzeckiego</t>
  </si>
  <si>
    <t>poczta@ppp3.lublin.eu</t>
  </si>
  <si>
    <t>https://ppp3.lublin.eu/</t>
  </si>
  <si>
    <t>PORADNIA PSYCHOLOGICZNO-PEDAGOGICZNA NR 3 W OLSZTYNIE</t>
  </si>
  <si>
    <t>ul. Mikołaja Kopernika</t>
  </si>
  <si>
    <t>sekretariat@ppp3.olsztyn.eu</t>
  </si>
  <si>
    <t>www.ppp3.olsztyn.eu</t>
  </si>
  <si>
    <t>PORADNIA PSYCHOLOGICZNO-PEDAGOGICZNA NR 4</t>
  </si>
  <si>
    <t>Wrocław-Fabryczna</t>
  </si>
  <si>
    <t>ul. Jemiołowa</t>
  </si>
  <si>
    <t>sekretariat.ppp4@wroclawskaedukacja.pl</t>
  </si>
  <si>
    <t>www.ppp4.wroc.pl</t>
  </si>
  <si>
    <t>Łódź-Widzew</t>
  </si>
  <si>
    <t>al. marsz. Józefa Piłsudskiego</t>
  </si>
  <si>
    <t>kontakt@ppp4.elodz.edu.pl</t>
  </si>
  <si>
    <t>www.ppp4lodz.pl</t>
  </si>
  <si>
    <t>ul. Eugeniusza Romera</t>
  </si>
  <si>
    <t>ppp4@miasto.szczecin.pl</t>
  </si>
  <si>
    <t>http://ppp4.szczecin.pl/</t>
  </si>
  <si>
    <t>ul. Mińska</t>
  </si>
  <si>
    <t>ppp4@eduwarszawa.pl</t>
  </si>
  <si>
    <t>ppp4.edu.pl</t>
  </si>
  <si>
    <t>PORADNIA PSYCHOLOGICZNO-PEDAGOGICZNA NR 4 IM. JANUSZA KORCZAKA W KRAKOWIE</t>
  </si>
  <si>
    <t>Kraków-Nowa Huta</t>
  </si>
  <si>
    <t>os. Osiedle Kalinowe</t>
  </si>
  <si>
    <t>ppp4@mjo.krakow.pl</t>
  </si>
  <si>
    <t>poradnia4.krakow.pl</t>
  </si>
  <si>
    <t>PORADNIA PSYCHOLOGICZNO-PEDAGOGICZNA NR 4 POZNAŃ-PIĄTKOWO</t>
  </si>
  <si>
    <t>os. Bolesława Chrobrego</t>
  </si>
  <si>
    <t>sekretariat@ppp4.pl</t>
  </si>
  <si>
    <t>www.ppp4.pl</t>
  </si>
  <si>
    <t>PORADNIA PSYCHOLOGICZNO-PEDAGOGICZNA NR 4 W GDAŃSKU</t>
  </si>
  <si>
    <t>ul. Lucyny Krzemienieckiej</t>
  </si>
  <si>
    <t>sekretariat@ppp4.edu.gdansk.pl</t>
  </si>
  <si>
    <t>ppp4.edu.gdansk.pl</t>
  </si>
  <si>
    <t>PORADNIA PSYCHOLOGICZNO-PEDAGOGICZNA NR 5</t>
  </si>
  <si>
    <t>Praga-Północ</t>
  </si>
  <si>
    <t>ul. Otwocka</t>
  </si>
  <si>
    <t>ppp5@eduwarszawa.pl</t>
  </si>
  <si>
    <t>www.ppp5.pl</t>
  </si>
  <si>
    <t>Łódź-Polesie</t>
  </si>
  <si>
    <t>ul. Ksawerego Praussa</t>
  </si>
  <si>
    <t>kontakt@ppp5.elodz.edu.pl</t>
  </si>
  <si>
    <t>www.ppp5-lodz.pl</t>
  </si>
  <si>
    <t>Wrocław-Psie Pole</t>
  </si>
  <si>
    <t>ul. Piotra Czajkowskiego</t>
  </si>
  <si>
    <t>sekretariat.ppp5@wroclawskaedukacja.pl</t>
  </si>
  <si>
    <t>www.ppp5.wroc.pl</t>
  </si>
  <si>
    <t>ul. Michała Grażyńskiego</t>
  </si>
  <si>
    <t>poradnia@ppp5katowice.eu</t>
  </si>
  <si>
    <t>ppp5katowice.eu</t>
  </si>
  <si>
    <t>PORADNIA PSYCHOLOGICZNO-PEDAGOGICZNA NR 5 POZNAŃ-STARE MIASTO</t>
  </si>
  <si>
    <t>ul. Feliksa Nowowiejskiego</t>
  </si>
  <si>
    <t>ppp5.poznan@wp.pl</t>
  </si>
  <si>
    <t>ppp5poznan.pl</t>
  </si>
  <si>
    <t>PORADNIA PSYCHOLOGICZNO-PEDAGOGICZNA NR 5 W GDAŃSKU</t>
  </si>
  <si>
    <t>ul. Wadowicka</t>
  </si>
  <si>
    <t>sekretariat@ppp5.edu.gdansk.pl</t>
  </si>
  <si>
    <t>ppp5.edu.gdansk.pl</t>
  </si>
  <si>
    <t>PORADNIA PSYCHOLOGICZNO-PEDAGOGICZNA NR 6</t>
  </si>
  <si>
    <t>Łódź-Górna</t>
  </si>
  <si>
    <t>ul. Rzgowska</t>
  </si>
  <si>
    <t>kontakt@ppp6.elodz.edu.pl</t>
  </si>
  <si>
    <t>www.ppp6lodz.pl</t>
  </si>
  <si>
    <t>sekretariat.p6@zppp2.pl</t>
  </si>
  <si>
    <t>PORADNIA PSYCHOLOGICZNO-PEDAGOGICZNA NR 7</t>
  </si>
  <si>
    <t>Mokotów</t>
  </si>
  <si>
    <t>ul. Ludwika Narbutta</t>
  </si>
  <si>
    <t>ppp7@eduwarszawa.pl</t>
  </si>
  <si>
    <t>www.ppp7.pl</t>
  </si>
  <si>
    <t>Poznań-Nowe Miasto</t>
  </si>
  <si>
    <t>ul. św. Antoniego</t>
  </si>
  <si>
    <t>poradnia7poznan@gmail.com</t>
  </si>
  <si>
    <t>poradnia7.poznan.pl</t>
  </si>
  <si>
    <t>PORADNIA PSYCHOLOGICZNO-PEDAGOGICZNA NR 7 W GDAŃSKU</t>
  </si>
  <si>
    <t>ul. Biała</t>
  </si>
  <si>
    <t>sekretariat@ppp7.edu.gdansk.pl</t>
  </si>
  <si>
    <t>ppp7.edu.gdansk.pl</t>
  </si>
  <si>
    <t>PORADNIA PSYCHOLOGICZNO-PEDAGOGICZNA NR 8</t>
  </si>
  <si>
    <t>os. Rusa</t>
  </si>
  <si>
    <t>ppp8.poznan@wp.pl</t>
  </si>
  <si>
    <t>ppp8-poznan.pl</t>
  </si>
  <si>
    <t>ul. Stępińska</t>
  </si>
  <si>
    <t>ppp8@eduwarszawa.pl</t>
  </si>
  <si>
    <t>www.ppp8.pl</t>
  </si>
  <si>
    <t>PORADNIA PSYCHOLOGICZNO-PEDAGOGICZNA NR 9</t>
  </si>
  <si>
    <t>Wrocław-Krzyki</t>
  </si>
  <si>
    <t>ul. Krakowska</t>
  </si>
  <si>
    <t>sekretariat.ppp9@wroclawskaedukacja.pl</t>
  </si>
  <si>
    <t>www.ppp9-wroc.pl</t>
  </si>
  <si>
    <t>Ochota</t>
  </si>
  <si>
    <t>ul. Radomska</t>
  </si>
  <si>
    <t>sekretariat.ppp9@eduwarszawa.pl</t>
  </si>
  <si>
    <t>www.poradnia9.waw.pl</t>
  </si>
  <si>
    <t>PORADNIA PSYCHOLOGICZNO-PEDAGOGICZNA PRZYLĄDEK NADZIEI</t>
  </si>
  <si>
    <t>ul. Sportowa</t>
  </si>
  <si>
    <t>PORADNIA PSYCHOLOGICZNO-PEDAGOGICZNA TORUŃ</t>
  </si>
  <si>
    <t>ul. Kosynierów Kościuszkowskich</t>
  </si>
  <si>
    <t>sekretariat@ppp.torun.pl</t>
  </si>
  <si>
    <t>http://www.ppp.torun.pl/</t>
  </si>
  <si>
    <t>PORADNIA PSYCHOLOGICZNO-PEDAGOGICZNA W ANDRYCHOWIE</t>
  </si>
  <si>
    <t>wadowicki</t>
  </si>
  <si>
    <t>Andrychów</t>
  </si>
  <si>
    <t>ul. Metalowców</t>
  </si>
  <si>
    <t>poradnia@pppandrychow.pl</t>
  </si>
  <si>
    <t>pppandrychow.pl</t>
  </si>
  <si>
    <t>Wadowice</t>
  </si>
  <si>
    <t>PORADNIA PSYCHOLOGICZNO-PEDAGOGICZNA W AUGUSTOWIE</t>
  </si>
  <si>
    <t>augustowski</t>
  </si>
  <si>
    <t>Augustów</t>
  </si>
  <si>
    <t>ul. Młyńska</t>
  </si>
  <si>
    <t>sekretariat@pppaug.pl</t>
  </si>
  <si>
    <t>www.poradnia-p-p.pl</t>
  </si>
  <si>
    <t>PORADNIA PSYCHOLOGICZNO-PEDAGOGICZNA W BARLINKU</t>
  </si>
  <si>
    <t>myśliborski</t>
  </si>
  <si>
    <t>Barlinek</t>
  </si>
  <si>
    <t>ul. Szosowa</t>
  </si>
  <si>
    <t>pp-pbarlinek@o2.pl</t>
  </si>
  <si>
    <t>pppbarlinek.bip.gov.pl</t>
  </si>
  <si>
    <t>Myślibórz</t>
  </si>
  <si>
    <t>PORADNIA PSYCHOLOGICZNO-PEDAGOGICZNA W BEŁCHATOWIE</t>
  </si>
  <si>
    <t>bełchatowski</t>
  </si>
  <si>
    <t>Bełchatów</t>
  </si>
  <si>
    <t>ul. Czapliniecka</t>
  </si>
  <si>
    <t>poradnia@pppbelchatow.pl</t>
  </si>
  <si>
    <t>PORADNIA PSYCHOLOGICZNO-PEDAGOGICZNA W BIAŁEJ PODLASKIEJ</t>
  </si>
  <si>
    <t>Biała Podlaska</t>
  </si>
  <si>
    <t>ul. Ludwika Waryńskiego</t>
  </si>
  <si>
    <t>poradnia@pppbialapodlaska.pl</t>
  </si>
  <si>
    <t>www.pppbialapodlaska.pl</t>
  </si>
  <si>
    <t>PORADNIA PSYCHOLOGICZNO-PEDAGOGICZNA W BIERUNIU</t>
  </si>
  <si>
    <t>bieruńsko-lędziński</t>
  </si>
  <si>
    <t>Bieruń</t>
  </si>
  <si>
    <t>ul. Granitowa</t>
  </si>
  <si>
    <t>sekretariat@pppbierun.pl</t>
  </si>
  <si>
    <t>www.poradnia.powiatbl.pl</t>
  </si>
  <si>
    <t>PORADNIA PSYCHOLOGICZNO-PEDAGOGICZNA W BIŁGORAJU</t>
  </si>
  <si>
    <t>biłgorajski</t>
  </si>
  <si>
    <t>Biłgoraj</t>
  </si>
  <si>
    <t>sekretariat@ppp.lbl.pl</t>
  </si>
  <si>
    <t>http://www.ppp.lbl.pl</t>
  </si>
  <si>
    <t>PORADNIA PSYCHOLOGICZNO-PEDAGOGICZNA W BŁONIU</t>
  </si>
  <si>
    <t>Błonie</t>
  </si>
  <si>
    <t>ul. Piłsudskiego</t>
  </si>
  <si>
    <t>sekretariat@zpppblonie.pl</t>
  </si>
  <si>
    <t>www.zpppblonie.pl</t>
  </si>
  <si>
    <t>PORADNIA PSYCHOLOGICZNO-PEDAGOGICZNA W BOGATYNI</t>
  </si>
  <si>
    <t>zgorzelecki</t>
  </si>
  <si>
    <t>Bogatynia</t>
  </si>
  <si>
    <t>sekretariat@poradniabogatynia.pl</t>
  </si>
  <si>
    <t>www.poradniabogatynia.pl</t>
  </si>
  <si>
    <t>Zgorzelec</t>
  </si>
  <si>
    <t>PORADNIA PSYCHOLOGICZNO-PEDAGOGICZNA W BOLESŁAWCU</t>
  </si>
  <si>
    <t>bolesławiecki</t>
  </si>
  <si>
    <t>Bolesławiec</t>
  </si>
  <si>
    <t>ul. Heleny i Wincentego Tyrankiewiczów</t>
  </si>
  <si>
    <t>poradnia@pppboleslawiec.pl</t>
  </si>
  <si>
    <t>https://pppboleslawiec.pl</t>
  </si>
  <si>
    <t>PORADNIA PSYCHOLOGICZNO-PEDAGOGICZNA W BRANIEWIE</t>
  </si>
  <si>
    <t>braniewski</t>
  </si>
  <si>
    <t>Braniewo</t>
  </si>
  <si>
    <t>ul. Sikorskiego</t>
  </si>
  <si>
    <t>sekretariat@pppbraniewo.edu.pl</t>
  </si>
  <si>
    <t>www.pppbraniewo.edu.pl</t>
  </si>
  <si>
    <t>PORADNIA PSYCHOLOGICZNO-PEDAGOGICZNA W BRZEGU</t>
  </si>
  <si>
    <t>brzeski</t>
  </si>
  <si>
    <t>Brzeg</t>
  </si>
  <si>
    <t>ul. Poprzeczna</t>
  </si>
  <si>
    <t>sekretariat@poradnia-brzeg.edu.pl</t>
  </si>
  <si>
    <t>www.poradnia-brzeg.edu.pl</t>
  </si>
  <si>
    <t>PORADNIA PSYCHOLOGICZNO-PEDAGOGICZNA W BRZEGU DOLNYM</t>
  </si>
  <si>
    <t>wołowski</t>
  </si>
  <si>
    <t>Brzeg Dolny</t>
  </si>
  <si>
    <t>ul. 1 Maja</t>
  </si>
  <si>
    <t>pppbd@wolowpce.pl</t>
  </si>
  <si>
    <t>www.wolowpce.pl</t>
  </si>
  <si>
    <t>Wołów</t>
  </si>
  <si>
    <t>PORADNIA PSYCHOLOGICZNO-PEDAGOGICZNA W BRZESKU</t>
  </si>
  <si>
    <t>Brzesko</t>
  </si>
  <si>
    <t>sekretariat@pppbrzesko.pl</t>
  </si>
  <si>
    <t>www.pppbrzesko.pl</t>
  </si>
  <si>
    <t>PORADNIA PSYCHOLOGICZNO-PEDAGOGICZNA W BRZESZCZACH</t>
  </si>
  <si>
    <t>oświęcimski</t>
  </si>
  <si>
    <t>Brzeszcze</t>
  </si>
  <si>
    <t>ul. Nosala</t>
  </si>
  <si>
    <t>sekretariat.pppb@powiat.oswiecim.pl</t>
  </si>
  <si>
    <t>www.poradniap.pl</t>
  </si>
  <si>
    <t>Oświęcim</t>
  </si>
  <si>
    <t>PORADNIA PSYCHOLOGICZNO-PEDAGOGICZNA W BRZEZINACH</t>
  </si>
  <si>
    <t>brzeziński</t>
  </si>
  <si>
    <t>Brzeziny</t>
  </si>
  <si>
    <t>ul. Konstytucji 3 Maja</t>
  </si>
  <si>
    <t>poradnia@pppbrzeziny.pl</t>
  </si>
  <si>
    <t>http://www.pppbrzeziny.pl</t>
  </si>
  <si>
    <t>PORADNIA PSYCHOLOGICZNO-PEDAGOGICZNA W BUSKU-ZDROJU</t>
  </si>
  <si>
    <t>buski</t>
  </si>
  <si>
    <t>Busko-Zdrój</t>
  </si>
  <si>
    <t>ul. Bohaterów Warszawy</t>
  </si>
  <si>
    <t>sekretariat@ppp.busko.pl</t>
  </si>
  <si>
    <t>https://ppp.busko.pl/</t>
  </si>
  <si>
    <t>PORADNIA PSYCHOLOGICZNO-PEDAGOGICZNA W BYTOWIE</t>
  </si>
  <si>
    <t>bytowski</t>
  </si>
  <si>
    <t>Bytów</t>
  </si>
  <si>
    <t>sekretariat@poradniabytow.pl</t>
  </si>
  <si>
    <t>www.poradniabytow.pl</t>
  </si>
  <si>
    <t>PORADNIA PSYCHOLOGICZNO-PEDAGOGICZNA W CHEŁMNIE</t>
  </si>
  <si>
    <t>chełmiński</t>
  </si>
  <si>
    <t>Chełmno</t>
  </si>
  <si>
    <t>ul. Dominikańska</t>
  </si>
  <si>
    <t>poradnia@ppp-chelmno.pl</t>
  </si>
  <si>
    <t>ppp-chelmno.pl</t>
  </si>
  <si>
    <t>Chełmża</t>
  </si>
  <si>
    <t>ul. Św. Jana</t>
  </si>
  <si>
    <t>sekretariat@poradnia-chelmza.pl</t>
  </si>
  <si>
    <t>www.poradnia-chelmza.pl</t>
  </si>
  <si>
    <t>PORADNIA PSYCHOLOGICZNO-PEDAGOGICZNA W CHOJNICACH</t>
  </si>
  <si>
    <t>chojnicki</t>
  </si>
  <si>
    <t>Chojnice</t>
  </si>
  <si>
    <t>poczta@ppp-chojnice.pl</t>
  </si>
  <si>
    <t>ppp-chojnice.pl</t>
  </si>
  <si>
    <t>PORADNIA PSYCHOLOGICZNO-PEDAGOGICZNA W CHOSZCZNIE</t>
  </si>
  <si>
    <t>choszczeński</t>
  </si>
  <si>
    <t>Choszczno</t>
  </si>
  <si>
    <t>poradniachoszczno@wp.pl</t>
  </si>
  <si>
    <t>ppp.choszczno.ibip.pl</t>
  </si>
  <si>
    <t>PORADNIA PSYCHOLOGICZNO-PEDAGOGICZNA W CHRZANOWIE</t>
  </si>
  <si>
    <t>chrzanowski</t>
  </si>
  <si>
    <t>Chrzanów</t>
  </si>
  <si>
    <t>ul. marsz. F. Focha</t>
  </si>
  <si>
    <t>pppchrzanow@post.pl</t>
  </si>
  <si>
    <t>www.ppp.powiat-chrzanowski.pl</t>
  </si>
  <si>
    <t>PORADNIA PSYCHOLOGICZNO-PEDAGOGICZNA W CIECHANOWIE</t>
  </si>
  <si>
    <t>ciechanowski</t>
  </si>
  <si>
    <t>Ciechanów</t>
  </si>
  <si>
    <t>ul. Wyzwolenia</t>
  </si>
  <si>
    <t>info@pppciechanow.pl</t>
  </si>
  <si>
    <t>https://ppp.powiat-ciechanow.pl/</t>
  </si>
  <si>
    <t>PORADNIA PSYCHOLOGICZNO-PEDAGOGICZNA W CZARNKOWIE</t>
  </si>
  <si>
    <t>czarnkowsko-trzcianecki</t>
  </si>
  <si>
    <t>Czarnków</t>
  </si>
  <si>
    <t>poradniapp@post.pl</t>
  </si>
  <si>
    <t>PORADNIA PSYCHOLOGICZNO-PEDAGOGICZNA W DĄBROWIE TARNOWSKIEJ</t>
  </si>
  <si>
    <t>dąbrowski</t>
  </si>
  <si>
    <t>Dąbrowa Tarnowska</t>
  </si>
  <si>
    <t>ul. Szpitalna</t>
  </si>
  <si>
    <t>pppdabrowa@interia.pl</t>
  </si>
  <si>
    <t>www.poradnia-dt.pl</t>
  </si>
  <si>
    <t>PORADNIA PSYCHOLOGICZNO-PEDAGOGICZNA W DĘBICY</t>
  </si>
  <si>
    <t>dębicki</t>
  </si>
  <si>
    <t>Dębica</t>
  </si>
  <si>
    <t>sekretariat@poradniadebica.pl</t>
  </si>
  <si>
    <t>www.poradniadebica.pl</t>
  </si>
  <si>
    <t>PORADNIA PSYCHOLOGICZNO-PEDAGOGICZNA W DĘBNIE</t>
  </si>
  <si>
    <t>Dębno</t>
  </si>
  <si>
    <t>pppdebno@wp.pl</t>
  </si>
  <si>
    <t>http://pppdebno.szkolnastrona.pl/</t>
  </si>
  <si>
    <t>PORADNIA PSYCHOLOGICZNO-PEDAGOGICZNA W DOBCZYCACH</t>
  </si>
  <si>
    <t>Dobczyce</t>
  </si>
  <si>
    <t>sekretariat@poradnia.dobczyce.pl</t>
  </si>
  <si>
    <t>pppdobczyce.pl</t>
  </si>
  <si>
    <t>PORADNIA PSYCHOLOGICZNO-PEDAGOGICZNA W DRAWSKU POMORSKIM</t>
  </si>
  <si>
    <t>drawski</t>
  </si>
  <si>
    <t>Drawsko Pomorskie</t>
  </si>
  <si>
    <t>ppp.drawsko@poczta.onet.pl</t>
  </si>
  <si>
    <t>www.poradnia.drawsko.pl</t>
  </si>
  <si>
    <t>PORADNIA PSYCHOLOGICZNO-PEDAGOGICZNA W DZIAŁDOWIE</t>
  </si>
  <si>
    <t>działdowski</t>
  </si>
  <si>
    <t>Działdowo</t>
  </si>
  <si>
    <t>porpsych@hot.pl</t>
  </si>
  <si>
    <t>http://poradniadzialdowo.pl/</t>
  </si>
  <si>
    <t>PORADNIA PSYCHOLOGICZNO-PEDAGOGICZNA W DZIAŁDOWIE FILIA W LIDZBARKU</t>
  </si>
  <si>
    <t>Lidzbark</t>
  </si>
  <si>
    <t>ul. Garbuzy</t>
  </si>
  <si>
    <t>filia.sekretariat@poradniadzialdowo.pl</t>
  </si>
  <si>
    <t>PORADNIA PSYCHOLOGICZNO-PEDAGOGICZNA W GARWOLINIE</t>
  </si>
  <si>
    <t>garwoliński</t>
  </si>
  <si>
    <t>Garwolin</t>
  </si>
  <si>
    <t>poradnia@pppgarwolin.pl</t>
  </si>
  <si>
    <t>pppgarwolin.pl</t>
  </si>
  <si>
    <t>PORADNIA PSYCHOLOGICZNO-PEDAGOGICZNA W GLIWICACH</t>
  </si>
  <si>
    <t>Gliwice</t>
  </si>
  <si>
    <t>ul. Aleksandra Gierymskiego</t>
  </si>
  <si>
    <t>sekretariat@ppp.gliwice.eu</t>
  </si>
  <si>
    <t>www.poradnia.gliwice.pl</t>
  </si>
  <si>
    <t>PORADNIA PSYCHOLOGICZNO-PEDAGOGICZNA W GŁOGOWIE</t>
  </si>
  <si>
    <t>głogowski</t>
  </si>
  <si>
    <t>Głogów</t>
  </si>
  <si>
    <t>ul. Folwarczna</t>
  </si>
  <si>
    <t>centrum@pcpppidn.eu</t>
  </si>
  <si>
    <t>www.pcpppidn.eu</t>
  </si>
  <si>
    <t>PORADNIA PSYCHOLOGICZNO-PEDAGOGICZNA W GOŁDAPI</t>
  </si>
  <si>
    <t>gołdapski</t>
  </si>
  <si>
    <t>Gołdap</t>
  </si>
  <si>
    <t>dyrektor@ppp.powiatgoldap.pl</t>
  </si>
  <si>
    <t>http://pppgoldap.pl</t>
  </si>
  <si>
    <t>PORADNIA PSYCHOLOGICZNO-PEDAGOGICZNA W GORLICACH</t>
  </si>
  <si>
    <t>gorlicki</t>
  </si>
  <si>
    <t>Gorlice</t>
  </si>
  <si>
    <t>ul. Niepodległości</t>
  </si>
  <si>
    <t>poradnia11@poradnia-gorlice.pl</t>
  </si>
  <si>
    <t>poradnia-gorlice.pl</t>
  </si>
  <si>
    <t>PORADNIA PSYCHOLOGICZNO-PEDAGOGICZNA W GORLICACH FILIA W BIECZU</t>
  </si>
  <si>
    <t>Biecz</t>
  </si>
  <si>
    <t>ppp_biecz@poradnia-gorlice.pl</t>
  </si>
  <si>
    <t>PORADNIA PSYCHOLOGICZNO-PEDAGOGICZNA W GÓRZE</t>
  </si>
  <si>
    <t>górowski</t>
  </si>
  <si>
    <t>Góra</t>
  </si>
  <si>
    <t>pl. Bolesława Chrobrego</t>
  </si>
  <si>
    <t>pppgora@pcdn.edu.pl</t>
  </si>
  <si>
    <t>www.pcdn.edu.pl</t>
  </si>
  <si>
    <t>PORADNIA PSYCHOLOGICZNO-PEDAGOGICZNA W GOSTYNINIE</t>
  </si>
  <si>
    <t>gostyniński</t>
  </si>
  <si>
    <t>Gostynin</t>
  </si>
  <si>
    <t>ul. Józefa Ozdowskiego</t>
  </si>
  <si>
    <t>poradnia@ppp-gostynin.edu.pl</t>
  </si>
  <si>
    <t>www.ppp-gostynin.edu.pl</t>
  </si>
  <si>
    <t>PORADNIA PSYCHOLOGICZNO-PEDAGOGICZNA W GOSTYNIU</t>
  </si>
  <si>
    <t>gostyński</t>
  </si>
  <si>
    <t>Gostyń</t>
  </si>
  <si>
    <t>ul. Ks. Franciszka Olejniczaka</t>
  </si>
  <si>
    <t>poradnia@poradniapp.gostyn.pl</t>
  </si>
  <si>
    <t>www.poradniapp.gostyn.pl</t>
  </si>
  <si>
    <t>PORADNIA PSYCHOLOGICZNO-PEDAGOGICZNA W GRAJEWIE</t>
  </si>
  <si>
    <t>grajewski</t>
  </si>
  <si>
    <t>Grajewo</t>
  </si>
  <si>
    <t>ul. A. Mickiewicza</t>
  </si>
  <si>
    <t>poradnia@ppp.grajewo.com</t>
  </si>
  <si>
    <t>www.ppp.grajewo.com</t>
  </si>
  <si>
    <t>PORADNIA PSYCHOLOGICZNO-PEDAGOGICZNA W GRODKOWIE</t>
  </si>
  <si>
    <t>Grodków</t>
  </si>
  <si>
    <t>ul. Kasztanowa</t>
  </si>
  <si>
    <t>kontakt@poradniagrodkow.pl</t>
  </si>
  <si>
    <t>PORADNIA PSYCHOLOGICZNO-PEDAGOGICZNA W GRÓJCU</t>
  </si>
  <si>
    <t>grójecki</t>
  </si>
  <si>
    <t>Grójec</t>
  </si>
  <si>
    <t>Polskiej Organizacji Wojskowej</t>
  </si>
  <si>
    <t>sekretariat.pppgrojec@grojec.pl</t>
  </si>
  <si>
    <t>www.poradnia-grojec.edupage.org</t>
  </si>
  <si>
    <t>PORADNIA PSYCHOLOGICZNO-PEDAGOGICZNA W GRYFICACH</t>
  </si>
  <si>
    <t>gryficki</t>
  </si>
  <si>
    <t>Gryfice</t>
  </si>
  <si>
    <t>ppp@gryfice.pl</t>
  </si>
  <si>
    <t>PORADNIA PSYCHOLOGICZNO-PEDAGOGICZNA W GRYFINIE</t>
  </si>
  <si>
    <t>gryfiński</t>
  </si>
  <si>
    <t>Gryfino</t>
  </si>
  <si>
    <t>ul. Łużycka</t>
  </si>
  <si>
    <t>gryfino@pppgryfino.pl</t>
  </si>
  <si>
    <t>www.pppgryfino.pl</t>
  </si>
  <si>
    <t>PORADNIA PSYCHOLOGICZNO-PEDAGOGICZNA W GRYFINIE FILIA W CHOJNIE</t>
  </si>
  <si>
    <t>Chojna</t>
  </si>
  <si>
    <t>chojna@pppgryfino.pl</t>
  </si>
  <si>
    <t>PORADNIA PSYCHOLOGICZNO-PEDAGOGICZNA W GUBINIE</t>
  </si>
  <si>
    <t>Gubin</t>
  </si>
  <si>
    <t>ul. Generała Pułaskiego</t>
  </si>
  <si>
    <t>ppp_gubin@interia.pl</t>
  </si>
  <si>
    <t>www.pppgubin.szkolnastrona.pl</t>
  </si>
  <si>
    <t>PORADNIA PSYCHOLOGICZNO-PEDAGOGICZNA W HRUBIESZOWIE</t>
  </si>
  <si>
    <t>hrubieszowski</t>
  </si>
  <si>
    <t>Hrubieszów</t>
  </si>
  <si>
    <t>ul. Zamojska</t>
  </si>
  <si>
    <t>poradnia@ppphrubieszow.pl</t>
  </si>
  <si>
    <t>www.ppphrubieszow.pl</t>
  </si>
  <si>
    <t>PORADNIA PSYCHOLOGICZNO-PEDAGOGICZNA W IŁŻY</t>
  </si>
  <si>
    <t>radomski</t>
  </si>
  <si>
    <t>Iłża</t>
  </si>
  <si>
    <t>ul. Maksymiliana Jakubowskiego</t>
  </si>
  <si>
    <t>ppped1@wp.pl</t>
  </si>
  <si>
    <t>pppilza.szkolnastrona.pl</t>
  </si>
  <si>
    <t>PORADNIA PSYCHOLOGICZNO-PEDAGOGICZNA W INOWROCŁAWIU</t>
  </si>
  <si>
    <t>inowrocławski</t>
  </si>
  <si>
    <t>Inowrocław</t>
  </si>
  <si>
    <t>al. Ratuszowa</t>
  </si>
  <si>
    <t>poradnia@pppinowroclaw.pl</t>
  </si>
  <si>
    <t>www.pppinowroclaw.pl</t>
  </si>
  <si>
    <t>PORADNIA PSYCHOLOGICZNO-PEDAGOGICZNA W INOWROCŁAWIU - FILIA W KRUSZWICY</t>
  </si>
  <si>
    <t>Kruszwica</t>
  </si>
  <si>
    <t>ul. Rybacka</t>
  </si>
  <si>
    <t>pppinowroclaw.pl</t>
  </si>
  <si>
    <t>PORADNIA PSYCHOLOGICZNO-PEDAGOGICZNA W JANOWIE LUBELSKIM</t>
  </si>
  <si>
    <t>janowski</t>
  </si>
  <si>
    <t>Janów Lubelski</t>
  </si>
  <si>
    <t>ul. Jana Zamoyskiego</t>
  </si>
  <si>
    <t>pppjanow@powiatjanowski.pl</t>
  </si>
  <si>
    <t>pppjanow.szkolnastrona.pl</t>
  </si>
  <si>
    <t>PORADNIA PSYCHOLOGICZNO-PEDAGOGICZNA W JAROCINIE</t>
  </si>
  <si>
    <t>jarociński</t>
  </si>
  <si>
    <t>Jarocin</t>
  </si>
  <si>
    <t>ul. Szubianki</t>
  </si>
  <si>
    <t>sekretariat@poradniajarocin.pl</t>
  </si>
  <si>
    <t>www.poradniajarocin.pl</t>
  </si>
  <si>
    <t>PORADNIA PSYCHOLOGICZNO-PEDAGOGICZNA W JAŚLE</t>
  </si>
  <si>
    <t>jasielski</t>
  </si>
  <si>
    <t>Jasło</t>
  </si>
  <si>
    <t>pppjaslo@wp.pl</t>
  </si>
  <si>
    <t>www.pppjaslo.pl</t>
  </si>
  <si>
    <t>PORADNIA PSYCHOLOGICZNO-PEDAGOGICZNA W JAWORZNIE</t>
  </si>
  <si>
    <t>Jaworzno</t>
  </si>
  <si>
    <t>ul. Inwalidów Wojennych</t>
  </si>
  <si>
    <t>sekretariat@ppp.jaworzno.edu.pl</t>
  </si>
  <si>
    <t>www.ppp.jaworzno.edu.pl</t>
  </si>
  <si>
    <t>PORADNIA PSYCHOLOGICZNO-PEDAGOGICZNA W JĘDRZEJOWIE</t>
  </si>
  <si>
    <t>jędrzejowski</t>
  </si>
  <si>
    <t>Jędrzejów</t>
  </si>
  <si>
    <t>ul. Władysława Stanisława Reymonta</t>
  </si>
  <si>
    <t>sekretariat@pppjedrzejow.org</t>
  </si>
  <si>
    <t>pppjedrzejow.org</t>
  </si>
  <si>
    <t>PORADNIA PSYCHOLOGICZNO-PEDAGOGICZNA W JELCZU-LASKOWICACH</t>
  </si>
  <si>
    <t>oławski</t>
  </si>
  <si>
    <t>Jelcz-Laskowice</t>
  </si>
  <si>
    <t>ul. Aleja Młodych</t>
  </si>
  <si>
    <t>sekretariat@pppjelczlaskowice.pl</t>
  </si>
  <si>
    <t>www.pppjelczlaskowice.pl</t>
  </si>
  <si>
    <t>Oława</t>
  </si>
  <si>
    <t>PORADNIA PSYCHOLOGICZNO-PEDAGOGICZNA W KAMIENIU POMORSKIM</t>
  </si>
  <si>
    <t>ul. Wolińska</t>
  </si>
  <si>
    <t>sekretariat@pppkamien.pl</t>
  </si>
  <si>
    <t>https://ppp.powiatkamienski.pl</t>
  </si>
  <si>
    <t>PORADNIA PSYCHOLOGICZNO-PEDAGOGICZNA W KARTUZACH</t>
  </si>
  <si>
    <t>sekretariat@pppkartuzy.pl</t>
  </si>
  <si>
    <t>www.pppkartuzy.pl</t>
  </si>
  <si>
    <t>PORADNIA PSYCHOLOGICZNO-PEDAGOGICZNA W KAZIMIERZY WIELKIEJ</t>
  </si>
  <si>
    <t>kazimierski</t>
  </si>
  <si>
    <t>Kazimierza Wielka</t>
  </si>
  <si>
    <t>ul. Partyzantów</t>
  </si>
  <si>
    <t>sekretariat@poradnia.kazimierzaw.pl</t>
  </si>
  <si>
    <t>www.poradnia.kazimierzaw.pl</t>
  </si>
  <si>
    <t>PORADNIA PSYCHOLOGICZNO-PEDAGOGICZNA W KĘPNIE</t>
  </si>
  <si>
    <t>kępiński</t>
  </si>
  <si>
    <t>Kępno</t>
  </si>
  <si>
    <t>ul. Sienkiewicza</t>
  </si>
  <si>
    <t>sekretariat@poradnia.kepno.pl</t>
  </si>
  <si>
    <t>bipppp.powiatkepno.pl</t>
  </si>
  <si>
    <t>PORADNIA PSYCHOLOGICZNO-PEDAGOGICZNA W KĘTACH</t>
  </si>
  <si>
    <t>Kęty</t>
  </si>
  <si>
    <t>biuro@poradniakety.pl</t>
  </si>
  <si>
    <t>www.poradniakety.pl</t>
  </si>
  <si>
    <t>PORADNIA PSYCHOLOGICZNO-PEDAGOGICZNA W KLUCZBORKU</t>
  </si>
  <si>
    <t>kluczborski</t>
  </si>
  <si>
    <t>Kluczbork</t>
  </si>
  <si>
    <t>sekretariat@poradniakluczbork.pl</t>
  </si>
  <si>
    <t>www.poradniakluczbork.pl</t>
  </si>
  <si>
    <t>PORADNIA PSYCHOLOGICZNO-PEDAGOGICZNA W KNUROWIE</t>
  </si>
  <si>
    <t>gliwicki</t>
  </si>
  <si>
    <t>Knurów</t>
  </si>
  <si>
    <t>ul. Kosmonautów</t>
  </si>
  <si>
    <t>sekretariat@pppknurow.com.pl</t>
  </si>
  <si>
    <t>pppknurow.szkolnastrona.pl</t>
  </si>
  <si>
    <t>Swarzędz</t>
  </si>
  <si>
    <t>Kobylnica</t>
  </si>
  <si>
    <t>sekretariat.kobylnica@pppkobylnica.pl</t>
  </si>
  <si>
    <t>PORADNIA PSYCHOLOGICZNO-PEDAGOGICZNA W KOLBUSZOWEJ</t>
  </si>
  <si>
    <t>kolbuszowski</t>
  </si>
  <si>
    <t>Kolbuszowa</t>
  </si>
  <si>
    <t>ul. 11-go Listopada</t>
  </si>
  <si>
    <t>ppp@kolbuszowski.pl</t>
  </si>
  <si>
    <t>www.poradnia.kolbuszowa.pl</t>
  </si>
  <si>
    <t>PORADNIA PSYCHOLOGICZNO-PEDAGOGICZNA W KOLNIE</t>
  </si>
  <si>
    <t>kolneński</t>
  </si>
  <si>
    <t>Kolno</t>
  </si>
  <si>
    <t>ppp@powiatkolno.pl</t>
  </si>
  <si>
    <t>www.pppkolno.pl</t>
  </si>
  <si>
    <t>PORADNIA PSYCHOLOGICZNO-PEDAGOGICZNA W KOLUSZKACH</t>
  </si>
  <si>
    <t>łódzki wschodni</t>
  </si>
  <si>
    <t>Koluszki</t>
  </si>
  <si>
    <t>ul. Korczaka</t>
  </si>
  <si>
    <t>sekretariat@pppkoluszki.eu</t>
  </si>
  <si>
    <t>www.ppp-koluszki.pl</t>
  </si>
  <si>
    <t>PORADNIA PSYCHOLOGICZNO-PEDAGOGICZNA W KOŃSKICH</t>
  </si>
  <si>
    <t>konecki</t>
  </si>
  <si>
    <t>Końskie</t>
  </si>
  <si>
    <t>ul. Stanisława Staszica</t>
  </si>
  <si>
    <t>sekretariat@pppkonskie.pl</t>
  </si>
  <si>
    <t>PORADNIA PSYCHOLOGICZNO-PEDAGOGICZNA W KONSTANTYNOWIE ŁÓDZKIM</t>
  </si>
  <si>
    <t>pabianicki</t>
  </si>
  <si>
    <t>Konstantynów Łódzki</t>
  </si>
  <si>
    <t>sekretariat@pppkonstantynow.pl</t>
  </si>
  <si>
    <t>pppkonstantynow.pl</t>
  </si>
  <si>
    <t>Pabianice</t>
  </si>
  <si>
    <t>PORADNIA PSYCHOLOGICZNO-PEDAGOGICZNA W KOSTRZYNIE NAD ODRĄ</t>
  </si>
  <si>
    <t>gorzowski</t>
  </si>
  <si>
    <t>Kostrzyn nad Odrą</t>
  </si>
  <si>
    <t>os. Osiedle Leśne</t>
  </si>
  <si>
    <t>kontakt@pppkostrzyn.pl</t>
  </si>
  <si>
    <t>pppkostrzyn.pl</t>
  </si>
  <si>
    <t>PORADNIA PSYCHOLOGICZNO-PEDAGOGICZNA W KOZIENCACH</t>
  </si>
  <si>
    <t>kozienicki</t>
  </si>
  <si>
    <t>Kozienice</t>
  </si>
  <si>
    <t>poradnia.psych.ped@kozienicepowiat.pl</t>
  </si>
  <si>
    <t>PORADNIA PSYCHOLOGICZNO-PEDAGOGICZNA W KROTOSZYNIE</t>
  </si>
  <si>
    <t>krotoszyński</t>
  </si>
  <si>
    <t>Krotoszyn</t>
  </si>
  <si>
    <t>ul. Floriańska</t>
  </si>
  <si>
    <t>sekretariat@ppp.krotoszyn.pl</t>
  </si>
  <si>
    <t>ppp.krotoszyn.pl</t>
  </si>
  <si>
    <t>PORADNIA PSYCHOLOGICZNO-PEDAGOGICZNA W KRZESZOWICACH</t>
  </si>
  <si>
    <t>krakowski</t>
  </si>
  <si>
    <t>Krzeszowice</t>
  </si>
  <si>
    <t>poradniapp@gminakrzeszowice.pl</t>
  </si>
  <si>
    <t>www.poradniakrzeszowice.szkolnastrona.pl</t>
  </si>
  <si>
    <t>PORADNIA PSYCHOLOGICZNO-PEDAGOGICZNA W KRZYŻU WLKP.</t>
  </si>
  <si>
    <t>Krzyż Wielkopolski</t>
  </si>
  <si>
    <t>sekretariat@pppkrzyz.pl</t>
  </si>
  <si>
    <t>www.pppkrzyz.pl</t>
  </si>
  <si>
    <t>PORADNIA PSYCHOLOGICZNO-PEDAGOGICZNA W KUTNIE</t>
  </si>
  <si>
    <t>kutnowski</t>
  </si>
  <si>
    <t>Kutno</t>
  </si>
  <si>
    <t>sekretariat@pppkutno.pl</t>
  </si>
  <si>
    <t>www.pppkutno.pl</t>
  </si>
  <si>
    <t>PORADNIA PSYCHOLOGICZNO-PEDAGOGICZNA W KWIDZYNIE</t>
  </si>
  <si>
    <t>kwidzyński</t>
  </si>
  <si>
    <t>Kwidzyn</t>
  </si>
  <si>
    <t>ul. Grudziądzka</t>
  </si>
  <si>
    <t>ppp@pppkwidzyn.pl</t>
  </si>
  <si>
    <t>pppkwidzyn.pl</t>
  </si>
  <si>
    <t>PORADNIA PSYCHOLOGICZNO-PEDAGOGICZNA W KWIDZYNIE FILIA W PRABUTACH</t>
  </si>
  <si>
    <t>Prabuty</t>
  </si>
  <si>
    <t>ul. Reymonta</t>
  </si>
  <si>
    <t>prabuty@pppkwidzyn.pl</t>
  </si>
  <si>
    <t>www.pppkwidzyn.pl</t>
  </si>
  <si>
    <t>PORADNIA PSYCHOLOGICZNO-PEDAGOGICZNA W ŁAPACH</t>
  </si>
  <si>
    <t>białostocki</t>
  </si>
  <si>
    <t>Łapy</t>
  </si>
  <si>
    <t>ul. Bohaterów Westerplatte</t>
  </si>
  <si>
    <t>kontakt@ppp.lapy.pl</t>
  </si>
  <si>
    <t>www.ppp.lapy.pl</t>
  </si>
  <si>
    <t>PORADNIA PSYCHOLOGICZNO-PEDAGOGICZNA W ŁĘCZNEJ</t>
  </si>
  <si>
    <t>łęczyński</t>
  </si>
  <si>
    <t>Łęczna</t>
  </si>
  <si>
    <t>ul. Aleja Jana Pawła II</t>
  </si>
  <si>
    <t>ppp@ppp.powiatleczynski.pl</t>
  </si>
  <si>
    <t>www.poradnialeczna.pl</t>
  </si>
  <si>
    <t>PORADNIA PSYCHOLOGICZNO-PEDAGOGICZNA W LESZNIE</t>
  </si>
  <si>
    <t>Leszno</t>
  </si>
  <si>
    <t>kontakt@poradnia-leszno.pl</t>
  </si>
  <si>
    <t>PORADNIA PSYCHOLOGICZNO-PEDAGOGICZNA W LIPNIE</t>
  </si>
  <si>
    <t>lipnowski</t>
  </si>
  <si>
    <t>Lipno</t>
  </si>
  <si>
    <t>pl. Plac 11 Listopada</t>
  </si>
  <si>
    <t>sekretariat@poradnialipno.pl</t>
  </si>
  <si>
    <t>poradnialipno.pl</t>
  </si>
  <si>
    <t>PORADNIA PSYCHOLOGICZNO-PEDAGOGICZNA W LIPSKU</t>
  </si>
  <si>
    <t>lipski</t>
  </si>
  <si>
    <t>Lipsko</t>
  </si>
  <si>
    <t>ul. Witosa</t>
  </si>
  <si>
    <t>sekretariat@poradniapplipsko.pl</t>
  </si>
  <si>
    <t>www.poradniapplipsko.pl</t>
  </si>
  <si>
    <t>PORADNIA PSYCHOLOGICZNO-PEDAGOGICZNA W ŁOMIANKACH</t>
  </si>
  <si>
    <t>Łomianki</t>
  </si>
  <si>
    <t>sekretariat_dziekanow@zpppblonie.pl</t>
  </si>
  <si>
    <t>PORADNIA PSYCHOLOGICZNO-PEDAGOGICZNA W ŁOWICZU</t>
  </si>
  <si>
    <t>łowicki</t>
  </si>
  <si>
    <t>Łowicz</t>
  </si>
  <si>
    <t>poczta@poradnia.lowicz.pl</t>
  </si>
  <si>
    <t>www.poradnia.lowicz.pl</t>
  </si>
  <si>
    <t>PORADNIA PSYCHOLOGICZNO-PEDAGOGICZNA W LUBACZOWIE</t>
  </si>
  <si>
    <t>lubaczowski</t>
  </si>
  <si>
    <t>Lubaczów</t>
  </si>
  <si>
    <t>sekretariat@ppplubaczow.pl</t>
  </si>
  <si>
    <t>www.ppplubaczow.pl</t>
  </si>
  <si>
    <t>PORADNIA PSYCHOLOGICZNO-PEDAGOGICZNA W LUBANIU</t>
  </si>
  <si>
    <t>lubański</t>
  </si>
  <si>
    <t>Lubań</t>
  </si>
  <si>
    <t>ul. Władysława Łokietka</t>
  </si>
  <si>
    <t>sekretariat@pppluban.org</t>
  </si>
  <si>
    <t>http://www.pppluban.org/</t>
  </si>
  <si>
    <t>PORADNIA PSYCHOLOGICZNO-PEDAGOGICZNA W LUBINIE</t>
  </si>
  <si>
    <t>ul. Aleja Komisji Edukacji Narodowej</t>
  </si>
  <si>
    <t>poradnia@ppplubin.pl</t>
  </si>
  <si>
    <t>www.ppplubin.pl</t>
  </si>
  <si>
    <t>Luboń</t>
  </si>
  <si>
    <t>ul. Wschodnia</t>
  </si>
  <si>
    <t>sekretariat@ppplubon.pl</t>
  </si>
  <si>
    <t>PORADNIA PSYCHOLOGICZNO-PEDAGOGICZNA W LUBONIU FILIA W SUCHYM LESIE</t>
  </si>
  <si>
    <t>Suchy Las</t>
  </si>
  <si>
    <t>suchylas@ppplubon.pl</t>
  </si>
  <si>
    <t>PORADNIA PSYCHOLOGICZNO-PEDAGOGICZNA W LUBONIU FILIA W TARNOWIE PODGÓRNYM</t>
  </si>
  <si>
    <t>Tarnowo Podgórne</t>
  </si>
  <si>
    <t>tarnowopodgorne@ppplubon.pl</t>
  </si>
  <si>
    <t>PORADNIA PSYCHOLOGICZNO-PEDAGOGICZNA W ŁUKOWIE</t>
  </si>
  <si>
    <t>łukowski</t>
  </si>
  <si>
    <t>Łuków</t>
  </si>
  <si>
    <t>ul. ks. kard. Stefana Wyszyńskiego</t>
  </si>
  <si>
    <t>ppp_lukow@interia.pl</t>
  </si>
  <si>
    <t>www.poradnia.lukow.pl</t>
  </si>
  <si>
    <t>PORADNIA PSYCHOLOGICZNO-PEDAGOGICZNA W LWÓWKU ŚLĄSKIM</t>
  </si>
  <si>
    <t>ul. Henryka Brodatego</t>
  </si>
  <si>
    <t>poradnia.lwowek@porelwowek.pl</t>
  </si>
  <si>
    <t>www.porelwowek.pl</t>
  </si>
  <si>
    <t>PORADNIA PSYCHOLOGICZNO-PEDAGOGICZNA W MARKACH</t>
  </si>
  <si>
    <t>wołomiński</t>
  </si>
  <si>
    <t>Marki</t>
  </si>
  <si>
    <t>ul. gen. Józefa Zajączka</t>
  </si>
  <si>
    <t>sekretariat@poradniamarki.pl</t>
  </si>
  <si>
    <t>www.poradniamarki.pl</t>
  </si>
  <si>
    <t>Wołomin</t>
  </si>
  <si>
    <t>PORADNIA PSYCHOLOGICZNO-PEDAGOGICZNA W MIASTKU</t>
  </si>
  <si>
    <t>Miastko</t>
  </si>
  <si>
    <t>ul. Młodzieżowa</t>
  </si>
  <si>
    <t>biuro@poradnia.miastko.com.pl</t>
  </si>
  <si>
    <t>poradnia.miastko.com.pl</t>
  </si>
  <si>
    <t>PORADNIA PSYCHOLOGICZNO-PEDAGOGICZNA W MIECHOWIE</t>
  </si>
  <si>
    <t>miechowski</t>
  </si>
  <si>
    <t>Miechów</t>
  </si>
  <si>
    <t>poradnia@miechow.com</t>
  </si>
  <si>
    <t>http://ppp.miechow.pl</t>
  </si>
  <si>
    <t>PORADNIA PSYCHOLOGICZNO-PEDAGOGICZNA W MIĘDZYCHODZIE</t>
  </si>
  <si>
    <t>międzychodzki</t>
  </si>
  <si>
    <t>Międzychód</t>
  </si>
  <si>
    <t>ul. św. Jana Pawła II</t>
  </si>
  <si>
    <t>mchod.poradnia@poczta.fm</t>
  </si>
  <si>
    <t>PORADNIA PSYCHOLOGICZNO-PEDAGOGICZNA W MIEJSCU PIASTOWYM</t>
  </si>
  <si>
    <t>Miejsce Piastowe</t>
  </si>
  <si>
    <t>ul. Dworska</t>
  </si>
  <si>
    <t>ppp_mpiastowe@op.pl</t>
  </si>
  <si>
    <t>www.poradnia.vot.pl</t>
  </si>
  <si>
    <t>PORADNIA PSYCHOLOGICZNO-PEDAGOGICZNA W MILICZ</t>
  </si>
  <si>
    <t>milicki</t>
  </si>
  <si>
    <t>Milicz</t>
  </si>
  <si>
    <t>ul. Trzebnicka</t>
  </si>
  <si>
    <t>poradnia@pceipp.pl</t>
  </si>
  <si>
    <t>www.pceipp.pl</t>
  </si>
  <si>
    <t>PORADNIA PSYCHOLOGICZNO-PEDAGOGICZNA W MIŃSKU MAZOWIECKIM</t>
  </si>
  <si>
    <t>sekretariat@poradniamm.edu.pl</t>
  </si>
  <si>
    <t>www.poradniamm.edu.pl</t>
  </si>
  <si>
    <t>PORADNIA PSYCHOLOGICZNO-PEDAGOGICZNA W MŁAWIE</t>
  </si>
  <si>
    <t>mławski</t>
  </si>
  <si>
    <t>Mława</t>
  </si>
  <si>
    <t>ul. Stanisława Wyspiańskiego</t>
  </si>
  <si>
    <t>ppp_mlawa@poczta.onet.pl</t>
  </si>
  <si>
    <t>pppmlawa.pl</t>
  </si>
  <si>
    <t>PORADNIA PSYCHOLOGICZNO-PEDAGOGICZNA W MOGILNIE</t>
  </si>
  <si>
    <t>mogileński</t>
  </si>
  <si>
    <t>Mogilno</t>
  </si>
  <si>
    <t>ul. Benedyktyńska</t>
  </si>
  <si>
    <t>poradnia_mogilno@wp.pl</t>
  </si>
  <si>
    <t>www.pppmogilno.pl</t>
  </si>
  <si>
    <t>PORADNIA PSYCHOLOGICZNO-PEDAGOGICZNA W MOŃKACH</t>
  </si>
  <si>
    <t>moniecki</t>
  </si>
  <si>
    <t>Mońki</t>
  </si>
  <si>
    <t>ul. Tysiąclecia</t>
  </si>
  <si>
    <t>kancelaria@pppmonki.pl</t>
  </si>
  <si>
    <t>www.pppmonki.pl</t>
  </si>
  <si>
    <t>PORADNIA PSYCHOLOGICZNO-PEDAGOGICZNA W MORĄGU</t>
  </si>
  <si>
    <t>ostródzki</t>
  </si>
  <si>
    <t>Morąg</t>
  </si>
  <si>
    <t>ul. Leśna</t>
  </si>
  <si>
    <t>poradniappp@moragzszio.com.pl</t>
  </si>
  <si>
    <t>www.pppmorag.com.pl</t>
  </si>
  <si>
    <t>Ostróda</t>
  </si>
  <si>
    <t>PORADNIA PSYCHOLOGICZNO-PEDAGOGICZNA W MRĄGOWIE</t>
  </si>
  <si>
    <t>mrągowski</t>
  </si>
  <si>
    <t>Mrągowo</t>
  </si>
  <si>
    <t>ul. Nadbrzeżna</t>
  </si>
  <si>
    <t>biuro@poradnia-mragowo.pl</t>
  </si>
  <si>
    <t>www.poradnia-mragowo.pl</t>
  </si>
  <si>
    <t>PORADNIA PSYCHOLOGICZNO-PEDAGOGICZNA W MYŚLIBORZU</t>
  </si>
  <si>
    <t>ul. Spokojna</t>
  </si>
  <si>
    <t>sekretariat@pppmysliborz.pl</t>
  </si>
  <si>
    <t>www.pppmysliborz.szkolnastrona.pl</t>
  </si>
  <si>
    <t>PORADNIA PSYCHOLOGICZNO-PEDAGOGICZNA W MYSŁOWICACH</t>
  </si>
  <si>
    <t>Mysłowice</t>
  </si>
  <si>
    <t>ul. Wielka Skotnica</t>
  </si>
  <si>
    <t>sekretariat@pppmyslowice.pl</t>
  </si>
  <si>
    <t>https://pppmyslowice.pl/</t>
  </si>
  <si>
    <t>PORADNIA PSYCHOLOGICZNO-PEDAGOGICZNA W NIEMODLINIE</t>
  </si>
  <si>
    <t>opolski</t>
  </si>
  <si>
    <t>Niemodlin</t>
  </si>
  <si>
    <t>sekretariat@pppniemodlin.pl</t>
  </si>
  <si>
    <t>www.pppniemodlin.pl</t>
  </si>
  <si>
    <t>PORADNIA PSYCHOLOGICZNO-PEDAGOGICZNA W NOWYM DWORZE MAZOWIECKIM FILIA W NASIELSKU</t>
  </si>
  <si>
    <t>Nasielsk</t>
  </si>
  <si>
    <t>ppp.nasielsk@pppndm.pl</t>
  </si>
  <si>
    <t>PORADNIA PSYCHOLOGICZNO-PEDAGOGICZNA W NOWYM SĄCZU</t>
  </si>
  <si>
    <t>Nowy Sącz</t>
  </si>
  <si>
    <t>ul. Władysława Broniewskiego</t>
  </si>
  <si>
    <t>poradnia.pp@edu.nowysacz.pl</t>
  </si>
  <si>
    <t>www.poradnia-nowysacz.pl</t>
  </si>
  <si>
    <t>PORADNIA PSYCHOLOGICZNO-PEDAGOGICZNA W NYSIE</t>
  </si>
  <si>
    <t>nyski</t>
  </si>
  <si>
    <t>Nysa</t>
  </si>
  <si>
    <t>ul. Słowiańska</t>
  </si>
  <si>
    <t>pppnysa@tlen.pl</t>
  </si>
  <si>
    <t>ppp.nysa.pl</t>
  </si>
  <si>
    <t>PORADNIA PSYCHOLOGICZNO-PEDAGOGICZNA W OBORNIKACH</t>
  </si>
  <si>
    <t>obornicki</t>
  </si>
  <si>
    <t>Oborniki</t>
  </si>
  <si>
    <t>poradnia.oborniki@wp.pl</t>
  </si>
  <si>
    <t>https://pppoborniki.szkolnastrona.pl/</t>
  </si>
  <si>
    <t>PORADNIA PSYCHOLOGICZNO-PEDAGOGICZNA W OŁAWIE</t>
  </si>
  <si>
    <t>pl. Zamkowy</t>
  </si>
  <si>
    <t>sekretariat-poradnia@poradnia.olawa.pl</t>
  </si>
  <si>
    <t>www.poradnia.olawa.pl</t>
  </si>
  <si>
    <t>PORADNIA PSYCHOLOGICZNO-PEDAGOGICZNA W OLECKU</t>
  </si>
  <si>
    <t>olecki</t>
  </si>
  <si>
    <t>Olecko</t>
  </si>
  <si>
    <t>ul. Zamkowa</t>
  </si>
  <si>
    <t>ppp@powiat.olecko.pl</t>
  </si>
  <si>
    <t>www.pcwe.olecko.pl</t>
  </si>
  <si>
    <t>PORADNIA PSYCHOLOGICZNO-PEDAGOGICZNA W OLEŚNICY</t>
  </si>
  <si>
    <t>oleśnicki</t>
  </si>
  <si>
    <t>Oleśnica</t>
  </si>
  <si>
    <t>sekretariat.olesnica@zppp-olesnica.pl</t>
  </si>
  <si>
    <t>zppp-olesnica.pl</t>
  </si>
  <si>
    <t>ul. Legionów Polskich</t>
  </si>
  <si>
    <t>sekretariat@pppolkusz.pl</t>
  </si>
  <si>
    <t>www.pppolkusz.pl</t>
  </si>
  <si>
    <t>PORADNIA PSYCHOLOGICZNO-PEDAGOGICZNA W OPATOWIE</t>
  </si>
  <si>
    <t>opatowski</t>
  </si>
  <si>
    <t>Opatów</t>
  </si>
  <si>
    <t>ul. Stefanii Sempołowskiej</t>
  </si>
  <si>
    <t>sekretariat@pppopatow.pl</t>
  </si>
  <si>
    <t>www.pppopatowszkolnastrona.pl</t>
  </si>
  <si>
    <t>PORADNIA PSYCHOLOGICZNO-PEDAGOGICZNA W OPOCZNIE</t>
  </si>
  <si>
    <t>opoczyński</t>
  </si>
  <si>
    <t>Opoczno</t>
  </si>
  <si>
    <t>sekretariat@pppopoczno.pl</t>
  </si>
  <si>
    <t>http://pppopoczno.pl/</t>
  </si>
  <si>
    <t>PORADNIA PSYCHOLOGICZNO-PEDAGOGICZNA W OPOCZNIE FILIA W DRZEWICY</t>
  </si>
  <si>
    <t>Drzewica</t>
  </si>
  <si>
    <t>pppdrzewica@gmail.com</t>
  </si>
  <si>
    <t>PORADNIA PSYCHOLOGICZNO-PEDAGOGICZNA W OPOLU</t>
  </si>
  <si>
    <t>ul. Książąt Opolskich</t>
  </si>
  <si>
    <t>sekretariat@pppopole.pl</t>
  </si>
  <si>
    <t>www.pppopole.pl</t>
  </si>
  <si>
    <t>PORADNIA PSYCHOLOGICZNO-PEDAGOGICZNA W OPOLU LUBELSKIM</t>
  </si>
  <si>
    <t>Opole Lubelskie</t>
  </si>
  <si>
    <t>sekretariat@poradniappopolelub.pl</t>
  </si>
  <si>
    <t>PORADNIA PSYCHOLOGICZNO-PEDAGOGICZNA W OSTRÓDZIE</t>
  </si>
  <si>
    <t>sekretariat@poradnia.ostroda.pl</t>
  </si>
  <si>
    <t>www.poradnia.ostroda.pl</t>
  </si>
  <si>
    <t>PORADNIA PSYCHOLOGICZNO-PEDAGOGICZNA W OSTROWCU ŚWIĘTOKRZYSKIM</t>
  </si>
  <si>
    <t>ostrowiecki</t>
  </si>
  <si>
    <t>Ostrowiec Świętokrzyski</t>
  </si>
  <si>
    <t>dyrektor@pp-p.ostrowiec.pl</t>
  </si>
  <si>
    <t>www.pp-p.ostrowiec.pl</t>
  </si>
  <si>
    <t>PORADNIA PSYCHOLOGICZNO-PEDAGOGICZNA W OSTROWI MAZOWIECKIEJ</t>
  </si>
  <si>
    <t>Ostrów Mazowiecka</t>
  </si>
  <si>
    <t>ul. Romana Rubinkowskiego</t>
  </si>
  <si>
    <t>sekretariat@pppom.szkolnastrona.pl</t>
  </si>
  <si>
    <t>www.pppom.szkolnastrona.pl</t>
  </si>
  <si>
    <t>PORADNIA PSYCHOLOGICZNO-PEDAGOGICZNA W OŚWIĘCIMIU</t>
  </si>
  <si>
    <t>ul. gen. Józefa Bema</t>
  </si>
  <si>
    <t>info@poradnia-oswiecim.pl</t>
  </si>
  <si>
    <t>www.poradnia-oswiecim.pl</t>
  </si>
  <si>
    <t>PORADNIA PSYCHOLOGICZNO-PEDAGOGICZNA W OŻAROWIE</t>
  </si>
  <si>
    <t>Ożarów</t>
  </si>
  <si>
    <t>os. Wzgórze</t>
  </si>
  <si>
    <t>sekretariat.ozarow@pppopatow.pl</t>
  </si>
  <si>
    <t>ul. Konotopska</t>
  </si>
  <si>
    <t>sekretariat_ozarow@zpppblonie.pl</t>
  </si>
  <si>
    <t>PORADNIA PSYCHOLOGICZNO-PEDAGOGICZNA W OZIMKU</t>
  </si>
  <si>
    <t>Ozimek</t>
  </si>
  <si>
    <t>ul. Częstochowska</t>
  </si>
  <si>
    <t>sekretariat@pppozimek.pl</t>
  </si>
  <si>
    <t>www.pppozimek.pl</t>
  </si>
  <si>
    <t>PORADNIA PSYCHOLOGICZNO-PEDAGOGICZNA W PABIANICACH</t>
  </si>
  <si>
    <t>ul. Bracka</t>
  </si>
  <si>
    <t>sekretariat@ppppabianice.eu</t>
  </si>
  <si>
    <t>www.ppppabianice.eu</t>
  </si>
  <si>
    <t>PORADNIA PSYCHOLOGICZNO-PEDAGOGICZNA W PASŁĘKU</t>
  </si>
  <si>
    <t>elbląski</t>
  </si>
  <si>
    <t>Pasłęk</t>
  </si>
  <si>
    <t>ul. Bankowa</t>
  </si>
  <si>
    <t>poradnia@ppp-paslek.pl</t>
  </si>
  <si>
    <t>www.ppp-paslek.pl</t>
  </si>
  <si>
    <t>PORADNIA PSYCHOLOGICZNO-PEDAGOGICZNA W PIEKARACH ŚLĄSKICH</t>
  </si>
  <si>
    <t>Piekary Śląskie</t>
  </si>
  <si>
    <t>ppp@piekary.pl</t>
  </si>
  <si>
    <t>www.poradnia.piekary.pl</t>
  </si>
  <si>
    <t>PORADNIA PSYCHOLOGICZNO-PEDAGOGICZNA W PIŃCZOWIE</t>
  </si>
  <si>
    <t>pińczowski</t>
  </si>
  <si>
    <t>Pińczów</t>
  </si>
  <si>
    <t>ul. Spółdzielcza</t>
  </si>
  <si>
    <t>ppp_pinczow@wp.pl</t>
  </si>
  <si>
    <t>PORADNIA PSYCHOLOGICZNO-PEDAGOGICZNA W PIONKACH</t>
  </si>
  <si>
    <t>Pionki</t>
  </si>
  <si>
    <t>poradniapionki@interia.pl</t>
  </si>
  <si>
    <t>www.ppppionki.szkolnastrona.pl</t>
  </si>
  <si>
    <t>PORADNIA PSYCHOLOGICZNO-PEDAGOGICZNA W PIOTRKOWIE TRYBUNALSKIM</t>
  </si>
  <si>
    <t>Piotrków Trybunalski</t>
  </si>
  <si>
    <t>ul. Romana Dmowskiego</t>
  </si>
  <si>
    <t>poradnia@poradnia.piotrkow.pl</t>
  </si>
  <si>
    <t>www.poradnia.piotrkow.pl</t>
  </si>
  <si>
    <t>PORADNIA PSYCHOLOGICZNO-PEDAGOGICZNA W PŁAWANICACH</t>
  </si>
  <si>
    <t>chełmski</t>
  </si>
  <si>
    <t>Kamień</t>
  </si>
  <si>
    <t>Pławanice</t>
  </si>
  <si>
    <t>poradnia@ppp-plawanice.pl</t>
  </si>
  <si>
    <t>PORADNIA PSYCHOLOGICZNO-PEDAGOGICZNA W PŁOŃSKU</t>
  </si>
  <si>
    <t>płoński</t>
  </si>
  <si>
    <t>Płońsk</t>
  </si>
  <si>
    <t>sekretariat@poradniaplonsk.pl</t>
  </si>
  <si>
    <t>www.poradniaplonsk.pl</t>
  </si>
  <si>
    <t>PORADNIA PSYCHOLOGICZNO-PEDAGOGICZNA W PRUDNIKU</t>
  </si>
  <si>
    <t>prudnicki</t>
  </si>
  <si>
    <t>Prudnik</t>
  </si>
  <si>
    <t>sekretariat@poradniaprudnik.pl</t>
  </si>
  <si>
    <t>www.poradniaprudnik.pl</t>
  </si>
  <si>
    <t>PORADNIA PSYCHOLOGICZNO-PEDAGOGICZNA W PRUSZCZU GDAŃSKIM</t>
  </si>
  <si>
    <t>gdański</t>
  </si>
  <si>
    <t>Pruszcz Gdański</t>
  </si>
  <si>
    <t>sekretariat@poradniapruszcz.pl</t>
  </si>
  <si>
    <t>www.poradniapruszcz.pl</t>
  </si>
  <si>
    <t>PORADNIA PSYCHOLOGICZNO-PEDAGOGICZNA W PRZYSUSZE</t>
  </si>
  <si>
    <t>przysuski</t>
  </si>
  <si>
    <t>Przysucha</t>
  </si>
  <si>
    <t>ppp@przysucha.pl</t>
  </si>
  <si>
    <t>ppp.przysucha.pl</t>
  </si>
  <si>
    <t>PORADNIA PSYCHOLOGICZNO-PEDAGOGICZNA W PUŁAWACH IM. PROF.KAZIMIERZA DĄBROWSKIEGO</t>
  </si>
  <si>
    <t>puławski</t>
  </si>
  <si>
    <t>Puławy</t>
  </si>
  <si>
    <t>al. Królewska</t>
  </si>
  <si>
    <t>kancelaria@poradnia.pulawy.pl</t>
  </si>
  <si>
    <t>www.poradnia.pulawy.pl</t>
  </si>
  <si>
    <t>PORADNIA PSYCHOLOGICZNO-PEDAGOGICZNA W PUŁTUSKU</t>
  </si>
  <si>
    <t>pułtuski</t>
  </si>
  <si>
    <t>Pułtusk</t>
  </si>
  <si>
    <t>sekretariat@ppppultusk.pl</t>
  </si>
  <si>
    <t>Puszczykowo</t>
  </si>
  <si>
    <t>ul. Jana Żupańskiego</t>
  </si>
  <si>
    <t>Mosina</t>
  </si>
  <si>
    <t>sekretariat@pppuszczykowo.pl</t>
  </si>
  <si>
    <t>www.poradnie.powiat.poznan.pl</t>
  </si>
  <si>
    <t>PORADNIA PSYCHOLOGICZNO-PEDAGOGICZNA W PYSKOWICACH</t>
  </si>
  <si>
    <t>Pyskowice</t>
  </si>
  <si>
    <t>ul. kard. Stefana Wyszyńskiego</t>
  </si>
  <si>
    <t>ppppyskowice@poczta.onet.pl</t>
  </si>
  <si>
    <t>www.bip.ppppyskowice.powiatgliwicki.finn.pl</t>
  </si>
  <si>
    <t>PORADNIA PSYCHOLOGICZNO-PEDAGOGICZNA W RADOMIU</t>
  </si>
  <si>
    <t>ul. ks. Andrzeja Łukasika</t>
  </si>
  <si>
    <t>sekretariat@pppradom.radompowiat.com.pl</t>
  </si>
  <si>
    <t>www.pppradompowiat.com.pl</t>
  </si>
  <si>
    <t>PORADNIA PSYCHOLOGICZNO-PEDAGOGICZNA W RADOMSKU</t>
  </si>
  <si>
    <t>radomszczański</t>
  </si>
  <si>
    <t>Radomsko</t>
  </si>
  <si>
    <t>sekretariat@ppp.radomszczanski.pl</t>
  </si>
  <si>
    <t>www.ppp.radomsko.pl</t>
  </si>
  <si>
    <t>PORADNIA PSYCHOLOGICZNO-PEDAGOGICZNA W RADZYMINIE</t>
  </si>
  <si>
    <t>Radzymin</t>
  </si>
  <si>
    <t>ul. Mjr. Stefana Waltera</t>
  </si>
  <si>
    <t>sekretariat@poradniaradzymin.pl</t>
  </si>
  <si>
    <t>PORADNIA PSYCHOLOGICZNO-PEDAGOGICZNA W RADZYNIU PODLASKIM</t>
  </si>
  <si>
    <t>radzyński</t>
  </si>
  <si>
    <t>Radzyń Podlaski</t>
  </si>
  <si>
    <t>sekretariat.ppp.radzyn@pra.pl</t>
  </si>
  <si>
    <t>PORADNIA PSYCHOLOGICZNO-PEDAGOGICZNA W RAWICZU</t>
  </si>
  <si>
    <t>rawicki</t>
  </si>
  <si>
    <t>Rawicz</t>
  </si>
  <si>
    <t>ul. gen. Grota Roweckiego</t>
  </si>
  <si>
    <t>ppp@powiatrawicki.pl</t>
  </si>
  <si>
    <t>www.poradniarawicz.pl</t>
  </si>
  <si>
    <t>PORADNIA PSYCHOLOGICZNO-PEDAGOGICZNA W RAWIE MAZOWIECKIEJ</t>
  </si>
  <si>
    <t>rawski</t>
  </si>
  <si>
    <t>Rawa Mazowiecka</t>
  </si>
  <si>
    <t>rawa_poradnia@op.pl</t>
  </si>
  <si>
    <t>poradniarawa.pl</t>
  </si>
  <si>
    <t>PORADNIA PSYCHOLOGICZNO-PEDAGOGICZNA W REJOWCU FABRYCZNYM</t>
  </si>
  <si>
    <t>Rejowiec Fabryczny</t>
  </si>
  <si>
    <t>ul. Lubelska</t>
  </si>
  <si>
    <t>poradnia@ppp-rejowiec.pl</t>
  </si>
  <si>
    <t>PORADNIA PSYCHOLOGICZNO-PEDAGOGICZNA W ROGOŹNIE</t>
  </si>
  <si>
    <t>Rogoźno</t>
  </si>
  <si>
    <t>ppprogozno@poczta.onet.pl</t>
  </si>
  <si>
    <t>https://ppprogozno.pl/</t>
  </si>
  <si>
    <t>PORADNIA PSYCHOLOGICZNO-PEDAGOGICZNA W ROPCZYCACH</t>
  </si>
  <si>
    <t>ropczycko-sędziszowski</t>
  </si>
  <si>
    <t>Ropczyce</t>
  </si>
  <si>
    <t>sekretariat@pppropczyce.com.pl</t>
  </si>
  <si>
    <t>www.poradniapp.spropczyce.pl</t>
  </si>
  <si>
    <t>PORADNIA PSYCHOLOGICZNO-PEDAGOGICZNA W RUDZIE ŚLĄSKIEJ</t>
  </si>
  <si>
    <t>Ruda Śląska</t>
  </si>
  <si>
    <t>sekretariat@ppprudaslaska.pl</t>
  </si>
  <si>
    <t>www.ppprudaslaska.pl</t>
  </si>
  <si>
    <t>PORADNIA PSYCHOLOGICZNO-PEDAGOGICZNA W RUMI</t>
  </si>
  <si>
    <t>wejherowski</t>
  </si>
  <si>
    <t>Rumia</t>
  </si>
  <si>
    <t>ul. Pomorska</t>
  </si>
  <si>
    <t>ppprumia@poradnia-wejherowo.pl</t>
  </si>
  <si>
    <t>www.poradnia-wejherowo.pl</t>
  </si>
  <si>
    <t>Wejherowo</t>
  </si>
  <si>
    <t>PORADNIA PSYCHOLOGICZNO-PEDAGOGICZNA W RYBNIKU</t>
  </si>
  <si>
    <t>sekretariat@ppprybnik.pl</t>
  </si>
  <si>
    <t>www.ppprybnik.pl</t>
  </si>
  <si>
    <t>PORADNIA PSYCHOLOGICZNO-PEDAGOGICZNA W RYPINIE</t>
  </si>
  <si>
    <t>rypiński</t>
  </si>
  <si>
    <t>Rypin</t>
  </si>
  <si>
    <t>ul. Mławska</t>
  </si>
  <si>
    <t>sekretariat@ppprypin.pl</t>
  </si>
  <si>
    <t>PORADNIA PSYCHOLOGICZNO-PEDAGOGICZNA W SANDOMIERZU</t>
  </si>
  <si>
    <t>sandomierski</t>
  </si>
  <si>
    <t>Sandomierz</t>
  </si>
  <si>
    <t>sekretariat@ppp.sandomierz.pl</t>
  </si>
  <si>
    <t>ppp.sandomierz.pl</t>
  </si>
  <si>
    <t>PORADNIA PSYCHOLOGICZNO-PEDAGOGICZNA W SIEDLCACH</t>
  </si>
  <si>
    <t>Siedlce</t>
  </si>
  <si>
    <t>ul. Krystyny Osińskiej</t>
  </si>
  <si>
    <t>sekretariat@poradnia.siedlce.pl</t>
  </si>
  <si>
    <t>poradnia.siedlce.pl</t>
  </si>
  <si>
    <t>PORADNIA PSYCHOLOGICZNO-PEDAGOGICZNA W SIEMIANOWICACH ŚLĄSKICH</t>
  </si>
  <si>
    <t>Siemianowice Śląskie</t>
  </si>
  <si>
    <t>ul. Olimpijska</t>
  </si>
  <si>
    <t>ppp.poczta@siemianowice.pl</t>
  </si>
  <si>
    <t>www.ppp.siemianowice.pl</t>
  </si>
  <si>
    <t>PORADNIA PSYCHOLOGICZNO-PEDAGOGICZNA W SIERADZU</t>
  </si>
  <si>
    <t>sieradzki</t>
  </si>
  <si>
    <t>Sieradz</t>
  </si>
  <si>
    <t>pl. Plac Wojewódzki</t>
  </si>
  <si>
    <t>porped@poczta.onet.pl</t>
  </si>
  <si>
    <t>PORADNIA PSYCHOLOGICZNO-PEDAGOGICZNA W SIERPCU</t>
  </si>
  <si>
    <t>sierpecki</t>
  </si>
  <si>
    <t>Sierpc</t>
  </si>
  <si>
    <t>poradniasierpc@wp.pl</t>
  </si>
  <si>
    <t>PORADNIA PSYCHOLOGICZNO-PEDAGOGICZNA W SKARŻYSKU-KAMIENNEJ</t>
  </si>
  <si>
    <t>skarżyski</t>
  </si>
  <si>
    <t>Skarżysko-Kamienna</t>
  </si>
  <si>
    <t>pl. plac Floriański</t>
  </si>
  <si>
    <t>sekretariat@pppskarzysko.eu</t>
  </si>
  <si>
    <t>pppskarzysko.eu</t>
  </si>
  <si>
    <t>PORADNIA PSYCHOLOGICZNO-PEDAGOGICZNA W SKIERNIEWICACH</t>
  </si>
  <si>
    <t>Skierniewice</t>
  </si>
  <si>
    <t>ul. dr. Stanisława Rybickiego</t>
  </si>
  <si>
    <t>sekretariat@poradnia-skierniewice.pl</t>
  </si>
  <si>
    <t>www.poradnia-skierniewice.pl</t>
  </si>
  <si>
    <t>PORADNIA PSYCHOLOGICZNO-PEDAGOGICZNA W SŁUBICACH</t>
  </si>
  <si>
    <t>słubicki</t>
  </si>
  <si>
    <t>Słubice</t>
  </si>
  <si>
    <t>ppp@powiatslubicki.pl</t>
  </si>
  <si>
    <t>PORADNIA PSYCHOLOGICZNO-PEDAGOGICZNA W SŁUPCY</t>
  </si>
  <si>
    <t>słupecki</t>
  </si>
  <si>
    <t>Słupca</t>
  </si>
  <si>
    <t>sekretariat@poradniapp-slupca.pl</t>
  </si>
  <si>
    <t>www.poradniapp-slupca.pl</t>
  </si>
  <si>
    <t>PORADNIA PSYCHOLOGICZNO-PEDAGOGICZNA W SOCHACZEWIE</t>
  </si>
  <si>
    <t>sochaczewski</t>
  </si>
  <si>
    <t>Sochaczew</t>
  </si>
  <si>
    <t>ppp.sochaczew@wp.pl</t>
  </si>
  <si>
    <t>PORADNIA PSYCHOLOGICZNO-PEDAGOGICZNA W SOPOCIE</t>
  </si>
  <si>
    <t>Sopot</t>
  </si>
  <si>
    <t>ul. Władysława IV</t>
  </si>
  <si>
    <t>ppp@poradniasopot.pl</t>
  </si>
  <si>
    <t>www.poradniasopot.pl</t>
  </si>
  <si>
    <t>PORADNIA PSYCHOLOGICZNO-PEDAGOGICZNA W ŚREMIE</t>
  </si>
  <si>
    <t>śremski</t>
  </si>
  <si>
    <t>Śrem</t>
  </si>
  <si>
    <t>ul. Floriana Marciniaka</t>
  </si>
  <si>
    <t>ppp@poradniasrem.cop.pl</t>
  </si>
  <si>
    <t>www.poradniasrem.cop.pl</t>
  </si>
  <si>
    <t>PORADNIA PSYCHOLOGICZNO-PEDAGOGICZNA W ŚRODZIE WIELKOPOLSKIEJ</t>
  </si>
  <si>
    <t>Środa Wielkopolska</t>
  </si>
  <si>
    <t>sekretariat@pppsroda.pl</t>
  </si>
  <si>
    <t>www.pppsroda.pl</t>
  </si>
  <si>
    <t>PORADNIA PSYCHOLOGICZNO-PEDAGOGICZNA W STALOWEJ WOLI</t>
  </si>
  <si>
    <t>stalowowolski</t>
  </si>
  <si>
    <t>Stalowa Wola</t>
  </si>
  <si>
    <t>ul. Hutnicza</t>
  </si>
  <si>
    <t>ppp@stalowowolski.pl</t>
  </si>
  <si>
    <t>ppp.stalowowolski.pl</t>
  </si>
  <si>
    <t>PORADNIA PSYCHOLOGICZNO-PEDAGOGICZNA W STARACHOWICACH</t>
  </si>
  <si>
    <t>starachowicki</t>
  </si>
  <si>
    <t>Starachowice</t>
  </si>
  <si>
    <t>sekretariat@poradniastarachowice.pl</t>
  </si>
  <si>
    <t>poradniastarachowice.pl</t>
  </si>
  <si>
    <t>PORADNIA PSYCHOLOGICZNO-PEDAGOGICZNA W STAROGARDZIE GDAŃSKIM</t>
  </si>
  <si>
    <t>starogardzki</t>
  </si>
  <si>
    <t>Starogard Gdański</t>
  </si>
  <si>
    <t>ul. Grunwaldzka</t>
  </si>
  <si>
    <t>publiczna@pppstarogard.pl</t>
  </si>
  <si>
    <t>www.pppstarogard.pl</t>
  </si>
  <si>
    <t>PORADNIA PSYCHOLOGICZNO-PEDAGOGICZNA W STRZEGOMIU</t>
  </si>
  <si>
    <t>świdnicki</t>
  </si>
  <si>
    <t>Strzegom</t>
  </si>
  <si>
    <t>ul. Aleja Wojska Polskiego</t>
  </si>
  <si>
    <t>sekretariat@poradnia.swidnica.pl</t>
  </si>
  <si>
    <t>Świdnica</t>
  </si>
  <si>
    <t>PORADNIA PSYCHOLOGICZNO-PEDAGOGICZNA W STRZELINIE</t>
  </si>
  <si>
    <t>strzeliński</t>
  </si>
  <si>
    <t>Strzelin</t>
  </si>
  <si>
    <t>ul. Pocztowa</t>
  </si>
  <si>
    <t>biuro@poradnia-strzelin.edu.pl</t>
  </si>
  <si>
    <t>www.poradnia-strzelin.edu.pl</t>
  </si>
  <si>
    <t>PORADNIA PSYCHOLOGICZNO-PEDAGOGICZNA W ŚWIDNICY</t>
  </si>
  <si>
    <t>ul. Pionierów Ziemi Świdnickiej</t>
  </si>
  <si>
    <t>PORADNIA PSYCHOLOGICZNO-PEDAGOGICZNA W ŚWIDNIKU</t>
  </si>
  <si>
    <t>Świdnik</t>
  </si>
  <si>
    <t>ul. Cypriana Kamila Norwida</t>
  </si>
  <si>
    <t>info@poradnia.swidnik.pl</t>
  </si>
  <si>
    <t>www.poradnia.swidnik.pl</t>
  </si>
  <si>
    <t>PORADNIA PSYCHOLOGICZNO-PEDAGOGICZNA W ŚWIDWINIE</t>
  </si>
  <si>
    <t>ul. Drawska</t>
  </si>
  <si>
    <t>sekretariat@pppswidwin.pl</t>
  </si>
  <si>
    <t>www.pppswidwin.szkolnastrona.pl</t>
  </si>
  <si>
    <t>PORADNIA PSYCHOLOGICZNO-PEDAGOGICZNA W ŚWIEBODZICACH</t>
  </si>
  <si>
    <t>Świebodzice</t>
  </si>
  <si>
    <t>ul. Marii Skłodowskiej-Curie</t>
  </si>
  <si>
    <t>PORADNIA PSYCHOLOGICZNO-PEDAGOGICZNA W ŚWIĘTOCHŁOWICACH</t>
  </si>
  <si>
    <t>Świętochłowice</t>
  </si>
  <si>
    <t>ul. Sądowa</t>
  </si>
  <si>
    <t>sekretariat@ppp.swietochlowice.pl</t>
  </si>
  <si>
    <t>www.ppp.swietochlowice.pl</t>
  </si>
  <si>
    <t>PORADNIA PSYCHOLOGICZNO-PEDAGOGICZNA W SYCOWIE</t>
  </si>
  <si>
    <t>Syców</t>
  </si>
  <si>
    <t>sekretariat.sycow@zppp-olesnica.pl</t>
  </si>
  <si>
    <t>www.zppp.olesnica.pl</t>
  </si>
  <si>
    <t>PORADNIA PSYCHOLOGICZNO-PEDAGOGICZNA W SZAMOTUŁACH</t>
  </si>
  <si>
    <t>szamotulski</t>
  </si>
  <si>
    <t>Szamotuły</t>
  </si>
  <si>
    <t>sekretariat.szamotuly@poradnia-szamotuly.pl</t>
  </si>
  <si>
    <t>https://poradnia-szamotuly.pl/</t>
  </si>
  <si>
    <t>PORADNIA PSYCHOLOGICZNO-PEDAGOGICZNA W SZCZECINKU</t>
  </si>
  <si>
    <t>szczecinecki</t>
  </si>
  <si>
    <t>Szczecinek</t>
  </si>
  <si>
    <t>ul. Wiatraczna</t>
  </si>
  <si>
    <t>sekretariat@poradnia.szczecinek.pl</t>
  </si>
  <si>
    <t>www.poradnia.szczecinek.pl</t>
  </si>
  <si>
    <t>PORADNIA PSYCHOLOGICZNO-PEDAGOGICZNA W TARNOBRZEGU</t>
  </si>
  <si>
    <t>poradnia@oswiata.tarnobrzeg.pl</t>
  </si>
  <si>
    <t>www.poradnia.tarnobrzeg.pl</t>
  </si>
  <si>
    <t>PORADNIA PSYCHOLOGICZNO-PEDAGOGICZNA W TCZEWIE</t>
  </si>
  <si>
    <t>tczewski</t>
  </si>
  <si>
    <t>Tczew</t>
  </si>
  <si>
    <t>ppp.tczew@ppp.tczew.pl</t>
  </si>
  <si>
    <t>www.ppptczew.naszaporadnia.com</t>
  </si>
  <si>
    <t>PORADNIA PSYCHOLOGICZNO-PEDAGOGICZNA W TŁUSZCZU</t>
  </si>
  <si>
    <t>Tłuszcz</t>
  </si>
  <si>
    <t>ppptluszcz@op.pl</t>
  </si>
  <si>
    <t>www.ppptluszcz.pl</t>
  </si>
  <si>
    <t>PORADNIA PSYCHOLOGICZNO-PEDAGOGICZNA W TOMASZOWIE LUBELSKIM</t>
  </si>
  <si>
    <t>Tomaszów Lubelski</t>
  </si>
  <si>
    <t>ul. Siwa Dolina</t>
  </si>
  <si>
    <t>poradnia@ppp-tomaszow.pl</t>
  </si>
  <si>
    <t>www.ppp-tomaszow.pl</t>
  </si>
  <si>
    <t>PORADNIA PSYCHOLOGICZNO-PEDAGOGICZNA W TRZCIANCE</t>
  </si>
  <si>
    <t>Trzcianka</t>
  </si>
  <si>
    <t>poradnia@trzcianka.com.pl</t>
  </si>
  <si>
    <t>http://ppptrzcianka.szkolnastrona.pl/</t>
  </si>
  <si>
    <t>PORADNIA PSYCHOLOGICZNO-PEDAGOGICZNA W TURKU</t>
  </si>
  <si>
    <t>turecki</t>
  </si>
  <si>
    <t>Turek</t>
  </si>
  <si>
    <t>ul. Poduchowne</t>
  </si>
  <si>
    <t>ksiegowosc@ppp.turek.pl</t>
  </si>
  <si>
    <t>www.ppp.turek.pl</t>
  </si>
  <si>
    <t>PORADNIA PSYCHOLOGICZNO-PEDAGOGICZNA W USTRZYKACH DOLNYCH</t>
  </si>
  <si>
    <t>bieszczadzki</t>
  </si>
  <si>
    <t>Ustrzyki Dolne</t>
  </si>
  <si>
    <t>ul. Pionierska</t>
  </si>
  <si>
    <t>sekretariat@pppustrzyki.edu.pl</t>
  </si>
  <si>
    <t>PORADNIA PSYCHOLOGICZNO-PEDAGOGICZNA W WADOWICACH</t>
  </si>
  <si>
    <t>ul. Emilii i Karola Wojtyłów</t>
  </si>
  <si>
    <t>pppwadowice@op.pl</t>
  </si>
  <si>
    <t>pppwadowice.iap.pl</t>
  </si>
  <si>
    <t>PORADNIA PSYCHOLOGICZNO-PEDAGOGICZNA W WARCE</t>
  </si>
  <si>
    <t>Warka</t>
  </si>
  <si>
    <t>ul. Grójecka</t>
  </si>
  <si>
    <t>sekretariat.pppwarka@grojec.pl</t>
  </si>
  <si>
    <t>www.poradniawarka.pl</t>
  </si>
  <si>
    <t>PORADNIA PSYCHOLOGICZNO-PEDAGOGICZNA W WARCIE</t>
  </si>
  <si>
    <t>Warta</t>
  </si>
  <si>
    <t>sekretariat@pppwarta.pl</t>
  </si>
  <si>
    <t>www.pppwarta.pl</t>
  </si>
  <si>
    <t>PORADNIA PSYCHOLOGICZNO-PEDAGOGICZNA W WĘGROWIE</t>
  </si>
  <si>
    <t>węgrowski</t>
  </si>
  <si>
    <t>Węgrów</t>
  </si>
  <si>
    <t>ul. Marsz. J. Piłsudskiego</t>
  </si>
  <si>
    <t>sekretariat@poradnia.wegrow.pl</t>
  </si>
  <si>
    <t>www.poradnia.wegrow.pl</t>
  </si>
  <si>
    <t>PORADNIA PSYCHOLOGICZNO-PEDAGOGICZNA W WEJHEROWIE</t>
  </si>
  <si>
    <t>ul. Ofiar Piaśnicy</t>
  </si>
  <si>
    <t>pppwejherowo@poradnia-wejherowo.pl</t>
  </si>
  <si>
    <t>PORADNIA PSYCHOLOGICZNO-PEDAGOGICZNA W WIERUSZOWIE</t>
  </si>
  <si>
    <t>wieruszowski</t>
  </si>
  <si>
    <t>Wieruszów</t>
  </si>
  <si>
    <t>poczta@poradnia.powiat-wieruszowski.pl</t>
  </si>
  <si>
    <t>https://bip-poradnia.powiat-wieruszowski.pl/</t>
  </si>
  <si>
    <t>PORADNIA PSYCHOLOGICZNO-PEDAGOGICZNA W WIERZBICY</t>
  </si>
  <si>
    <t>Wierzbica</t>
  </si>
  <si>
    <t>Wierzbica-Osiedle</t>
  </si>
  <si>
    <t>sekretariat@pppwierzbica.pl</t>
  </si>
  <si>
    <t>https://pppwierzbica.naszaporadnia.com</t>
  </si>
  <si>
    <t>PORADNIA PSYCHOLOGICZNO-PEDAGOGICZNA W WOŁOMINIE</t>
  </si>
  <si>
    <t>ul. Legionów</t>
  </si>
  <si>
    <t>sekretariat@ppp.wolomin.pl</t>
  </si>
  <si>
    <t>ppp.wolomin.pl</t>
  </si>
  <si>
    <t>PORADNIA PSYCHOLOGICZNO-PEDAGOGICZNA W WOŁOWIE</t>
  </si>
  <si>
    <t>pppwolow@wolowpce.pl</t>
  </si>
  <si>
    <t>wolowpce.pl</t>
  </si>
  <si>
    <t>PORADNIA PSYCHOLOGICZNO-PEDAGOGICZNA W WYSOKIEM MAZOWIECKIEM</t>
  </si>
  <si>
    <t>wysokomazowiecki</t>
  </si>
  <si>
    <t>Wysokie Mazowieckie</t>
  </si>
  <si>
    <t>sekretariat@pppwysmaz.pl</t>
  </si>
  <si>
    <t>PORADNIA PSYCHOLOGICZNO-PEDAGOGICZNA W WYSZKOWIE</t>
  </si>
  <si>
    <t>wyszkowski</t>
  </si>
  <si>
    <t>Wyszków</t>
  </si>
  <si>
    <t>sekretariat@pppwyszkow.pl</t>
  </si>
  <si>
    <t>www.pppwyszkow.pl</t>
  </si>
  <si>
    <t>PORADNIA PSYCHOLOGICZNO-PEDAGOGICZNA W ZABIERZOWIE</t>
  </si>
  <si>
    <t>Zabierzów</t>
  </si>
  <si>
    <t>ul. Cmentarna</t>
  </si>
  <si>
    <t>sekretariat@poradnia.zabierzow.org.pl</t>
  </si>
  <si>
    <t>www.poradnia.zabierzow.org.pl</t>
  </si>
  <si>
    <t>PORADNIA PSYCHOLOGICZNO-PEDAGOGICZNA W ZĄBKACH</t>
  </si>
  <si>
    <t>Ząbki</t>
  </si>
  <si>
    <t>ul. Ks. Ignacego Skorupki</t>
  </si>
  <si>
    <t>sekretariat@ppp-zabki.pl</t>
  </si>
  <si>
    <t>PORADNIA PSYCHOLOGICZNO-PEDAGOGICZNA W ZĄBKOWICACH ŚLĄSKICH</t>
  </si>
  <si>
    <t>ząbkowicki</t>
  </si>
  <si>
    <t>Ząbkowice Śląskie</t>
  </si>
  <si>
    <t>poradnia@centrumporadnictwa.com</t>
  </si>
  <si>
    <t>centrumporadnictwa.com</t>
  </si>
  <si>
    <t>PORADNIA PSYCHOLOGICZNO-PEDAGOGICZNA W ZABRZU</t>
  </si>
  <si>
    <t>Zabrze</t>
  </si>
  <si>
    <t>sekretariat@pppzabrze.pl</t>
  </si>
  <si>
    <t>www.pppzabrze.pl</t>
  </si>
  <si>
    <t>PORADNIA PSYCHOLOGICZNO-PEDAGOGICZNA W ZAKOPANEM</t>
  </si>
  <si>
    <t>tatrzański</t>
  </si>
  <si>
    <t>Zakopane</t>
  </si>
  <si>
    <t>ul. Heleny Modrzejewskiej</t>
  </si>
  <si>
    <t>sekretariat@ppp.tatry.pl</t>
  </si>
  <si>
    <t>www.pppzakopane.szkolnastrona.pl</t>
  </si>
  <si>
    <t>PORADNIA PSYCHOLOGICZNO-PEDAGOGICZNA W ZDUŃSKIEJ WOLI</t>
  </si>
  <si>
    <t>zduńskowolski</t>
  </si>
  <si>
    <t>Zduńska Wola</t>
  </si>
  <si>
    <t>poradnia_zdwola@wp.pl</t>
  </si>
  <si>
    <t>www.pppzdwola.pl</t>
  </si>
  <si>
    <t>PORADNIA PSYCHOLOGICZNO-PEDAGOGICZNA W ZGORZELCU</t>
  </si>
  <si>
    <t>sekretariat@poradnia.zgorzelec.pl</t>
  </si>
  <si>
    <t>www.poradnia.zgorzelec.pl</t>
  </si>
  <si>
    <t>PORADNIA PSYCHOLOGICZNO-PEDAGOGICZNA W ZIELONCE</t>
  </si>
  <si>
    <t>Zielonka</t>
  </si>
  <si>
    <t>ul. Inżynierska</t>
  </si>
  <si>
    <t>sekretariat@pppzielonka.pl</t>
  </si>
  <si>
    <t>www.pppzielonka.pl</t>
  </si>
  <si>
    <t>PORADNIA PSYCHOLOGICZNO-PEDAGOGICZNA W ZIELONEJ GÓRZE</t>
  </si>
  <si>
    <t>ul. Drzewna</t>
  </si>
  <si>
    <t>sekretariat@ppp.zgora.pl</t>
  </si>
  <si>
    <t>www.ppp.zgora.pl</t>
  </si>
  <si>
    <t>PORADNIA PSYCHOLOGICZNO-PEDAGOGICZNA W ŻNINIE</t>
  </si>
  <si>
    <t>żniński</t>
  </si>
  <si>
    <t>Żnin</t>
  </si>
  <si>
    <t>ul. Browarowa</t>
  </si>
  <si>
    <t>sekretariat@poradniaznin.pl</t>
  </si>
  <si>
    <t>www.poradniaznin.pl</t>
  </si>
  <si>
    <t>PORADNIA PSYCHOLOGICZNO-PEDAGOGICZNA W ŻYRARDOWIE</t>
  </si>
  <si>
    <t>żyrardowski</t>
  </si>
  <si>
    <t>Żyrardów</t>
  </si>
  <si>
    <t>ul. Stanisława Moniuszki</t>
  </si>
  <si>
    <t>poradnia-zyrardow@wp.pl</t>
  </si>
  <si>
    <t>www.poradniazyrardow.pl</t>
  </si>
  <si>
    <t>PORADNIA PSYCHOLOGICZNO-PEDAGOGICZNA W ŻYWCU</t>
  </si>
  <si>
    <t>sekretariat@pppzywiec.pl</t>
  </si>
  <si>
    <t>www.pppzywiec.pl</t>
  </si>
  <si>
    <t>PORADNIA PSYCHOLOGICZNO-PEDAGOGICZNA WE WŁODAWIE</t>
  </si>
  <si>
    <t>włodawski</t>
  </si>
  <si>
    <t>Włodawa</t>
  </si>
  <si>
    <t>sekretariat@pppwlodawa.pl</t>
  </si>
  <si>
    <t>pppwlodawa.pl</t>
  </si>
  <si>
    <t>PORADNIA PSYCHOLOGICZNO-PEDAGOGICZNA WE WŁOSZCZOWIE</t>
  </si>
  <si>
    <t>włoszczowski</t>
  </si>
  <si>
    <t>Włoszczowa</t>
  </si>
  <si>
    <t>sekretariat@pppwloszczowa.pl</t>
  </si>
  <si>
    <t>https://samorzad.gov.pl/web/ppp-wloszczowa</t>
  </si>
  <si>
    <t>PORADNIA PSYCHOLOGICZNO-PEDAGOGICZNA WE WRONKACH</t>
  </si>
  <si>
    <t>Wronki</t>
  </si>
  <si>
    <t>sekretariat.wronki@poradnia-szamotuly.pl</t>
  </si>
  <si>
    <t>PORADNIA PSYCHOLOGICZNO-PEDAGOGICZNA WE WRZEŚNI</t>
  </si>
  <si>
    <t>wrzesiński</t>
  </si>
  <si>
    <t>Września</t>
  </si>
  <si>
    <t>sekretariat@ppp-wrzesnia.pl</t>
  </si>
  <si>
    <t>www.ppp.wrzesnia.powiat.pl</t>
  </si>
  <si>
    <t>PORADNIA PSYCHOLOGICZNO-PEDAGOGICZNA WE WSCHOWIE</t>
  </si>
  <si>
    <t>wschowski</t>
  </si>
  <si>
    <t>Wschowa</t>
  </si>
  <si>
    <t>ul. Zacisze</t>
  </si>
  <si>
    <t>poradnia.pomoc@pppwschowa.pl</t>
  </si>
  <si>
    <t>https://poradnia.wschowa.eu/</t>
  </si>
  <si>
    <t>PORADNIA PSYCHOLOGICZNO-PEDAGOGICZNA WE WSCHOWIE FILIA W SŁAWIE</t>
  </si>
  <si>
    <t>Sława</t>
  </si>
  <si>
    <t>ul. Ogrodowa</t>
  </si>
  <si>
    <t>ppp.wschowa.info</t>
  </si>
  <si>
    <t>PORADNIA SPECJALISTYCZNA MŁODZIEŻOWY OŚRODEK PROFILAKTYKI I PSYCHOTERAPII "MOP"</t>
  </si>
  <si>
    <t>ul. Boryszewska</t>
  </si>
  <si>
    <t>poradniamop@eduwarszawa.pl</t>
  </si>
  <si>
    <t>www.mop.eduwarszawa.pl</t>
  </si>
  <si>
    <t>PORADNIA SPECJALISTYCZNA WAD MOWY I SŁUCHU W PILE</t>
  </si>
  <si>
    <t>sekretariat.specjalistyczna@zespolporadni.pila.pl</t>
  </si>
  <si>
    <t>POWIATOWA PORADNIA PSYCHOLOGICZNO - PEDAGOGICZNA</t>
  </si>
  <si>
    <t>tarnogórski</t>
  </si>
  <si>
    <t>Tarnowskie Góry</t>
  </si>
  <si>
    <t>sekretariat@pppptg.jstpowiat.pl</t>
  </si>
  <si>
    <t>www.poradniatg.pl</t>
  </si>
  <si>
    <t>siedlecki</t>
  </si>
  <si>
    <t>Stok Lacki-Folwark</t>
  </si>
  <si>
    <t>ul. Pałacowa</t>
  </si>
  <si>
    <t>poradnia@powiatsiedlecki.pl</t>
  </si>
  <si>
    <t>www.poradnia.powiatsiedlecki.pl</t>
  </si>
  <si>
    <t>kłobucki</t>
  </si>
  <si>
    <t>Kłobuck</t>
  </si>
  <si>
    <t>ul. ks. Ignacego Skorupki</t>
  </si>
  <si>
    <t>pppp@klobuck.pl</t>
  </si>
  <si>
    <t>www.pppp.klobuck.pl</t>
  </si>
  <si>
    <t>POWIATOWA PORADNIA PSYCHOLOGICZNO - PEDAGOGICZNA W CZĘSTOCHOWIE</t>
  </si>
  <si>
    <t>ul. Tkacka</t>
  </si>
  <si>
    <t>poradniap@czestochowa.powiat.pl</t>
  </si>
  <si>
    <t>www.czestochowa.powiat.pl/poradnia/</t>
  </si>
  <si>
    <t>POWIATOWA PORADNIA PSYCHOLOGICZNO - PEDAGOGICZNA W LIDZBARKU WARMIŃSKIM</t>
  </si>
  <si>
    <t>ul. Kardynała Stefana Wyszyńskiego</t>
  </si>
  <si>
    <t>sekretariat@poradnia-psychologiczna.warmia.info</t>
  </si>
  <si>
    <t>www.poradnia-psychologiczna.warmia.info.pl</t>
  </si>
  <si>
    <t>POWIATOWA PORADNIA PSYCHOLOGICZNO - PEDAGOGICZNA W NAKLE NAD NOTECIĄ</t>
  </si>
  <si>
    <t>nakielski</t>
  </si>
  <si>
    <t>Nakło nad Notecią</t>
  </si>
  <si>
    <t>kontakt@ppppnaklo.pl</t>
  </si>
  <si>
    <t>www.ppppnaklo.pl</t>
  </si>
  <si>
    <t>POWIATOWA PORADNIA PSYCHOLOGICZNO - PEDAGOGICZNA W PAJĘCZNIE FILIA W DZIAŁOSZYNIE</t>
  </si>
  <si>
    <t>pajęczański</t>
  </si>
  <si>
    <t>Działoszyn</t>
  </si>
  <si>
    <t>ul. Grota-Roweckiego</t>
  </si>
  <si>
    <t>pppp.filia@pajeczno.pl</t>
  </si>
  <si>
    <t>www.pppp.pajeczno.pl</t>
  </si>
  <si>
    <t>Pajęczno</t>
  </si>
  <si>
    <t>POWIATOWA PORADNIA PSYCHOLOGICZNO-PEDAGOGICZNA W PAJĘCZNIE</t>
  </si>
  <si>
    <t>POWIATOWA PORADNIA PSYCHOLOGICZNO - PEDAGOGICZNA W PŁOCKU</t>
  </si>
  <si>
    <t>ul. Otolińska</t>
  </si>
  <si>
    <t>poradnia@pppp-plock.pl</t>
  </si>
  <si>
    <t>www.pppp-plock.pl</t>
  </si>
  <si>
    <t>POWIATOWA PORADNIA PSYCHOLOGICZNO - PEDAGOGICZNA W WIELICZCE</t>
  </si>
  <si>
    <t>wielicki</t>
  </si>
  <si>
    <t>Wieliczka</t>
  </si>
  <si>
    <t>ul. Niepołomska</t>
  </si>
  <si>
    <t>sekretariat@poradnia-wieliczka.pl</t>
  </si>
  <si>
    <t>http://www.poradnia-wieliczka.pl/</t>
  </si>
  <si>
    <t>POWIATOWA PORADNIA PSYCHOLOGICZNO - PEDAGOGICZNA W ZŁOTOWIE</t>
  </si>
  <si>
    <t>złotowski</t>
  </si>
  <si>
    <t>Złotów</t>
  </si>
  <si>
    <t>sekretariat@pppp-zlotow.pl</t>
  </si>
  <si>
    <t>www.pppp-zlotow.pl</t>
  </si>
  <si>
    <t>POWIATOWA PORADNIA PSYCHOLOGICZNO PEDAGOGICZNA W CHOJNOWIE</t>
  </si>
  <si>
    <t>legnicki</t>
  </si>
  <si>
    <t>Chojnów</t>
  </si>
  <si>
    <t>ul. Anny i Juliusza Poźniaków</t>
  </si>
  <si>
    <t>sekretariat@pppp-chojnow.pl</t>
  </si>
  <si>
    <t>https://pppp-chojnow.pl/index.php/pl/</t>
  </si>
  <si>
    <t>POWIATOWA PORADNIA PSYCHOLOGICZNO- PEDAGOGICZNA W PISZU</t>
  </si>
  <si>
    <t>piski</t>
  </si>
  <si>
    <t>Pisz</t>
  </si>
  <si>
    <t>poradnia@powiat.pisz.pl</t>
  </si>
  <si>
    <t>www.poradnia.pisz.pl</t>
  </si>
  <si>
    <t>POWIATOWA PORADNIA PSYCHOLOGICZNO-PEDAGOGICZNA</t>
  </si>
  <si>
    <t>wolsztyński</t>
  </si>
  <si>
    <t>Wolsztyn</t>
  </si>
  <si>
    <t>ul. 5 Stycznia</t>
  </si>
  <si>
    <t>ppppwolsztyn@wp.pl</t>
  </si>
  <si>
    <t>www.poradnia.powiatwolsztyn.pl</t>
  </si>
  <si>
    <t>sławieński</t>
  </si>
  <si>
    <t>Sławno</t>
  </si>
  <si>
    <t>sekretariat@poradnia-slawno.pl</t>
  </si>
  <si>
    <t>www.poradnia-slawno.pl</t>
  </si>
  <si>
    <t>al. Wyzwolenia</t>
  </si>
  <si>
    <t>sekretariat@pppp.walbrzych.pl</t>
  </si>
  <si>
    <t>pppp.walbrzych.pl</t>
  </si>
  <si>
    <t>POWIATOWA PORADNIA PSYCHOLOGICZNO-PEDAGOGICZNA NR 1</t>
  </si>
  <si>
    <t>kancelaria@pzp.edu.pl</t>
  </si>
  <si>
    <t>www.pzp.edu.pl</t>
  </si>
  <si>
    <t>POWIATOWA PORADNIA PSYCHOLOGICZNO-PEDAGOGICZNA NR 2</t>
  </si>
  <si>
    <t>POWIATOWA PORADNIA PSYCHOLOGICZNO-PEDAGOGICZNA W BĘDZINIE</t>
  </si>
  <si>
    <t>będziński</t>
  </si>
  <si>
    <t>Będzin</t>
  </si>
  <si>
    <t>kontakt@pppbedzin.pl</t>
  </si>
  <si>
    <t>www.ppp.bedzin.pl</t>
  </si>
  <si>
    <t>POWIATOWA PORADNIA PSYCHOLOGICZNO-PEDAGOGICZNA W BIAŁEJ PODLASKIEJ</t>
  </si>
  <si>
    <t>poradniapedagog@interia.pl</t>
  </si>
  <si>
    <t>powiatowa-poradniabp.pl</t>
  </si>
  <si>
    <t>POWIATOWA PORADNIA PSYCHOLOGICZNO-PEDAGOGICZNA W BIAŁEJ PODLASKIEJFILIA W MIĘDZYRZECU PODLASKIM</t>
  </si>
  <si>
    <t>bialski</t>
  </si>
  <si>
    <t>Międzyrzec Podlaski</t>
  </si>
  <si>
    <t>ul. Czysta</t>
  </si>
  <si>
    <t>ppp_miedzyrzec.podl@wp.pl</t>
  </si>
  <si>
    <t>POWIATOWA PORADNIA PSYCHOLOGICZNO-PEDAGOGICZNA W BIAŁEJ PODLASKIEJFILIA W TERESPOLU</t>
  </si>
  <si>
    <t>Terespol</t>
  </si>
  <si>
    <t>pppterespoln.b@interia.pl</t>
  </si>
  <si>
    <t>POWIATOWA PORADNIA PSYCHOLOGICZNO-PEDAGOGICZNA W BIAŁEJ PODLASKIEJFILIA W WISZNICACH</t>
  </si>
  <si>
    <t>Wisznice</t>
  </si>
  <si>
    <t>poradniapp@poczta.fm</t>
  </si>
  <si>
    <t>POWIATOWA PORADNIA PSYCHOLOGICZNO-PEDAGOGICZNA W BIAŁYMSTOKU</t>
  </si>
  <si>
    <t>ul. Słonimska</t>
  </si>
  <si>
    <t>kontakt@pppp.bialystok.pl</t>
  </si>
  <si>
    <t>www.pppp.bialystok.pl</t>
  </si>
  <si>
    <t>POWIATOWA PORADNIA PSYCHOLOGICZNO-PEDAGOGICZNA W BODZENTYNIE</t>
  </si>
  <si>
    <t>kielecki</t>
  </si>
  <si>
    <t>Bodzentyn</t>
  </si>
  <si>
    <t>poradnia@pppbodzentyn.pl</t>
  </si>
  <si>
    <t>samorzad.gov.pl/pppp-bodzentyn</t>
  </si>
  <si>
    <t>POWIATOWA PORADNIA PSYCHOLOGICZNO-PEDAGOGICZNA W CHMIELNIKU</t>
  </si>
  <si>
    <t>Chmielnik</t>
  </si>
  <si>
    <t>ul. Furmańska</t>
  </si>
  <si>
    <t>poradniachmielnik@poczta.onet.pl</t>
  </si>
  <si>
    <t>https://pppchmielnik.naszbip.pl/</t>
  </si>
  <si>
    <t>POWIATOWA PORADNIA PSYCHOLOGICZNO-PEDAGOGICZNA W CZECHOWICACH-DZIEDZICACH</t>
  </si>
  <si>
    <t>Czechowice-Dziedzice</t>
  </si>
  <si>
    <t>ul. Jana Kasprowicza</t>
  </si>
  <si>
    <t>poradnia@poradnia-czechowice.pl</t>
  </si>
  <si>
    <t>poradnia-czechowice.pl</t>
  </si>
  <si>
    <t>Bielsko-Biała</t>
  </si>
  <si>
    <t>POWIATOWA PORADNIA PSYCHOLOGICZNO-PEDAGOGICZNA W CZECHOWICACH-DZIEDZICACH, FILIA</t>
  </si>
  <si>
    <t>ul. Romualda Traugutta</t>
  </si>
  <si>
    <t>https://www.poradnia-czechowice.pl</t>
  </si>
  <si>
    <t>POWIATOWA PORADNIA PSYCHOLOGICZNO-PEDAGOGICZNA W CZECHOWICACH-DZIEDZICACH, FILIA W BIELSKU-BIAŁEJ</t>
  </si>
  <si>
    <t>POWIATOWA PORADNIA PSYCHOLOGICZNO-PEDAGOGICZNA W EŁKU</t>
  </si>
  <si>
    <t>ełcki</t>
  </si>
  <si>
    <t>Ełk</t>
  </si>
  <si>
    <t>ul. Michała Kajki</t>
  </si>
  <si>
    <t>pcpp-p@powiat.elk.pl</t>
  </si>
  <si>
    <t>www.pcpp-p.elk.pl</t>
  </si>
  <si>
    <t>POWIATOWA PORADNIA PSYCHOLOGICZNO-PEDAGOGICZNA W KĘTRZYNIE</t>
  </si>
  <si>
    <t>kętrzyński</t>
  </si>
  <si>
    <t>Kętrzyn</t>
  </si>
  <si>
    <t>kontakt@powreketrzyn.pl</t>
  </si>
  <si>
    <t>powreketrzyn.pl</t>
  </si>
  <si>
    <t>POWIATOWA PORADNIA PSYCHOLOGICZNO-PEDAGOGICZNA W KŁODZKU</t>
  </si>
  <si>
    <t>kłodzki</t>
  </si>
  <si>
    <t>Kłodzko</t>
  </si>
  <si>
    <t>dokumenty@pcpp.klodzko.pl</t>
  </si>
  <si>
    <t>pcppklodzko.szkolnastrona.pl</t>
  </si>
  <si>
    <t>POWIATOWA PORADNIA PSYCHOLOGICZNO-PEDAGOGICZNA W KŁODZKU FILIA BYSTRZYCA KŁODZKA</t>
  </si>
  <si>
    <t>Bystrzyca Kłodzka</t>
  </si>
  <si>
    <t>por.bk@pcpp.klodzko.pl</t>
  </si>
  <si>
    <t>POWIATOWA PORADNIA PSYCHOLOGICZNO-PEDAGOGICZNA W KŁODZKU FILIA DUSZNIKI-ZDRÓJ</t>
  </si>
  <si>
    <t>Duszniki-Zdrój</t>
  </si>
  <si>
    <t>ul. Sprzymierzonych</t>
  </si>
  <si>
    <t>por.dusz@pcpp.klodzko.pl</t>
  </si>
  <si>
    <t>POWIATOWA PORADNIA PSYCHOLOGICZNO-PEDAGOGICZNA W KŁODZKU FILIA NOWA RUDA</t>
  </si>
  <si>
    <t>Nowa Ruda</t>
  </si>
  <si>
    <t>por.nr@pcpp.klodzko.pl</t>
  </si>
  <si>
    <t>POWIATOWA PORADNIA PSYCHOLOGICZNO-PEDAGOGICZNA W KORONOWIE</t>
  </si>
  <si>
    <t>bydgoski</t>
  </si>
  <si>
    <t>Koronowo</t>
  </si>
  <si>
    <t>ul. Szosa Kotomierska</t>
  </si>
  <si>
    <t>sekretariat@poradniakoronowo.pl</t>
  </si>
  <si>
    <t>poradniakoronowo.pl</t>
  </si>
  <si>
    <t>POWIATOWA PORADNIA PSYCHOLOGICZNO-PEDAGOGICZNA W KORONOWIE - FILIA W BYDGOSZCZY</t>
  </si>
  <si>
    <t>ul. Karpacka</t>
  </si>
  <si>
    <t>sekretariatfilia@poradniakoronowo.pl</t>
  </si>
  <si>
    <t>POWIATOWA PORADNIA PSYCHOLOGICZNO-PEDAGOGICZNA W KOSZALINIE</t>
  </si>
  <si>
    <t>ul. Władysława Andersa</t>
  </si>
  <si>
    <t>poradnia@powiat.koszalin.pl</t>
  </si>
  <si>
    <t>www.poradnia.powiat.koszalin.pl</t>
  </si>
  <si>
    <t>POWIATOWA PORADNIA PSYCHOLOGICZNO-PEDAGOGICZNA W ŁĘCZYCY</t>
  </si>
  <si>
    <t>łęczycki</t>
  </si>
  <si>
    <t>Łęczyca</t>
  </si>
  <si>
    <t>ul. Kaliska</t>
  </si>
  <si>
    <t>sekretariat@poradnialeczyca.pl</t>
  </si>
  <si>
    <t>POWIATOWA PORADNIA PSYCHOLOGICZNO-PEDAGOGICZNA W NAKLE NAD NOTECIĄ - FILIA W SZUBINIE</t>
  </si>
  <si>
    <t>Szubin</t>
  </si>
  <si>
    <t>ul. Kcyńska</t>
  </si>
  <si>
    <t>kontaktszubin@ppppnaklo.pl</t>
  </si>
  <si>
    <t>POWIATOWA PORADNIA PSYCHOLOGICZNO-PEDAGOGICZNA W NOWYM SĄCZU</t>
  </si>
  <si>
    <t>ppppns@op.pl</t>
  </si>
  <si>
    <t>www.ppppns.pl</t>
  </si>
  <si>
    <t>POWIATOWA PORADNIA PSYCHOLOGICZNO-PEDAGOGICZNA W NOWYM SĄCZU FILIA W GRYBOWIE</t>
  </si>
  <si>
    <t>nowosądecki</t>
  </si>
  <si>
    <t>Grybów</t>
  </si>
  <si>
    <t>pppgrybow@op.pl</t>
  </si>
  <si>
    <t>POWIATOWA PORADNIA PSYCHOLOGICZNO-PEDAGOGICZNA W NOWYM SĄCZU FILIA W KRYNICY ZDROJU</t>
  </si>
  <si>
    <t>Krynica-Zdrój</t>
  </si>
  <si>
    <t>poradnia@krynica.net.pl</t>
  </si>
  <si>
    <t>POWIATOWA PORADNIA PSYCHOLOGICZNO-PEDAGOGICZNA W NOWYM SĄCZU FILIA W STARYM SĄCZU</t>
  </si>
  <si>
    <t>Stary Sącz</t>
  </si>
  <si>
    <t>poradniasts@poczta.onet.pl</t>
  </si>
  <si>
    <t>POWIATOWA PORADNIA PSYCHOLOGICZNO-PEDAGOGICZNA W OLSZTYNIE</t>
  </si>
  <si>
    <t>pl. Plac gen. Józefa Bema</t>
  </si>
  <si>
    <t>pppp.olsztyn@poradnia-olsztyn.pl</t>
  </si>
  <si>
    <t>www.poradnia-olsztyn.pl</t>
  </si>
  <si>
    <t>POWIATOWA PORADNIA PSYCHOLOGICZNO-PEDAGOGICZNA W OPATÓWKU</t>
  </si>
  <si>
    <t>kaliski</t>
  </si>
  <si>
    <t>Opatówek</t>
  </si>
  <si>
    <t>poradnia@powiat.kalisz.pl</t>
  </si>
  <si>
    <t>www.poradnia.powiat.kalisz.pl</t>
  </si>
  <si>
    <t>POWIATOWA PORADNIA PSYCHOLOGICZNO-PEDAGOGICZNA W OTWOCKU</t>
  </si>
  <si>
    <t>otwocki</t>
  </si>
  <si>
    <t>Otwock</t>
  </si>
  <si>
    <t>sekretariat@ppppotwock.pl</t>
  </si>
  <si>
    <t>www.ppppotwock.pl</t>
  </si>
  <si>
    <t>ul. Wiśniowa</t>
  </si>
  <si>
    <t>pppp@pajeczno.pl</t>
  </si>
  <si>
    <t>POWIATOWA PORADNIA PSYCHOLOGICZNO-PEDAGOGICZNA W PARCZEWIE</t>
  </si>
  <si>
    <t>parczewski</t>
  </si>
  <si>
    <t>Parczew</t>
  </si>
  <si>
    <t>poradnia@parczew.pl</t>
  </si>
  <si>
    <t>www.poradnia.parczew.pl</t>
  </si>
  <si>
    <t>POWIATOWA PORADNIA PSYCHOLOGICZNO-PEDAGOGICZNA W PIEKOSZOWIE</t>
  </si>
  <si>
    <t>Piekoszów</t>
  </si>
  <si>
    <t>ppp_piekoszow@poczta.onet.pl</t>
  </si>
  <si>
    <t>http://www.ppp-piekoszow.pl/, http://ppp-piekoszow.naszbip.pl</t>
  </si>
  <si>
    <t>POWIATOWA PORADNIA PSYCHOLOGICZNO-PEDAGOGICZNA W PIOTRKOWIE TRYBUNALSKIM</t>
  </si>
  <si>
    <t>poradnia@powiat-piotrkowski.pl</t>
  </si>
  <si>
    <t>www.poradniapiotrkow.bip.wikom.pl</t>
  </si>
  <si>
    <t>POWIATOWA PORADNIA PSYCHOLOGICZNO-PEDAGOGICZNA W RADLINIE</t>
  </si>
  <si>
    <t>wodzisławski</t>
  </si>
  <si>
    <t>Radlin</t>
  </si>
  <si>
    <t>ul. Władysława Orkana</t>
  </si>
  <si>
    <t>sekretariat@ppppradlin.pl</t>
  </si>
  <si>
    <t>ppppradlin.pl</t>
  </si>
  <si>
    <t>POWIATOWA PORADNIA PSYCHOLOGICZNO-PEDAGOGICZNA W RYDZYNIE</t>
  </si>
  <si>
    <t>leszczyński</t>
  </si>
  <si>
    <t>Rydzyna</t>
  </si>
  <si>
    <t>pl. Plac Zamkowy</t>
  </si>
  <si>
    <t>poradnia@powiatowapppleszno.pl</t>
  </si>
  <si>
    <t>www.powiatowapppleszno.pl</t>
  </si>
  <si>
    <t>POWIATOWA PORADNIA PSYCHOLOGICZNO-PEDAGOGICZNA W SIEMIATYCZACH</t>
  </si>
  <si>
    <t>siemiatycki</t>
  </si>
  <si>
    <t>Siemiatycze</t>
  </si>
  <si>
    <t>poradniapp@siemiatycze.pl</t>
  </si>
  <si>
    <t>http://poradniasiemiatycze.szkolnastrona.pl/</t>
  </si>
  <si>
    <t>POWIATOWA PORADNIA PSYCHOLOGICZNO-PEDAGOGICZNA W SKIERNIEWICACH</t>
  </si>
  <si>
    <t>pppp@powiat-skierniewice.pl</t>
  </si>
  <si>
    <t>POWIATOWA PORADNIA PSYCHOLOGICZNO-PEDAGOGICZNA W SŁAWNIE FILIA W DARŁOWIE</t>
  </si>
  <si>
    <t>Darłowo</t>
  </si>
  <si>
    <t>ul. Franciszkańska</t>
  </si>
  <si>
    <t>POWIATOWA PORADNIA PSYCHOLOGICZNO-PEDAGOGICZNA W ŚLESINIE</t>
  </si>
  <si>
    <t>koniński</t>
  </si>
  <si>
    <t>Ślesin</t>
  </si>
  <si>
    <t>slesin@ppppslesin.pl</t>
  </si>
  <si>
    <t>www.ppppslesin.pl</t>
  </si>
  <si>
    <t>POWIATOWA PORADNIA PSYCHOLOGICZNO-PEDAGOGICZNA W ŚLESINIE FILIA W KONINIE</t>
  </si>
  <si>
    <t>konin@ppppslesin.pl</t>
  </si>
  <si>
    <t>POWIATOWA PORADNIA PSYCHOLOGICZNO-PEDAGOGICZNA W TARNOWIE</t>
  </si>
  <si>
    <t>ul. Krzyska</t>
  </si>
  <si>
    <t>sekretariat@pppptarnow.pl</t>
  </si>
  <si>
    <t>www.pppptarnow.pl</t>
  </si>
  <si>
    <t>POWIATOWA PORADNIA PSYCHOLOGICZNO-PEDAGOGICZNA W TARNOWIE FILIA W TUCHOWIE</t>
  </si>
  <si>
    <t>tarnowski</t>
  </si>
  <si>
    <t>Tuchów</t>
  </si>
  <si>
    <t>ul. Zielona</t>
  </si>
  <si>
    <t>filiatuchow@pppptarnow.pl</t>
  </si>
  <si>
    <t>POWIATOWA PORADNIA PSYCHOLOGICZNO-PEDAGOGICZNA W TARNOWIE FILIA W WOJNICZU</t>
  </si>
  <si>
    <t>Wojnicz</t>
  </si>
  <si>
    <t>filiawojnicz@pppptarnow.pl</t>
  </si>
  <si>
    <t>POWIATOWA PORADNIA PSYCHOLOGICZNO-PEDAGOGICZNA W TARNOWIE FILIA W ŻABNIE</t>
  </si>
  <si>
    <t>Żabno</t>
  </si>
  <si>
    <t>ul. Aleja Piłsudskiego</t>
  </si>
  <si>
    <t>filiazabno@pppptarnow.pl</t>
  </si>
  <si>
    <t>POWIATOWE CENTRUM PORADNICTWA PSYCHOLOGICZNO-PEDAGOGICZNEGO I DORADZTWA EDUKACYJNEGO PORADNIA PSYCHOLOGICZNO-PEDAGOGICZNA W DZIERŻONIOWIE</t>
  </si>
  <si>
    <t>dzierżoniowski</t>
  </si>
  <si>
    <t>Dzierżoniów</t>
  </si>
  <si>
    <t>poradniaparkowa2@wp.pl</t>
  </si>
  <si>
    <t>powiatowecentrum.dzierzoniow.pl</t>
  </si>
  <si>
    <t>POWIATOWE CENTRUM PORADNICTWA PSYCHOLOGICZNO-PEDAGOGICZNEGO I DORADZTWA EDUKACYJNEGO PORADNIA PSYCHOLOGICZNO-PEDAGOGICZNA W DZIERŻONIOWIE FILIA W BIELAWIE</t>
  </si>
  <si>
    <t>Bielawa</t>
  </si>
  <si>
    <t>poradniabielawa@wp.pl</t>
  </si>
  <si>
    <t>http://powiatowecentrum.dzierzoniow.pl</t>
  </si>
  <si>
    <t>POWIATOWE CENTRUM ROZWOJU EDUKACJI W IŁAWIE, PORADNIA PSYCHOLOGICZNO-PEDAGOGICZNA W IŁAWIE</t>
  </si>
  <si>
    <t>iławski</t>
  </si>
  <si>
    <t>Iława</t>
  </si>
  <si>
    <t>sekretariat@pcre.ilawa.pl</t>
  </si>
  <si>
    <t>www.pcre.ilawa.pl</t>
  </si>
  <si>
    <t>POWIATOWY ZESPÓŁ PORADNI PSYCHOLOGICZNO-PEDAGOGICZNYCH W KRAŚNIKU</t>
  </si>
  <si>
    <t>kraśnicki</t>
  </si>
  <si>
    <t>Kraśnik</t>
  </si>
  <si>
    <t>Kraśnik Fabryczny</t>
  </si>
  <si>
    <t>sekretariat@poradniakrasnik.pl</t>
  </si>
  <si>
    <t>PUBLICZNA PORADNIA PSYCHOLOGICZNO - PEDAGOGICZNA</t>
  </si>
  <si>
    <t>lubliniecki</t>
  </si>
  <si>
    <t>Lubliniec</t>
  </si>
  <si>
    <t>sekretariat@pppplubliniec.pl</t>
  </si>
  <si>
    <t>www.pppplubliniec.pl</t>
  </si>
  <si>
    <t>PUBLICZNA PORADNIA PSYCHOLOGICZNO - PEDAGOGICZNA W KONIECPOLU</t>
  </si>
  <si>
    <t>częstochowski</t>
  </si>
  <si>
    <t>Koniecpol</t>
  </si>
  <si>
    <t>ul. Chrząstowska</t>
  </si>
  <si>
    <t>sekretariat@ppppkoniecpol.pl</t>
  </si>
  <si>
    <t>www.ppppkoniecpol.pl</t>
  </si>
  <si>
    <t>PUBLICZNA PORADNIA PSYCHOLOGICZNO - PEDAGOGICZNA W KOWARACH</t>
  </si>
  <si>
    <t>karkonoski</t>
  </si>
  <si>
    <t>Kowary</t>
  </si>
  <si>
    <t>sekretariat@poradniakowary.pl</t>
  </si>
  <si>
    <t>www.poradnia-kowary.pl</t>
  </si>
  <si>
    <t>Jelenia Góra</t>
  </si>
  <si>
    <t>PUBLICZNA PORADNIA PSYCHOLOGICZNO - PEDAGOGICZNA W SZKLARSKIEJ PORĘBIE</t>
  </si>
  <si>
    <t>Szklarska Poręba</t>
  </si>
  <si>
    <t>ul. Górna</t>
  </si>
  <si>
    <t>sekretariat@poradniaszklarska.com.pl</t>
  </si>
  <si>
    <t>poradniaszklarska.pl</t>
  </si>
  <si>
    <t>PUBLICZNA PORADNIA PSYCHOLOGICZNO - PEDAGOGICZNA W ZĄBKACH</t>
  </si>
  <si>
    <t>ul. Stefana Batorego</t>
  </si>
  <si>
    <t>PUBLICZNA PORADNIA PSYCHOLOGICZNO-PEDAGOGICZNA</t>
  </si>
  <si>
    <t>sokołowski</t>
  </si>
  <si>
    <t>Sokołów Podlaski</t>
  </si>
  <si>
    <t>ul. Skłodowskiej-Curie</t>
  </si>
  <si>
    <t>sekretariat@ppppsok.pl</t>
  </si>
  <si>
    <t>kędzierzyńsko-kozielski</t>
  </si>
  <si>
    <t>Kędzierzyn-Koźle</t>
  </si>
  <si>
    <t>ul. Skarbowa</t>
  </si>
  <si>
    <t>sekretariat@poradniakk.pl</t>
  </si>
  <si>
    <t>www.poradniakk.pl</t>
  </si>
  <si>
    <t>PUBLICZNA PORADNIA PSYCHOLOGICZNO-PEDAGOGICZNA "SŁONECZNA KRAINA"</t>
  </si>
  <si>
    <t>ul. Bielska</t>
  </si>
  <si>
    <t>sekretariat@slonecznaporadnia.pl</t>
  </si>
  <si>
    <t>PUBLICZNA PORADNIA PSYCHOLOGICZNO-PEDAGOGICZNA CENTRUM ROZWOJU I TERAPII DZIECKA I RODZINY</t>
  </si>
  <si>
    <t>ul. Głębocka</t>
  </si>
  <si>
    <t>m.zdanowicz@dzieckowterapii.pl</t>
  </si>
  <si>
    <t>PUBLICZNA PORADNIA PSYCHOLOGICZNO-PEDAGOGICZNA NR 1</t>
  </si>
  <si>
    <t>majiwo@gmail.com</t>
  </si>
  <si>
    <t>PUBLICZNA PORADNIA PSYCHOLOGICZNO-PEDAGOGICZNA PÓŁNOC</t>
  </si>
  <si>
    <t>ul. Ireny Kosmowskiej</t>
  </si>
  <si>
    <t>http://zppp.ids.czest.pl</t>
  </si>
  <si>
    <t>PUBLICZNA PORADNIA PSYCHOLOGICZNO-PEDAGOGICZNA POŁUDNIE</t>
  </si>
  <si>
    <t>PUBLICZNA PORADNIA PSYCHOLOGICZNO-PEDAGOGICZNA W JELENIEJ GÓRZE</t>
  </si>
  <si>
    <t>poradnia@pppjeleniagora.pl</t>
  </si>
  <si>
    <t>pppjeleniagora.pl</t>
  </si>
  <si>
    <t>PUBLICZNA PORADNIA PSYCHOLOGICZNO-PEDAGOGICZNA W MYSZKOWIE</t>
  </si>
  <si>
    <t>myszkowski</t>
  </si>
  <si>
    <t>Myszków</t>
  </si>
  <si>
    <t>poradnia@ppppmyszkow.czt.pl</t>
  </si>
  <si>
    <t>www.ppppmyszkow.czt.pl</t>
  </si>
  <si>
    <t>PUBLICZNA PORADNIA PSYCHOLOGICZNO-PEDAGOGICZNA W OLEŚNIE</t>
  </si>
  <si>
    <t>oleski</t>
  </si>
  <si>
    <t>Olesno</t>
  </si>
  <si>
    <t>ul. Dębowa</t>
  </si>
  <si>
    <t>ppp-p_olesno@wp.pl</t>
  </si>
  <si>
    <t>PUBLICZNA PORADNIA PSYCHOLOGICZNO-PEDAGOGICZNA W ORZESZU</t>
  </si>
  <si>
    <t>Orzesze</t>
  </si>
  <si>
    <t>ul. Żorska</t>
  </si>
  <si>
    <t>PUBLICZNA PORADNIA PSYCHOLOGICZNO-PEDAGOGICZNA W STASZOWIE</t>
  </si>
  <si>
    <t>staszowski</t>
  </si>
  <si>
    <t>Staszów</t>
  </si>
  <si>
    <t>sekretariat@ppppstaszow.pl</t>
  </si>
  <si>
    <t>http://ppppstaszow.staszowski.eu/</t>
  </si>
  <si>
    <t>PUBLICZNA SPECJALISTYCZNA PORADNIA PSYCHOLOGICZNO - PEDAGOGICZNA "WCZESNEGO WSPOMAGANIA ROZWOJU DZIECKA" W RADOMSKU</t>
  </si>
  <si>
    <t>ul. Prymasa Wyszyńskiego</t>
  </si>
  <si>
    <t>poradnia@logopedia.pl</t>
  </si>
  <si>
    <t>PUBLICZNA SPECJALISTYCZNA PORADNIA PSYCHOLOGICZNO-PEDAGOGICZNA "WCZESNEGO WSPOMAGANIA ROZWOJU DZIECKA" W JASTRZĘBIU-ZDROJU</t>
  </si>
  <si>
    <t>poradnia.jastrzebie@logopedia.pl</t>
  </si>
  <si>
    <t>www.logopedia.pl</t>
  </si>
  <si>
    <t>PUBLICZNA SPECJALISTYCZNA PORADNIA PSYCHOLOGICZNO-PEDAGOGICZNA DLA POLONII HOMO CREATOR W OPOLU</t>
  </si>
  <si>
    <t>ul. Krapkowicka</t>
  </si>
  <si>
    <t>PUBLICZNA SPECJALISTYCZNA PORADNIA PSYCHOLOGICZNO-PEDAGOGICZNA FUNDACJI "IN CORPORE" W DĄBROWIE GÓRNICZEJ</t>
  </si>
  <si>
    <t>dabrowa@centrumincorpore.pl</t>
  </si>
  <si>
    <t>www.centrumincorpore.pl</t>
  </si>
  <si>
    <t>PUBLICZNA SPECJALISTYCZNA PORADNIA PSYCHOLOGICZNO-PEDAGOGICZNA FUNDACJI IN CORPORE</t>
  </si>
  <si>
    <t>al. Aleja Pokoju</t>
  </si>
  <si>
    <t>INFO@FUNDACJAINCORPORE.PL</t>
  </si>
  <si>
    <t>PUBLICZNA SPECJALISTYCZNA PORADNIA PSYCHOLOGICZNO-PEDAGOGICZNA FUNDACJI IN CORPORE W KATOWICACH</t>
  </si>
  <si>
    <t>ul. Bażantów</t>
  </si>
  <si>
    <t>info@fundacjaincorpore.pl</t>
  </si>
  <si>
    <t>SPECJALISTYCZNA PORADNIA PROFILAKTYCZNO-TERAPEUTYCZNA DLA DZIECI I MŁODZIEŻY "OPTA"</t>
  </si>
  <si>
    <t>sekretariat.spppopta@eduwarszawa.pl</t>
  </si>
  <si>
    <t>www.optaporadnia.pl</t>
  </si>
  <si>
    <t>SPECJALISTYCZNA PORADNIA PROFILAKTYCZNO-TERAPEUTYCZNA W TARNOWIE</t>
  </si>
  <si>
    <t>ul. Józefa Szujskiego</t>
  </si>
  <si>
    <t>dyrsppt@umt.tarnow.pl</t>
  </si>
  <si>
    <t>http://www.sppt.tarnow.pl/</t>
  </si>
  <si>
    <t>SPECJALISTYCZNA PORADNIA PSYCHOLOGICZNO-PEDAGOGICZNA</t>
  </si>
  <si>
    <t>ul. Sokolska</t>
  </si>
  <si>
    <t>poradnia@sppp.katowice.pl</t>
  </si>
  <si>
    <t>SPECJALISTYCZNA PORADNIA PSYCHOLOGICZNO-PEDAGOGICZNA "KRAKOWSKI OŚRODEK TERAPII"</t>
  </si>
  <si>
    <t>ul. Helclów</t>
  </si>
  <si>
    <t>kot@mjo.krakow.pl</t>
  </si>
  <si>
    <t>kot.krakow.pl</t>
  </si>
  <si>
    <t>SPECJALISTYCZNA PORADNIA PSYCHOLOGICZNO-PEDAGOGICZNA "TOP"</t>
  </si>
  <si>
    <t>ul. Raszyńska</t>
  </si>
  <si>
    <t>sppptop@eduwarszawa.pl</t>
  </si>
  <si>
    <t>www.top.eduwarszawa.pl</t>
  </si>
  <si>
    <t>SPECJALISTYCZNA PORADNIA PSYCHOLOGICZNO-PEDAGOGICZNA "UNIWERSYTET DLA RODZICÓW"</t>
  </si>
  <si>
    <t>spppudr@eduwarszawa.pl</t>
  </si>
  <si>
    <t>https://udr.eduwarszawa.pl</t>
  </si>
  <si>
    <t>SPECJALISTYCZNA PORADNIA PSYCHOLOGICZNO-PEDAGOGICZNA 32-050 SKAWINA, UL. KOŚCIUSZKI 10</t>
  </si>
  <si>
    <t>Skawina</t>
  </si>
  <si>
    <t>zspwe.skawina@gminaskawina.pl</t>
  </si>
  <si>
    <t>http://poradniaskawina.pl</t>
  </si>
  <si>
    <t>SPECJALISTYCZNA PORADNIA PSYCHOLOGICZNO-PEDAGOGICZNA DLA DZIECI I MŁODZIEŻY Z ZABURZENIAMI EMOCJONALNYMI W BIAŁYMSTOKU</t>
  </si>
  <si>
    <t>sppp@um.bialystok.pl</t>
  </si>
  <si>
    <t>www.sppp.bialystok.pl</t>
  </si>
  <si>
    <t>SPECJALISTYCZNA PORADNIA PSYCHOLOGICZNO-PEDAGOGICZNA DLA DZIECI I MŁODZIEŻY ZE SPECJALNYMI POTRZEBAMI ROZWOJOWYMI I EDUKACYJNYMI</t>
  </si>
  <si>
    <t>ul. Witolda Sławińskiego</t>
  </si>
  <si>
    <t>fundacja_pe@wp.pl</t>
  </si>
  <si>
    <t>http://www.fundacjapolskaedukacja.pl</t>
  </si>
  <si>
    <t>SPECJALISTYCZNA PORADNIA PSYCHOLOGICZNO-PEDAGOGICZNA DLA DZIECI Z NIEPOWODZENIAMI EDUKACYJNYMI W KRAKOWIE</t>
  </si>
  <si>
    <t>ul. św. Gertrudy</t>
  </si>
  <si>
    <t>spppdne@mjo.krakow.pl</t>
  </si>
  <si>
    <t>poradnia-psychologiczna.com</t>
  </si>
  <si>
    <t>SPECJALISTYCZNA PORADNIA PSYCHOLOGICZNO-PEDAGOGICZNA DLA MŁODZIEŻY</t>
  </si>
  <si>
    <t>al. Ks. Kardynała Stefana Wyszyńskiego</t>
  </si>
  <si>
    <t>kontakt@pppdm.elodz.edu.pl</t>
  </si>
  <si>
    <t>www.pppdm.edu.lodz.pl</t>
  </si>
  <si>
    <t>SPECJALISTYCZNA PORADNIA PSYCHOLOGICZNO-PEDAGOGICZNA DORADZTWA ZAWODOWEGO I DLA DZIECI Z WADAMI ROZWOJOWYMI</t>
  </si>
  <si>
    <t>sekretariat@spppdz.elodz.edu.pl</t>
  </si>
  <si>
    <t>doradztwo.edu.lodz.pl</t>
  </si>
  <si>
    <t>SPECJALISTYCZNA PORADNIA PSYCHOLOGICZNO-PEDAGOGICZNA PN. "KRAKOWSKI OŚRODEK KARIERY" W KRAKOWIE</t>
  </si>
  <si>
    <t>ul. Wacława Popławskiego</t>
  </si>
  <si>
    <t>kok@mjo.krakow.pl</t>
  </si>
  <si>
    <t>poradniakrakow.com.pl</t>
  </si>
  <si>
    <t>SPECJALISTYCZNA PORADNIA PSYCHOLOGICZNO-PEDAGOGICZNA POWIATU KRAKOWSKIEGO</t>
  </si>
  <si>
    <t>ul. Fatimska</t>
  </si>
  <si>
    <t>sekretariat.krakow@sppppk.pl</t>
  </si>
  <si>
    <t>www.sppppk.pl</t>
  </si>
  <si>
    <t>SPECJALISTYCZNA PORADNIA PSYCHOLOGICZNO-PEDAGOGICZNA POWIATU KRAKOWSKIEGO - FILIA W SKALE</t>
  </si>
  <si>
    <t>Skała</t>
  </si>
  <si>
    <t>ul. Bohaterów Września</t>
  </si>
  <si>
    <t>poradnia.skala@gmail.com</t>
  </si>
  <si>
    <t>www.sppp.powiat.krakow.pl</t>
  </si>
  <si>
    <t>SPECJALISTYCZNA PORADNIA PSYCHOLOGICZNO-PEDAGOGICZNA POWIATU KRAKOWSKIEGO - FILIA W SŁOMNIKACH</t>
  </si>
  <si>
    <t>Słomniki</t>
  </si>
  <si>
    <t>poradnia.slomniki@gmail.com</t>
  </si>
  <si>
    <t>www.spppp.powiat.krakow.pl</t>
  </si>
  <si>
    <t>SPECJALISTYCZNA PORADNIA PSYCHOLOGICZNO-PEDAGOGICZNA POWIATU KRAKOWSKIEGO - FILIA W SZYCACH</t>
  </si>
  <si>
    <t>Wielka Wieś</t>
  </si>
  <si>
    <t>Szyce</t>
  </si>
  <si>
    <t>pl. Plac Wspólnoty</t>
  </si>
  <si>
    <t>sekretariat.filia.szyce@sppppk.pl</t>
  </si>
  <si>
    <t>SPECJALISTYCZNA PORADNIA PSYCHOLOGICZNO-PEDAGOGICZNA W CHWAŁOWICACH</t>
  </si>
  <si>
    <t>Chwałowice</t>
  </si>
  <si>
    <t>sekretariat@sosw-chwalowice.pl</t>
  </si>
  <si>
    <t>SPECJALISTYCZNA PORADNIA PSYCHOLOGICZNO-PEDAGOGICZNA W MIELCU</t>
  </si>
  <si>
    <t>mielecki</t>
  </si>
  <si>
    <t>Mielec</t>
  </si>
  <si>
    <t>ul. Sękowskiego</t>
  </si>
  <si>
    <t>sekretariat@poradnia.mielec.pl</t>
  </si>
  <si>
    <t>www.poradniamielec.pl</t>
  </si>
  <si>
    <t>SPECJALISTYCZNA PORADNIA RODZINNA</t>
  </si>
  <si>
    <t>sekretariat@poradniarodzinna.com.pl</t>
  </si>
  <si>
    <t>poradniarodzinna.com.pl</t>
  </si>
  <si>
    <t>SPECJALISTYCZNA PORADNIA TERAPEUTYCZNA</t>
  </si>
  <si>
    <t>ul. Borowska</t>
  </si>
  <si>
    <t>sekretariat.zpo3@wroclawskaedukacja.pl</t>
  </si>
  <si>
    <t>www.zpo3wroclaw.edupage.org</t>
  </si>
  <si>
    <t>SPECJALISTYCZNA PORADNIA TERAPEUTYCZNA DLA DZIECI, MŁODZIEŻY I ICH RODZIN W NOWOGARDZIE</t>
  </si>
  <si>
    <t>Nowogard</t>
  </si>
  <si>
    <t>spt.nowogard@onet.eu</t>
  </si>
  <si>
    <t>www.sptnowogard.pl</t>
  </si>
  <si>
    <t>SPECJALISTYCZNA PORADNIA WCZESNEJ POMOCY PSYCHOLOGICZNO-PEDAGOGICZNEJ W KRAKOWIE</t>
  </si>
  <si>
    <t>os. Osiedle Willowe</t>
  </si>
  <si>
    <t>sekretariat@owpp.pl</t>
  </si>
  <si>
    <t>https://www.owpp.pl/</t>
  </si>
  <si>
    <t>SPECJALISTYCZNA PORADNIA WSPIERANIA ROZWOJU I TERAPII</t>
  </si>
  <si>
    <t>kontakt@spwrit.elodz.edu.pl</t>
  </si>
  <si>
    <t>www.spwrit.pl</t>
  </si>
  <si>
    <t>SPECJALISTYCZNA PUBLICZNA PORADNIA PSYCHOLOGICZNO - PEDAGOGICZNA W RADOMIU</t>
  </si>
  <si>
    <t>ul. Lipska</t>
  </si>
  <si>
    <t>sekretariat@zssipo.radom.pl</t>
  </si>
  <si>
    <t>www.zssipo.radom.pl</t>
  </si>
  <si>
    <t>ZESPÓŁ PLACÓWEK OŚWIATOWYCH W LIMANOWEJ - PORADNIA PSYCHOLOGICZNO PEDAGOGICZNA</t>
  </si>
  <si>
    <t>limanowski</t>
  </si>
  <si>
    <t>Limanowa</t>
  </si>
  <si>
    <t>ul. Zygmunta Augusta</t>
  </si>
  <si>
    <t>zpo@powiat.limanowski.pl</t>
  </si>
  <si>
    <t>www.ppp.zpo.limanowa.pl</t>
  </si>
  <si>
    <t>ZESPÓŁ PORADNI NR 1 W LUBLINIE PORADNIA PSYCHOLOGICZNO-PEDAGOGICZNA NR 5</t>
  </si>
  <si>
    <t>ul. Magnoliowa</t>
  </si>
  <si>
    <t>poczta@zp1.lublin.eu</t>
  </si>
  <si>
    <t>www.zp1.lublin.eu</t>
  </si>
  <si>
    <t>ZESPÓŁ PORADNI NR 1 W LUBLINIE SPECJALISTYCZNA PORADNIA ZAWODOWA</t>
  </si>
  <si>
    <t>ZESPÓŁ PORADNI NR 2 SPECJALISTYCZNA PORADNIA PSYCHOPROFILAKTYKI I TERAPII RODZIN IM.PROF.W.FIJAŁKOWSKIEGO W LUBLINIE</t>
  </si>
  <si>
    <t>ul. Żołnierzy Niepodległej</t>
  </si>
  <si>
    <t>poczta@zp2.lublin.eu</t>
  </si>
  <si>
    <t>http://zp2.lublin.eu</t>
  </si>
  <si>
    <t>ZESPÓŁ PORADNI NR 2 W LUBLINIE PORADNIA PSYCHOLOGICZNO - PEDAGOGICZNA NR 4</t>
  </si>
  <si>
    <t>ZESPÓŁ PORADNI NR 3 W LUBLINIE - SPECJALISTYCZNA PORADNIA WCZESNEJ DIAGNOZY I REHABILITACJI</t>
  </si>
  <si>
    <t>ul. Młodej Polski</t>
  </si>
  <si>
    <t>poczta@zp3.lublin.eu</t>
  </si>
  <si>
    <t>www.zp3.lublin.pl</t>
  </si>
  <si>
    <t>ZESPÓŁ PORADNI NR 3 W LUBLINIE PORADNIA PSYCHOLOGICZNO-PEDAGOGICZNA NR 6</t>
  </si>
  <si>
    <t>www.zp3.lublin.eu</t>
  </si>
  <si>
    <t>ZESPÓŁ PORADNI PSYCHOLOGICZNO-PEDAGOGICZNYCH POWIATU ŻARSKIEGO</t>
  </si>
  <si>
    <t>żarski</t>
  </si>
  <si>
    <t>Żary</t>
  </si>
  <si>
    <t>sekretariat@pppzary.pl</t>
  </si>
  <si>
    <t>www.pppzary.pl</t>
  </si>
  <si>
    <t>ZESPÓŁ PORADNI PSYCHOLOGICZNO-PEDAGOGICZNYCH W BIELSKU-BIAŁEJ PORADNIA PSYCHOLOGICZNO-PEDAGOGICZNA NR 1</t>
  </si>
  <si>
    <t>zppp@cuw.bielsko-biala.pl</t>
  </si>
  <si>
    <t>https://poradnia.bielsko.pl</t>
  </si>
  <si>
    <t>ZESPÓŁ PORADNI PSYCHOLOGICZNO-PEDAGOGICZNYCH W BIELSKU-BIAŁEJ PORADNIA PSYCHOLOGICZNO-PEDAGOGICZNA NR 2</t>
  </si>
  <si>
    <t>ZESPÓŁ PORADNI PSYCHOLOGICZNO-PEDAGOGICZNYCH W BIELSKU-BIAŁEJ SPECJALISTYCZNA PORADNIA DLA DZIECI Z WADĄ WZROKU, SŁUCHU I AUTYZMEM</t>
  </si>
  <si>
    <t>ZESPÓŁ PORADNI PSYCHOLOGICZNO-PEDAGOGICZNYCH W GORZOWIE WLKP.</t>
  </si>
  <si>
    <t>ul. Teatralna</t>
  </si>
  <si>
    <t>zpp@edu.gorzow.pl</t>
  </si>
  <si>
    <t>http://www.zppp-gorzow.pl/</t>
  </si>
  <si>
    <t>ZESPÓŁ SZKÓŁ OGÓLNOKSZTAŁCĄCYCH NR 6 - PORADNIA PSYCHOLOGICZNO-PEDAGOGICZNA NR 6 W GDAŃSKU</t>
  </si>
  <si>
    <t>ul. Teofila Lenartowicza</t>
  </si>
  <si>
    <t>sekretariat@ppp6.edu.gdansk.pl</t>
  </si>
  <si>
    <t>ppp6.edu.gdansk.pl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</si>
</sst>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3"/>
  <sheetViews>
    <sheetView tabSelected="1" workbookViewId="0"/>
  </sheetViews>
  <sheetFormatPr defaultRowHeight="15" x14ac:dyDescent="0.25"/>
  <cols>
    <col min="1" max="1" width="30.42578125" customWidth="1"/>
    <col min="2" max="2" width="15.140625" customWidth="1"/>
    <col min="3" max="3" width="17.28515625" customWidth="1"/>
    <col min="4" max="4" width="16.85546875" customWidth="1"/>
    <col min="5" max="5" width="20.5703125" customWidth="1"/>
    <col min="6" max="6" width="19.42578125" customWidth="1"/>
    <col min="11" max="11" width="27.5703125" customWidth="1"/>
    <col min="12" max="12" width="34.28515625" customWidth="1"/>
    <col min="13" max="13" width="50.7109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25</v>
      </c>
      <c r="B2" t="s">
        <v>26</v>
      </c>
      <c r="C2" t="s">
        <v>27</v>
      </c>
      <c r="D2" t="s">
        <v>28</v>
      </c>
      <c r="E2" t="s">
        <v>28</v>
      </c>
      <c r="F2" t="s">
        <v>29</v>
      </c>
      <c r="G2" t="str">
        <f>"8-10"</f>
        <v>8-10</v>
      </c>
      <c r="I2" t="str">
        <f>"50-236"</f>
        <v>50-236</v>
      </c>
      <c r="J2" t="s">
        <v>27</v>
      </c>
      <c r="K2" t="str">
        <f>"533790308"</f>
        <v>533790308</v>
      </c>
      <c r="L2" t="s">
        <v>30</v>
      </c>
      <c r="M2" t="s">
        <v>31</v>
      </c>
    </row>
    <row r="3" spans="1:13" x14ac:dyDescent="0.25">
      <c r="A3" t="s">
        <v>365</v>
      </c>
      <c r="B3" t="s">
        <v>26</v>
      </c>
      <c r="C3" t="s">
        <v>366</v>
      </c>
      <c r="D3" t="s">
        <v>367</v>
      </c>
      <c r="E3" t="s">
        <v>367</v>
      </c>
      <c r="F3" t="s">
        <v>243</v>
      </c>
      <c r="G3" t="str">
        <f>"11"</f>
        <v>11</v>
      </c>
      <c r="I3" t="str">
        <f>"59-400"</f>
        <v>59-400</v>
      </c>
      <c r="J3" t="s">
        <v>367</v>
      </c>
      <c r="K3" t="str">
        <f>"767291924"</f>
        <v>767291924</v>
      </c>
      <c r="L3" t="s">
        <v>368</v>
      </c>
      <c r="M3" t="s">
        <v>369</v>
      </c>
    </row>
    <row r="4" spans="1:13" x14ac:dyDescent="0.25">
      <c r="A4" t="s">
        <v>542</v>
      </c>
      <c r="B4" t="s">
        <v>26</v>
      </c>
      <c r="C4" t="s">
        <v>543</v>
      </c>
      <c r="D4" t="s">
        <v>544</v>
      </c>
      <c r="E4" t="s">
        <v>544</v>
      </c>
      <c r="F4" t="s">
        <v>545</v>
      </c>
      <c r="G4" t="str">
        <f>"1"</f>
        <v>1</v>
      </c>
      <c r="I4" t="str">
        <f>"59-100"</f>
        <v>59-100</v>
      </c>
      <c r="J4" t="s">
        <v>544</v>
      </c>
      <c r="K4" t="str">
        <f>"767461570"</f>
        <v>767461570</v>
      </c>
      <c r="L4" t="s">
        <v>546</v>
      </c>
      <c r="M4" t="s">
        <v>547</v>
      </c>
    </row>
    <row r="5" spans="1:13" x14ac:dyDescent="0.25">
      <c r="A5" t="s">
        <v>713</v>
      </c>
      <c r="B5" t="s">
        <v>26</v>
      </c>
      <c r="C5" t="s">
        <v>714</v>
      </c>
      <c r="D5" t="s">
        <v>715</v>
      </c>
      <c r="E5" t="s">
        <v>715</v>
      </c>
      <c r="F5" t="s">
        <v>217</v>
      </c>
      <c r="G5" t="str">
        <f>"16"</f>
        <v>16</v>
      </c>
      <c r="I5" t="str">
        <f>"59-620"</f>
        <v>59-620</v>
      </c>
      <c r="J5" t="s">
        <v>715</v>
      </c>
      <c r="K5" t="str">
        <f>"757813268"</f>
        <v>757813268</v>
      </c>
      <c r="L5" t="s">
        <v>716</v>
      </c>
    </row>
    <row r="6" spans="1:13" x14ac:dyDescent="0.25">
      <c r="A6" t="s">
        <v>751</v>
      </c>
      <c r="B6" t="s">
        <v>26</v>
      </c>
      <c r="C6" t="s">
        <v>752</v>
      </c>
      <c r="D6" t="s">
        <v>753</v>
      </c>
      <c r="E6" t="s">
        <v>753</v>
      </c>
      <c r="F6" t="s">
        <v>754</v>
      </c>
      <c r="G6" t="str">
        <f>"1"</f>
        <v>1</v>
      </c>
      <c r="I6" t="str">
        <f>"55-100"</f>
        <v>55-100</v>
      </c>
      <c r="J6" t="s">
        <v>753</v>
      </c>
      <c r="K6" t="str">
        <f>"717381000"</f>
        <v>717381000</v>
      </c>
      <c r="L6" t="s">
        <v>755</v>
      </c>
      <c r="M6" t="s">
        <v>756</v>
      </c>
    </row>
    <row r="7" spans="1:13" x14ac:dyDescent="0.25">
      <c r="A7" t="s">
        <v>806</v>
      </c>
      <c r="B7" t="s">
        <v>26</v>
      </c>
      <c r="C7" t="s">
        <v>860</v>
      </c>
      <c r="D7" t="s">
        <v>860</v>
      </c>
      <c r="E7" t="s">
        <v>860</v>
      </c>
      <c r="F7" t="s">
        <v>861</v>
      </c>
      <c r="G7" t="str">
        <f>"9"</f>
        <v>9</v>
      </c>
      <c r="I7" t="str">
        <f>"58-300"</f>
        <v>58-300</v>
      </c>
      <c r="J7" t="s">
        <v>860</v>
      </c>
      <c r="K7" t="str">
        <f>"746462640"</f>
        <v>746462640</v>
      </c>
      <c r="L7" t="s">
        <v>862</v>
      </c>
      <c r="M7" t="s">
        <v>863</v>
      </c>
    </row>
    <row r="8" spans="1:13" x14ac:dyDescent="0.25">
      <c r="A8" t="s">
        <v>806</v>
      </c>
      <c r="B8" t="s">
        <v>26</v>
      </c>
      <c r="C8" t="s">
        <v>878</v>
      </c>
      <c r="D8" t="s">
        <v>879</v>
      </c>
      <c r="E8" t="s">
        <v>879</v>
      </c>
      <c r="F8" t="s">
        <v>880</v>
      </c>
      <c r="G8" t="str">
        <f>"1"</f>
        <v>1</v>
      </c>
      <c r="I8" t="str">
        <f>"59-500"</f>
        <v>59-500</v>
      </c>
      <c r="J8" t="s">
        <v>879</v>
      </c>
      <c r="K8" t="str">
        <f>"768783549"</f>
        <v>768783549</v>
      </c>
      <c r="L8" t="s">
        <v>881</v>
      </c>
    </row>
    <row r="9" spans="1:13" x14ac:dyDescent="0.25">
      <c r="A9" t="s">
        <v>806</v>
      </c>
      <c r="B9" t="s">
        <v>26</v>
      </c>
      <c r="C9" t="s">
        <v>882</v>
      </c>
      <c r="D9" t="s">
        <v>883</v>
      </c>
      <c r="E9" t="s">
        <v>883</v>
      </c>
      <c r="F9" t="s">
        <v>884</v>
      </c>
      <c r="G9" t="str">
        <f>"17"</f>
        <v>17</v>
      </c>
      <c r="I9" t="str">
        <f>"58-400"</f>
        <v>58-400</v>
      </c>
      <c r="J9" t="s">
        <v>883</v>
      </c>
      <c r="K9" t="str">
        <f>"756450244"</f>
        <v>756450244</v>
      </c>
      <c r="L9" t="s">
        <v>885</v>
      </c>
      <c r="M9" t="s">
        <v>886</v>
      </c>
    </row>
    <row r="10" spans="1:13" x14ac:dyDescent="0.25">
      <c r="A10" t="s">
        <v>806</v>
      </c>
      <c r="B10" t="s">
        <v>26</v>
      </c>
      <c r="C10" t="s">
        <v>895</v>
      </c>
      <c r="D10" t="s">
        <v>896</v>
      </c>
      <c r="E10" t="s">
        <v>896</v>
      </c>
      <c r="F10" t="s">
        <v>897</v>
      </c>
      <c r="G10" t="str">
        <f>"2"</f>
        <v>2</v>
      </c>
      <c r="I10" t="str">
        <f>"55-300"</f>
        <v>55-300</v>
      </c>
      <c r="J10" t="s">
        <v>896</v>
      </c>
      <c r="K10" t="str">
        <f>"713173868"</f>
        <v>713173868</v>
      </c>
      <c r="L10" t="s">
        <v>898</v>
      </c>
      <c r="M10" t="s">
        <v>899</v>
      </c>
    </row>
    <row r="11" spans="1:13" x14ac:dyDescent="0.25">
      <c r="A11" t="s">
        <v>985</v>
      </c>
      <c r="B11" t="s">
        <v>26</v>
      </c>
      <c r="C11" t="s">
        <v>27</v>
      </c>
      <c r="D11" t="s">
        <v>988</v>
      </c>
      <c r="E11" t="s">
        <v>988</v>
      </c>
      <c r="F11" t="s">
        <v>333</v>
      </c>
      <c r="G11" t="str">
        <f>"31"</f>
        <v>31</v>
      </c>
      <c r="H11" t="str">
        <f>"1"</f>
        <v>1</v>
      </c>
      <c r="I11" t="str">
        <f>"50-011"</f>
        <v>50-011</v>
      </c>
      <c r="J11" t="s">
        <v>27</v>
      </c>
      <c r="K11" t="str">
        <f>"717986828"</f>
        <v>717986828</v>
      </c>
      <c r="L11" t="s">
        <v>989</v>
      </c>
      <c r="M11" t="s">
        <v>990</v>
      </c>
    </row>
    <row r="12" spans="1:13" x14ac:dyDescent="0.25">
      <c r="A12" t="s">
        <v>1040</v>
      </c>
      <c r="B12" t="s">
        <v>26</v>
      </c>
      <c r="C12" t="s">
        <v>1041</v>
      </c>
      <c r="D12" t="s">
        <v>1041</v>
      </c>
      <c r="E12" t="s">
        <v>1041</v>
      </c>
      <c r="F12" t="s">
        <v>600</v>
      </c>
      <c r="G12" t="str">
        <f>"13"</f>
        <v>13</v>
      </c>
      <c r="I12" t="str">
        <f>"59-220"</f>
        <v>59-220</v>
      </c>
      <c r="J12" t="s">
        <v>1041</v>
      </c>
      <c r="K12" t="str">
        <f>"767233102"</f>
        <v>767233102</v>
      </c>
      <c r="L12" t="s">
        <v>1042</v>
      </c>
      <c r="M12" t="s">
        <v>1043</v>
      </c>
    </row>
    <row r="13" spans="1:13" x14ac:dyDescent="0.25">
      <c r="A13" t="s">
        <v>1104</v>
      </c>
      <c r="B13" t="s">
        <v>26</v>
      </c>
      <c r="C13" t="s">
        <v>27</v>
      </c>
      <c r="D13" t="s">
        <v>28</v>
      </c>
      <c r="E13" t="s">
        <v>28</v>
      </c>
      <c r="F13" t="s">
        <v>1108</v>
      </c>
      <c r="G13" t="str">
        <f>"117"</f>
        <v>117</v>
      </c>
      <c r="I13" t="str">
        <f>"50-301"</f>
        <v>50-301</v>
      </c>
      <c r="J13" t="s">
        <v>27</v>
      </c>
      <c r="K13" t="str">
        <f>"717986829"</f>
        <v>717986829</v>
      </c>
      <c r="L13" t="s">
        <v>1109</v>
      </c>
      <c r="M13" t="s">
        <v>1110</v>
      </c>
    </row>
    <row r="14" spans="1:13" x14ac:dyDescent="0.25">
      <c r="A14" t="s">
        <v>1146</v>
      </c>
      <c r="B14" t="s">
        <v>26</v>
      </c>
      <c r="C14" t="s">
        <v>1041</v>
      </c>
      <c r="D14" t="s">
        <v>1041</v>
      </c>
      <c r="E14" t="s">
        <v>1041</v>
      </c>
      <c r="F14" t="s">
        <v>1147</v>
      </c>
      <c r="G14" t="str">
        <f>"8"</f>
        <v>8</v>
      </c>
      <c r="I14" t="str">
        <f>"59-220"</f>
        <v>59-220</v>
      </c>
      <c r="J14" t="s">
        <v>1041</v>
      </c>
      <c r="K14" t="str">
        <f>"767233100"</f>
        <v>767233100</v>
      </c>
      <c r="L14" t="s">
        <v>1042</v>
      </c>
      <c r="M14" t="s">
        <v>1148</v>
      </c>
    </row>
    <row r="15" spans="1:13" x14ac:dyDescent="0.25">
      <c r="A15" t="s">
        <v>1197</v>
      </c>
      <c r="B15" t="s">
        <v>26</v>
      </c>
      <c r="C15" t="s">
        <v>27</v>
      </c>
      <c r="D15" t="s">
        <v>1198</v>
      </c>
      <c r="E15" t="s">
        <v>1198</v>
      </c>
      <c r="F15" t="s">
        <v>1199</v>
      </c>
      <c r="G15" t="str">
        <f>"59"</f>
        <v>59</v>
      </c>
      <c r="I15" t="str">
        <f>"53-426"</f>
        <v>53-426</v>
      </c>
      <c r="J15" t="s">
        <v>27</v>
      </c>
      <c r="K15" t="str">
        <f>"717986830"</f>
        <v>717986830</v>
      </c>
      <c r="L15" t="s">
        <v>1200</v>
      </c>
      <c r="M15" t="s">
        <v>1201</v>
      </c>
    </row>
    <row r="16" spans="1:13" x14ac:dyDescent="0.25">
      <c r="A16" t="s">
        <v>1225</v>
      </c>
      <c r="B16" t="s">
        <v>26</v>
      </c>
      <c r="C16" t="s">
        <v>27</v>
      </c>
      <c r="D16" t="s">
        <v>1234</v>
      </c>
      <c r="E16" t="s">
        <v>1234</v>
      </c>
      <c r="F16" t="s">
        <v>1235</v>
      </c>
      <c r="G16" t="str">
        <f>"28"</f>
        <v>28</v>
      </c>
      <c r="I16" t="str">
        <f>"51-171"</f>
        <v>51-171</v>
      </c>
      <c r="J16" t="s">
        <v>27</v>
      </c>
      <c r="K16" t="str">
        <f>"717986831"</f>
        <v>717986831</v>
      </c>
      <c r="L16" t="s">
        <v>1236</v>
      </c>
      <c r="M16" t="s">
        <v>1237</v>
      </c>
    </row>
    <row r="17" spans="1:13" x14ac:dyDescent="0.25">
      <c r="A17" t="s">
        <v>1275</v>
      </c>
      <c r="B17" t="s">
        <v>26</v>
      </c>
      <c r="C17" t="s">
        <v>27</v>
      </c>
      <c r="D17" t="s">
        <v>1276</v>
      </c>
      <c r="E17" t="s">
        <v>1276</v>
      </c>
      <c r="F17" t="s">
        <v>1277</v>
      </c>
      <c r="G17" t="str">
        <f>"102"</f>
        <v>102</v>
      </c>
      <c r="I17" t="str">
        <f>"50-427"</f>
        <v>50-427</v>
      </c>
      <c r="J17" t="s">
        <v>27</v>
      </c>
      <c r="K17" t="str">
        <f>"717986832"</f>
        <v>717986832</v>
      </c>
      <c r="L17" t="s">
        <v>1278</v>
      </c>
      <c r="M17" t="s">
        <v>1279</v>
      </c>
    </row>
    <row r="18" spans="1:13" x14ac:dyDescent="0.25">
      <c r="A18" t="s">
        <v>1284</v>
      </c>
      <c r="B18" t="s">
        <v>26</v>
      </c>
      <c r="C18" t="s">
        <v>970</v>
      </c>
      <c r="D18" t="s">
        <v>971</v>
      </c>
      <c r="E18" t="s">
        <v>971</v>
      </c>
      <c r="F18" t="s">
        <v>1285</v>
      </c>
      <c r="G18" t="str">
        <f>"35"</f>
        <v>35</v>
      </c>
      <c r="I18" t="str">
        <f>"59-300"</f>
        <v>59-300</v>
      </c>
      <c r="J18" t="s">
        <v>971</v>
      </c>
      <c r="K18" t="str">
        <f>"502397548"</f>
        <v>502397548</v>
      </c>
      <c r="L18" t="s">
        <v>969</v>
      </c>
    </row>
    <row r="19" spans="1:13" x14ac:dyDescent="0.25">
      <c r="A19" t="s">
        <v>1336</v>
      </c>
      <c r="B19" t="s">
        <v>26</v>
      </c>
      <c r="C19" t="s">
        <v>1337</v>
      </c>
      <c r="D19" t="s">
        <v>1338</v>
      </c>
      <c r="E19" t="s">
        <v>1338</v>
      </c>
      <c r="F19" t="s">
        <v>333</v>
      </c>
      <c r="G19" t="str">
        <f>"33"</f>
        <v>33</v>
      </c>
      <c r="I19" t="str">
        <f>"59-920"</f>
        <v>59-920</v>
      </c>
      <c r="J19" t="s">
        <v>1338</v>
      </c>
      <c r="K19" t="str">
        <f>"757732125"</f>
        <v>757732125</v>
      </c>
      <c r="L19" t="s">
        <v>1339</v>
      </c>
      <c r="M19" t="s">
        <v>1340</v>
      </c>
    </row>
    <row r="20" spans="1:13" x14ac:dyDescent="0.25">
      <c r="A20" t="s">
        <v>1342</v>
      </c>
      <c r="B20" t="s">
        <v>26</v>
      </c>
      <c r="C20" t="s">
        <v>1343</v>
      </c>
      <c r="D20" t="s">
        <v>1344</v>
      </c>
      <c r="E20" t="s">
        <v>1344</v>
      </c>
      <c r="F20" t="s">
        <v>1345</v>
      </c>
      <c r="G20" t="str">
        <f>"11"</f>
        <v>11</v>
      </c>
      <c r="I20" t="str">
        <f>"59-700"</f>
        <v>59-700</v>
      </c>
      <c r="J20" t="s">
        <v>1344</v>
      </c>
      <c r="K20" t="str">
        <f>"757220793"</f>
        <v>757220793</v>
      </c>
      <c r="L20" t="s">
        <v>1346</v>
      </c>
      <c r="M20" t="s">
        <v>1347</v>
      </c>
    </row>
    <row r="21" spans="1:13" x14ac:dyDescent="0.25">
      <c r="A21" t="s">
        <v>1360</v>
      </c>
      <c r="B21" t="s">
        <v>26</v>
      </c>
      <c r="C21" t="s">
        <v>1361</v>
      </c>
      <c r="D21" t="s">
        <v>1362</v>
      </c>
      <c r="E21" t="s">
        <v>1362</v>
      </c>
      <c r="F21" t="s">
        <v>1363</v>
      </c>
      <c r="G21" t="str">
        <f>"1 A"</f>
        <v>1 A</v>
      </c>
      <c r="I21" t="str">
        <f>"56-120"</f>
        <v>56-120</v>
      </c>
      <c r="J21" t="s">
        <v>1362</v>
      </c>
      <c r="K21" t="str">
        <f>"713199994"</f>
        <v>713199994</v>
      </c>
      <c r="L21" t="s">
        <v>1364</v>
      </c>
      <c r="M21" t="s">
        <v>1365</v>
      </c>
    </row>
    <row r="22" spans="1:13" x14ac:dyDescent="0.25">
      <c r="A22" t="s">
        <v>1474</v>
      </c>
      <c r="B22" t="s">
        <v>26</v>
      </c>
      <c r="C22" t="s">
        <v>1475</v>
      </c>
      <c r="D22" t="s">
        <v>1476</v>
      </c>
      <c r="E22" t="s">
        <v>1476</v>
      </c>
      <c r="F22" t="s">
        <v>1477</v>
      </c>
      <c r="G22" t="str">
        <f>"52"</f>
        <v>52</v>
      </c>
      <c r="I22" t="str">
        <f>"67-200"</f>
        <v>67-200</v>
      </c>
      <c r="J22" t="s">
        <v>1476</v>
      </c>
      <c r="K22" t="str">
        <f>"768357540"</f>
        <v>768357540</v>
      </c>
      <c r="L22" t="s">
        <v>1478</v>
      </c>
      <c r="M22" t="s">
        <v>1479</v>
      </c>
    </row>
    <row r="23" spans="1:13" x14ac:dyDescent="0.25">
      <c r="A23" t="s">
        <v>1494</v>
      </c>
      <c r="B23" t="s">
        <v>26</v>
      </c>
      <c r="C23" t="s">
        <v>1495</v>
      </c>
      <c r="D23" t="s">
        <v>1496</v>
      </c>
      <c r="E23" t="s">
        <v>1496</v>
      </c>
      <c r="F23" t="s">
        <v>1497</v>
      </c>
      <c r="G23" t="str">
        <f>"27"</f>
        <v>27</v>
      </c>
      <c r="I23" t="str">
        <f>"56-200"</f>
        <v>56-200</v>
      </c>
      <c r="J23" t="s">
        <v>1496</v>
      </c>
      <c r="K23" t="str">
        <f>"655433364"</f>
        <v>655433364</v>
      </c>
      <c r="L23" t="s">
        <v>1498</v>
      </c>
      <c r="M23" t="s">
        <v>1499</v>
      </c>
    </row>
    <row r="24" spans="1:13" x14ac:dyDescent="0.25">
      <c r="A24" t="s">
        <v>1596</v>
      </c>
      <c r="B24" t="s">
        <v>26</v>
      </c>
      <c r="C24" t="s">
        <v>1597</v>
      </c>
      <c r="D24" t="s">
        <v>1598</v>
      </c>
      <c r="E24" t="s">
        <v>1598</v>
      </c>
      <c r="F24" t="s">
        <v>1599</v>
      </c>
      <c r="G24" t="str">
        <f>"1"</f>
        <v>1</v>
      </c>
      <c r="I24" t="str">
        <f>"55-220"</f>
        <v>55-220</v>
      </c>
      <c r="J24" t="s">
        <v>1598</v>
      </c>
      <c r="K24" t="str">
        <f>"713181397"</f>
        <v>713181397</v>
      </c>
      <c r="L24" t="s">
        <v>1600</v>
      </c>
      <c r="M24" t="s">
        <v>1601</v>
      </c>
    </row>
    <row r="25" spans="1:13" x14ac:dyDescent="0.25">
      <c r="A25" t="s">
        <v>1749</v>
      </c>
      <c r="B25" t="s">
        <v>26</v>
      </c>
      <c r="C25" t="s">
        <v>1750</v>
      </c>
      <c r="D25" t="s">
        <v>1751</v>
      </c>
      <c r="E25" t="s">
        <v>1751</v>
      </c>
      <c r="F25" t="s">
        <v>1752</v>
      </c>
      <c r="G25" t="str">
        <f>"2"</f>
        <v>2</v>
      </c>
      <c r="I25" t="str">
        <f>"59-800"</f>
        <v>59-800</v>
      </c>
      <c r="J25" t="s">
        <v>1751</v>
      </c>
      <c r="K25" t="str">
        <f>"756465110"</f>
        <v>756465110</v>
      </c>
      <c r="L25" t="s">
        <v>1753</v>
      </c>
      <c r="M25" t="s">
        <v>1754</v>
      </c>
    </row>
    <row r="26" spans="1:13" x14ac:dyDescent="0.25">
      <c r="A26" t="s">
        <v>1755</v>
      </c>
      <c r="B26" t="s">
        <v>26</v>
      </c>
      <c r="C26" t="s">
        <v>970</v>
      </c>
      <c r="D26" t="s">
        <v>971</v>
      </c>
      <c r="E26" t="s">
        <v>971</v>
      </c>
      <c r="F26" t="s">
        <v>1756</v>
      </c>
      <c r="G26" t="str">
        <f>"6a"</f>
        <v>6a</v>
      </c>
      <c r="I26" t="str">
        <f>"59-300"</f>
        <v>59-300</v>
      </c>
      <c r="J26" t="s">
        <v>971</v>
      </c>
      <c r="K26" t="str">
        <f>"781700190"</f>
        <v>781700190</v>
      </c>
      <c r="L26" t="s">
        <v>1757</v>
      </c>
      <c r="M26" t="s">
        <v>1758</v>
      </c>
    </row>
    <row r="27" spans="1:13" x14ac:dyDescent="0.25">
      <c r="A27" t="s">
        <v>1774</v>
      </c>
      <c r="B27" t="s">
        <v>26</v>
      </c>
      <c r="C27" t="s">
        <v>714</v>
      </c>
      <c r="D27" t="s">
        <v>717</v>
      </c>
      <c r="E27" t="s">
        <v>717</v>
      </c>
      <c r="F27" t="s">
        <v>1775</v>
      </c>
      <c r="G27" t="str">
        <f>"1"</f>
        <v>1</v>
      </c>
      <c r="I27" t="str">
        <f>"59-600"</f>
        <v>59-600</v>
      </c>
      <c r="J27" t="s">
        <v>717</v>
      </c>
      <c r="K27" t="str">
        <f>"757824300"</f>
        <v>757824300</v>
      </c>
      <c r="L27" t="s">
        <v>1776</v>
      </c>
      <c r="M27" t="s">
        <v>1777</v>
      </c>
    </row>
    <row r="28" spans="1:13" x14ac:dyDescent="0.25">
      <c r="A28" t="s">
        <v>1805</v>
      </c>
      <c r="B28" t="s">
        <v>26</v>
      </c>
      <c r="C28" t="s">
        <v>1806</v>
      </c>
      <c r="D28" t="s">
        <v>1807</v>
      </c>
      <c r="E28" t="s">
        <v>1807</v>
      </c>
      <c r="F28" t="s">
        <v>1808</v>
      </c>
      <c r="G28" t="str">
        <f>"4B"</f>
        <v>4B</v>
      </c>
      <c r="I28" t="str">
        <f>"56-300"</f>
        <v>56-300</v>
      </c>
      <c r="J28" t="s">
        <v>1807</v>
      </c>
      <c r="K28" t="str">
        <f>"713840237"</f>
        <v>713840237</v>
      </c>
      <c r="L28" t="s">
        <v>1809</v>
      </c>
      <c r="M28" t="s">
        <v>1810</v>
      </c>
    </row>
    <row r="29" spans="1:13" x14ac:dyDescent="0.25">
      <c r="A29" t="s">
        <v>1878</v>
      </c>
      <c r="B29" t="s">
        <v>26</v>
      </c>
      <c r="C29" t="s">
        <v>1597</v>
      </c>
      <c r="D29" t="s">
        <v>1602</v>
      </c>
      <c r="E29" t="s">
        <v>1602</v>
      </c>
      <c r="F29" t="s">
        <v>1879</v>
      </c>
      <c r="G29" t="str">
        <f>"18"</f>
        <v>18</v>
      </c>
      <c r="I29" t="str">
        <f>"55-200"</f>
        <v>55-200</v>
      </c>
      <c r="J29" t="s">
        <v>1602</v>
      </c>
      <c r="K29" t="str">
        <f>"713132239"</f>
        <v>713132239</v>
      </c>
      <c r="L29" t="s">
        <v>1880</v>
      </c>
      <c r="M29" t="s">
        <v>1881</v>
      </c>
    </row>
    <row r="30" spans="1:13" x14ac:dyDescent="0.25">
      <c r="A30" t="s">
        <v>1888</v>
      </c>
      <c r="B30" t="s">
        <v>26</v>
      </c>
      <c r="C30" t="s">
        <v>1889</v>
      </c>
      <c r="D30" t="s">
        <v>1890</v>
      </c>
      <c r="E30" t="s">
        <v>1890</v>
      </c>
      <c r="F30" t="s">
        <v>447</v>
      </c>
      <c r="G30" t="str">
        <f>"67/69"</f>
        <v>67/69</v>
      </c>
      <c r="I30" t="str">
        <f>"56-400"</f>
        <v>56-400</v>
      </c>
      <c r="J30" t="s">
        <v>1890</v>
      </c>
      <c r="K30" t="str">
        <f>"713143278"</f>
        <v>713143278</v>
      </c>
      <c r="L30" t="s">
        <v>1891</v>
      </c>
      <c r="M30" t="s">
        <v>1892</v>
      </c>
    </row>
    <row r="31" spans="1:13" x14ac:dyDescent="0.25">
      <c r="A31" t="s">
        <v>2158</v>
      </c>
      <c r="B31" t="s">
        <v>26</v>
      </c>
      <c r="C31" t="s">
        <v>2159</v>
      </c>
      <c r="D31" t="s">
        <v>2160</v>
      </c>
      <c r="E31" t="s">
        <v>2160</v>
      </c>
      <c r="F31" t="s">
        <v>2161</v>
      </c>
      <c r="G31" t="str">
        <f>"16"</f>
        <v>16</v>
      </c>
      <c r="I31" t="str">
        <f>"58-150"</f>
        <v>58-150</v>
      </c>
      <c r="J31" t="s">
        <v>2160</v>
      </c>
      <c r="K31" t="str">
        <f>"746622760"</f>
        <v>746622760</v>
      </c>
      <c r="L31" t="s">
        <v>2162</v>
      </c>
    </row>
    <row r="32" spans="1:13" x14ac:dyDescent="0.25">
      <c r="A32" t="s">
        <v>2164</v>
      </c>
      <c r="B32" t="s">
        <v>26</v>
      </c>
      <c r="C32" t="s">
        <v>2165</v>
      </c>
      <c r="D32" t="s">
        <v>2166</v>
      </c>
      <c r="E32" t="s">
        <v>2166</v>
      </c>
      <c r="F32" t="s">
        <v>2167</v>
      </c>
      <c r="G32" t="str">
        <f>"17"</f>
        <v>17</v>
      </c>
      <c r="H32" t="str">
        <f>"1"</f>
        <v>1</v>
      </c>
      <c r="I32" t="str">
        <f>"57-100"</f>
        <v>57-100</v>
      </c>
      <c r="J32" t="s">
        <v>2166</v>
      </c>
      <c r="K32" t="str">
        <f>"713920749"</f>
        <v>713920749</v>
      </c>
      <c r="L32" t="s">
        <v>2168</v>
      </c>
      <c r="M32" t="s">
        <v>2169</v>
      </c>
    </row>
    <row r="33" spans="1:13" x14ac:dyDescent="0.25">
      <c r="A33" t="s">
        <v>2170</v>
      </c>
      <c r="B33" t="s">
        <v>26</v>
      </c>
      <c r="C33" t="s">
        <v>2159</v>
      </c>
      <c r="D33" t="s">
        <v>2163</v>
      </c>
      <c r="E33" t="s">
        <v>2163</v>
      </c>
      <c r="F33" t="s">
        <v>2171</v>
      </c>
      <c r="G33" t="str">
        <f>"14"</f>
        <v>14</v>
      </c>
      <c r="I33" t="str">
        <f>"58-100"</f>
        <v>58-100</v>
      </c>
      <c r="J33" t="s">
        <v>2163</v>
      </c>
      <c r="K33" t="str">
        <f>"746622720"</f>
        <v>746622720</v>
      </c>
      <c r="L33" t="s">
        <v>2162</v>
      </c>
    </row>
    <row r="34" spans="1:13" x14ac:dyDescent="0.25">
      <c r="A34" t="s">
        <v>2181</v>
      </c>
      <c r="B34" t="s">
        <v>26</v>
      </c>
      <c r="C34" t="s">
        <v>2159</v>
      </c>
      <c r="D34" t="s">
        <v>2182</v>
      </c>
      <c r="E34" t="s">
        <v>2182</v>
      </c>
      <c r="F34" t="s">
        <v>2183</v>
      </c>
      <c r="G34" t="str">
        <f>"9"</f>
        <v>9</v>
      </c>
      <c r="I34" t="str">
        <f>"58-160"</f>
        <v>58-160</v>
      </c>
      <c r="J34" t="s">
        <v>2182</v>
      </c>
      <c r="K34" t="str">
        <f>"746622740"</f>
        <v>746622740</v>
      </c>
      <c r="L34" t="s">
        <v>2162</v>
      </c>
    </row>
    <row r="35" spans="1:13" x14ac:dyDescent="0.25">
      <c r="A35" t="s">
        <v>2189</v>
      </c>
      <c r="B35" t="s">
        <v>26</v>
      </c>
      <c r="C35" t="s">
        <v>1889</v>
      </c>
      <c r="D35" t="s">
        <v>2190</v>
      </c>
      <c r="E35" t="s">
        <v>2190</v>
      </c>
      <c r="F35" t="s">
        <v>1300</v>
      </c>
      <c r="G35" t="str">
        <f>"1"</f>
        <v>1</v>
      </c>
      <c r="I35" t="str">
        <f>"56-500"</f>
        <v>56-500</v>
      </c>
      <c r="J35" t="s">
        <v>2190</v>
      </c>
      <c r="K35" t="str">
        <f>"627852708"</f>
        <v>627852708</v>
      </c>
      <c r="L35" t="s">
        <v>2191</v>
      </c>
      <c r="M35" t="s">
        <v>2192</v>
      </c>
    </row>
    <row r="36" spans="1:13" x14ac:dyDescent="0.25">
      <c r="A36" t="s">
        <v>2272</v>
      </c>
      <c r="B36" t="s">
        <v>26</v>
      </c>
      <c r="C36" t="s">
        <v>1361</v>
      </c>
      <c r="D36" t="s">
        <v>1366</v>
      </c>
      <c r="E36" t="s">
        <v>1366</v>
      </c>
      <c r="F36" t="s">
        <v>333</v>
      </c>
      <c r="G36" t="str">
        <f>"27"</f>
        <v>27</v>
      </c>
      <c r="I36" t="str">
        <f>"56-100"</f>
        <v>56-100</v>
      </c>
      <c r="J36" t="s">
        <v>1366</v>
      </c>
      <c r="K36" t="str">
        <f>"713892546"</f>
        <v>713892546</v>
      </c>
      <c r="L36" t="s">
        <v>2273</v>
      </c>
      <c r="M36" t="s">
        <v>2274</v>
      </c>
    </row>
    <row r="37" spans="1:13" x14ac:dyDescent="0.25">
      <c r="A37" t="s">
        <v>2293</v>
      </c>
      <c r="B37" t="s">
        <v>26</v>
      </c>
      <c r="C37" t="s">
        <v>2294</v>
      </c>
      <c r="D37" t="s">
        <v>2295</v>
      </c>
      <c r="E37" t="s">
        <v>2295</v>
      </c>
      <c r="F37" t="s">
        <v>22</v>
      </c>
      <c r="G37" t="str">
        <f>"10"</f>
        <v>10</v>
      </c>
      <c r="I37" t="str">
        <f>"57-200"</f>
        <v>57-200</v>
      </c>
      <c r="J37" t="s">
        <v>2295</v>
      </c>
      <c r="K37" t="str">
        <f>"748157828"</f>
        <v>748157828</v>
      </c>
      <c r="L37" t="s">
        <v>2296</v>
      </c>
      <c r="M37" t="s">
        <v>2297</v>
      </c>
    </row>
    <row r="38" spans="1:13" x14ac:dyDescent="0.25">
      <c r="A38" t="s">
        <v>2313</v>
      </c>
      <c r="B38" t="s">
        <v>26</v>
      </c>
      <c r="C38" t="s">
        <v>1337</v>
      </c>
      <c r="D38" t="s">
        <v>1341</v>
      </c>
      <c r="E38" t="s">
        <v>1341</v>
      </c>
      <c r="F38" t="s">
        <v>117</v>
      </c>
      <c r="G38" t="str">
        <f>"1"</f>
        <v>1</v>
      </c>
      <c r="I38" t="str">
        <f>"59-900"</f>
        <v>59-900</v>
      </c>
      <c r="J38" t="s">
        <v>1341</v>
      </c>
      <c r="K38" t="str">
        <f>"757752608"</f>
        <v>757752608</v>
      </c>
      <c r="L38" t="s">
        <v>2314</v>
      </c>
      <c r="M38" t="s">
        <v>2315</v>
      </c>
    </row>
    <row r="39" spans="1:13" x14ac:dyDescent="0.25">
      <c r="A39" t="s">
        <v>2425</v>
      </c>
      <c r="B39" t="s">
        <v>26</v>
      </c>
      <c r="C39" t="s">
        <v>2426</v>
      </c>
      <c r="D39" t="s">
        <v>2427</v>
      </c>
      <c r="E39" t="s">
        <v>2427</v>
      </c>
      <c r="F39" t="s">
        <v>2428</v>
      </c>
      <c r="G39" t="str">
        <f>"2"</f>
        <v>2</v>
      </c>
      <c r="I39" t="str">
        <f>"59-225"</f>
        <v>59-225</v>
      </c>
      <c r="J39" t="s">
        <v>2427</v>
      </c>
      <c r="K39" t="str">
        <f>"768188564"</f>
        <v>768188564</v>
      </c>
      <c r="L39" t="s">
        <v>2429</v>
      </c>
      <c r="M39" t="s">
        <v>2430</v>
      </c>
    </row>
    <row r="40" spans="1:13" x14ac:dyDescent="0.25">
      <c r="A40" t="s">
        <v>2436</v>
      </c>
      <c r="B40" t="s">
        <v>26</v>
      </c>
      <c r="C40" t="s">
        <v>860</v>
      </c>
      <c r="D40" t="s">
        <v>860</v>
      </c>
      <c r="E40" t="s">
        <v>860</v>
      </c>
      <c r="F40" t="s">
        <v>2446</v>
      </c>
      <c r="G40" t="str">
        <f>"20-24"</f>
        <v>20-24</v>
      </c>
      <c r="I40" t="str">
        <f>"58-300"</f>
        <v>58-300</v>
      </c>
      <c r="J40" t="s">
        <v>860</v>
      </c>
      <c r="K40" t="str">
        <f>"748423194"</f>
        <v>748423194</v>
      </c>
      <c r="L40" t="s">
        <v>2447</v>
      </c>
      <c r="M40" t="s">
        <v>2448</v>
      </c>
    </row>
    <row r="41" spans="1:13" x14ac:dyDescent="0.25">
      <c r="A41" t="s">
        <v>2449</v>
      </c>
      <c r="B41" t="s">
        <v>26</v>
      </c>
      <c r="C41" t="s">
        <v>27</v>
      </c>
      <c r="D41" t="s">
        <v>1276</v>
      </c>
      <c r="E41" t="s">
        <v>1276</v>
      </c>
      <c r="F41" t="s">
        <v>333</v>
      </c>
      <c r="G41" t="str">
        <f>"131"</f>
        <v>131</v>
      </c>
      <c r="I41" t="str">
        <f>"50-440"</f>
        <v>50-440</v>
      </c>
      <c r="J41" t="s">
        <v>27</v>
      </c>
      <c r="K41" t="str">
        <f>"717222002"</f>
        <v>717222002</v>
      </c>
      <c r="L41" t="s">
        <v>2450</v>
      </c>
      <c r="M41" t="s">
        <v>2451</v>
      </c>
    </row>
    <row r="42" spans="1:13" x14ac:dyDescent="0.25">
      <c r="A42" t="s">
        <v>2452</v>
      </c>
      <c r="B42" t="s">
        <v>26</v>
      </c>
      <c r="C42" t="s">
        <v>27</v>
      </c>
      <c r="D42" t="s">
        <v>1276</v>
      </c>
      <c r="E42" t="s">
        <v>1276</v>
      </c>
      <c r="F42" t="s">
        <v>333</v>
      </c>
      <c r="G42" t="str">
        <f>"131"</f>
        <v>131</v>
      </c>
      <c r="I42" t="str">
        <f>"50-440"</f>
        <v>50-440</v>
      </c>
      <c r="J42" t="s">
        <v>27</v>
      </c>
      <c r="K42" t="str">
        <f>"717222002"</f>
        <v>717222002</v>
      </c>
      <c r="L42" t="s">
        <v>2450</v>
      </c>
      <c r="M42" t="s">
        <v>2451</v>
      </c>
    </row>
    <row r="43" spans="1:13" x14ac:dyDescent="0.25">
      <c r="A43" t="s">
        <v>2507</v>
      </c>
      <c r="B43" t="s">
        <v>26</v>
      </c>
      <c r="C43" t="s">
        <v>2508</v>
      </c>
      <c r="D43" t="s">
        <v>2509</v>
      </c>
      <c r="E43" t="s">
        <v>2509</v>
      </c>
      <c r="F43" t="s">
        <v>880</v>
      </c>
      <c r="G43" t="str">
        <f>"8"</f>
        <v>8</v>
      </c>
      <c r="I43" t="str">
        <f>"57-300"</f>
        <v>57-300</v>
      </c>
      <c r="J43" t="s">
        <v>2509</v>
      </c>
      <c r="K43" t="str">
        <f>"0748673769"</f>
        <v>0748673769</v>
      </c>
      <c r="L43" t="s">
        <v>2510</v>
      </c>
      <c r="M43" t="s">
        <v>2511</v>
      </c>
    </row>
    <row r="44" spans="1:13" x14ac:dyDescent="0.25">
      <c r="A44" t="s">
        <v>2512</v>
      </c>
      <c r="B44" t="s">
        <v>26</v>
      </c>
      <c r="C44" t="s">
        <v>2508</v>
      </c>
      <c r="D44" t="s">
        <v>2513</v>
      </c>
      <c r="E44" t="s">
        <v>2513</v>
      </c>
      <c r="F44" t="s">
        <v>482</v>
      </c>
      <c r="G44" t="str">
        <f>"4"</f>
        <v>4</v>
      </c>
      <c r="I44" t="str">
        <f>"57-500"</f>
        <v>57-500</v>
      </c>
      <c r="J44" t="s">
        <v>2513</v>
      </c>
      <c r="K44" t="str">
        <f>"0746442882"</f>
        <v>0746442882</v>
      </c>
      <c r="L44" t="s">
        <v>2514</v>
      </c>
    </row>
    <row r="45" spans="1:13" x14ac:dyDescent="0.25">
      <c r="A45" t="s">
        <v>2515</v>
      </c>
      <c r="B45" t="s">
        <v>26</v>
      </c>
      <c r="C45" t="s">
        <v>2508</v>
      </c>
      <c r="D45" t="s">
        <v>2516</v>
      </c>
      <c r="E45" t="s">
        <v>2516</v>
      </c>
      <c r="F45" t="s">
        <v>2517</v>
      </c>
      <c r="G45" t="str">
        <f>"6"</f>
        <v>6</v>
      </c>
      <c r="I45" t="str">
        <f>"57-540"</f>
        <v>57-540</v>
      </c>
      <c r="J45" t="s">
        <v>2516</v>
      </c>
      <c r="K45" t="str">
        <f>"0748669812"</f>
        <v>0748669812</v>
      </c>
      <c r="L45" t="s">
        <v>2518</v>
      </c>
    </row>
    <row r="46" spans="1:13" x14ac:dyDescent="0.25">
      <c r="A46" t="s">
        <v>2519</v>
      </c>
      <c r="B46" t="s">
        <v>26</v>
      </c>
      <c r="C46" t="s">
        <v>2508</v>
      </c>
      <c r="D46" t="s">
        <v>2520</v>
      </c>
      <c r="E46" t="s">
        <v>2520</v>
      </c>
      <c r="F46" t="s">
        <v>1488</v>
      </c>
      <c r="G46" t="str">
        <f>"6-8"</f>
        <v>6-8</v>
      </c>
      <c r="I46" t="str">
        <f>"57-400"</f>
        <v>57-400</v>
      </c>
      <c r="J46" t="s">
        <v>2520</v>
      </c>
      <c r="K46" t="str">
        <f>"0748722681"</f>
        <v>0748722681</v>
      </c>
      <c r="L46" t="s">
        <v>2521</v>
      </c>
    </row>
    <row r="47" spans="1:13" x14ac:dyDescent="0.25">
      <c r="A47" t="s">
        <v>2630</v>
      </c>
      <c r="B47" t="s">
        <v>26</v>
      </c>
      <c r="C47" t="s">
        <v>2631</v>
      </c>
      <c r="D47" t="s">
        <v>2632</v>
      </c>
      <c r="E47" t="s">
        <v>2632</v>
      </c>
      <c r="F47" t="s">
        <v>606</v>
      </c>
      <c r="G47" t="str">
        <f>"2"</f>
        <v>2</v>
      </c>
      <c r="I47" t="str">
        <f>"58-200"</f>
        <v>58-200</v>
      </c>
      <c r="J47" t="s">
        <v>2632</v>
      </c>
      <c r="K47" t="str">
        <f>"748315679"</f>
        <v>748315679</v>
      </c>
      <c r="L47" t="s">
        <v>2633</v>
      </c>
      <c r="M47" t="s">
        <v>2634</v>
      </c>
    </row>
    <row r="48" spans="1:13" x14ac:dyDescent="0.25">
      <c r="A48" t="s">
        <v>2635</v>
      </c>
      <c r="B48" t="s">
        <v>26</v>
      </c>
      <c r="C48" t="s">
        <v>2631</v>
      </c>
      <c r="D48" t="s">
        <v>2636</v>
      </c>
      <c r="E48" t="s">
        <v>2636</v>
      </c>
      <c r="F48" t="s">
        <v>760</v>
      </c>
      <c r="G48" t="str">
        <f>"22-24"</f>
        <v>22-24</v>
      </c>
      <c r="I48" t="str">
        <f>"58-260"</f>
        <v>58-260</v>
      </c>
      <c r="J48" t="s">
        <v>2636</v>
      </c>
      <c r="K48" t="str">
        <f>"748338299"</f>
        <v>748338299</v>
      </c>
      <c r="L48" t="s">
        <v>2637</v>
      </c>
      <c r="M48" t="s">
        <v>2638</v>
      </c>
    </row>
    <row r="49" spans="1:13" x14ac:dyDescent="0.25">
      <c r="A49" t="s">
        <v>2660</v>
      </c>
      <c r="B49" t="s">
        <v>26</v>
      </c>
      <c r="C49" t="s">
        <v>2661</v>
      </c>
      <c r="D49" t="s">
        <v>2662</v>
      </c>
      <c r="E49" t="s">
        <v>2662</v>
      </c>
      <c r="F49" t="s">
        <v>1885</v>
      </c>
      <c r="G49" t="str">
        <f>"5"</f>
        <v>5</v>
      </c>
      <c r="I49" t="str">
        <f>"58-530"</f>
        <v>58-530</v>
      </c>
      <c r="J49" t="s">
        <v>2662</v>
      </c>
      <c r="K49" t="str">
        <f>"0757182572"</f>
        <v>0757182572</v>
      </c>
      <c r="L49" t="s">
        <v>2663</v>
      </c>
      <c r="M49" t="s">
        <v>2664</v>
      </c>
    </row>
    <row r="50" spans="1:13" x14ac:dyDescent="0.25">
      <c r="A50" t="s">
        <v>2666</v>
      </c>
      <c r="B50" t="s">
        <v>26</v>
      </c>
      <c r="C50" t="s">
        <v>2661</v>
      </c>
      <c r="D50" t="s">
        <v>2667</v>
      </c>
      <c r="E50" t="s">
        <v>2667</v>
      </c>
      <c r="F50" t="s">
        <v>2668</v>
      </c>
      <c r="G50" t="str">
        <f>"29"</f>
        <v>29</v>
      </c>
      <c r="I50" t="str">
        <f>"58-580"</f>
        <v>58-580</v>
      </c>
      <c r="J50" t="s">
        <v>2667</v>
      </c>
      <c r="K50" t="str">
        <f>"0757172467"</f>
        <v>0757172467</v>
      </c>
      <c r="L50" t="s">
        <v>2669</v>
      </c>
      <c r="M50" t="s">
        <v>2670</v>
      </c>
    </row>
    <row r="51" spans="1:13" x14ac:dyDescent="0.25">
      <c r="A51" t="s">
        <v>2695</v>
      </c>
      <c r="B51" t="s">
        <v>26</v>
      </c>
      <c r="C51" t="s">
        <v>2665</v>
      </c>
      <c r="D51" t="s">
        <v>2665</v>
      </c>
      <c r="E51" t="s">
        <v>2665</v>
      </c>
      <c r="F51" t="s">
        <v>760</v>
      </c>
      <c r="G51" t="str">
        <f>"259"</f>
        <v>259</v>
      </c>
      <c r="I51" t="str">
        <f>"58-560"</f>
        <v>58-560</v>
      </c>
      <c r="J51" t="s">
        <v>2665</v>
      </c>
      <c r="K51" t="str">
        <f>"756473001"</f>
        <v>756473001</v>
      </c>
      <c r="L51" t="s">
        <v>2696</v>
      </c>
      <c r="M51" t="s">
        <v>2697</v>
      </c>
    </row>
    <row r="52" spans="1:13" x14ac:dyDescent="0.25">
      <c r="A52" t="s">
        <v>2810</v>
      </c>
      <c r="B52" t="s">
        <v>26</v>
      </c>
      <c r="C52" t="s">
        <v>27</v>
      </c>
      <c r="D52" t="s">
        <v>1276</v>
      </c>
      <c r="E52" t="s">
        <v>1276</v>
      </c>
      <c r="F52" t="s">
        <v>2811</v>
      </c>
      <c r="G52" t="str">
        <f>"101"</f>
        <v>101</v>
      </c>
      <c r="I52" t="str">
        <f>"50-551"</f>
        <v>50-551</v>
      </c>
      <c r="J52" t="s">
        <v>27</v>
      </c>
      <c r="K52" t="str">
        <f>"717986884"</f>
        <v>717986884</v>
      </c>
      <c r="L52" t="s">
        <v>2812</v>
      </c>
      <c r="M52" t="s">
        <v>2813</v>
      </c>
    </row>
    <row r="53" spans="1:13" x14ac:dyDescent="0.25">
      <c r="A53" t="s">
        <v>81</v>
      </c>
      <c r="B53" t="s">
        <v>82</v>
      </c>
      <c r="C53" t="s">
        <v>83</v>
      </c>
      <c r="D53" t="s">
        <v>84</v>
      </c>
      <c r="E53" t="s">
        <v>85</v>
      </c>
      <c r="G53" t="str">
        <f>"1"</f>
        <v>1</v>
      </c>
      <c r="I53" t="str">
        <f>"87-123"</f>
        <v>87-123</v>
      </c>
      <c r="J53" t="s">
        <v>85</v>
      </c>
      <c r="K53" t="str">
        <f>"0566756727"</f>
        <v>0566756727</v>
      </c>
      <c r="L53" t="s">
        <v>86</v>
      </c>
      <c r="M53" t="s">
        <v>87</v>
      </c>
    </row>
    <row r="54" spans="1:13" x14ac:dyDescent="0.25">
      <c r="A54" t="s">
        <v>141</v>
      </c>
      <c r="B54" t="s">
        <v>82</v>
      </c>
      <c r="C54" t="s">
        <v>142</v>
      </c>
      <c r="D54" t="s">
        <v>143</v>
      </c>
      <c r="E54" t="s">
        <v>143</v>
      </c>
      <c r="F54" t="s">
        <v>144</v>
      </c>
      <c r="G54" t="str">
        <f>"2"</f>
        <v>2</v>
      </c>
      <c r="I54" t="str">
        <f>"86-100"</f>
        <v>86-100</v>
      </c>
      <c r="J54" t="s">
        <v>143</v>
      </c>
      <c r="K54" t="str">
        <f>"523311226"</f>
        <v>523311226</v>
      </c>
      <c r="L54" t="s">
        <v>145</v>
      </c>
      <c r="M54" t="s">
        <v>146</v>
      </c>
    </row>
    <row r="55" spans="1:13" x14ac:dyDescent="0.25">
      <c r="A55" t="s">
        <v>158</v>
      </c>
      <c r="B55" t="s">
        <v>82</v>
      </c>
      <c r="C55" t="s">
        <v>185</v>
      </c>
      <c r="D55" t="s">
        <v>186</v>
      </c>
      <c r="E55" t="s">
        <v>186</v>
      </c>
      <c r="F55" t="s">
        <v>187</v>
      </c>
      <c r="G55" t="str">
        <f>"58"</f>
        <v>58</v>
      </c>
      <c r="I55" t="str">
        <f>"88-200"</f>
        <v>88-200</v>
      </c>
      <c r="J55" t="s">
        <v>186</v>
      </c>
      <c r="K55" t="str">
        <f>"542853865"</f>
        <v>542853865</v>
      </c>
      <c r="L55" t="s">
        <v>188</v>
      </c>
    </row>
    <row r="56" spans="1:13" x14ac:dyDescent="0.25">
      <c r="A56" t="s">
        <v>260</v>
      </c>
      <c r="B56" t="s">
        <v>82</v>
      </c>
      <c r="C56" t="s">
        <v>261</v>
      </c>
      <c r="D56" t="s">
        <v>262</v>
      </c>
      <c r="E56" t="s">
        <v>262</v>
      </c>
      <c r="F56" t="s">
        <v>263</v>
      </c>
      <c r="G56" t="str">
        <f>"3"</f>
        <v>3</v>
      </c>
      <c r="I56" t="str">
        <f>"87-700"</f>
        <v>87-700</v>
      </c>
      <c r="J56" t="s">
        <v>262</v>
      </c>
      <c r="K56" t="str">
        <f>"542825555"</f>
        <v>542825555</v>
      </c>
      <c r="L56" t="s">
        <v>264</v>
      </c>
      <c r="M56" t="s">
        <v>265</v>
      </c>
    </row>
    <row r="57" spans="1:13" x14ac:dyDescent="0.25">
      <c r="A57" t="s">
        <v>283</v>
      </c>
      <c r="B57" t="s">
        <v>82</v>
      </c>
      <c r="C57" t="s">
        <v>284</v>
      </c>
      <c r="D57" t="s">
        <v>285</v>
      </c>
      <c r="E57" t="s">
        <v>285</v>
      </c>
      <c r="F57" t="s">
        <v>286</v>
      </c>
      <c r="G57" t="str">
        <f>"2"</f>
        <v>2</v>
      </c>
      <c r="I57" t="str">
        <f>"87-300"</f>
        <v>87-300</v>
      </c>
      <c r="J57" t="s">
        <v>285</v>
      </c>
      <c r="K57" t="str">
        <f>"564944591"</f>
        <v>564944591</v>
      </c>
      <c r="L57" t="s">
        <v>287</v>
      </c>
      <c r="M57" t="s">
        <v>288</v>
      </c>
    </row>
    <row r="58" spans="1:13" x14ac:dyDescent="0.25">
      <c r="A58" t="s">
        <v>349</v>
      </c>
      <c r="B58" t="s">
        <v>82</v>
      </c>
      <c r="C58" t="s">
        <v>350</v>
      </c>
      <c r="D58" t="s">
        <v>351</v>
      </c>
      <c r="E58" t="s">
        <v>351</v>
      </c>
      <c r="F58" t="s">
        <v>352</v>
      </c>
      <c r="G58" t="str">
        <f>"11"</f>
        <v>11</v>
      </c>
      <c r="I58" t="str">
        <f>"87-400"</f>
        <v>87-400</v>
      </c>
      <c r="J58" t="s">
        <v>351</v>
      </c>
      <c r="K58" t="str">
        <f>"566832663"</f>
        <v>566832663</v>
      </c>
      <c r="L58" t="s">
        <v>353</v>
      </c>
      <c r="M58" t="s">
        <v>354</v>
      </c>
    </row>
    <row r="59" spans="1:13" x14ac:dyDescent="0.25">
      <c r="A59" t="s">
        <v>444</v>
      </c>
      <c r="B59" t="s">
        <v>82</v>
      </c>
      <c r="C59" t="s">
        <v>445</v>
      </c>
      <c r="D59" t="s">
        <v>446</v>
      </c>
      <c r="E59" t="s">
        <v>446</v>
      </c>
      <c r="F59" t="s">
        <v>447</v>
      </c>
      <c r="G59" t="str">
        <f>"18"</f>
        <v>18</v>
      </c>
      <c r="I59" t="str">
        <f>"87-840"</f>
        <v>87-840</v>
      </c>
      <c r="J59" t="s">
        <v>446</v>
      </c>
      <c r="K59" t="str">
        <f>"542843155"</f>
        <v>542843155</v>
      </c>
      <c r="L59" t="s">
        <v>448</v>
      </c>
      <c r="M59" t="s">
        <v>449</v>
      </c>
    </row>
    <row r="60" spans="1:13" x14ac:dyDescent="0.25">
      <c r="A60" t="s">
        <v>451</v>
      </c>
      <c r="B60" t="s">
        <v>82</v>
      </c>
      <c r="C60" t="s">
        <v>445</v>
      </c>
      <c r="D60" t="s">
        <v>452</v>
      </c>
      <c r="E60" t="s">
        <v>452</v>
      </c>
      <c r="F60" t="s">
        <v>453</v>
      </c>
      <c r="G60" t="str">
        <f>"4"</f>
        <v>4</v>
      </c>
      <c r="I60" t="str">
        <f>"87-890"</f>
        <v>87-890</v>
      </c>
      <c r="J60" t="s">
        <v>452</v>
      </c>
      <c r="K60" t="str">
        <f>"542862573"</f>
        <v>542862573</v>
      </c>
      <c r="L60" t="s">
        <v>454</v>
      </c>
    </row>
    <row r="61" spans="1:13" x14ac:dyDescent="0.25">
      <c r="A61" t="s">
        <v>637</v>
      </c>
      <c r="B61" t="s">
        <v>82</v>
      </c>
      <c r="C61" t="s">
        <v>638</v>
      </c>
      <c r="D61" t="s">
        <v>639</v>
      </c>
      <c r="E61" t="s">
        <v>639</v>
      </c>
      <c r="F61" t="s">
        <v>302</v>
      </c>
      <c r="G61" t="str">
        <f>"30"</f>
        <v>30</v>
      </c>
      <c r="I61" t="str">
        <f>"89-501"</f>
        <v>89-501</v>
      </c>
      <c r="J61" t="s">
        <v>639</v>
      </c>
      <c r="K61" t="str">
        <f>"523343863"</f>
        <v>523343863</v>
      </c>
      <c r="L61" t="s">
        <v>640</v>
      </c>
      <c r="M61" t="s">
        <v>641</v>
      </c>
    </row>
    <row r="62" spans="1:13" x14ac:dyDescent="0.25">
      <c r="A62" t="s">
        <v>690</v>
      </c>
      <c r="B62" t="s">
        <v>82</v>
      </c>
      <c r="C62" t="s">
        <v>695</v>
      </c>
      <c r="D62" t="s">
        <v>696</v>
      </c>
      <c r="E62" t="s">
        <v>696</v>
      </c>
      <c r="F62" t="s">
        <v>447</v>
      </c>
      <c r="G62" t="str">
        <f>"20"</f>
        <v>20</v>
      </c>
      <c r="I62" t="str">
        <f>"89-400"</f>
        <v>89-400</v>
      </c>
      <c r="J62" t="s">
        <v>696</v>
      </c>
      <c r="K62" t="str">
        <f>"523882147"</f>
        <v>523882147</v>
      </c>
      <c r="L62" t="s">
        <v>697</v>
      </c>
      <c r="M62" t="s">
        <v>698</v>
      </c>
    </row>
    <row r="63" spans="1:13" x14ac:dyDescent="0.25">
      <c r="A63" t="s">
        <v>757</v>
      </c>
      <c r="B63" t="s">
        <v>82</v>
      </c>
      <c r="C63" t="s">
        <v>758</v>
      </c>
      <c r="D63" t="s">
        <v>759</v>
      </c>
      <c r="E63" t="s">
        <v>759</v>
      </c>
      <c r="F63" t="s">
        <v>760</v>
      </c>
      <c r="G63" t="str">
        <f>"35"</f>
        <v>35</v>
      </c>
      <c r="I63" t="str">
        <f>"87-200"</f>
        <v>87-200</v>
      </c>
      <c r="J63" t="s">
        <v>759</v>
      </c>
      <c r="K63" t="str">
        <f>"566882175"</f>
        <v>566882175</v>
      </c>
      <c r="L63" t="s">
        <v>761</v>
      </c>
      <c r="M63" t="s">
        <v>762</v>
      </c>
    </row>
    <row r="64" spans="1:13" x14ac:dyDescent="0.25">
      <c r="A64" t="s">
        <v>806</v>
      </c>
      <c r="B64" t="s">
        <v>82</v>
      </c>
      <c r="C64" t="s">
        <v>450</v>
      </c>
      <c r="D64" t="s">
        <v>450</v>
      </c>
      <c r="E64" t="s">
        <v>450</v>
      </c>
      <c r="F64" t="s">
        <v>447</v>
      </c>
      <c r="G64" t="str">
        <f>"27"</f>
        <v>27</v>
      </c>
      <c r="I64" t="str">
        <f>"87-800"</f>
        <v>87-800</v>
      </c>
      <c r="J64" t="s">
        <v>450</v>
      </c>
      <c r="K64" t="str">
        <f>"542325918"</f>
        <v>542325918</v>
      </c>
      <c r="L64" t="s">
        <v>816</v>
      </c>
      <c r="M64" t="s">
        <v>817</v>
      </c>
    </row>
    <row r="65" spans="1:13" x14ac:dyDescent="0.25">
      <c r="A65" t="s">
        <v>806</v>
      </c>
      <c r="B65" t="s">
        <v>82</v>
      </c>
      <c r="C65" t="s">
        <v>904</v>
      </c>
      <c r="D65" t="s">
        <v>904</v>
      </c>
      <c r="E65" t="s">
        <v>904</v>
      </c>
      <c r="F65" t="s">
        <v>112</v>
      </c>
      <c r="G65" t="str">
        <f>"23a"</f>
        <v>23a</v>
      </c>
      <c r="I65" t="str">
        <f>"86-300"</f>
        <v>86-300</v>
      </c>
      <c r="J65" t="s">
        <v>904</v>
      </c>
      <c r="K65" t="str">
        <f>"564644805"</f>
        <v>564644805</v>
      </c>
      <c r="L65" t="s">
        <v>905</v>
      </c>
      <c r="M65" t="s">
        <v>906</v>
      </c>
    </row>
    <row r="66" spans="1:13" x14ac:dyDescent="0.25">
      <c r="A66" t="s">
        <v>985</v>
      </c>
      <c r="B66" t="s">
        <v>82</v>
      </c>
      <c r="C66" t="s">
        <v>999</v>
      </c>
      <c r="D66" t="s">
        <v>999</v>
      </c>
      <c r="E66" t="s">
        <v>999</v>
      </c>
      <c r="F66" t="s">
        <v>1000</v>
      </c>
      <c r="G66" t="str">
        <f>"10"</f>
        <v>10</v>
      </c>
      <c r="I66" t="str">
        <f>"85-060"</f>
        <v>85-060</v>
      </c>
      <c r="J66" t="s">
        <v>999</v>
      </c>
      <c r="K66" t="str">
        <f>"523225206"</f>
        <v>523225206</v>
      </c>
      <c r="L66" t="s">
        <v>1001</v>
      </c>
      <c r="M66" t="s">
        <v>1002</v>
      </c>
    </row>
    <row r="67" spans="1:13" x14ac:dyDescent="0.25">
      <c r="A67" t="s">
        <v>1133</v>
      </c>
      <c r="B67" t="s">
        <v>82</v>
      </c>
      <c r="C67" t="s">
        <v>999</v>
      </c>
      <c r="D67" t="s">
        <v>999</v>
      </c>
      <c r="E67" t="s">
        <v>999</v>
      </c>
      <c r="F67" t="s">
        <v>1134</v>
      </c>
      <c r="G67" t="str">
        <f>"5"</f>
        <v>5</v>
      </c>
      <c r="I67" t="str">
        <f>"85-792"</f>
        <v>85-792</v>
      </c>
      <c r="J67" t="s">
        <v>999</v>
      </c>
      <c r="K67" t="str">
        <f>"523228032"</f>
        <v>523228032</v>
      </c>
      <c r="L67" t="s">
        <v>1135</v>
      </c>
      <c r="M67" t="s">
        <v>1136</v>
      </c>
    </row>
    <row r="68" spans="1:13" x14ac:dyDescent="0.25">
      <c r="A68" t="s">
        <v>1286</v>
      </c>
      <c r="B68" t="s">
        <v>82</v>
      </c>
      <c r="C68" t="s">
        <v>88</v>
      </c>
      <c r="D68" t="s">
        <v>88</v>
      </c>
      <c r="E68" t="s">
        <v>88</v>
      </c>
      <c r="F68" t="s">
        <v>1287</v>
      </c>
      <c r="G68" t="str">
        <f>"6"</f>
        <v>6</v>
      </c>
      <c r="I68" t="str">
        <f>"87-100"</f>
        <v>87-100</v>
      </c>
      <c r="J68" t="s">
        <v>88</v>
      </c>
      <c r="K68" t="str">
        <f>"566222991"</f>
        <v>566222991</v>
      </c>
      <c r="L68" t="s">
        <v>1288</v>
      </c>
      <c r="M68" t="s">
        <v>1289</v>
      </c>
    </row>
    <row r="69" spans="1:13" x14ac:dyDescent="0.25">
      <c r="A69" t="s">
        <v>1395</v>
      </c>
      <c r="B69" t="s">
        <v>82</v>
      </c>
      <c r="C69" t="s">
        <v>1396</v>
      </c>
      <c r="D69" t="s">
        <v>1397</v>
      </c>
      <c r="E69" t="s">
        <v>1397</v>
      </c>
      <c r="F69" t="s">
        <v>1398</v>
      </c>
      <c r="G69" t="str">
        <f>"35"</f>
        <v>35</v>
      </c>
      <c r="I69" t="str">
        <f>"86-200"</f>
        <v>86-200</v>
      </c>
      <c r="J69" t="s">
        <v>1397</v>
      </c>
      <c r="K69" t="str">
        <f>"566860052"</f>
        <v>566860052</v>
      </c>
      <c r="L69" t="s">
        <v>1399</v>
      </c>
      <c r="M69" t="s">
        <v>1400</v>
      </c>
    </row>
    <row r="70" spans="1:13" x14ac:dyDescent="0.25">
      <c r="A70" t="s">
        <v>89</v>
      </c>
      <c r="B70" t="s">
        <v>82</v>
      </c>
      <c r="C70" t="s">
        <v>83</v>
      </c>
      <c r="D70" t="s">
        <v>1401</v>
      </c>
      <c r="E70" t="s">
        <v>1401</v>
      </c>
      <c r="F70" t="s">
        <v>1402</v>
      </c>
      <c r="G70" t="str">
        <f>"18"</f>
        <v>18</v>
      </c>
      <c r="I70" t="str">
        <f>"87-140"</f>
        <v>87-140</v>
      </c>
      <c r="J70" t="s">
        <v>1401</v>
      </c>
      <c r="K70" t="str">
        <f>"566756727"</f>
        <v>566756727</v>
      </c>
      <c r="L70" t="s">
        <v>1403</v>
      </c>
      <c r="M70" t="s">
        <v>1404</v>
      </c>
    </row>
    <row r="71" spans="1:13" x14ac:dyDescent="0.25">
      <c r="A71" t="s">
        <v>1558</v>
      </c>
      <c r="B71" t="s">
        <v>82</v>
      </c>
      <c r="C71" t="s">
        <v>1559</v>
      </c>
      <c r="D71" t="s">
        <v>1560</v>
      </c>
      <c r="E71" t="s">
        <v>1560</v>
      </c>
      <c r="F71" t="s">
        <v>1561</v>
      </c>
      <c r="G71" t="str">
        <f>"38"</f>
        <v>38</v>
      </c>
      <c r="I71" t="str">
        <f>"88-100"</f>
        <v>88-100</v>
      </c>
      <c r="J71" t="s">
        <v>1560</v>
      </c>
      <c r="K71" t="str">
        <f>"523592145"</f>
        <v>523592145</v>
      </c>
      <c r="L71" t="s">
        <v>1562</v>
      </c>
      <c r="M71" t="s">
        <v>1563</v>
      </c>
    </row>
    <row r="72" spans="1:13" x14ac:dyDescent="0.25">
      <c r="A72" t="s">
        <v>1564</v>
      </c>
      <c r="B72" t="s">
        <v>82</v>
      </c>
      <c r="C72" t="s">
        <v>1559</v>
      </c>
      <c r="D72" t="s">
        <v>1565</v>
      </c>
      <c r="E72" t="s">
        <v>1565</v>
      </c>
      <c r="F72" t="s">
        <v>1566</v>
      </c>
      <c r="G72" t="str">
        <f>"20"</f>
        <v>20</v>
      </c>
      <c r="I72" t="str">
        <f>"88-150"</f>
        <v>88-150</v>
      </c>
      <c r="J72" t="s">
        <v>1565</v>
      </c>
      <c r="K72" t="str">
        <f>"523515418"</f>
        <v>523515418</v>
      </c>
      <c r="L72" t="s">
        <v>1562</v>
      </c>
      <c r="M72" t="s">
        <v>1567</v>
      </c>
    </row>
    <row r="73" spans="1:13" x14ac:dyDescent="0.25">
      <c r="A73" t="s">
        <v>1724</v>
      </c>
      <c r="B73" t="s">
        <v>82</v>
      </c>
      <c r="C73" t="s">
        <v>1725</v>
      </c>
      <c r="D73" t="s">
        <v>1726</v>
      </c>
      <c r="E73" t="s">
        <v>1726</v>
      </c>
      <c r="F73" t="s">
        <v>1727</v>
      </c>
      <c r="G73" t="str">
        <f>"9"</f>
        <v>9</v>
      </c>
      <c r="I73" t="str">
        <f>"87-600"</f>
        <v>87-600</v>
      </c>
      <c r="J73" t="s">
        <v>1726</v>
      </c>
      <c r="K73" t="str">
        <f>"542872492"</f>
        <v>542872492</v>
      </c>
      <c r="L73" t="s">
        <v>1728</v>
      </c>
      <c r="M73" t="s">
        <v>1729</v>
      </c>
    </row>
    <row r="74" spans="1:13" x14ac:dyDescent="0.25">
      <c r="A74" t="s">
        <v>1820</v>
      </c>
      <c r="B74" t="s">
        <v>82</v>
      </c>
      <c r="C74" t="s">
        <v>1821</v>
      </c>
      <c r="D74" t="s">
        <v>1822</v>
      </c>
      <c r="E74" t="s">
        <v>1822</v>
      </c>
      <c r="F74" t="s">
        <v>1823</v>
      </c>
      <c r="G74" t="str">
        <f>"3"</f>
        <v>3</v>
      </c>
      <c r="I74" t="str">
        <f>"88-300"</f>
        <v>88-300</v>
      </c>
      <c r="J74" t="s">
        <v>1822</v>
      </c>
      <c r="K74" t="str">
        <f>"523152774"</f>
        <v>523152774</v>
      </c>
      <c r="L74" t="s">
        <v>1824</v>
      </c>
      <c r="M74" t="s">
        <v>1825</v>
      </c>
    </row>
    <row r="75" spans="1:13" x14ac:dyDescent="0.25">
      <c r="A75" t="s">
        <v>2073</v>
      </c>
      <c r="B75" t="s">
        <v>82</v>
      </c>
      <c r="C75" t="s">
        <v>2074</v>
      </c>
      <c r="D75" t="s">
        <v>2075</v>
      </c>
      <c r="E75" t="s">
        <v>2075</v>
      </c>
      <c r="F75" t="s">
        <v>2076</v>
      </c>
      <c r="G75" t="str">
        <f>"54A"</f>
        <v>54A</v>
      </c>
      <c r="I75" t="str">
        <f>"87-500"</f>
        <v>87-500</v>
      </c>
      <c r="J75" t="s">
        <v>2075</v>
      </c>
      <c r="K75" t="str">
        <f>"0542805048"</f>
        <v>0542805048</v>
      </c>
      <c r="L75" t="s">
        <v>2077</v>
      </c>
    </row>
    <row r="76" spans="1:13" x14ac:dyDescent="0.25">
      <c r="A76" t="s">
        <v>2325</v>
      </c>
      <c r="B76" t="s">
        <v>82</v>
      </c>
      <c r="C76" t="s">
        <v>2326</v>
      </c>
      <c r="D76" t="s">
        <v>2327</v>
      </c>
      <c r="E76" t="s">
        <v>2327</v>
      </c>
      <c r="F76" t="s">
        <v>2328</v>
      </c>
      <c r="G76" t="str">
        <f>"14"</f>
        <v>14</v>
      </c>
      <c r="I76" t="str">
        <f>"88-400"</f>
        <v>88-400</v>
      </c>
      <c r="J76" t="s">
        <v>2327</v>
      </c>
      <c r="K76" t="str">
        <f>"523020438"</f>
        <v>523020438</v>
      </c>
      <c r="L76" t="s">
        <v>2329</v>
      </c>
      <c r="M76" t="s">
        <v>2330</v>
      </c>
    </row>
    <row r="77" spans="1:13" x14ac:dyDescent="0.25">
      <c r="A77" t="s">
        <v>2397</v>
      </c>
      <c r="B77" t="s">
        <v>82</v>
      </c>
      <c r="C77" t="s">
        <v>2398</v>
      </c>
      <c r="D77" t="s">
        <v>2399</v>
      </c>
      <c r="E77" t="s">
        <v>2399</v>
      </c>
      <c r="F77" t="s">
        <v>197</v>
      </c>
      <c r="G77" t="str">
        <f>"46"</f>
        <v>46</v>
      </c>
      <c r="I77" t="str">
        <f>"89-100"</f>
        <v>89-100</v>
      </c>
      <c r="J77" t="s">
        <v>2399</v>
      </c>
      <c r="K77" t="str">
        <f>"523865150"</f>
        <v>523865150</v>
      </c>
      <c r="L77" t="s">
        <v>2400</v>
      </c>
      <c r="M77" t="s">
        <v>2401</v>
      </c>
    </row>
    <row r="78" spans="1:13" x14ac:dyDescent="0.25">
      <c r="A78" t="s">
        <v>2522</v>
      </c>
      <c r="B78" t="s">
        <v>82</v>
      </c>
      <c r="C78" t="s">
        <v>2523</v>
      </c>
      <c r="D78" t="s">
        <v>2524</v>
      </c>
      <c r="E78" t="s">
        <v>2524</v>
      </c>
      <c r="F78" t="s">
        <v>2525</v>
      </c>
      <c r="G78" t="str">
        <f>"3"</f>
        <v>3</v>
      </c>
      <c r="I78" t="str">
        <f>"86-010"</f>
        <v>86-010</v>
      </c>
      <c r="J78" t="s">
        <v>2524</v>
      </c>
      <c r="K78" t="str">
        <f>"523822274"</f>
        <v>523822274</v>
      </c>
      <c r="L78" t="s">
        <v>2526</v>
      </c>
      <c r="M78" t="s">
        <v>2527</v>
      </c>
    </row>
    <row r="79" spans="1:13" x14ac:dyDescent="0.25">
      <c r="A79" t="s">
        <v>2528</v>
      </c>
      <c r="B79" t="s">
        <v>82</v>
      </c>
      <c r="C79" t="s">
        <v>999</v>
      </c>
      <c r="D79" t="s">
        <v>999</v>
      </c>
      <c r="E79" t="s">
        <v>999</v>
      </c>
      <c r="F79" t="s">
        <v>2529</v>
      </c>
      <c r="G79" t="str">
        <f>"54"</f>
        <v>54</v>
      </c>
      <c r="I79" t="str">
        <f>"85-164"</f>
        <v>85-164</v>
      </c>
      <c r="J79" t="s">
        <v>999</v>
      </c>
      <c r="K79" t="str">
        <f>"525255029"</f>
        <v>525255029</v>
      </c>
      <c r="L79" t="s">
        <v>2530</v>
      </c>
    </row>
    <row r="80" spans="1:13" x14ac:dyDescent="0.25">
      <c r="A80" t="s">
        <v>2540</v>
      </c>
      <c r="B80" t="s">
        <v>82</v>
      </c>
      <c r="C80" t="s">
        <v>2398</v>
      </c>
      <c r="D80" t="s">
        <v>2541</v>
      </c>
      <c r="E80" t="s">
        <v>2541</v>
      </c>
      <c r="F80" t="s">
        <v>2542</v>
      </c>
      <c r="G80" t="str">
        <f>"34a"</f>
        <v>34a</v>
      </c>
      <c r="I80" t="str">
        <f>"89-200"</f>
        <v>89-200</v>
      </c>
      <c r="J80" t="s">
        <v>2541</v>
      </c>
      <c r="K80" t="str">
        <f>"523848971"</f>
        <v>523848971</v>
      </c>
      <c r="L80" t="s">
        <v>2543</v>
      </c>
    </row>
    <row r="81" spans="1:13" x14ac:dyDescent="0.25">
      <c r="A81" t="s">
        <v>2689</v>
      </c>
      <c r="B81" t="s">
        <v>82</v>
      </c>
      <c r="C81" t="s">
        <v>904</v>
      </c>
      <c r="D81" t="s">
        <v>904</v>
      </c>
      <c r="E81" t="s">
        <v>904</v>
      </c>
      <c r="F81" t="s">
        <v>1317</v>
      </c>
      <c r="G81" t="str">
        <f>"102"</f>
        <v>102</v>
      </c>
      <c r="I81" t="str">
        <f>"86-300"</f>
        <v>86-300</v>
      </c>
      <c r="J81" t="s">
        <v>904</v>
      </c>
      <c r="K81" t="str">
        <f>"791871464"</f>
        <v>791871464</v>
      </c>
      <c r="L81" t="s">
        <v>2690</v>
      </c>
    </row>
    <row r="82" spans="1:13" x14ac:dyDescent="0.25">
      <c r="A82" t="s">
        <v>254</v>
      </c>
      <c r="B82" t="s">
        <v>255</v>
      </c>
      <c r="C82" t="s">
        <v>256</v>
      </c>
      <c r="D82" t="s">
        <v>256</v>
      </c>
      <c r="E82" t="s">
        <v>256</v>
      </c>
      <c r="F82" t="s">
        <v>257</v>
      </c>
      <c r="G82" t="str">
        <f>"5"</f>
        <v>5</v>
      </c>
      <c r="I82" t="str">
        <f>"20-022"</f>
        <v>20-022</v>
      </c>
      <c r="J82" t="s">
        <v>256</v>
      </c>
      <c r="K82" t="str">
        <f>"815328078"</f>
        <v>815328078</v>
      </c>
      <c r="L82" t="s">
        <v>258</v>
      </c>
      <c r="M82" t="s">
        <v>259</v>
      </c>
    </row>
    <row r="83" spans="1:13" x14ac:dyDescent="0.25">
      <c r="A83" t="s">
        <v>272</v>
      </c>
      <c r="B83" t="s">
        <v>255</v>
      </c>
      <c r="C83" t="s">
        <v>273</v>
      </c>
      <c r="D83" t="s">
        <v>274</v>
      </c>
      <c r="E83" t="s">
        <v>274</v>
      </c>
      <c r="F83" t="s">
        <v>275</v>
      </c>
      <c r="G83" t="str">
        <f>"2b"</f>
        <v>2b</v>
      </c>
      <c r="I83" t="str">
        <f>"24-200"</f>
        <v>24-200</v>
      </c>
      <c r="J83" t="s">
        <v>274</v>
      </c>
      <c r="K83" t="str">
        <f>"815172778"</f>
        <v>815172778</v>
      </c>
      <c r="L83" t="s">
        <v>276</v>
      </c>
      <c r="M83" t="s">
        <v>277</v>
      </c>
    </row>
    <row r="84" spans="1:13" x14ac:dyDescent="0.25">
      <c r="A84" t="s">
        <v>289</v>
      </c>
      <c r="B84" t="s">
        <v>255</v>
      </c>
      <c r="C84" t="s">
        <v>273</v>
      </c>
      <c r="D84" t="s">
        <v>290</v>
      </c>
      <c r="E84" t="s">
        <v>290</v>
      </c>
      <c r="F84" t="s">
        <v>291</v>
      </c>
      <c r="G84" t="str">
        <f>"9"</f>
        <v>9</v>
      </c>
      <c r="I84" t="str">
        <f>"23-100"</f>
        <v>23-100</v>
      </c>
      <c r="J84" t="s">
        <v>290</v>
      </c>
      <c r="K84" t="str">
        <f>"815660232"</f>
        <v>815660232</v>
      </c>
      <c r="L84" t="s">
        <v>292</v>
      </c>
      <c r="M84" t="s">
        <v>293</v>
      </c>
    </row>
    <row r="85" spans="1:13" x14ac:dyDescent="0.25">
      <c r="A85" t="s">
        <v>324</v>
      </c>
      <c r="B85" t="s">
        <v>255</v>
      </c>
      <c r="C85" t="s">
        <v>325</v>
      </c>
      <c r="D85" t="s">
        <v>326</v>
      </c>
      <c r="E85" t="s">
        <v>326</v>
      </c>
      <c r="F85" t="s">
        <v>327</v>
      </c>
      <c r="G85" t="str">
        <f>"8a"</f>
        <v>8a</v>
      </c>
      <c r="I85" t="str">
        <f>"08-530"</f>
        <v>08-530</v>
      </c>
      <c r="J85" t="s">
        <v>326</v>
      </c>
      <c r="K85" t="str">
        <f>"0818830581"</f>
        <v>0818830581</v>
      </c>
      <c r="L85" t="s">
        <v>328</v>
      </c>
      <c r="M85" t="s">
        <v>329</v>
      </c>
    </row>
    <row r="86" spans="1:13" x14ac:dyDescent="0.25">
      <c r="A86" t="s">
        <v>438</v>
      </c>
      <c r="B86" t="s">
        <v>255</v>
      </c>
      <c r="C86" t="s">
        <v>439</v>
      </c>
      <c r="D86" t="s">
        <v>440</v>
      </c>
      <c r="E86" t="s">
        <v>440</v>
      </c>
      <c r="F86" t="s">
        <v>441</v>
      </c>
      <c r="G86" t="str">
        <f>"7"</f>
        <v>7</v>
      </c>
      <c r="I86" t="str">
        <f>"21-100"</f>
        <v>21-100</v>
      </c>
      <c r="J86" t="s">
        <v>440</v>
      </c>
      <c r="K86" t="str">
        <f>"818552268"</f>
        <v>818552268</v>
      </c>
      <c r="L86" t="s">
        <v>442</v>
      </c>
      <c r="M86" t="s">
        <v>443</v>
      </c>
    </row>
    <row r="87" spans="1:13" x14ac:dyDescent="0.25">
      <c r="A87" t="s">
        <v>565</v>
      </c>
      <c r="B87" t="s">
        <v>255</v>
      </c>
      <c r="C87" t="s">
        <v>325</v>
      </c>
      <c r="D87" t="s">
        <v>330</v>
      </c>
      <c r="E87" t="s">
        <v>330</v>
      </c>
      <c r="F87" t="s">
        <v>566</v>
      </c>
      <c r="G87" t="str">
        <f>"10a"</f>
        <v>10a</v>
      </c>
      <c r="I87" t="str">
        <f>"08-500"</f>
        <v>08-500</v>
      </c>
      <c r="J87" t="s">
        <v>330</v>
      </c>
      <c r="K87" t="str">
        <f>"818652640"</f>
        <v>818652640</v>
      </c>
      <c r="L87" t="s">
        <v>567</v>
      </c>
      <c r="M87" t="s">
        <v>568</v>
      </c>
    </row>
    <row r="88" spans="1:13" x14ac:dyDescent="0.25">
      <c r="A88" t="s">
        <v>699</v>
      </c>
      <c r="B88" t="s">
        <v>255</v>
      </c>
      <c r="C88" t="s">
        <v>700</v>
      </c>
      <c r="D88" t="s">
        <v>700</v>
      </c>
      <c r="E88" t="s">
        <v>700</v>
      </c>
      <c r="F88" t="s">
        <v>701</v>
      </c>
      <c r="G88" t="str">
        <f>"24"</f>
        <v>24</v>
      </c>
      <c r="I88" t="str">
        <f>"22-400"</f>
        <v>22-400</v>
      </c>
      <c r="J88" t="s">
        <v>700</v>
      </c>
      <c r="K88" t="str">
        <f>"846395996"</f>
        <v>846395996</v>
      </c>
      <c r="L88" t="s">
        <v>702</v>
      </c>
      <c r="M88" t="s">
        <v>703</v>
      </c>
    </row>
    <row r="89" spans="1:13" x14ac:dyDescent="0.25">
      <c r="A89" t="s">
        <v>724</v>
      </c>
      <c r="B89" t="s">
        <v>255</v>
      </c>
      <c r="C89" t="s">
        <v>725</v>
      </c>
      <c r="D89" t="s">
        <v>726</v>
      </c>
      <c r="E89" t="s">
        <v>726</v>
      </c>
      <c r="F89" t="s">
        <v>177</v>
      </c>
      <c r="G89" t="str">
        <f>"3"</f>
        <v>3</v>
      </c>
      <c r="I89" t="str">
        <f>"22-300"</f>
        <v>22-300</v>
      </c>
      <c r="J89" t="s">
        <v>726</v>
      </c>
      <c r="K89" t="str">
        <f>"825763608"</f>
        <v>825763608</v>
      </c>
      <c r="L89" t="s">
        <v>727</v>
      </c>
      <c r="M89" t="s">
        <v>728</v>
      </c>
    </row>
    <row r="90" spans="1:13" x14ac:dyDescent="0.25">
      <c r="A90" t="s">
        <v>1015</v>
      </c>
      <c r="B90" t="s">
        <v>255</v>
      </c>
      <c r="C90" t="s">
        <v>1016</v>
      </c>
      <c r="D90" t="s">
        <v>1016</v>
      </c>
      <c r="E90" t="s">
        <v>1016</v>
      </c>
      <c r="F90" t="s">
        <v>1017</v>
      </c>
      <c r="G90" t="str">
        <f>"5"</f>
        <v>5</v>
      </c>
      <c r="I90" t="str">
        <f>"22-100"</f>
        <v>22-100</v>
      </c>
      <c r="J90" t="s">
        <v>1016</v>
      </c>
      <c r="K90" t="str">
        <f>"825659461"</f>
        <v>825659461</v>
      </c>
      <c r="L90" t="s">
        <v>1018</v>
      </c>
    </row>
    <row r="91" spans="1:13" x14ac:dyDescent="0.25">
      <c r="A91" t="s">
        <v>1044</v>
      </c>
      <c r="B91" t="s">
        <v>255</v>
      </c>
      <c r="C91" t="s">
        <v>256</v>
      </c>
      <c r="D91" t="s">
        <v>256</v>
      </c>
      <c r="E91" t="s">
        <v>256</v>
      </c>
      <c r="F91" t="s">
        <v>1045</v>
      </c>
      <c r="G91" t="str">
        <f>"54"</f>
        <v>54</v>
      </c>
      <c r="I91" t="str">
        <f>"20-109"</f>
        <v>20-109</v>
      </c>
      <c r="J91" t="s">
        <v>256</v>
      </c>
      <c r="K91" t="str">
        <f>"814664932"</f>
        <v>814664932</v>
      </c>
      <c r="L91" t="s">
        <v>1046</v>
      </c>
      <c r="M91" t="s">
        <v>1047</v>
      </c>
    </row>
    <row r="92" spans="1:13" x14ac:dyDescent="0.25">
      <c r="A92" t="s">
        <v>1062</v>
      </c>
      <c r="B92" t="s">
        <v>255</v>
      </c>
      <c r="C92" t="s">
        <v>700</v>
      </c>
      <c r="D92" t="s">
        <v>700</v>
      </c>
      <c r="E92" t="s">
        <v>700</v>
      </c>
      <c r="F92" t="s">
        <v>1063</v>
      </c>
      <c r="G92" t="str">
        <f>"30A"</f>
        <v>30A</v>
      </c>
      <c r="I92" t="str">
        <f>"22-400"</f>
        <v>22-400</v>
      </c>
      <c r="J92" t="s">
        <v>700</v>
      </c>
      <c r="K92" t="str">
        <f>"846395699"</f>
        <v>846395699</v>
      </c>
      <c r="L92" t="s">
        <v>1064</v>
      </c>
      <c r="M92" t="s">
        <v>1065</v>
      </c>
    </row>
    <row r="93" spans="1:13" x14ac:dyDescent="0.25">
      <c r="A93" t="s">
        <v>1137</v>
      </c>
      <c r="B93" t="s">
        <v>255</v>
      </c>
      <c r="C93" t="s">
        <v>1016</v>
      </c>
      <c r="D93" t="s">
        <v>1016</v>
      </c>
      <c r="E93" t="s">
        <v>1016</v>
      </c>
      <c r="F93" t="s">
        <v>1138</v>
      </c>
      <c r="G93" t="str">
        <f>"8"</f>
        <v>8</v>
      </c>
      <c r="I93" t="str">
        <f>"22-100"</f>
        <v>22-100</v>
      </c>
      <c r="J93" t="s">
        <v>1016</v>
      </c>
      <c r="K93" t="str">
        <f>"825657369"</f>
        <v>825657369</v>
      </c>
      <c r="L93" t="s">
        <v>1139</v>
      </c>
      <c r="M93" t="s">
        <v>1140</v>
      </c>
    </row>
    <row r="94" spans="1:13" x14ac:dyDescent="0.25">
      <c r="A94" t="s">
        <v>1149</v>
      </c>
      <c r="B94" t="s">
        <v>255</v>
      </c>
      <c r="C94" t="s">
        <v>256</v>
      </c>
      <c r="D94" t="s">
        <v>256</v>
      </c>
      <c r="E94" t="s">
        <v>256</v>
      </c>
      <c r="F94" t="s">
        <v>1150</v>
      </c>
      <c r="G94" t="str">
        <f>"8"</f>
        <v>8</v>
      </c>
      <c r="I94" t="str">
        <f>"20-530"</f>
        <v>20-530</v>
      </c>
      <c r="J94" t="s">
        <v>256</v>
      </c>
      <c r="K94" t="str">
        <f>"814423001"</f>
        <v>814423001</v>
      </c>
      <c r="L94" t="s">
        <v>1151</v>
      </c>
      <c r="M94" t="s">
        <v>1152</v>
      </c>
    </row>
    <row r="95" spans="1:13" x14ac:dyDescent="0.25">
      <c r="A95" t="s">
        <v>1189</v>
      </c>
      <c r="B95" t="s">
        <v>255</v>
      </c>
      <c r="C95" t="s">
        <v>256</v>
      </c>
      <c r="D95" t="s">
        <v>256</v>
      </c>
      <c r="E95" t="s">
        <v>256</v>
      </c>
      <c r="F95" t="s">
        <v>1190</v>
      </c>
      <c r="G95" t="str">
        <f>"21"</f>
        <v>21</v>
      </c>
      <c r="I95" t="str">
        <f>"20-637"</f>
        <v>20-637</v>
      </c>
      <c r="J95" t="s">
        <v>256</v>
      </c>
      <c r="K95" t="str">
        <f>"815250999"</f>
        <v>815250999</v>
      </c>
      <c r="L95" t="s">
        <v>1191</v>
      </c>
      <c r="M95" t="s">
        <v>1192</v>
      </c>
    </row>
    <row r="96" spans="1:13" x14ac:dyDescent="0.25">
      <c r="A96" t="s">
        <v>1315</v>
      </c>
      <c r="B96" t="s">
        <v>255</v>
      </c>
      <c r="C96" t="s">
        <v>1316</v>
      </c>
      <c r="D96" t="s">
        <v>1316</v>
      </c>
      <c r="E96" t="s">
        <v>1316</v>
      </c>
      <c r="F96" t="s">
        <v>1317</v>
      </c>
      <c r="G96" t="str">
        <f>"3"</f>
        <v>3</v>
      </c>
      <c r="I96" t="str">
        <f>"21-500"</f>
        <v>21-500</v>
      </c>
      <c r="J96" t="s">
        <v>1316</v>
      </c>
      <c r="K96" t="str">
        <f>"833416437"</f>
        <v>833416437</v>
      </c>
      <c r="L96" t="s">
        <v>1318</v>
      </c>
      <c r="M96" t="s">
        <v>1319</v>
      </c>
    </row>
    <row r="97" spans="1:13" x14ac:dyDescent="0.25">
      <c r="A97" t="s">
        <v>1326</v>
      </c>
      <c r="B97" t="s">
        <v>255</v>
      </c>
      <c r="C97" t="s">
        <v>1327</v>
      </c>
      <c r="D97" t="s">
        <v>1328</v>
      </c>
      <c r="E97" t="s">
        <v>1328</v>
      </c>
      <c r="F97" t="s">
        <v>333</v>
      </c>
      <c r="G97" t="str">
        <f>"41"</f>
        <v>41</v>
      </c>
      <c r="H97" t="str">
        <f>"43"</f>
        <v>43</v>
      </c>
      <c r="I97" t="str">
        <f>"23-400"</f>
        <v>23-400</v>
      </c>
      <c r="J97" t="s">
        <v>1328</v>
      </c>
      <c r="K97" t="str">
        <f>"846861066"</f>
        <v>846861066</v>
      </c>
      <c r="L97" t="s">
        <v>1329</v>
      </c>
      <c r="M97" t="s">
        <v>1330</v>
      </c>
    </row>
    <row r="98" spans="1:13" x14ac:dyDescent="0.25">
      <c r="A98" t="s">
        <v>1546</v>
      </c>
      <c r="B98" t="s">
        <v>255</v>
      </c>
      <c r="C98" t="s">
        <v>1547</v>
      </c>
      <c r="D98" t="s">
        <v>1548</v>
      </c>
      <c r="E98" t="s">
        <v>1548</v>
      </c>
      <c r="F98" t="s">
        <v>1549</v>
      </c>
      <c r="G98" t="str">
        <f>"16a"</f>
        <v>16a</v>
      </c>
      <c r="I98" t="str">
        <f>"22-500"</f>
        <v>22-500</v>
      </c>
      <c r="J98" t="s">
        <v>1548</v>
      </c>
      <c r="K98" t="str">
        <f>"846962907"</f>
        <v>846962907</v>
      </c>
      <c r="L98" t="s">
        <v>1550</v>
      </c>
      <c r="M98" t="s">
        <v>1551</v>
      </c>
    </row>
    <row r="99" spans="1:13" x14ac:dyDescent="0.25">
      <c r="A99" t="s">
        <v>1568</v>
      </c>
      <c r="B99" t="s">
        <v>255</v>
      </c>
      <c r="C99" t="s">
        <v>1569</v>
      </c>
      <c r="D99" t="s">
        <v>1570</v>
      </c>
      <c r="E99" t="s">
        <v>1570</v>
      </c>
      <c r="F99" t="s">
        <v>1571</v>
      </c>
      <c r="G99" t="str">
        <f>"77"</f>
        <v>77</v>
      </c>
      <c r="I99" t="str">
        <f>"23-300"</f>
        <v>23-300</v>
      </c>
      <c r="J99" t="s">
        <v>1570</v>
      </c>
      <c r="K99" t="str">
        <f>"158724041"</f>
        <v>158724041</v>
      </c>
      <c r="L99" t="s">
        <v>1572</v>
      </c>
      <c r="M99" t="s">
        <v>1573</v>
      </c>
    </row>
    <row r="100" spans="1:13" x14ac:dyDescent="0.25">
      <c r="A100" t="s">
        <v>1715</v>
      </c>
      <c r="B100" t="s">
        <v>255</v>
      </c>
      <c r="C100" t="s">
        <v>1716</v>
      </c>
      <c r="D100" t="s">
        <v>1717</v>
      </c>
      <c r="E100" t="s">
        <v>1717</v>
      </c>
      <c r="F100" t="s">
        <v>1718</v>
      </c>
      <c r="G100" t="str">
        <f>"95"</f>
        <v>95</v>
      </c>
      <c r="I100" t="str">
        <f>"21-010"</f>
        <v>21-010</v>
      </c>
      <c r="J100" t="s">
        <v>1717</v>
      </c>
      <c r="K100" t="str">
        <f>"815315337"</f>
        <v>815315337</v>
      </c>
      <c r="L100" t="s">
        <v>1719</v>
      </c>
      <c r="M100" t="s">
        <v>1720</v>
      </c>
    </row>
    <row r="101" spans="1:13" x14ac:dyDescent="0.25">
      <c r="A101" t="s">
        <v>1768</v>
      </c>
      <c r="B101" t="s">
        <v>255</v>
      </c>
      <c r="C101" t="s">
        <v>1769</v>
      </c>
      <c r="D101" t="s">
        <v>1770</v>
      </c>
      <c r="E101" t="s">
        <v>1770</v>
      </c>
      <c r="F101" t="s">
        <v>1771</v>
      </c>
      <c r="G101" t="str">
        <f>"41"</f>
        <v>41</v>
      </c>
      <c r="I101" t="str">
        <f>"21-400"</f>
        <v>21-400</v>
      </c>
      <c r="J101" t="s">
        <v>1770</v>
      </c>
      <c r="K101" t="str">
        <f>"257982119"</f>
        <v>257982119</v>
      </c>
      <c r="L101" t="s">
        <v>1772</v>
      </c>
      <c r="M101" t="s">
        <v>1773</v>
      </c>
    </row>
    <row r="102" spans="1:13" x14ac:dyDescent="0.25">
      <c r="A102" t="s">
        <v>1914</v>
      </c>
      <c r="B102" t="s">
        <v>255</v>
      </c>
      <c r="C102" t="s">
        <v>1855</v>
      </c>
      <c r="D102" t="s">
        <v>1915</v>
      </c>
      <c r="E102" t="s">
        <v>1915</v>
      </c>
      <c r="F102" t="s">
        <v>880</v>
      </c>
      <c r="G102" t="str">
        <f>"5"</f>
        <v>5</v>
      </c>
      <c r="I102" t="str">
        <f>"24-300"</f>
        <v>24-300</v>
      </c>
      <c r="J102" t="s">
        <v>1915</v>
      </c>
      <c r="K102" t="str">
        <f>"818272367"</f>
        <v>818272367</v>
      </c>
      <c r="L102" t="s">
        <v>1916</v>
      </c>
    </row>
    <row r="103" spans="1:13" x14ac:dyDescent="0.25">
      <c r="A103" t="s">
        <v>1973</v>
      </c>
      <c r="B103" t="s">
        <v>255</v>
      </c>
      <c r="C103" t="s">
        <v>1974</v>
      </c>
      <c r="D103" t="s">
        <v>1975</v>
      </c>
      <c r="E103" t="s">
        <v>1976</v>
      </c>
      <c r="G103" t="str">
        <f>"75"</f>
        <v>75</v>
      </c>
      <c r="I103" t="str">
        <f>"22-113"</f>
        <v>22-113</v>
      </c>
      <c r="J103" t="s">
        <v>1976</v>
      </c>
      <c r="K103" t="str">
        <f>"825668088"</f>
        <v>825668088</v>
      </c>
      <c r="L103" t="s">
        <v>1977</v>
      </c>
    </row>
    <row r="104" spans="1:13" x14ac:dyDescent="0.25">
      <c r="A104" t="s">
        <v>1998</v>
      </c>
      <c r="B104" t="s">
        <v>255</v>
      </c>
      <c r="C104" t="s">
        <v>1999</v>
      </c>
      <c r="D104" t="s">
        <v>2000</v>
      </c>
      <c r="E104" t="s">
        <v>2000</v>
      </c>
      <c r="F104" t="s">
        <v>2001</v>
      </c>
      <c r="G104" t="str">
        <f>"19"</f>
        <v>19</v>
      </c>
      <c r="I104" t="str">
        <f>"24-100"</f>
        <v>24-100</v>
      </c>
      <c r="J104" t="s">
        <v>2000</v>
      </c>
      <c r="K104" t="str">
        <f>"818864796"</f>
        <v>818864796</v>
      </c>
      <c r="L104" t="s">
        <v>2002</v>
      </c>
      <c r="M104" t="s">
        <v>2003</v>
      </c>
    </row>
    <row r="105" spans="1:13" x14ac:dyDescent="0.25">
      <c r="A105" t="s">
        <v>2031</v>
      </c>
      <c r="B105" t="s">
        <v>255</v>
      </c>
      <c r="C105" t="s">
        <v>2032</v>
      </c>
      <c r="D105" t="s">
        <v>2033</v>
      </c>
      <c r="E105" t="s">
        <v>2033</v>
      </c>
      <c r="F105" t="s">
        <v>533</v>
      </c>
      <c r="G105" t="str">
        <f>"6"</f>
        <v>6</v>
      </c>
      <c r="I105" t="str">
        <f>"21-300"</f>
        <v>21-300</v>
      </c>
      <c r="J105" t="s">
        <v>2033</v>
      </c>
      <c r="K105" t="str">
        <f>"0833520309"</f>
        <v>0833520309</v>
      </c>
      <c r="L105" t="s">
        <v>2034</v>
      </c>
    </row>
    <row r="106" spans="1:13" x14ac:dyDescent="0.25">
      <c r="A106" t="s">
        <v>2046</v>
      </c>
      <c r="B106" t="s">
        <v>255</v>
      </c>
      <c r="C106" t="s">
        <v>1974</v>
      </c>
      <c r="D106" t="s">
        <v>2047</v>
      </c>
      <c r="E106" t="s">
        <v>2047</v>
      </c>
      <c r="F106" t="s">
        <v>2048</v>
      </c>
      <c r="G106" t="str">
        <f>"24"</f>
        <v>24</v>
      </c>
      <c r="H106" t="str">
        <f>"b"</f>
        <v>b</v>
      </c>
      <c r="I106" t="str">
        <f>"22-170"</f>
        <v>22-170</v>
      </c>
      <c r="J106" t="s">
        <v>2047</v>
      </c>
      <c r="K106" t="str">
        <f>"825663000"</f>
        <v>825663000</v>
      </c>
      <c r="L106" t="s">
        <v>2049</v>
      </c>
    </row>
    <row r="107" spans="1:13" x14ac:dyDescent="0.25">
      <c r="A107" t="s">
        <v>2172</v>
      </c>
      <c r="B107" t="s">
        <v>255</v>
      </c>
      <c r="C107" t="s">
        <v>2159</v>
      </c>
      <c r="D107" t="s">
        <v>2173</v>
      </c>
      <c r="E107" t="s">
        <v>2173</v>
      </c>
      <c r="F107" t="s">
        <v>2174</v>
      </c>
      <c r="G107" t="str">
        <f>"2a"</f>
        <v>2a</v>
      </c>
      <c r="I107" t="str">
        <f>"21-040"</f>
        <v>21-040</v>
      </c>
      <c r="J107" t="s">
        <v>2173</v>
      </c>
      <c r="K107" t="str">
        <f>"817515236"</f>
        <v>817515236</v>
      </c>
      <c r="L107" t="s">
        <v>2175</v>
      </c>
      <c r="M107" t="s">
        <v>2176</v>
      </c>
    </row>
    <row r="108" spans="1:13" x14ac:dyDescent="0.25">
      <c r="A108" t="s">
        <v>2216</v>
      </c>
      <c r="B108" t="s">
        <v>255</v>
      </c>
      <c r="C108" t="s">
        <v>868</v>
      </c>
      <c r="D108" t="s">
        <v>2217</v>
      </c>
      <c r="E108" t="s">
        <v>2217</v>
      </c>
      <c r="F108" t="s">
        <v>2218</v>
      </c>
      <c r="G108" t="str">
        <f>"2A"</f>
        <v>2A</v>
      </c>
      <c r="I108" t="str">
        <f>"22-600"</f>
        <v>22-600</v>
      </c>
      <c r="J108" t="s">
        <v>2217</v>
      </c>
      <c r="K108" t="str">
        <f>"846634364"</f>
        <v>846634364</v>
      </c>
      <c r="L108" t="s">
        <v>2219</v>
      </c>
      <c r="M108" t="s">
        <v>2220</v>
      </c>
    </row>
    <row r="109" spans="1:13" x14ac:dyDescent="0.25">
      <c r="A109" t="s">
        <v>2263</v>
      </c>
      <c r="B109" t="s">
        <v>255</v>
      </c>
      <c r="C109" t="s">
        <v>1974</v>
      </c>
      <c r="D109" t="s">
        <v>2264</v>
      </c>
      <c r="E109" t="s">
        <v>2265</v>
      </c>
      <c r="F109" t="s">
        <v>1045</v>
      </c>
      <c r="G109" t="str">
        <f>"8"</f>
        <v>8</v>
      </c>
      <c r="I109" t="str">
        <f>"22-150"</f>
        <v>22-150</v>
      </c>
      <c r="J109" t="s">
        <v>2265</v>
      </c>
      <c r="K109" t="str">
        <f>"825750054"</f>
        <v>825750054</v>
      </c>
      <c r="L109" t="s">
        <v>2266</v>
      </c>
      <c r="M109" t="s">
        <v>2267</v>
      </c>
    </row>
    <row r="110" spans="1:13" x14ac:dyDescent="0.25">
      <c r="A110" t="s">
        <v>2340</v>
      </c>
      <c r="B110" t="s">
        <v>255</v>
      </c>
      <c r="C110" t="s">
        <v>2341</v>
      </c>
      <c r="D110" t="s">
        <v>2342</v>
      </c>
      <c r="E110" t="s">
        <v>2342</v>
      </c>
      <c r="F110" t="s">
        <v>1613</v>
      </c>
      <c r="G110" t="str">
        <f>"17"</f>
        <v>17</v>
      </c>
      <c r="I110" t="str">
        <f>"22-200"</f>
        <v>22-200</v>
      </c>
      <c r="J110" t="s">
        <v>2342</v>
      </c>
      <c r="K110" t="str">
        <f>"0825721271"</f>
        <v>0825721271</v>
      </c>
      <c r="L110" t="s">
        <v>2343</v>
      </c>
      <c r="M110" t="s">
        <v>2344</v>
      </c>
    </row>
    <row r="111" spans="1:13" x14ac:dyDescent="0.25">
      <c r="A111" t="s">
        <v>2458</v>
      </c>
      <c r="B111" t="s">
        <v>255</v>
      </c>
      <c r="C111" t="s">
        <v>1316</v>
      </c>
      <c r="D111" t="s">
        <v>1316</v>
      </c>
      <c r="E111" t="s">
        <v>1316</v>
      </c>
      <c r="F111" t="s">
        <v>69</v>
      </c>
      <c r="G111" t="str">
        <f>"12 c"</f>
        <v>12 c</v>
      </c>
      <c r="I111" t="str">
        <f>"21-500"</f>
        <v>21-500</v>
      </c>
      <c r="J111" t="s">
        <v>1316</v>
      </c>
      <c r="K111" t="str">
        <f>"833433123"</f>
        <v>833433123</v>
      </c>
      <c r="L111" t="s">
        <v>2459</v>
      </c>
      <c r="M111" t="s">
        <v>2460</v>
      </c>
    </row>
    <row r="112" spans="1:13" x14ac:dyDescent="0.25">
      <c r="A112" t="s">
        <v>2461</v>
      </c>
      <c r="B112" t="s">
        <v>255</v>
      </c>
      <c r="C112" t="s">
        <v>2462</v>
      </c>
      <c r="D112" t="s">
        <v>2463</v>
      </c>
      <c r="E112" t="s">
        <v>2463</v>
      </c>
      <c r="F112" t="s">
        <v>2464</v>
      </c>
      <c r="G112" t="str">
        <f>"11"</f>
        <v>11</v>
      </c>
      <c r="I112" t="str">
        <f>"21-560"</f>
        <v>21-560</v>
      </c>
      <c r="J112" t="s">
        <v>2463</v>
      </c>
      <c r="K112" t="str">
        <f>"833716989"</f>
        <v>833716989</v>
      </c>
      <c r="L112" t="s">
        <v>2465</v>
      </c>
    </row>
    <row r="113" spans="1:13" x14ac:dyDescent="0.25">
      <c r="A113" t="s">
        <v>2466</v>
      </c>
      <c r="B113" t="s">
        <v>255</v>
      </c>
      <c r="C113" t="s">
        <v>2462</v>
      </c>
      <c r="D113" t="s">
        <v>2467</v>
      </c>
      <c r="E113" t="s">
        <v>2467</v>
      </c>
      <c r="F113" t="s">
        <v>447</v>
      </c>
      <c r="G113" t="str">
        <f>"88"</f>
        <v>88</v>
      </c>
      <c r="I113" t="str">
        <f>"21-550"</f>
        <v>21-550</v>
      </c>
      <c r="J113" t="s">
        <v>2467</v>
      </c>
      <c r="K113" t="str">
        <f>"833752344"</f>
        <v>833752344</v>
      </c>
      <c r="L113" t="s">
        <v>2468</v>
      </c>
    </row>
    <row r="114" spans="1:13" x14ac:dyDescent="0.25">
      <c r="A114" t="s">
        <v>2469</v>
      </c>
      <c r="B114" t="s">
        <v>255</v>
      </c>
      <c r="C114" t="s">
        <v>2462</v>
      </c>
      <c r="D114" t="s">
        <v>2470</v>
      </c>
      <c r="E114" t="s">
        <v>2470</v>
      </c>
      <c r="F114" t="s">
        <v>69</v>
      </c>
      <c r="G114" t="str">
        <f>"44"</f>
        <v>44</v>
      </c>
      <c r="I114" t="str">
        <f>"21-580"</f>
        <v>21-580</v>
      </c>
      <c r="J114" t="s">
        <v>2470</v>
      </c>
      <c r="K114" t="str">
        <f>"833782237"</f>
        <v>833782237</v>
      </c>
      <c r="L114" t="s">
        <v>2471</v>
      </c>
    </row>
    <row r="115" spans="1:13" x14ac:dyDescent="0.25">
      <c r="A115" t="s">
        <v>2573</v>
      </c>
      <c r="B115" t="s">
        <v>255</v>
      </c>
      <c r="C115" t="s">
        <v>2574</v>
      </c>
      <c r="D115" t="s">
        <v>2575</v>
      </c>
      <c r="E115" t="s">
        <v>2575</v>
      </c>
      <c r="F115" t="s">
        <v>22</v>
      </c>
      <c r="G115" t="str">
        <f>"5"</f>
        <v>5</v>
      </c>
      <c r="I115" t="str">
        <f>"21-200"</f>
        <v>21-200</v>
      </c>
      <c r="J115" t="s">
        <v>2575</v>
      </c>
      <c r="K115" t="str">
        <f>"833542813"</f>
        <v>833542813</v>
      </c>
      <c r="L115" t="s">
        <v>2576</v>
      </c>
      <c r="M115" t="s">
        <v>2577</v>
      </c>
    </row>
    <row r="116" spans="1:13" x14ac:dyDescent="0.25">
      <c r="A116" t="s">
        <v>2644</v>
      </c>
      <c r="B116" t="s">
        <v>255</v>
      </c>
      <c r="C116" t="s">
        <v>2645</v>
      </c>
      <c r="D116" t="s">
        <v>2646</v>
      </c>
      <c r="E116" t="s">
        <v>2646</v>
      </c>
      <c r="F116" t="s">
        <v>482</v>
      </c>
      <c r="G116" t="str">
        <f>"7"</f>
        <v>7</v>
      </c>
      <c r="I116" t="str">
        <f>"23-204"</f>
        <v>23-204</v>
      </c>
      <c r="J116" t="s">
        <v>2647</v>
      </c>
      <c r="K116" t="str">
        <f>"818258788"</f>
        <v>818258788</v>
      </c>
      <c r="L116" t="s">
        <v>2648</v>
      </c>
    </row>
    <row r="117" spans="1:13" x14ac:dyDescent="0.25">
      <c r="A117" t="s">
        <v>2835</v>
      </c>
      <c r="B117" t="s">
        <v>255</v>
      </c>
      <c r="C117" t="s">
        <v>256</v>
      </c>
      <c r="D117" t="s">
        <v>256</v>
      </c>
      <c r="E117" t="s">
        <v>256</v>
      </c>
      <c r="F117" t="s">
        <v>2836</v>
      </c>
      <c r="G117" t="str">
        <f>"8"</f>
        <v>8</v>
      </c>
      <c r="I117" t="str">
        <f>"20-143"</f>
        <v>20-143</v>
      </c>
      <c r="J117" t="s">
        <v>256</v>
      </c>
      <c r="K117" t="str">
        <f>"817473526"</f>
        <v>817473526</v>
      </c>
      <c r="L117" t="s">
        <v>2837</v>
      </c>
      <c r="M117" t="s">
        <v>2838</v>
      </c>
    </row>
    <row r="118" spans="1:13" x14ac:dyDescent="0.25">
      <c r="A118" t="s">
        <v>2839</v>
      </c>
      <c r="B118" t="s">
        <v>255</v>
      </c>
      <c r="C118" t="s">
        <v>256</v>
      </c>
      <c r="D118" t="s">
        <v>256</v>
      </c>
      <c r="E118" t="s">
        <v>256</v>
      </c>
      <c r="F118" t="s">
        <v>2836</v>
      </c>
      <c r="G118" t="str">
        <f>"8"</f>
        <v>8</v>
      </c>
      <c r="I118" t="str">
        <f>"20-143"</f>
        <v>20-143</v>
      </c>
      <c r="J118" t="s">
        <v>256</v>
      </c>
      <c r="K118" t="str">
        <f>"817473526"</f>
        <v>817473526</v>
      </c>
      <c r="L118" t="s">
        <v>2837</v>
      </c>
      <c r="M118" t="s">
        <v>2838</v>
      </c>
    </row>
    <row r="119" spans="1:13" x14ac:dyDescent="0.25">
      <c r="A119" t="s">
        <v>2840</v>
      </c>
      <c r="B119" t="s">
        <v>255</v>
      </c>
      <c r="C119" t="s">
        <v>256</v>
      </c>
      <c r="D119" t="s">
        <v>256</v>
      </c>
      <c r="E119" t="s">
        <v>256</v>
      </c>
      <c r="F119" t="s">
        <v>2841</v>
      </c>
      <c r="G119" t="str">
        <f>"1"</f>
        <v>1</v>
      </c>
      <c r="I119" t="str">
        <f>"20-400"</f>
        <v>20-400</v>
      </c>
      <c r="J119" t="s">
        <v>256</v>
      </c>
      <c r="K119" t="str">
        <f>"815324822"</f>
        <v>815324822</v>
      </c>
      <c r="L119" t="s">
        <v>2842</v>
      </c>
      <c r="M119" t="s">
        <v>2843</v>
      </c>
    </row>
    <row r="120" spans="1:13" x14ac:dyDescent="0.25">
      <c r="A120" t="s">
        <v>2844</v>
      </c>
      <c r="B120" t="s">
        <v>255</v>
      </c>
      <c r="C120" t="s">
        <v>256</v>
      </c>
      <c r="D120" t="s">
        <v>256</v>
      </c>
      <c r="E120" t="s">
        <v>256</v>
      </c>
      <c r="F120" t="s">
        <v>2841</v>
      </c>
      <c r="G120" t="str">
        <f>"1"</f>
        <v>1</v>
      </c>
      <c r="I120" t="str">
        <f>"20-400"</f>
        <v>20-400</v>
      </c>
      <c r="J120" t="s">
        <v>256</v>
      </c>
      <c r="K120" t="str">
        <f>"815324822"</f>
        <v>815324822</v>
      </c>
      <c r="L120" t="s">
        <v>2842</v>
      </c>
      <c r="M120" t="s">
        <v>2843</v>
      </c>
    </row>
    <row r="121" spans="1:13" x14ac:dyDescent="0.25">
      <c r="A121" t="s">
        <v>2845</v>
      </c>
      <c r="B121" t="s">
        <v>255</v>
      </c>
      <c r="C121" t="s">
        <v>256</v>
      </c>
      <c r="D121" t="s">
        <v>256</v>
      </c>
      <c r="E121" t="s">
        <v>256</v>
      </c>
      <c r="F121" t="s">
        <v>2846</v>
      </c>
      <c r="G121" t="str">
        <f>"30"</f>
        <v>30</v>
      </c>
      <c r="I121" t="str">
        <f>"20-863"</f>
        <v>20-863</v>
      </c>
      <c r="J121" t="s">
        <v>256</v>
      </c>
      <c r="K121" t="str">
        <f>"817410930"</f>
        <v>817410930</v>
      </c>
      <c r="L121" t="s">
        <v>2847</v>
      </c>
      <c r="M121" t="s">
        <v>2848</v>
      </c>
    </row>
    <row r="122" spans="1:13" x14ac:dyDescent="0.25">
      <c r="A122" t="s">
        <v>2849</v>
      </c>
      <c r="B122" t="s">
        <v>255</v>
      </c>
      <c r="C122" t="s">
        <v>256</v>
      </c>
      <c r="D122" t="s">
        <v>256</v>
      </c>
      <c r="E122" t="s">
        <v>256</v>
      </c>
      <c r="F122" t="s">
        <v>2846</v>
      </c>
      <c r="G122" t="str">
        <f>"30"</f>
        <v>30</v>
      </c>
      <c r="I122" t="str">
        <f>"20-863"</f>
        <v>20-863</v>
      </c>
      <c r="J122" t="s">
        <v>256</v>
      </c>
      <c r="K122" t="str">
        <f>"817410930"</f>
        <v>817410930</v>
      </c>
      <c r="L122" t="s">
        <v>2847</v>
      </c>
      <c r="M122" t="s">
        <v>2850</v>
      </c>
    </row>
    <row r="123" spans="1:13" x14ac:dyDescent="0.25">
      <c r="A123" t="s">
        <v>158</v>
      </c>
      <c r="B123" t="s">
        <v>174</v>
      </c>
      <c r="C123" t="s">
        <v>175</v>
      </c>
      <c r="D123" t="s">
        <v>176</v>
      </c>
      <c r="E123" t="s">
        <v>176</v>
      </c>
      <c r="F123" t="s">
        <v>177</v>
      </c>
      <c r="G123" t="str">
        <f>"69"</f>
        <v>69</v>
      </c>
      <c r="I123" t="str">
        <f>"67-300"</f>
        <v>67-300</v>
      </c>
      <c r="J123" t="s">
        <v>176</v>
      </c>
      <c r="K123" t="str">
        <f>"0683762249"</f>
        <v>0683762249</v>
      </c>
      <c r="L123" t="s">
        <v>178</v>
      </c>
      <c r="M123" t="s">
        <v>179</v>
      </c>
    </row>
    <row r="124" spans="1:13" x14ac:dyDescent="0.25">
      <c r="A124" t="s">
        <v>397</v>
      </c>
      <c r="B124" t="s">
        <v>174</v>
      </c>
      <c r="C124" t="s">
        <v>398</v>
      </c>
      <c r="D124" t="s">
        <v>399</v>
      </c>
      <c r="E124" t="s">
        <v>399</v>
      </c>
      <c r="F124" t="s">
        <v>400</v>
      </c>
      <c r="G124" t="str">
        <f>"10B"</f>
        <v>10B</v>
      </c>
      <c r="I124" t="str">
        <f>"66-600"</f>
        <v>66-600</v>
      </c>
      <c r="J124" t="s">
        <v>399</v>
      </c>
      <c r="K124" t="str">
        <f>"683830260"</f>
        <v>683830260</v>
      </c>
      <c r="L124" t="s">
        <v>401</v>
      </c>
      <c r="M124" t="s">
        <v>402</v>
      </c>
    </row>
    <row r="125" spans="1:13" x14ac:dyDescent="0.25">
      <c r="A125" t="s">
        <v>467</v>
      </c>
      <c r="B125" t="s">
        <v>174</v>
      </c>
      <c r="C125" t="s">
        <v>468</v>
      </c>
      <c r="D125" t="s">
        <v>469</v>
      </c>
      <c r="E125" t="s">
        <v>469</v>
      </c>
      <c r="F125" t="s">
        <v>470</v>
      </c>
      <c r="G125" t="str">
        <f>"16"</f>
        <v>16</v>
      </c>
      <c r="I125" t="str">
        <f>"66-300"</f>
        <v>66-300</v>
      </c>
      <c r="J125" t="s">
        <v>469</v>
      </c>
      <c r="K125" t="str">
        <f>"504057487"</f>
        <v>504057487</v>
      </c>
      <c r="L125" t="s">
        <v>471</v>
      </c>
      <c r="M125" t="s">
        <v>472</v>
      </c>
    </row>
    <row r="126" spans="1:13" x14ac:dyDescent="0.25">
      <c r="A126" t="s">
        <v>585</v>
      </c>
      <c r="B126" t="s">
        <v>174</v>
      </c>
      <c r="C126" t="s">
        <v>468</v>
      </c>
      <c r="D126" t="s">
        <v>586</v>
      </c>
      <c r="E126" t="s">
        <v>586</v>
      </c>
      <c r="F126" t="s">
        <v>587</v>
      </c>
      <c r="G126" t="str">
        <f>"1"</f>
        <v>1</v>
      </c>
      <c r="I126" t="str">
        <f>"66-440"</f>
        <v>66-440</v>
      </c>
      <c r="J126" t="s">
        <v>586</v>
      </c>
      <c r="K126" t="str">
        <f>"957170385"</f>
        <v>957170385</v>
      </c>
      <c r="L126" t="s">
        <v>588</v>
      </c>
      <c r="M126" t="s">
        <v>589</v>
      </c>
    </row>
    <row r="127" spans="1:13" x14ac:dyDescent="0.25">
      <c r="A127" t="s">
        <v>609</v>
      </c>
      <c r="B127" t="s">
        <v>174</v>
      </c>
      <c r="C127" t="s">
        <v>610</v>
      </c>
      <c r="D127" t="s">
        <v>611</v>
      </c>
      <c r="E127" t="s">
        <v>611</v>
      </c>
      <c r="F127" t="s">
        <v>612</v>
      </c>
      <c r="G127" t="str">
        <f>"1"</f>
        <v>1</v>
      </c>
      <c r="I127" t="str">
        <f>"66-100"</f>
        <v>66-100</v>
      </c>
      <c r="J127" t="s">
        <v>611</v>
      </c>
      <c r="K127" t="str">
        <f>"690240776"</f>
        <v>690240776</v>
      </c>
      <c r="L127" t="s">
        <v>613</v>
      </c>
      <c r="M127" t="s">
        <v>614</v>
      </c>
    </row>
    <row r="128" spans="1:13" x14ac:dyDescent="0.25">
      <c r="A128" t="s">
        <v>653</v>
      </c>
      <c r="B128" t="s">
        <v>174</v>
      </c>
      <c r="C128" t="s">
        <v>175</v>
      </c>
      <c r="D128" t="s">
        <v>180</v>
      </c>
      <c r="E128" t="s">
        <v>180</v>
      </c>
      <c r="F128" t="s">
        <v>654</v>
      </c>
      <c r="G128" t="str">
        <f>"1"</f>
        <v>1</v>
      </c>
      <c r="I128" t="str">
        <f>"68-100"</f>
        <v>68-100</v>
      </c>
      <c r="J128" t="s">
        <v>180</v>
      </c>
      <c r="K128" t="str">
        <f>"0684772900"</f>
        <v>0684772900</v>
      </c>
      <c r="L128" t="s">
        <v>655</v>
      </c>
      <c r="M128" t="s">
        <v>656</v>
      </c>
    </row>
    <row r="129" spans="1:13" x14ac:dyDescent="0.25">
      <c r="A129" t="s">
        <v>763</v>
      </c>
      <c r="B129" t="s">
        <v>174</v>
      </c>
      <c r="C129" t="s">
        <v>764</v>
      </c>
      <c r="D129" t="s">
        <v>765</v>
      </c>
      <c r="E129" t="s">
        <v>765</v>
      </c>
      <c r="F129" t="s">
        <v>766</v>
      </c>
      <c r="G129" t="str">
        <f>"3"</f>
        <v>3</v>
      </c>
      <c r="I129" t="str">
        <f>"66-200"</f>
        <v>66-200</v>
      </c>
      <c r="J129" t="s">
        <v>765</v>
      </c>
      <c r="K129" t="str">
        <f>"684578801"</f>
        <v>684578801</v>
      </c>
      <c r="L129" t="s">
        <v>767</v>
      </c>
      <c r="M129" t="s">
        <v>768</v>
      </c>
    </row>
    <row r="130" spans="1:13" x14ac:dyDescent="0.25">
      <c r="A130" t="s">
        <v>782</v>
      </c>
      <c r="B130" t="s">
        <v>174</v>
      </c>
      <c r="C130" t="s">
        <v>783</v>
      </c>
      <c r="D130" t="s">
        <v>784</v>
      </c>
      <c r="E130" t="s">
        <v>784</v>
      </c>
      <c r="F130" t="s">
        <v>187</v>
      </c>
      <c r="G130" t="str">
        <f>"31"</f>
        <v>31</v>
      </c>
      <c r="I130" t="str">
        <f>"66-530"</f>
        <v>66-530</v>
      </c>
      <c r="J130" t="s">
        <v>784</v>
      </c>
      <c r="K130" t="str">
        <f>"0957620982"</f>
        <v>0957620982</v>
      </c>
      <c r="L130" t="s">
        <v>785</v>
      </c>
      <c r="M130" t="s">
        <v>786</v>
      </c>
    </row>
    <row r="131" spans="1:13" x14ac:dyDescent="0.25">
      <c r="A131" t="s">
        <v>797</v>
      </c>
      <c r="B131" t="s">
        <v>174</v>
      </c>
      <c r="C131" t="s">
        <v>783</v>
      </c>
      <c r="D131" t="s">
        <v>787</v>
      </c>
      <c r="E131" t="s">
        <v>787</v>
      </c>
      <c r="F131" t="s">
        <v>798</v>
      </c>
      <c r="G131" t="str">
        <f>"14"</f>
        <v>14</v>
      </c>
      <c r="I131" t="str">
        <f>"66-500"</f>
        <v>66-500</v>
      </c>
      <c r="J131" t="s">
        <v>787</v>
      </c>
      <c r="K131" t="str">
        <f>"0957632247"</f>
        <v>0957632247</v>
      </c>
      <c r="L131" t="s">
        <v>799</v>
      </c>
      <c r="M131" t="s">
        <v>800</v>
      </c>
    </row>
    <row r="132" spans="1:13" x14ac:dyDescent="0.25">
      <c r="A132" t="s">
        <v>806</v>
      </c>
      <c r="B132" t="s">
        <v>174</v>
      </c>
      <c r="C132" t="s">
        <v>917</v>
      </c>
      <c r="D132" t="s">
        <v>918</v>
      </c>
      <c r="E132" t="s">
        <v>918</v>
      </c>
      <c r="F132" t="s">
        <v>919</v>
      </c>
      <c r="G132" t="str">
        <f>"65"</f>
        <v>65</v>
      </c>
      <c r="I132" t="str">
        <f>"67-100"</f>
        <v>67-100</v>
      </c>
      <c r="J132" t="s">
        <v>918</v>
      </c>
      <c r="K132" t="str">
        <f>"683874700"</f>
        <v>683874700</v>
      </c>
      <c r="L132" t="s">
        <v>920</v>
      </c>
      <c r="M132" t="s">
        <v>921</v>
      </c>
    </row>
    <row r="133" spans="1:13" x14ac:dyDescent="0.25">
      <c r="A133" t="s">
        <v>806</v>
      </c>
      <c r="B133" t="s">
        <v>174</v>
      </c>
      <c r="C133" t="s">
        <v>937</v>
      </c>
      <c r="D133" t="s">
        <v>938</v>
      </c>
      <c r="E133" t="s">
        <v>938</v>
      </c>
      <c r="F133" t="s">
        <v>939</v>
      </c>
      <c r="G133" t="str">
        <f>"3"</f>
        <v>3</v>
      </c>
      <c r="I133" t="str">
        <f>"69-200"</f>
        <v>69-200</v>
      </c>
      <c r="J133" t="s">
        <v>938</v>
      </c>
      <c r="K133" t="str">
        <f>"957554485"</f>
        <v>957554485</v>
      </c>
      <c r="L133" t="s">
        <v>940</v>
      </c>
      <c r="M133" t="s">
        <v>941</v>
      </c>
    </row>
    <row r="134" spans="1:13" x14ac:dyDescent="0.25">
      <c r="A134" t="s">
        <v>1024</v>
      </c>
      <c r="B134" t="s">
        <v>174</v>
      </c>
      <c r="C134" t="s">
        <v>1025</v>
      </c>
      <c r="D134" t="s">
        <v>1025</v>
      </c>
      <c r="E134" t="s">
        <v>1025</v>
      </c>
      <c r="F134" t="s">
        <v>1026</v>
      </c>
      <c r="G134" t="str">
        <f>"5-7"</f>
        <v>5-7</v>
      </c>
      <c r="I134" t="str">
        <f>"66-400"</f>
        <v>66-400</v>
      </c>
      <c r="J134" t="s">
        <v>1025</v>
      </c>
      <c r="K134" t="str">
        <f>"957330468"</f>
        <v>957330468</v>
      </c>
      <c r="L134" t="s">
        <v>1027</v>
      </c>
      <c r="M134" t="s">
        <v>1028</v>
      </c>
    </row>
    <row r="135" spans="1:13" x14ac:dyDescent="0.25">
      <c r="A135" t="s">
        <v>1541</v>
      </c>
      <c r="B135" t="s">
        <v>174</v>
      </c>
      <c r="C135" t="s">
        <v>398</v>
      </c>
      <c r="D135" t="s">
        <v>1542</v>
      </c>
      <c r="E135" t="s">
        <v>1542</v>
      </c>
      <c r="F135" t="s">
        <v>1543</v>
      </c>
      <c r="G135" t="str">
        <f>"1"</f>
        <v>1</v>
      </c>
      <c r="I135" t="str">
        <f>"66-620"</f>
        <v>66-620</v>
      </c>
      <c r="J135" t="s">
        <v>1542</v>
      </c>
      <c r="K135" t="str">
        <f>"684558252"</f>
        <v>684558252</v>
      </c>
      <c r="L135" t="s">
        <v>1544</v>
      </c>
      <c r="M135" t="s">
        <v>1545</v>
      </c>
    </row>
    <row r="136" spans="1:13" x14ac:dyDescent="0.25">
      <c r="A136" t="s">
        <v>1668</v>
      </c>
      <c r="B136" t="s">
        <v>174</v>
      </c>
      <c r="C136" t="s">
        <v>1669</v>
      </c>
      <c r="D136" t="s">
        <v>1670</v>
      </c>
      <c r="E136" t="s">
        <v>1670</v>
      </c>
      <c r="F136" t="s">
        <v>1671</v>
      </c>
      <c r="G136" t="str">
        <f>"5"</f>
        <v>5</v>
      </c>
      <c r="I136" t="str">
        <f>"66-470"</f>
        <v>66-470</v>
      </c>
      <c r="J136" t="s">
        <v>1670</v>
      </c>
      <c r="K136" t="str">
        <f>"957522638"</f>
        <v>957522638</v>
      </c>
      <c r="L136" t="s">
        <v>1672</v>
      </c>
      <c r="M136" t="s">
        <v>1673</v>
      </c>
    </row>
    <row r="137" spans="1:13" x14ac:dyDescent="0.25">
      <c r="A137" t="s">
        <v>2113</v>
      </c>
      <c r="B137" t="s">
        <v>174</v>
      </c>
      <c r="C137" t="s">
        <v>2114</v>
      </c>
      <c r="D137" t="s">
        <v>2115</v>
      </c>
      <c r="E137" t="s">
        <v>2115</v>
      </c>
      <c r="F137" t="s">
        <v>1619</v>
      </c>
      <c r="G137" t="str">
        <f>"28"</f>
        <v>28</v>
      </c>
      <c r="I137" t="str">
        <f>"69-100"</f>
        <v>69-100</v>
      </c>
      <c r="J137" t="s">
        <v>2115</v>
      </c>
      <c r="K137" t="str">
        <f>"957582299"</f>
        <v>957582299</v>
      </c>
      <c r="L137" t="s">
        <v>2116</v>
      </c>
    </row>
    <row r="138" spans="1:13" x14ac:dyDescent="0.25">
      <c r="A138" t="s">
        <v>2321</v>
      </c>
      <c r="B138" t="s">
        <v>174</v>
      </c>
      <c r="C138" t="s">
        <v>615</v>
      </c>
      <c r="D138" t="s">
        <v>615</v>
      </c>
      <c r="E138" t="s">
        <v>615</v>
      </c>
      <c r="F138" t="s">
        <v>2322</v>
      </c>
      <c r="G138" t="str">
        <f>"13"</f>
        <v>13</v>
      </c>
      <c r="I138" t="str">
        <f>"65-060"</f>
        <v>65-060</v>
      </c>
      <c r="J138" t="s">
        <v>615</v>
      </c>
      <c r="K138" t="str">
        <f>"683241695"</f>
        <v>683241695</v>
      </c>
      <c r="L138" t="s">
        <v>2323</v>
      </c>
      <c r="M138" t="s">
        <v>2324</v>
      </c>
    </row>
    <row r="139" spans="1:13" x14ac:dyDescent="0.25">
      <c r="A139" t="s">
        <v>2358</v>
      </c>
      <c r="B139" t="s">
        <v>174</v>
      </c>
      <c r="C139" t="s">
        <v>2359</v>
      </c>
      <c r="D139" t="s">
        <v>2360</v>
      </c>
      <c r="E139" t="s">
        <v>2360</v>
      </c>
      <c r="F139" t="s">
        <v>2361</v>
      </c>
      <c r="G139" t="str">
        <f>"1"</f>
        <v>1</v>
      </c>
      <c r="I139" t="str">
        <f>"67-400"</f>
        <v>67-400</v>
      </c>
      <c r="J139" t="s">
        <v>2360</v>
      </c>
      <c r="K139" t="str">
        <f>"655402030"</f>
        <v>655402030</v>
      </c>
      <c r="L139" t="s">
        <v>2362</v>
      </c>
      <c r="M139" t="s">
        <v>2363</v>
      </c>
    </row>
    <row r="140" spans="1:13" x14ac:dyDescent="0.25">
      <c r="A140" t="s">
        <v>2364</v>
      </c>
      <c r="B140" t="s">
        <v>174</v>
      </c>
      <c r="C140" t="s">
        <v>2359</v>
      </c>
      <c r="D140" t="s">
        <v>2365</v>
      </c>
      <c r="E140" t="s">
        <v>2365</v>
      </c>
      <c r="F140" t="s">
        <v>2366</v>
      </c>
      <c r="G140" t="str">
        <f>"1"</f>
        <v>1</v>
      </c>
      <c r="I140" t="str">
        <f>"67-410"</f>
        <v>67-410</v>
      </c>
      <c r="J140" t="s">
        <v>2365</v>
      </c>
      <c r="K140" t="str">
        <f>"655402030"</f>
        <v>655402030</v>
      </c>
      <c r="L140" t="s">
        <v>2362</v>
      </c>
      <c r="M140" t="s">
        <v>2367</v>
      </c>
    </row>
    <row r="141" spans="1:13" x14ac:dyDescent="0.25">
      <c r="A141" t="s">
        <v>2851</v>
      </c>
      <c r="B141" t="s">
        <v>174</v>
      </c>
      <c r="C141" t="s">
        <v>2852</v>
      </c>
      <c r="D141" t="s">
        <v>2853</v>
      </c>
      <c r="E141" t="s">
        <v>2853</v>
      </c>
      <c r="F141" t="s">
        <v>897</v>
      </c>
      <c r="G141" t="str">
        <f>"5"</f>
        <v>5</v>
      </c>
      <c r="I141" t="str">
        <f>"68-200"</f>
        <v>68-200</v>
      </c>
      <c r="J141" t="s">
        <v>2853</v>
      </c>
      <c r="K141" t="str">
        <f>"684794383"</f>
        <v>684794383</v>
      </c>
      <c r="L141" t="s">
        <v>2854</v>
      </c>
      <c r="M141" t="s">
        <v>2855</v>
      </c>
    </row>
    <row r="142" spans="1:13" x14ac:dyDescent="0.25">
      <c r="A142" t="s">
        <v>2861</v>
      </c>
      <c r="B142" t="s">
        <v>174</v>
      </c>
      <c r="C142" t="s">
        <v>1025</v>
      </c>
      <c r="D142" t="s">
        <v>1025</v>
      </c>
      <c r="E142" t="s">
        <v>1025</v>
      </c>
      <c r="F142" t="s">
        <v>2862</v>
      </c>
      <c r="G142" t="str">
        <f>"23"</f>
        <v>23</v>
      </c>
      <c r="I142" t="str">
        <f>"66-400"</f>
        <v>66-400</v>
      </c>
      <c r="J142" t="s">
        <v>1025</v>
      </c>
      <c r="K142" t="str">
        <f>"957320736"</f>
        <v>957320736</v>
      </c>
      <c r="L142" t="s">
        <v>2863</v>
      </c>
      <c r="M142" t="s">
        <v>2864</v>
      </c>
    </row>
    <row r="143" spans="1:13" x14ac:dyDescent="0.25">
      <c r="A143" t="s">
        <v>38</v>
      </c>
      <c r="B143" t="s">
        <v>39</v>
      </c>
      <c r="C143" t="s">
        <v>40</v>
      </c>
      <c r="D143" t="s">
        <v>41</v>
      </c>
      <c r="E143" t="s">
        <v>41</v>
      </c>
      <c r="F143" t="s">
        <v>42</v>
      </c>
      <c r="G143" t="str">
        <f>"3"</f>
        <v>3</v>
      </c>
      <c r="I143" t="str">
        <f>"91-349"</f>
        <v>91-349</v>
      </c>
      <c r="J143" t="s">
        <v>40</v>
      </c>
      <c r="K143" t="str">
        <f>"570007103"</f>
        <v>570007103</v>
      </c>
      <c r="L143" t="s">
        <v>43</v>
      </c>
      <c r="M143" t="s">
        <v>44</v>
      </c>
    </row>
    <row r="144" spans="1:13" x14ac:dyDescent="0.25">
      <c r="A144" t="s">
        <v>266</v>
      </c>
      <c r="B144" t="s">
        <v>39</v>
      </c>
      <c r="C144" t="s">
        <v>267</v>
      </c>
      <c r="D144" t="s">
        <v>268</v>
      </c>
      <c r="E144" t="s">
        <v>268</v>
      </c>
      <c r="F144" t="s">
        <v>269</v>
      </c>
      <c r="G144" t="str">
        <f>"4/6"</f>
        <v>4/6</v>
      </c>
      <c r="I144" t="str">
        <f>"95-070"</f>
        <v>95-070</v>
      </c>
      <c r="J144" t="s">
        <v>268</v>
      </c>
      <c r="K144" t="str">
        <f>"505363525"</f>
        <v>505363525</v>
      </c>
      <c r="L144" t="s">
        <v>270</v>
      </c>
      <c r="M144" t="s">
        <v>271</v>
      </c>
    </row>
    <row r="145" spans="1:13" x14ac:dyDescent="0.25">
      <c r="A145" t="s">
        <v>331</v>
      </c>
      <c r="B145" t="s">
        <v>39</v>
      </c>
      <c r="C145" t="s">
        <v>267</v>
      </c>
      <c r="D145" t="s">
        <v>332</v>
      </c>
      <c r="E145" t="s">
        <v>332</v>
      </c>
      <c r="F145" t="s">
        <v>333</v>
      </c>
      <c r="G145" t="str">
        <f>"10"</f>
        <v>10</v>
      </c>
      <c r="I145" t="str">
        <f>"95-015"</f>
        <v>95-015</v>
      </c>
      <c r="J145" t="s">
        <v>332</v>
      </c>
      <c r="K145" t="str">
        <f>"427190767"</f>
        <v>427190767</v>
      </c>
      <c r="L145" t="s">
        <v>334</v>
      </c>
      <c r="M145" t="s">
        <v>335</v>
      </c>
    </row>
    <row r="146" spans="1:13" x14ac:dyDescent="0.25">
      <c r="A146" t="s">
        <v>403</v>
      </c>
      <c r="B146" t="s">
        <v>39</v>
      </c>
      <c r="C146" t="s">
        <v>404</v>
      </c>
      <c r="D146" t="s">
        <v>405</v>
      </c>
      <c r="E146" t="s">
        <v>405</v>
      </c>
      <c r="F146" t="s">
        <v>406</v>
      </c>
      <c r="G146" t="str">
        <f>"33"</f>
        <v>33</v>
      </c>
      <c r="I146" t="str">
        <f>"98-100"</f>
        <v>98-100</v>
      </c>
      <c r="J146" t="s">
        <v>405</v>
      </c>
      <c r="K146" t="str">
        <f>"436752046"</f>
        <v>436752046</v>
      </c>
      <c r="L146" t="s">
        <v>407</v>
      </c>
      <c r="M146" t="s">
        <v>408</v>
      </c>
    </row>
    <row r="147" spans="1:13" x14ac:dyDescent="0.25">
      <c r="A147" t="s">
        <v>508</v>
      </c>
      <c r="B147" t="s">
        <v>39</v>
      </c>
      <c r="C147" t="s">
        <v>267</v>
      </c>
      <c r="D147" t="s">
        <v>509</v>
      </c>
      <c r="E147" t="s">
        <v>509</v>
      </c>
      <c r="F147" t="s">
        <v>510</v>
      </c>
      <c r="G147" t="str">
        <f>"1"</f>
        <v>1</v>
      </c>
      <c r="I147" t="str">
        <f>"95-035"</f>
        <v>95-035</v>
      </c>
      <c r="J147" t="s">
        <v>509</v>
      </c>
      <c r="K147" t="str">
        <f>"427189354"</f>
        <v>427189354</v>
      </c>
      <c r="L147" t="s">
        <v>511</v>
      </c>
      <c r="M147" t="s">
        <v>512</v>
      </c>
    </row>
    <row r="148" spans="1:13" x14ac:dyDescent="0.25">
      <c r="A148" t="s">
        <v>524</v>
      </c>
      <c r="B148" t="s">
        <v>39</v>
      </c>
      <c r="C148" t="s">
        <v>525</v>
      </c>
      <c r="D148" t="s">
        <v>526</v>
      </c>
      <c r="E148" t="s">
        <v>526</v>
      </c>
      <c r="F148" t="s">
        <v>527</v>
      </c>
      <c r="G148" t="str">
        <f>"13"</f>
        <v>13</v>
      </c>
      <c r="I148" t="str">
        <f>"99-200"</f>
        <v>99-200</v>
      </c>
      <c r="J148" t="s">
        <v>526</v>
      </c>
      <c r="K148" t="str">
        <f>"436782977"</f>
        <v>436782977</v>
      </c>
      <c r="L148" t="s">
        <v>528</v>
      </c>
      <c r="M148" t="s">
        <v>529</v>
      </c>
    </row>
    <row r="149" spans="1:13" x14ac:dyDescent="0.25">
      <c r="A149" t="s">
        <v>663</v>
      </c>
      <c r="B149" t="s">
        <v>39</v>
      </c>
      <c r="C149" t="s">
        <v>267</v>
      </c>
      <c r="D149" t="s">
        <v>336</v>
      </c>
      <c r="E149" t="s">
        <v>336</v>
      </c>
      <c r="F149" t="s">
        <v>664</v>
      </c>
      <c r="G149" t="str">
        <f>"89/91"</f>
        <v>89/91</v>
      </c>
      <c r="I149" t="str">
        <f>"95-100"</f>
        <v>95-100</v>
      </c>
      <c r="J149" t="s">
        <v>336</v>
      </c>
      <c r="K149" t="str">
        <f>"427183179"</f>
        <v>427183179</v>
      </c>
      <c r="L149" t="s">
        <v>665</v>
      </c>
    </row>
    <row r="150" spans="1:13" x14ac:dyDescent="0.25">
      <c r="A150" t="s">
        <v>690</v>
      </c>
      <c r="B150" t="s">
        <v>39</v>
      </c>
      <c r="C150" t="s">
        <v>691</v>
      </c>
      <c r="D150" t="s">
        <v>692</v>
      </c>
      <c r="E150" t="s">
        <v>692</v>
      </c>
      <c r="F150" t="s">
        <v>654</v>
      </c>
      <c r="G150" t="str">
        <f>"23a"</f>
        <v>23a</v>
      </c>
      <c r="I150" t="str">
        <f>"98-300"</f>
        <v>98-300</v>
      </c>
      <c r="J150" t="s">
        <v>692</v>
      </c>
      <c r="K150" t="str">
        <f>"438434520"</f>
        <v>438434520</v>
      </c>
      <c r="L150" t="s">
        <v>693</v>
      </c>
      <c r="M150" t="s">
        <v>694</v>
      </c>
    </row>
    <row r="151" spans="1:13" x14ac:dyDescent="0.25">
      <c r="A151" t="s">
        <v>806</v>
      </c>
      <c r="B151" t="s">
        <v>39</v>
      </c>
      <c r="C151" t="s">
        <v>868</v>
      </c>
      <c r="D151" t="s">
        <v>869</v>
      </c>
      <c r="E151" t="s">
        <v>869</v>
      </c>
      <c r="F151" t="s">
        <v>870</v>
      </c>
      <c r="G151" t="str">
        <f>"1/13"</f>
        <v>1/13</v>
      </c>
      <c r="I151" t="str">
        <f>"97-200"</f>
        <v>97-200</v>
      </c>
      <c r="J151" t="s">
        <v>869</v>
      </c>
      <c r="K151" t="str">
        <f>"447233486"</f>
        <v>447233486</v>
      </c>
      <c r="L151" t="s">
        <v>871</v>
      </c>
      <c r="M151" t="s">
        <v>872</v>
      </c>
    </row>
    <row r="152" spans="1:13" x14ac:dyDescent="0.25">
      <c r="A152" t="s">
        <v>985</v>
      </c>
      <c r="B152" t="s">
        <v>39</v>
      </c>
      <c r="C152" t="s">
        <v>40</v>
      </c>
      <c r="D152" t="s">
        <v>41</v>
      </c>
      <c r="E152" t="s">
        <v>41</v>
      </c>
      <c r="F152" t="s">
        <v>991</v>
      </c>
      <c r="G152" t="str">
        <f>"3/5"</f>
        <v>3/5</v>
      </c>
      <c r="I152" t="str">
        <f>"91-335"</f>
        <v>91-335</v>
      </c>
      <c r="J152" t="s">
        <v>40</v>
      </c>
      <c r="K152" t="str">
        <f>"690418676"</f>
        <v>690418676</v>
      </c>
      <c r="L152" t="s">
        <v>992</v>
      </c>
      <c r="M152" t="s">
        <v>993</v>
      </c>
    </row>
    <row r="153" spans="1:13" x14ac:dyDescent="0.25">
      <c r="A153" t="s">
        <v>1104</v>
      </c>
      <c r="B153" t="s">
        <v>39</v>
      </c>
      <c r="C153" t="s">
        <v>40</v>
      </c>
      <c r="D153" t="s">
        <v>41</v>
      </c>
      <c r="E153" t="s">
        <v>41</v>
      </c>
      <c r="F153" t="s">
        <v>1111</v>
      </c>
      <c r="G153" t="str">
        <f>"3"</f>
        <v>3</v>
      </c>
      <c r="I153" t="str">
        <f>"91-362"</f>
        <v>91-362</v>
      </c>
      <c r="J153" t="s">
        <v>40</v>
      </c>
      <c r="K153" t="str">
        <f>"426591581"</f>
        <v>426591581</v>
      </c>
      <c r="L153" t="s">
        <v>1112</v>
      </c>
      <c r="M153" t="s">
        <v>1113</v>
      </c>
    </row>
    <row r="154" spans="1:13" x14ac:dyDescent="0.25">
      <c r="A154" t="s">
        <v>1166</v>
      </c>
      <c r="B154" t="s">
        <v>39</v>
      </c>
      <c r="C154" t="s">
        <v>40</v>
      </c>
      <c r="D154" t="s">
        <v>994</v>
      </c>
      <c r="E154" t="s">
        <v>994</v>
      </c>
      <c r="F154" t="s">
        <v>1177</v>
      </c>
      <c r="G154" t="str">
        <f>"5"</f>
        <v>5</v>
      </c>
      <c r="I154" t="str">
        <f>"90-019"</f>
        <v>90-019</v>
      </c>
      <c r="J154" t="s">
        <v>40</v>
      </c>
      <c r="K154" t="str">
        <f>"426767305"</f>
        <v>426767305</v>
      </c>
      <c r="L154" t="s">
        <v>1178</v>
      </c>
      <c r="M154" t="s">
        <v>1179</v>
      </c>
    </row>
    <row r="155" spans="1:13" x14ac:dyDescent="0.25">
      <c r="A155" t="s">
        <v>1197</v>
      </c>
      <c r="B155" t="s">
        <v>39</v>
      </c>
      <c r="C155" t="s">
        <v>40</v>
      </c>
      <c r="D155" t="s">
        <v>1202</v>
      </c>
      <c r="E155" t="s">
        <v>1202</v>
      </c>
      <c r="F155" t="s">
        <v>1203</v>
      </c>
      <c r="G155" t="str">
        <f>"101"</f>
        <v>101</v>
      </c>
      <c r="I155" t="str">
        <f>"92-332"</f>
        <v>92-332</v>
      </c>
      <c r="J155" t="s">
        <v>40</v>
      </c>
      <c r="K155" t="str">
        <f>"426745973"</f>
        <v>426745973</v>
      </c>
      <c r="L155" t="s">
        <v>1204</v>
      </c>
      <c r="M155" t="s">
        <v>1205</v>
      </c>
    </row>
    <row r="156" spans="1:13" x14ac:dyDescent="0.25">
      <c r="A156" t="s">
        <v>1225</v>
      </c>
      <c r="B156" t="s">
        <v>39</v>
      </c>
      <c r="C156" t="s">
        <v>40</v>
      </c>
      <c r="D156" t="s">
        <v>1230</v>
      </c>
      <c r="E156" t="s">
        <v>1230</v>
      </c>
      <c r="F156" t="s">
        <v>1231</v>
      </c>
      <c r="G156" t="str">
        <f>"2"</f>
        <v>2</v>
      </c>
      <c r="I156" t="str">
        <f>"94-203"</f>
        <v>94-203</v>
      </c>
      <c r="J156" t="s">
        <v>40</v>
      </c>
      <c r="K156" t="str">
        <f>"426371608"</f>
        <v>426371608</v>
      </c>
      <c r="L156" t="s">
        <v>1232</v>
      </c>
      <c r="M156" t="s">
        <v>1233</v>
      </c>
    </row>
    <row r="157" spans="1:13" x14ac:dyDescent="0.25">
      <c r="A157" t="s">
        <v>1249</v>
      </c>
      <c r="B157" t="s">
        <v>39</v>
      </c>
      <c r="C157" t="s">
        <v>40</v>
      </c>
      <c r="D157" t="s">
        <v>1250</v>
      </c>
      <c r="E157" t="s">
        <v>1250</v>
      </c>
      <c r="F157" t="s">
        <v>1251</v>
      </c>
      <c r="G157" t="str">
        <f>"25"</f>
        <v>25</v>
      </c>
      <c r="I157" t="str">
        <f>"93-008"</f>
        <v>93-008</v>
      </c>
      <c r="J157" t="s">
        <v>40</v>
      </c>
      <c r="K157" t="str">
        <f>"426819282"</f>
        <v>426819282</v>
      </c>
      <c r="L157" t="s">
        <v>1252</v>
      </c>
      <c r="M157" t="s">
        <v>1253</v>
      </c>
    </row>
    <row r="158" spans="1:13" x14ac:dyDescent="0.25">
      <c r="A158" t="s">
        <v>1310</v>
      </c>
      <c r="B158" t="s">
        <v>39</v>
      </c>
      <c r="C158" t="s">
        <v>1311</v>
      </c>
      <c r="D158" t="s">
        <v>1312</v>
      </c>
      <c r="E158" t="s">
        <v>1312</v>
      </c>
      <c r="F158" t="s">
        <v>1313</v>
      </c>
      <c r="G158" t="str">
        <f>"96"</f>
        <v>96</v>
      </c>
      <c r="I158" t="str">
        <f>"97-400"</f>
        <v>97-400</v>
      </c>
      <c r="J158" t="s">
        <v>1312</v>
      </c>
      <c r="K158" t="str">
        <f>"446322874"</f>
        <v>446322874</v>
      </c>
      <c r="L158" t="s">
        <v>1314</v>
      </c>
    </row>
    <row r="159" spans="1:13" x14ac:dyDescent="0.25">
      <c r="A159" t="s">
        <v>1378</v>
      </c>
      <c r="B159" t="s">
        <v>39</v>
      </c>
      <c r="C159" t="s">
        <v>1379</v>
      </c>
      <c r="D159" t="s">
        <v>1380</v>
      </c>
      <c r="E159" t="s">
        <v>1380</v>
      </c>
      <c r="F159" t="s">
        <v>1381</v>
      </c>
      <c r="G159" t="str">
        <f>"5"</f>
        <v>5</v>
      </c>
      <c r="I159" t="str">
        <f>"95-060"</f>
        <v>95-060</v>
      </c>
      <c r="J159" t="s">
        <v>1380</v>
      </c>
      <c r="K159" t="str">
        <f>"468742176"</f>
        <v>468742176</v>
      </c>
      <c r="L159" t="s">
        <v>1382</v>
      </c>
      <c r="M159" t="s">
        <v>1383</v>
      </c>
    </row>
    <row r="160" spans="1:13" x14ac:dyDescent="0.25">
      <c r="A160" t="s">
        <v>1651</v>
      </c>
      <c r="B160" t="s">
        <v>39</v>
      </c>
      <c r="C160" t="s">
        <v>1652</v>
      </c>
      <c r="D160" t="s">
        <v>1653</v>
      </c>
      <c r="E160" t="s">
        <v>1653</v>
      </c>
      <c r="F160" t="s">
        <v>1654</v>
      </c>
      <c r="G160" t="str">
        <f>"5"</f>
        <v>5</v>
      </c>
      <c r="I160" t="str">
        <f>"95-040"</f>
        <v>95-040</v>
      </c>
      <c r="J160" t="s">
        <v>1653</v>
      </c>
      <c r="K160" t="str">
        <f>"447141454"</f>
        <v>447141454</v>
      </c>
      <c r="L160" t="s">
        <v>1655</v>
      </c>
      <c r="M160" t="s">
        <v>1656</v>
      </c>
    </row>
    <row r="161" spans="1:13" x14ac:dyDescent="0.25">
      <c r="A161" t="s">
        <v>1662</v>
      </c>
      <c r="B161" t="s">
        <v>39</v>
      </c>
      <c r="C161" t="s">
        <v>1663</v>
      </c>
      <c r="D161" t="s">
        <v>1664</v>
      </c>
      <c r="E161" t="s">
        <v>1664</v>
      </c>
      <c r="F161" t="s">
        <v>533</v>
      </c>
      <c r="G161" t="str">
        <f>"44"</f>
        <v>44</v>
      </c>
      <c r="I161" t="str">
        <f>"95-050"</f>
        <v>95-050</v>
      </c>
      <c r="J161" t="s">
        <v>1664</v>
      </c>
      <c r="K161" t="str">
        <f>"422111248"</f>
        <v>422111248</v>
      </c>
      <c r="L161" t="s">
        <v>1665</v>
      </c>
      <c r="M161" t="s">
        <v>1666</v>
      </c>
    </row>
    <row r="162" spans="1:13" x14ac:dyDescent="0.25">
      <c r="A162" t="s">
        <v>1693</v>
      </c>
      <c r="B162" t="s">
        <v>39</v>
      </c>
      <c r="C162" t="s">
        <v>1694</v>
      </c>
      <c r="D162" t="s">
        <v>1695</v>
      </c>
      <c r="E162" t="s">
        <v>1695</v>
      </c>
      <c r="F162" t="s">
        <v>187</v>
      </c>
      <c r="G162" t="str">
        <f>"52"</f>
        <v>52</v>
      </c>
      <c r="I162" t="str">
        <f>"99-300"</f>
        <v>99-300</v>
      </c>
      <c r="J162" t="s">
        <v>1695</v>
      </c>
      <c r="K162" t="str">
        <f>"242533829"</f>
        <v>242533829</v>
      </c>
      <c r="L162" t="s">
        <v>1696</v>
      </c>
      <c r="M162" t="s">
        <v>1697</v>
      </c>
    </row>
    <row r="163" spans="1:13" x14ac:dyDescent="0.25">
      <c r="A163" t="s">
        <v>1739</v>
      </c>
      <c r="B163" t="s">
        <v>39</v>
      </c>
      <c r="C163" t="s">
        <v>1740</v>
      </c>
      <c r="D163" t="s">
        <v>1741</v>
      </c>
      <c r="E163" t="s">
        <v>1741</v>
      </c>
      <c r="F163" t="s">
        <v>161</v>
      </c>
      <c r="G163" t="str">
        <f>"6"</f>
        <v>6</v>
      </c>
      <c r="I163" t="str">
        <f>"99-400"</f>
        <v>99-400</v>
      </c>
      <c r="J163" t="s">
        <v>1741</v>
      </c>
      <c r="K163" t="str">
        <f>"468374271"</f>
        <v>468374271</v>
      </c>
      <c r="L163" t="s">
        <v>1742</v>
      </c>
      <c r="M163" t="s">
        <v>1743</v>
      </c>
    </row>
    <row r="164" spans="1:13" x14ac:dyDescent="0.25">
      <c r="A164" t="s">
        <v>1902</v>
      </c>
      <c r="B164" t="s">
        <v>39</v>
      </c>
      <c r="C164" t="s">
        <v>1903</v>
      </c>
      <c r="D164" t="s">
        <v>1904</v>
      </c>
      <c r="E164" t="s">
        <v>1904</v>
      </c>
      <c r="F164" t="s">
        <v>161</v>
      </c>
      <c r="G164" t="str">
        <f>"2"</f>
        <v>2</v>
      </c>
      <c r="I164" t="str">
        <f>"26-300"</f>
        <v>26-300</v>
      </c>
      <c r="J164" t="s">
        <v>1904</v>
      </c>
      <c r="K164" t="str">
        <f>"447416462"</f>
        <v>447416462</v>
      </c>
      <c r="L164" t="s">
        <v>1905</v>
      </c>
      <c r="M164" t="s">
        <v>1906</v>
      </c>
    </row>
    <row r="165" spans="1:13" x14ac:dyDescent="0.25">
      <c r="A165" t="s">
        <v>1907</v>
      </c>
      <c r="B165" t="s">
        <v>39</v>
      </c>
      <c r="C165" t="s">
        <v>1903</v>
      </c>
      <c r="D165" t="s">
        <v>1908</v>
      </c>
      <c r="E165" t="s">
        <v>1908</v>
      </c>
      <c r="F165" t="s">
        <v>1660</v>
      </c>
      <c r="G165" t="str">
        <f>"5"</f>
        <v>5</v>
      </c>
      <c r="I165" t="str">
        <f>"26-340"</f>
        <v>26-340</v>
      </c>
      <c r="J165" t="s">
        <v>1908</v>
      </c>
      <c r="K165" t="str">
        <f>"447416554"</f>
        <v>447416554</v>
      </c>
      <c r="L165" t="s">
        <v>1909</v>
      </c>
    </row>
    <row r="166" spans="1:13" x14ac:dyDescent="0.25">
      <c r="A166" t="s">
        <v>1945</v>
      </c>
      <c r="B166" t="s">
        <v>39</v>
      </c>
      <c r="C166" t="s">
        <v>1663</v>
      </c>
      <c r="D166" t="s">
        <v>1667</v>
      </c>
      <c r="E166" t="s">
        <v>1667</v>
      </c>
      <c r="F166" t="s">
        <v>1946</v>
      </c>
      <c r="G166" t="str">
        <f>"10/12"</f>
        <v>10/12</v>
      </c>
      <c r="I166" t="str">
        <f>"95-200"</f>
        <v>95-200</v>
      </c>
      <c r="J166" t="s">
        <v>1667</v>
      </c>
      <c r="K166" t="str">
        <f>"422397788"</f>
        <v>422397788</v>
      </c>
      <c r="L166" t="s">
        <v>1947</v>
      </c>
      <c r="M166" t="s">
        <v>1948</v>
      </c>
    </row>
    <row r="167" spans="1:13" x14ac:dyDescent="0.25">
      <c r="A167" t="s">
        <v>1968</v>
      </c>
      <c r="B167" t="s">
        <v>39</v>
      </c>
      <c r="C167" t="s">
        <v>1969</v>
      </c>
      <c r="D167" t="s">
        <v>1969</v>
      </c>
      <c r="E167" t="s">
        <v>1969</v>
      </c>
      <c r="F167" t="s">
        <v>1970</v>
      </c>
      <c r="G167" t="str">
        <f>"47"</f>
        <v>47</v>
      </c>
      <c r="I167" t="str">
        <f>"97-300"</f>
        <v>97-300</v>
      </c>
      <c r="J167" t="s">
        <v>1969</v>
      </c>
      <c r="K167" t="str">
        <f>"446465316"</f>
        <v>446465316</v>
      </c>
      <c r="L167" t="s">
        <v>1971</v>
      </c>
      <c r="M167" t="s">
        <v>1972</v>
      </c>
    </row>
    <row r="168" spans="1:13" x14ac:dyDescent="0.25">
      <c r="A168" t="s">
        <v>2022</v>
      </c>
      <c r="B168" t="s">
        <v>39</v>
      </c>
      <c r="C168" t="s">
        <v>2023</v>
      </c>
      <c r="D168" t="s">
        <v>2024</v>
      </c>
      <c r="E168" t="s">
        <v>2024</v>
      </c>
      <c r="F168" t="s">
        <v>302</v>
      </c>
      <c r="G168" t="str">
        <f>"21"</f>
        <v>21</v>
      </c>
      <c r="I168" t="str">
        <f>"97-500"</f>
        <v>97-500</v>
      </c>
      <c r="J168" t="s">
        <v>2024</v>
      </c>
      <c r="K168" t="str">
        <f>"446834114"</f>
        <v>446834114</v>
      </c>
      <c r="L168" t="s">
        <v>2025</v>
      </c>
      <c r="M168" t="s">
        <v>2026</v>
      </c>
    </row>
    <row r="169" spans="1:13" x14ac:dyDescent="0.25">
      <c r="A169" t="s">
        <v>2041</v>
      </c>
      <c r="B169" t="s">
        <v>39</v>
      </c>
      <c r="C169" t="s">
        <v>2042</v>
      </c>
      <c r="D169" t="s">
        <v>2043</v>
      </c>
      <c r="E169" t="s">
        <v>2043</v>
      </c>
      <c r="F169" t="s">
        <v>1488</v>
      </c>
      <c r="G169" t="str">
        <f>"8"</f>
        <v>8</v>
      </c>
      <c r="I169" t="str">
        <f>"96-200"</f>
        <v>96-200</v>
      </c>
      <c r="J169" t="s">
        <v>2043</v>
      </c>
      <c r="K169" t="str">
        <f>"729292163"</f>
        <v>729292163</v>
      </c>
      <c r="L169" t="s">
        <v>2044</v>
      </c>
      <c r="M169" t="s">
        <v>2045</v>
      </c>
    </row>
    <row r="170" spans="1:13" x14ac:dyDescent="0.25">
      <c r="A170" t="s">
        <v>2093</v>
      </c>
      <c r="B170" t="s">
        <v>39</v>
      </c>
      <c r="C170" t="s">
        <v>2094</v>
      </c>
      <c r="D170" t="s">
        <v>2095</v>
      </c>
      <c r="E170" t="s">
        <v>2095</v>
      </c>
      <c r="F170" t="s">
        <v>2096</v>
      </c>
      <c r="G170" t="str">
        <f>"3"</f>
        <v>3</v>
      </c>
      <c r="I170" t="str">
        <f>"98-200"</f>
        <v>98-200</v>
      </c>
      <c r="J170" t="s">
        <v>2095</v>
      </c>
      <c r="K170" t="str">
        <f>"438224270"</f>
        <v>438224270</v>
      </c>
      <c r="L170" t="s">
        <v>2097</v>
      </c>
    </row>
    <row r="171" spans="1:13" x14ac:dyDescent="0.25">
      <c r="A171" t="s">
        <v>2108</v>
      </c>
      <c r="B171" t="s">
        <v>39</v>
      </c>
      <c r="C171" t="s">
        <v>2109</v>
      </c>
      <c r="D171" t="s">
        <v>2109</v>
      </c>
      <c r="E171" t="s">
        <v>2109</v>
      </c>
      <c r="F171" t="s">
        <v>2110</v>
      </c>
      <c r="G171" t="str">
        <f>"6"</f>
        <v>6</v>
      </c>
      <c r="I171" t="str">
        <f>"96-100"</f>
        <v>96-100</v>
      </c>
      <c r="J171" t="s">
        <v>2109</v>
      </c>
      <c r="K171" t="str">
        <f>"468332828"</f>
        <v>468332828</v>
      </c>
      <c r="L171" t="s">
        <v>2111</v>
      </c>
      <c r="M171" t="s">
        <v>2112</v>
      </c>
    </row>
    <row r="172" spans="1:13" x14ac:dyDescent="0.25">
      <c r="A172" t="s">
        <v>2245</v>
      </c>
      <c r="B172" t="s">
        <v>39</v>
      </c>
      <c r="C172" t="s">
        <v>2094</v>
      </c>
      <c r="D172" t="s">
        <v>2246</v>
      </c>
      <c r="E172" t="s">
        <v>2246</v>
      </c>
      <c r="F172" t="s">
        <v>321</v>
      </c>
      <c r="G172" t="str">
        <f>"29"</f>
        <v>29</v>
      </c>
      <c r="I172" t="str">
        <f>"98-290"</f>
        <v>98-290</v>
      </c>
      <c r="J172" t="s">
        <v>2246</v>
      </c>
      <c r="K172" t="str">
        <f>"438294734"</f>
        <v>438294734</v>
      </c>
      <c r="L172" t="s">
        <v>2247</v>
      </c>
      <c r="M172" t="s">
        <v>2248</v>
      </c>
    </row>
    <row r="173" spans="1:13" x14ac:dyDescent="0.25">
      <c r="A173" t="s">
        <v>2258</v>
      </c>
      <c r="B173" t="s">
        <v>39</v>
      </c>
      <c r="C173" t="s">
        <v>2259</v>
      </c>
      <c r="D173" t="s">
        <v>2260</v>
      </c>
      <c r="E173" t="s">
        <v>2260</v>
      </c>
      <c r="F173" t="s">
        <v>880</v>
      </c>
      <c r="G173" t="str">
        <f>"1-3"</f>
        <v>1-3</v>
      </c>
      <c r="I173" t="str">
        <f>"98-400"</f>
        <v>98-400</v>
      </c>
      <c r="J173" t="s">
        <v>2260</v>
      </c>
      <c r="K173" t="str">
        <f>"0627841295"</f>
        <v>0627841295</v>
      </c>
      <c r="L173" t="s">
        <v>2261</v>
      </c>
      <c r="M173" t="s">
        <v>2262</v>
      </c>
    </row>
    <row r="174" spans="1:13" x14ac:dyDescent="0.25">
      <c r="A174" t="s">
        <v>2308</v>
      </c>
      <c r="B174" t="s">
        <v>39</v>
      </c>
      <c r="C174" t="s">
        <v>2309</v>
      </c>
      <c r="D174" t="s">
        <v>2310</v>
      </c>
      <c r="E174" t="s">
        <v>2310</v>
      </c>
      <c r="F174" t="s">
        <v>352</v>
      </c>
      <c r="G174" t="str">
        <f>"3a"</f>
        <v>3a</v>
      </c>
      <c r="I174" t="str">
        <f>"98-220"</f>
        <v>98-220</v>
      </c>
      <c r="J174" t="s">
        <v>2310</v>
      </c>
      <c r="K174" t="str">
        <f>"438233634"</f>
        <v>438233634</v>
      </c>
      <c r="L174" t="s">
        <v>2311</v>
      </c>
      <c r="M174" t="s">
        <v>2312</v>
      </c>
    </row>
    <row r="175" spans="1:13" x14ac:dyDescent="0.25">
      <c r="A175" t="s">
        <v>2402</v>
      </c>
      <c r="B175" t="s">
        <v>39</v>
      </c>
      <c r="C175" t="s">
        <v>2403</v>
      </c>
      <c r="D175" t="s">
        <v>2404</v>
      </c>
      <c r="E175" t="s">
        <v>2404</v>
      </c>
      <c r="F175" t="s">
        <v>2405</v>
      </c>
      <c r="G175" t="str">
        <f>"7"</f>
        <v>7</v>
      </c>
      <c r="I175" t="str">
        <f>"98-355"</f>
        <v>98-355</v>
      </c>
      <c r="J175" t="s">
        <v>2404</v>
      </c>
      <c r="K175" t="str">
        <f>"438413753"</f>
        <v>438413753</v>
      </c>
      <c r="L175" t="s">
        <v>2406</v>
      </c>
      <c r="M175" t="s">
        <v>2407</v>
      </c>
    </row>
    <row r="176" spans="1:13" x14ac:dyDescent="0.25">
      <c r="A176" t="s">
        <v>2535</v>
      </c>
      <c r="B176" t="s">
        <v>39</v>
      </c>
      <c r="C176" t="s">
        <v>2536</v>
      </c>
      <c r="D176" t="s">
        <v>2537</v>
      </c>
      <c r="E176" t="s">
        <v>2537</v>
      </c>
      <c r="F176" t="s">
        <v>2538</v>
      </c>
      <c r="G176" t="str">
        <f>"13"</f>
        <v>13</v>
      </c>
      <c r="I176" t="str">
        <f>"99-100"</f>
        <v>99-100</v>
      </c>
      <c r="J176" t="s">
        <v>2537</v>
      </c>
      <c r="K176" t="str">
        <f>"247212837"</f>
        <v>247212837</v>
      </c>
      <c r="L176" t="s">
        <v>2539</v>
      </c>
    </row>
    <row r="177" spans="1:13" x14ac:dyDescent="0.25">
      <c r="A177" t="s">
        <v>2409</v>
      </c>
      <c r="B177" t="s">
        <v>39</v>
      </c>
      <c r="C177" t="s">
        <v>2403</v>
      </c>
      <c r="D177" t="s">
        <v>2408</v>
      </c>
      <c r="E177" t="s">
        <v>2408</v>
      </c>
      <c r="F177" t="s">
        <v>2571</v>
      </c>
      <c r="G177" t="str">
        <f>"34"</f>
        <v>34</v>
      </c>
      <c r="I177" t="str">
        <f>"98-330"</f>
        <v>98-330</v>
      </c>
      <c r="J177" t="s">
        <v>2408</v>
      </c>
      <c r="K177" t="str">
        <f>"343112471"</f>
        <v>343112471</v>
      </c>
      <c r="L177" t="s">
        <v>2572</v>
      </c>
      <c r="M177" t="s">
        <v>2407</v>
      </c>
    </row>
    <row r="178" spans="1:13" x14ac:dyDescent="0.25">
      <c r="A178" t="s">
        <v>2582</v>
      </c>
      <c r="B178" t="s">
        <v>39</v>
      </c>
      <c r="C178" t="s">
        <v>1969</v>
      </c>
      <c r="D178" t="s">
        <v>1969</v>
      </c>
      <c r="E178" t="s">
        <v>1969</v>
      </c>
      <c r="F178" t="s">
        <v>857</v>
      </c>
      <c r="G178" t="str">
        <f>"16a"</f>
        <v>16a</v>
      </c>
      <c r="I178" t="str">
        <f>"97-300"</f>
        <v>97-300</v>
      </c>
      <c r="J178" t="s">
        <v>1969</v>
      </c>
      <c r="K178" t="str">
        <f>"447327840"</f>
        <v>447327840</v>
      </c>
      <c r="L178" t="s">
        <v>2583</v>
      </c>
      <c r="M178" t="s">
        <v>2584</v>
      </c>
    </row>
    <row r="179" spans="1:13" x14ac:dyDescent="0.25">
      <c r="A179" t="s">
        <v>2602</v>
      </c>
      <c r="B179" t="s">
        <v>39</v>
      </c>
      <c r="C179" t="s">
        <v>2109</v>
      </c>
      <c r="D179" t="s">
        <v>2109</v>
      </c>
      <c r="E179" t="s">
        <v>2109</v>
      </c>
      <c r="F179" t="s">
        <v>1381</v>
      </c>
      <c r="G179" t="str">
        <f>"6"</f>
        <v>6</v>
      </c>
      <c r="I179" t="str">
        <f>"96-100"</f>
        <v>96-100</v>
      </c>
      <c r="J179" t="s">
        <v>2109</v>
      </c>
      <c r="K179" t="str">
        <f>"468345966"</f>
        <v>468345966</v>
      </c>
      <c r="L179" t="s">
        <v>2603</v>
      </c>
    </row>
    <row r="180" spans="1:13" x14ac:dyDescent="0.25">
      <c r="A180" t="s">
        <v>2716</v>
      </c>
      <c r="B180" t="s">
        <v>39</v>
      </c>
      <c r="C180" t="s">
        <v>2023</v>
      </c>
      <c r="D180" t="s">
        <v>2024</v>
      </c>
      <c r="E180" t="s">
        <v>2024</v>
      </c>
      <c r="F180" t="s">
        <v>2717</v>
      </c>
      <c r="G180" t="str">
        <f>"3"</f>
        <v>3</v>
      </c>
      <c r="H180" t="str">
        <f>"3"</f>
        <v>3</v>
      </c>
      <c r="I180" t="str">
        <f>"97-500"</f>
        <v>97-500</v>
      </c>
      <c r="J180" t="s">
        <v>2024</v>
      </c>
      <c r="K180" t="str">
        <f>"794352676"</f>
        <v>794352676</v>
      </c>
      <c r="L180" t="s">
        <v>2718</v>
      </c>
    </row>
    <row r="181" spans="1:13" x14ac:dyDescent="0.25">
      <c r="A181" t="s">
        <v>2769</v>
      </c>
      <c r="B181" t="s">
        <v>39</v>
      </c>
      <c r="C181" t="s">
        <v>40</v>
      </c>
      <c r="D181" t="s">
        <v>1230</v>
      </c>
      <c r="E181" t="s">
        <v>1230</v>
      </c>
      <c r="F181" t="s">
        <v>2770</v>
      </c>
      <c r="G181" t="str">
        <f>"86"</f>
        <v>86</v>
      </c>
      <c r="I181" t="str">
        <f>"94-050"</f>
        <v>94-050</v>
      </c>
      <c r="J181" t="s">
        <v>40</v>
      </c>
      <c r="K181" t="str">
        <f>"426881668"</f>
        <v>426881668</v>
      </c>
      <c r="L181" t="s">
        <v>2771</v>
      </c>
      <c r="M181" t="s">
        <v>2772</v>
      </c>
    </row>
    <row r="182" spans="1:13" x14ac:dyDescent="0.25">
      <c r="A182" t="s">
        <v>2773</v>
      </c>
      <c r="B182" t="s">
        <v>39</v>
      </c>
      <c r="C182" t="s">
        <v>40</v>
      </c>
      <c r="D182" t="s">
        <v>1230</v>
      </c>
      <c r="E182" t="s">
        <v>1230</v>
      </c>
      <c r="F182" t="s">
        <v>2770</v>
      </c>
      <c r="G182" t="str">
        <f>"86"</f>
        <v>86</v>
      </c>
      <c r="I182" t="str">
        <f>"94-050"</f>
        <v>94-050</v>
      </c>
      <c r="J182" t="s">
        <v>40</v>
      </c>
      <c r="K182" t="str">
        <f>"426882070"</f>
        <v>426882070</v>
      </c>
      <c r="L182" t="s">
        <v>2774</v>
      </c>
      <c r="M182" t="s">
        <v>2775</v>
      </c>
    </row>
    <row r="183" spans="1:13" x14ac:dyDescent="0.25">
      <c r="A183" t="s">
        <v>2822</v>
      </c>
      <c r="B183" t="s">
        <v>39</v>
      </c>
      <c r="C183" t="s">
        <v>40</v>
      </c>
      <c r="D183" t="s">
        <v>41</v>
      </c>
      <c r="E183" t="s">
        <v>41</v>
      </c>
      <c r="F183" t="s">
        <v>991</v>
      </c>
      <c r="G183" t="str">
        <f>"3/5"</f>
        <v>3/5</v>
      </c>
      <c r="I183" t="str">
        <f>"91-334"</f>
        <v>91-334</v>
      </c>
      <c r="J183" t="s">
        <v>40</v>
      </c>
      <c r="K183" t="str">
        <f>"426537675"</f>
        <v>426537675</v>
      </c>
      <c r="L183" t="s">
        <v>2823</v>
      </c>
      <c r="M183" t="s">
        <v>2824</v>
      </c>
    </row>
    <row r="184" spans="1:13" x14ac:dyDescent="0.25">
      <c r="A184" t="s">
        <v>57</v>
      </c>
      <c r="B184" t="s">
        <v>58</v>
      </c>
      <c r="C184" t="s">
        <v>59</v>
      </c>
      <c r="D184" t="s">
        <v>60</v>
      </c>
      <c r="E184" t="s">
        <v>60</v>
      </c>
      <c r="F184" t="s">
        <v>61</v>
      </c>
      <c r="G184" t="str">
        <f>"6"</f>
        <v>6</v>
      </c>
      <c r="I184" t="str">
        <f>"32-340"</f>
        <v>32-340</v>
      </c>
      <c r="J184" t="s">
        <v>60</v>
      </c>
      <c r="K184" t="str">
        <f>"326441355"</f>
        <v>326441355</v>
      </c>
      <c r="L184" t="s">
        <v>62</v>
      </c>
    </row>
    <row r="185" spans="1:13" x14ac:dyDescent="0.25">
      <c r="A185" t="s">
        <v>194</v>
      </c>
      <c r="B185" t="s">
        <v>58</v>
      </c>
      <c r="C185" t="s">
        <v>195</v>
      </c>
      <c r="D185" t="s">
        <v>196</v>
      </c>
      <c r="E185" t="s">
        <v>196</v>
      </c>
      <c r="F185" t="s">
        <v>197</v>
      </c>
      <c r="G185" t="str">
        <f>"1B"</f>
        <v>1B</v>
      </c>
      <c r="I185" t="str">
        <f>"32-700"</f>
        <v>32-700</v>
      </c>
      <c r="J185" t="s">
        <v>196</v>
      </c>
      <c r="K185" t="str">
        <f>"146123691"</f>
        <v>146123691</v>
      </c>
      <c r="L185" t="s">
        <v>198</v>
      </c>
    </row>
    <row r="186" spans="1:13" x14ac:dyDescent="0.25">
      <c r="A186" t="s">
        <v>461</v>
      </c>
      <c r="B186" t="s">
        <v>58</v>
      </c>
      <c r="C186" t="s">
        <v>462</v>
      </c>
      <c r="D186" t="s">
        <v>463</v>
      </c>
      <c r="E186" t="s">
        <v>463</v>
      </c>
      <c r="F186" t="s">
        <v>464</v>
      </c>
      <c r="G186" t="str">
        <f>"8"</f>
        <v>8</v>
      </c>
      <c r="I186" t="str">
        <f>"34-220"</f>
        <v>34-220</v>
      </c>
      <c r="J186" t="s">
        <v>463</v>
      </c>
      <c r="K186" t="str">
        <f>"338742606"</f>
        <v>338742606</v>
      </c>
      <c r="L186" t="s">
        <v>465</v>
      </c>
      <c r="M186" t="s">
        <v>466</v>
      </c>
    </row>
    <row r="187" spans="1:13" x14ac:dyDescent="0.25">
      <c r="A187" t="s">
        <v>479</v>
      </c>
      <c r="B187" t="s">
        <v>58</v>
      </c>
      <c r="C187" t="s">
        <v>480</v>
      </c>
      <c r="D187" t="s">
        <v>481</v>
      </c>
      <c r="E187" t="s">
        <v>481</v>
      </c>
      <c r="F187" t="s">
        <v>482</v>
      </c>
      <c r="G187" t="str">
        <f>"36"</f>
        <v>36</v>
      </c>
      <c r="I187" t="str">
        <f>"32-400"</f>
        <v>32-400</v>
      </c>
      <c r="J187" t="s">
        <v>481</v>
      </c>
      <c r="K187" t="str">
        <f>"122720589"</f>
        <v>122720589</v>
      </c>
      <c r="L187" t="s">
        <v>483</v>
      </c>
      <c r="M187" t="s">
        <v>484</v>
      </c>
    </row>
    <row r="188" spans="1:13" x14ac:dyDescent="0.25">
      <c r="A188" t="s">
        <v>745</v>
      </c>
      <c r="B188" t="s">
        <v>58</v>
      </c>
      <c r="C188" t="s">
        <v>746</v>
      </c>
      <c r="D188" t="s">
        <v>747</v>
      </c>
      <c r="E188" t="s">
        <v>747</v>
      </c>
      <c r="F188" t="s">
        <v>441</v>
      </c>
      <c r="G188" t="str">
        <f>"2"</f>
        <v>2</v>
      </c>
      <c r="I188" t="str">
        <f>"34-700"</f>
        <v>34-700</v>
      </c>
      <c r="J188" t="s">
        <v>747</v>
      </c>
      <c r="K188" t="str">
        <f>"182677604"</f>
        <v>182677604</v>
      </c>
      <c r="L188" t="s">
        <v>748</v>
      </c>
      <c r="M188" t="s">
        <v>749</v>
      </c>
    </row>
    <row r="189" spans="1:13" x14ac:dyDescent="0.25">
      <c r="A189" t="s">
        <v>788</v>
      </c>
      <c r="B189" t="s">
        <v>58</v>
      </c>
      <c r="C189" t="s">
        <v>746</v>
      </c>
      <c r="D189" t="s">
        <v>750</v>
      </c>
      <c r="E189" t="s">
        <v>750</v>
      </c>
      <c r="F189" t="s">
        <v>789</v>
      </c>
      <c r="G189" t="str">
        <f>"1"</f>
        <v>1</v>
      </c>
      <c r="I189" t="str">
        <f>"34-400"</f>
        <v>34-400</v>
      </c>
      <c r="J189" t="s">
        <v>750</v>
      </c>
      <c r="K189" t="str">
        <f>"182663568"</f>
        <v>182663568</v>
      </c>
      <c r="L189" t="s">
        <v>790</v>
      </c>
      <c r="M189" t="s">
        <v>791</v>
      </c>
    </row>
    <row r="190" spans="1:13" x14ac:dyDescent="0.25">
      <c r="A190" t="s">
        <v>806</v>
      </c>
      <c r="B190" t="s">
        <v>58</v>
      </c>
      <c r="C190" t="s">
        <v>842</v>
      </c>
      <c r="D190" t="s">
        <v>843</v>
      </c>
      <c r="E190" t="s">
        <v>843</v>
      </c>
      <c r="F190" t="s">
        <v>217</v>
      </c>
      <c r="G190" t="str">
        <f>"10"</f>
        <v>10</v>
      </c>
      <c r="I190" t="str">
        <f>"32-100"</f>
        <v>32-100</v>
      </c>
      <c r="J190" t="s">
        <v>843</v>
      </c>
      <c r="K190" t="str">
        <f>"123070336"</f>
        <v>123070336</v>
      </c>
      <c r="L190" t="s">
        <v>844</v>
      </c>
      <c r="M190" t="s">
        <v>845</v>
      </c>
    </row>
    <row r="191" spans="1:13" x14ac:dyDescent="0.25">
      <c r="A191" t="s">
        <v>806</v>
      </c>
      <c r="B191" t="s">
        <v>58</v>
      </c>
      <c r="C191" t="s">
        <v>942</v>
      </c>
      <c r="D191" t="s">
        <v>942</v>
      </c>
      <c r="E191" t="s">
        <v>942</v>
      </c>
      <c r="F191" t="s">
        <v>943</v>
      </c>
      <c r="G191" t="str">
        <f>"3"</f>
        <v>3</v>
      </c>
      <c r="I191" t="str">
        <f>"33-100"</f>
        <v>33-100</v>
      </c>
      <c r="J191" t="s">
        <v>942</v>
      </c>
      <c r="K191" t="str">
        <f>"146559995"</f>
        <v>146559995</v>
      </c>
      <c r="L191" t="s">
        <v>944</v>
      </c>
      <c r="M191" t="s">
        <v>945</v>
      </c>
    </row>
    <row r="192" spans="1:13" x14ac:dyDescent="0.25">
      <c r="A192" t="s">
        <v>1034</v>
      </c>
      <c r="B192" t="s">
        <v>58</v>
      </c>
      <c r="C192" t="s">
        <v>1035</v>
      </c>
      <c r="D192" t="s">
        <v>1036</v>
      </c>
      <c r="E192" t="s">
        <v>1036</v>
      </c>
      <c r="F192" t="s">
        <v>1037</v>
      </c>
      <c r="G192" t="str">
        <f>"1"</f>
        <v>1</v>
      </c>
      <c r="I192" t="str">
        <f>"31-067"</f>
        <v>31-067</v>
      </c>
      <c r="J192" t="s">
        <v>1035</v>
      </c>
      <c r="K192" t="str">
        <f>"124305052"</f>
        <v>124305052</v>
      </c>
      <c r="L192" t="s">
        <v>1038</v>
      </c>
      <c r="M192" t="s">
        <v>1039</v>
      </c>
    </row>
    <row r="193" spans="1:13" x14ac:dyDescent="0.25">
      <c r="A193" t="s">
        <v>1141</v>
      </c>
      <c r="B193" t="s">
        <v>58</v>
      </c>
      <c r="C193" t="s">
        <v>1035</v>
      </c>
      <c r="D193" t="s">
        <v>1142</v>
      </c>
      <c r="E193" t="s">
        <v>1142</v>
      </c>
      <c r="F193" t="s">
        <v>1143</v>
      </c>
      <c r="G193" t="str">
        <f>"23d"</f>
        <v>23d</v>
      </c>
      <c r="I193" t="str">
        <f>"31-231"</f>
        <v>31-231</v>
      </c>
      <c r="J193" t="s">
        <v>1035</v>
      </c>
      <c r="K193" t="str">
        <f>"124156968"</f>
        <v>124156968</v>
      </c>
      <c r="L193" t="s">
        <v>1144</v>
      </c>
      <c r="M193" t="s">
        <v>1145</v>
      </c>
    </row>
    <row r="194" spans="1:13" x14ac:dyDescent="0.25">
      <c r="A194" t="s">
        <v>1184</v>
      </c>
      <c r="B194" t="s">
        <v>58</v>
      </c>
      <c r="C194" t="s">
        <v>1035</v>
      </c>
      <c r="D194" t="s">
        <v>1185</v>
      </c>
      <c r="E194" t="s">
        <v>1185</v>
      </c>
      <c r="F194" t="s">
        <v>1186</v>
      </c>
      <c r="G194" t="str">
        <f>"18"</f>
        <v>18</v>
      </c>
      <c r="I194" t="str">
        <f>"30-306"</f>
        <v>30-306</v>
      </c>
      <c r="J194" t="s">
        <v>1035</v>
      </c>
      <c r="K194" t="str">
        <f>"122661950"</f>
        <v>122661950</v>
      </c>
      <c r="L194" t="s">
        <v>1187</v>
      </c>
      <c r="M194" t="s">
        <v>1188</v>
      </c>
    </row>
    <row r="195" spans="1:13" x14ac:dyDescent="0.25">
      <c r="A195" t="s">
        <v>1212</v>
      </c>
      <c r="B195" t="s">
        <v>58</v>
      </c>
      <c r="C195" t="s">
        <v>1035</v>
      </c>
      <c r="D195" t="s">
        <v>1213</v>
      </c>
      <c r="E195" t="s">
        <v>1213</v>
      </c>
      <c r="F195" t="s">
        <v>1214</v>
      </c>
      <c r="G195" t="str">
        <f>"18"</f>
        <v>18</v>
      </c>
      <c r="I195" t="str">
        <f>"31-814"</f>
        <v>31-814</v>
      </c>
      <c r="J195" t="s">
        <v>1035</v>
      </c>
      <c r="K195" t="str">
        <f>"126441885"</f>
        <v>126441885</v>
      </c>
      <c r="L195" t="s">
        <v>1215</v>
      </c>
      <c r="M195" t="s">
        <v>1216</v>
      </c>
    </row>
    <row r="196" spans="1:13" x14ac:dyDescent="0.25">
      <c r="A196" t="s">
        <v>1290</v>
      </c>
      <c r="B196" t="s">
        <v>58</v>
      </c>
      <c r="C196" t="s">
        <v>1291</v>
      </c>
      <c r="D196" t="s">
        <v>1292</v>
      </c>
      <c r="E196" t="s">
        <v>1292</v>
      </c>
      <c r="F196" t="s">
        <v>1293</v>
      </c>
      <c r="G196" t="str">
        <f>"10"</f>
        <v>10</v>
      </c>
      <c r="I196" t="str">
        <f>"34-120"</f>
        <v>34-120</v>
      </c>
      <c r="J196" t="s">
        <v>1292</v>
      </c>
      <c r="K196" t="str">
        <f>"338754402"</f>
        <v>338754402</v>
      </c>
      <c r="L196" t="s">
        <v>1294</v>
      </c>
      <c r="M196" t="s">
        <v>1295</v>
      </c>
    </row>
    <row r="197" spans="1:13" x14ac:dyDescent="0.25">
      <c r="A197" t="s">
        <v>1367</v>
      </c>
      <c r="B197" t="s">
        <v>58</v>
      </c>
      <c r="C197" t="s">
        <v>1355</v>
      </c>
      <c r="D197" t="s">
        <v>1368</v>
      </c>
      <c r="E197" t="s">
        <v>1368</v>
      </c>
      <c r="F197" t="s">
        <v>302</v>
      </c>
      <c r="G197" t="str">
        <f>"2b"</f>
        <v>2b</v>
      </c>
      <c r="I197" t="str">
        <f>"32-800"</f>
        <v>32-800</v>
      </c>
      <c r="J197" t="s">
        <v>1368</v>
      </c>
      <c r="K197" t="str">
        <f>"146630181"</f>
        <v>146630181</v>
      </c>
      <c r="L197" t="s">
        <v>1369</v>
      </c>
      <c r="M197" t="s">
        <v>1370</v>
      </c>
    </row>
    <row r="198" spans="1:13" x14ac:dyDescent="0.25">
      <c r="A198" t="s">
        <v>1371</v>
      </c>
      <c r="B198" t="s">
        <v>58</v>
      </c>
      <c r="C198" t="s">
        <v>1372</v>
      </c>
      <c r="D198" t="s">
        <v>1373</v>
      </c>
      <c r="E198" t="s">
        <v>1373</v>
      </c>
      <c r="F198" t="s">
        <v>1374</v>
      </c>
      <c r="G198" t="str">
        <f>"7"</f>
        <v>7</v>
      </c>
      <c r="I198" t="str">
        <f>"32-620"</f>
        <v>32-620</v>
      </c>
      <c r="J198" t="s">
        <v>1373</v>
      </c>
      <c r="K198" t="str">
        <f>"327374646"</f>
        <v>327374646</v>
      </c>
      <c r="L198" t="s">
        <v>1375</v>
      </c>
      <c r="M198" t="s">
        <v>1376</v>
      </c>
    </row>
    <row r="199" spans="1:13" x14ac:dyDescent="0.25">
      <c r="A199" t="s">
        <v>1415</v>
      </c>
      <c r="B199" t="s">
        <v>58</v>
      </c>
      <c r="C199" t="s">
        <v>1416</v>
      </c>
      <c r="D199" t="s">
        <v>1417</v>
      </c>
      <c r="E199" t="s">
        <v>1417</v>
      </c>
      <c r="F199" t="s">
        <v>1418</v>
      </c>
      <c r="G199" t="str">
        <f>"3"</f>
        <v>3</v>
      </c>
      <c r="I199" t="str">
        <f>"32-500"</f>
        <v>32-500</v>
      </c>
      <c r="J199" t="s">
        <v>1417</v>
      </c>
      <c r="K199" t="str">
        <f>"32624-12-70"</f>
        <v>32624-12-70</v>
      </c>
      <c r="L199" t="s">
        <v>1419</v>
      </c>
      <c r="M199" t="s">
        <v>1420</v>
      </c>
    </row>
    <row r="200" spans="1:13" x14ac:dyDescent="0.25">
      <c r="A200" t="s">
        <v>1431</v>
      </c>
      <c r="B200" t="s">
        <v>58</v>
      </c>
      <c r="C200" t="s">
        <v>1432</v>
      </c>
      <c r="D200" t="s">
        <v>1433</v>
      </c>
      <c r="E200" t="s">
        <v>1433</v>
      </c>
      <c r="F200" t="s">
        <v>1434</v>
      </c>
      <c r="G200" t="str">
        <f>"1"</f>
        <v>1</v>
      </c>
      <c r="I200" t="str">
        <f>"33-200"</f>
        <v>33-200</v>
      </c>
      <c r="J200" t="s">
        <v>1433</v>
      </c>
      <c r="K200" t="str">
        <f>"146422711"</f>
        <v>146422711</v>
      </c>
      <c r="L200" t="s">
        <v>1435</v>
      </c>
      <c r="M200" t="s">
        <v>1436</v>
      </c>
    </row>
    <row r="201" spans="1:13" x14ac:dyDescent="0.25">
      <c r="A201" t="s">
        <v>1446</v>
      </c>
      <c r="B201" t="s">
        <v>58</v>
      </c>
      <c r="C201" t="s">
        <v>480</v>
      </c>
      <c r="D201" t="s">
        <v>1447</v>
      </c>
      <c r="E201" t="s">
        <v>1447</v>
      </c>
      <c r="F201" t="s">
        <v>880</v>
      </c>
      <c r="G201" t="str">
        <f>"20b"</f>
        <v>20b</v>
      </c>
      <c r="I201" t="str">
        <f>"32-410"</f>
        <v>32-410</v>
      </c>
      <c r="J201" t="s">
        <v>1447</v>
      </c>
      <c r="K201" t="str">
        <f>"122711613"</f>
        <v>122711613</v>
      </c>
      <c r="L201" t="s">
        <v>1448</v>
      </c>
      <c r="M201" t="s">
        <v>1449</v>
      </c>
    </row>
    <row r="202" spans="1:13" x14ac:dyDescent="0.25">
      <c r="A202" t="s">
        <v>1485</v>
      </c>
      <c r="B202" t="s">
        <v>58</v>
      </c>
      <c r="C202" t="s">
        <v>1486</v>
      </c>
      <c r="D202" t="s">
        <v>1487</v>
      </c>
      <c r="E202" t="s">
        <v>1487</v>
      </c>
      <c r="F202" t="s">
        <v>1488</v>
      </c>
      <c r="G202" t="str">
        <f>"5A"</f>
        <v>5A</v>
      </c>
      <c r="I202" t="str">
        <f>"38-300"</f>
        <v>38-300</v>
      </c>
      <c r="J202" t="s">
        <v>1487</v>
      </c>
      <c r="K202" t="str">
        <f>"183537255"</f>
        <v>183537255</v>
      </c>
      <c r="L202" t="s">
        <v>1489</v>
      </c>
      <c r="M202" t="s">
        <v>1490</v>
      </c>
    </row>
    <row r="203" spans="1:13" x14ac:dyDescent="0.25">
      <c r="A203" t="s">
        <v>1491</v>
      </c>
      <c r="B203" t="s">
        <v>58</v>
      </c>
      <c r="C203" t="s">
        <v>1486</v>
      </c>
      <c r="D203" t="s">
        <v>1492</v>
      </c>
      <c r="E203" t="s">
        <v>1492</v>
      </c>
      <c r="F203" t="s">
        <v>606</v>
      </c>
      <c r="G203" t="str">
        <f>"1"</f>
        <v>1</v>
      </c>
      <c r="I203" t="str">
        <f>"38-340"</f>
        <v>38-340</v>
      </c>
      <c r="J203" t="s">
        <v>1492</v>
      </c>
      <c r="K203" t="str">
        <f>"134471268"</f>
        <v>134471268</v>
      </c>
      <c r="L203" t="s">
        <v>1493</v>
      </c>
    </row>
    <row r="204" spans="1:13" x14ac:dyDescent="0.25">
      <c r="A204" t="s">
        <v>1622</v>
      </c>
      <c r="B204" t="s">
        <v>58</v>
      </c>
      <c r="C204" t="s">
        <v>1372</v>
      </c>
      <c r="D204" t="s">
        <v>1623</v>
      </c>
      <c r="E204" t="s">
        <v>1623</v>
      </c>
      <c r="F204" t="s">
        <v>476</v>
      </c>
      <c r="G204" t="str">
        <f>"27a"</f>
        <v>27a</v>
      </c>
      <c r="I204" t="str">
        <f>"32-650"</f>
        <v>32-650</v>
      </c>
      <c r="J204" t="s">
        <v>1623</v>
      </c>
      <c r="K204" t="str">
        <f>"338452304"</f>
        <v>338452304</v>
      </c>
      <c r="L204" t="s">
        <v>1624</v>
      </c>
      <c r="M204" t="s">
        <v>1625</v>
      </c>
    </row>
    <row r="205" spans="1:13" x14ac:dyDescent="0.25">
      <c r="A205" t="s">
        <v>1684</v>
      </c>
      <c r="B205" t="s">
        <v>58</v>
      </c>
      <c r="C205" t="s">
        <v>1685</v>
      </c>
      <c r="D205" t="s">
        <v>1686</v>
      </c>
      <c r="E205" t="s">
        <v>1686</v>
      </c>
      <c r="F205" t="s">
        <v>664</v>
      </c>
      <c r="G205" t="str">
        <f>"22"</f>
        <v>22</v>
      </c>
      <c r="I205" t="str">
        <f>"32-065"</f>
        <v>32-065</v>
      </c>
      <c r="J205" t="s">
        <v>1686</v>
      </c>
      <c r="K205" t="str">
        <f>"122820978"</f>
        <v>122820978</v>
      </c>
      <c r="L205" t="s">
        <v>1687</v>
      </c>
      <c r="M205" t="s">
        <v>1688</v>
      </c>
    </row>
    <row r="206" spans="1:13" x14ac:dyDescent="0.25">
      <c r="A206" t="s">
        <v>1790</v>
      </c>
      <c r="B206" t="s">
        <v>58</v>
      </c>
      <c r="C206" t="s">
        <v>1791</v>
      </c>
      <c r="D206" t="s">
        <v>1792</v>
      </c>
      <c r="E206" t="s">
        <v>1792</v>
      </c>
      <c r="F206" t="s">
        <v>857</v>
      </c>
      <c r="G206" t="str">
        <f>"20"</f>
        <v>20</v>
      </c>
      <c r="I206" t="str">
        <f>"32-200"</f>
        <v>32-200</v>
      </c>
      <c r="J206" t="s">
        <v>1792</v>
      </c>
      <c r="K206" t="str">
        <f>"413830520"</f>
        <v>413830520</v>
      </c>
      <c r="L206" t="s">
        <v>1793</v>
      </c>
      <c r="M206" t="s">
        <v>1794</v>
      </c>
    </row>
    <row r="207" spans="1:13" x14ac:dyDescent="0.25">
      <c r="A207" t="s">
        <v>1862</v>
      </c>
      <c r="B207" t="s">
        <v>58</v>
      </c>
      <c r="C207" t="s">
        <v>1863</v>
      </c>
      <c r="D207" t="s">
        <v>1863</v>
      </c>
      <c r="E207" t="s">
        <v>1863</v>
      </c>
      <c r="F207" t="s">
        <v>1864</v>
      </c>
      <c r="G207" t="str">
        <f>"5"</f>
        <v>5</v>
      </c>
      <c r="I207" t="str">
        <f>"33-300"</f>
        <v>33-300</v>
      </c>
      <c r="J207" t="s">
        <v>1863</v>
      </c>
      <c r="K207" t="str">
        <f>"184438622"</f>
        <v>184438622</v>
      </c>
      <c r="L207" t="s">
        <v>1865</v>
      </c>
      <c r="M207" t="s">
        <v>1866</v>
      </c>
    </row>
    <row r="208" spans="1:13" x14ac:dyDescent="0.25">
      <c r="A208" t="s">
        <v>64</v>
      </c>
      <c r="B208" t="s">
        <v>58</v>
      </c>
      <c r="C208" t="s">
        <v>59</v>
      </c>
      <c r="D208" t="s">
        <v>63</v>
      </c>
      <c r="E208" t="s">
        <v>63</v>
      </c>
      <c r="F208" t="s">
        <v>1893</v>
      </c>
      <c r="G208" t="str">
        <f>"3"</f>
        <v>3</v>
      </c>
      <c r="I208" t="str">
        <f>"32-300"</f>
        <v>32-300</v>
      </c>
      <c r="J208" t="s">
        <v>63</v>
      </c>
      <c r="K208" t="str">
        <f>"326470830"</f>
        <v>326470830</v>
      </c>
      <c r="L208" t="s">
        <v>1894</v>
      </c>
      <c r="M208" t="s">
        <v>1895</v>
      </c>
    </row>
    <row r="209" spans="1:13" x14ac:dyDescent="0.25">
      <c r="A209" t="s">
        <v>1930</v>
      </c>
      <c r="B209" t="s">
        <v>58</v>
      </c>
      <c r="C209" t="s">
        <v>1372</v>
      </c>
      <c r="D209" t="s">
        <v>1377</v>
      </c>
      <c r="E209" t="s">
        <v>1377</v>
      </c>
      <c r="F209" t="s">
        <v>1931</v>
      </c>
      <c r="G209" t="str">
        <f>"4"</f>
        <v>4</v>
      </c>
      <c r="I209" t="str">
        <f>"32-600"</f>
        <v>32-600</v>
      </c>
      <c r="J209" t="s">
        <v>1377</v>
      </c>
      <c r="K209" t="str">
        <f>"338431162"</f>
        <v>338431162</v>
      </c>
      <c r="L209" t="s">
        <v>1932</v>
      </c>
      <c r="M209" t="s">
        <v>1933</v>
      </c>
    </row>
    <row r="210" spans="1:13" x14ac:dyDescent="0.25">
      <c r="A210" t="s">
        <v>2236</v>
      </c>
      <c r="B210" t="s">
        <v>58</v>
      </c>
      <c r="C210" t="s">
        <v>1291</v>
      </c>
      <c r="D210" t="s">
        <v>1296</v>
      </c>
      <c r="E210" t="s">
        <v>1296</v>
      </c>
      <c r="F210" t="s">
        <v>2237</v>
      </c>
      <c r="G210" t="str">
        <f>"16"</f>
        <v>16</v>
      </c>
      <c r="I210" t="str">
        <f>"34-100"</f>
        <v>34-100</v>
      </c>
      <c r="J210" t="s">
        <v>1296</v>
      </c>
      <c r="K210" t="str">
        <f>"338731050"</f>
        <v>338731050</v>
      </c>
      <c r="L210" t="s">
        <v>2238</v>
      </c>
      <c r="M210" t="s">
        <v>2239</v>
      </c>
    </row>
    <row r="211" spans="1:13" x14ac:dyDescent="0.25">
      <c r="A211" t="s">
        <v>2284</v>
      </c>
      <c r="B211" t="s">
        <v>58</v>
      </c>
      <c r="C211" t="s">
        <v>1685</v>
      </c>
      <c r="D211" t="s">
        <v>2285</v>
      </c>
      <c r="E211" t="s">
        <v>2285</v>
      </c>
      <c r="F211" t="s">
        <v>2286</v>
      </c>
      <c r="G211" t="str">
        <f>"2"</f>
        <v>2</v>
      </c>
      <c r="I211" t="str">
        <f>"32-080"</f>
        <v>32-080</v>
      </c>
      <c r="J211" t="s">
        <v>2285</v>
      </c>
      <c r="K211" t="str">
        <f>"122854020"</f>
        <v>122854020</v>
      </c>
      <c r="L211" t="s">
        <v>2287</v>
      </c>
      <c r="M211" t="s">
        <v>2288</v>
      </c>
    </row>
    <row r="212" spans="1:13" x14ac:dyDescent="0.25">
      <c r="A212" t="s">
        <v>2302</v>
      </c>
      <c r="B212" t="s">
        <v>58</v>
      </c>
      <c r="C212" t="s">
        <v>2303</v>
      </c>
      <c r="D212" t="s">
        <v>2304</v>
      </c>
      <c r="E212" t="s">
        <v>2304</v>
      </c>
      <c r="F212" t="s">
        <v>2305</v>
      </c>
      <c r="G212" t="str">
        <f>"5"</f>
        <v>5</v>
      </c>
      <c r="I212" t="str">
        <f>"34-500"</f>
        <v>34-500</v>
      </c>
      <c r="J212" t="s">
        <v>2304</v>
      </c>
      <c r="K212" t="str">
        <f>"182063973"</f>
        <v>182063973</v>
      </c>
      <c r="L212" t="s">
        <v>2306</v>
      </c>
      <c r="M212" t="s">
        <v>2307</v>
      </c>
    </row>
    <row r="213" spans="1:13" x14ac:dyDescent="0.25">
      <c r="A213" t="s">
        <v>2414</v>
      </c>
      <c r="B213" t="s">
        <v>58</v>
      </c>
      <c r="C213" t="s">
        <v>2415</v>
      </c>
      <c r="D213" t="s">
        <v>2416</v>
      </c>
      <c r="E213" t="s">
        <v>2416</v>
      </c>
      <c r="F213" t="s">
        <v>2417</v>
      </c>
      <c r="G213" t="str">
        <f>"26c"</f>
        <v>26c</v>
      </c>
      <c r="I213" t="str">
        <f>"32-020"</f>
        <v>32-020</v>
      </c>
      <c r="J213" t="s">
        <v>2416</v>
      </c>
      <c r="K213" t="str">
        <f>"122500773"</f>
        <v>122500773</v>
      </c>
      <c r="L213" t="s">
        <v>2418</v>
      </c>
      <c r="M213" t="s">
        <v>2419</v>
      </c>
    </row>
    <row r="214" spans="1:13" x14ac:dyDescent="0.25">
      <c r="A214" t="s">
        <v>2544</v>
      </c>
      <c r="B214" t="s">
        <v>58</v>
      </c>
      <c r="C214" t="s">
        <v>1863</v>
      </c>
      <c r="D214" t="s">
        <v>1863</v>
      </c>
      <c r="E214" t="s">
        <v>1863</v>
      </c>
      <c r="F214" t="s">
        <v>1317</v>
      </c>
      <c r="G214" t="str">
        <f>"1"</f>
        <v>1</v>
      </c>
      <c r="I214" t="str">
        <f>"33-300"</f>
        <v>33-300</v>
      </c>
      <c r="J214" t="s">
        <v>1863</v>
      </c>
      <c r="K214" t="str">
        <f>"184731408"</f>
        <v>184731408</v>
      </c>
      <c r="L214" t="s">
        <v>2545</v>
      </c>
      <c r="M214" t="s">
        <v>2546</v>
      </c>
    </row>
    <row r="215" spans="1:13" x14ac:dyDescent="0.25">
      <c r="A215" t="s">
        <v>2547</v>
      </c>
      <c r="B215" t="s">
        <v>58</v>
      </c>
      <c r="C215" t="s">
        <v>2548</v>
      </c>
      <c r="D215" t="s">
        <v>2549</v>
      </c>
      <c r="E215" t="s">
        <v>2549</v>
      </c>
      <c r="F215" t="s">
        <v>161</v>
      </c>
      <c r="G215" t="str">
        <f>"19"</f>
        <v>19</v>
      </c>
      <c r="I215" t="str">
        <f>"33-330"</f>
        <v>33-330</v>
      </c>
      <c r="J215" t="s">
        <v>2549</v>
      </c>
      <c r="K215" t="str">
        <f>"184450325"</f>
        <v>184450325</v>
      </c>
      <c r="L215" t="s">
        <v>2550</v>
      </c>
    </row>
    <row r="216" spans="1:13" x14ac:dyDescent="0.25">
      <c r="A216" t="s">
        <v>2551</v>
      </c>
      <c r="B216" t="s">
        <v>58</v>
      </c>
      <c r="C216" t="s">
        <v>2548</v>
      </c>
      <c r="D216" t="s">
        <v>2552</v>
      </c>
      <c r="E216" t="s">
        <v>2552</v>
      </c>
      <c r="F216" t="s">
        <v>1842</v>
      </c>
      <c r="G216" t="str">
        <f>"3"</f>
        <v>3</v>
      </c>
      <c r="I216" t="str">
        <f>"33-380"</f>
        <v>33-380</v>
      </c>
      <c r="J216" t="s">
        <v>2552</v>
      </c>
      <c r="K216" t="str">
        <f>"184715534"</f>
        <v>184715534</v>
      </c>
      <c r="L216" t="s">
        <v>2553</v>
      </c>
    </row>
    <row r="217" spans="1:13" x14ac:dyDescent="0.25">
      <c r="A217" t="s">
        <v>2554</v>
      </c>
      <c r="B217" t="s">
        <v>58</v>
      </c>
      <c r="C217" t="s">
        <v>2548</v>
      </c>
      <c r="D217" t="s">
        <v>2555</v>
      </c>
      <c r="E217" t="s">
        <v>2555</v>
      </c>
      <c r="F217" t="s">
        <v>1613</v>
      </c>
      <c r="G217" t="str">
        <f>"15"</f>
        <v>15</v>
      </c>
      <c r="I217" t="str">
        <f>"33-340"</f>
        <v>33-340</v>
      </c>
      <c r="J217" t="s">
        <v>2555</v>
      </c>
      <c r="K217" t="str">
        <f>"184461360"</f>
        <v>184461360</v>
      </c>
      <c r="L217" t="s">
        <v>2556</v>
      </c>
    </row>
    <row r="218" spans="1:13" x14ac:dyDescent="0.25">
      <c r="A218" t="s">
        <v>2614</v>
      </c>
      <c r="B218" t="s">
        <v>58</v>
      </c>
      <c r="C218" t="s">
        <v>942</v>
      </c>
      <c r="D218" t="s">
        <v>942</v>
      </c>
      <c r="E218" t="s">
        <v>942</v>
      </c>
      <c r="F218" t="s">
        <v>2615</v>
      </c>
      <c r="G218" t="str">
        <f>"17A"</f>
        <v>17A</v>
      </c>
      <c r="I218" t="str">
        <f>"33-100"</f>
        <v>33-100</v>
      </c>
      <c r="J218" t="s">
        <v>942</v>
      </c>
      <c r="K218" t="str">
        <f>"146272959"</f>
        <v>146272959</v>
      </c>
      <c r="L218" t="s">
        <v>2616</v>
      </c>
      <c r="M218" t="s">
        <v>2617</v>
      </c>
    </row>
    <row r="219" spans="1:13" x14ac:dyDescent="0.25">
      <c r="A219" t="s">
        <v>2618</v>
      </c>
      <c r="B219" t="s">
        <v>58</v>
      </c>
      <c r="C219" t="s">
        <v>2619</v>
      </c>
      <c r="D219" t="s">
        <v>2620</v>
      </c>
      <c r="E219" t="s">
        <v>2620</v>
      </c>
      <c r="F219" t="s">
        <v>2621</v>
      </c>
      <c r="G219" t="str">
        <f>"20"</f>
        <v>20</v>
      </c>
      <c r="I219" t="str">
        <f>"33-170"</f>
        <v>33-170</v>
      </c>
      <c r="J219" t="s">
        <v>2620</v>
      </c>
      <c r="K219" t="str">
        <f>"146526494"</f>
        <v>146526494</v>
      </c>
      <c r="L219" t="s">
        <v>2622</v>
      </c>
      <c r="M219" t="s">
        <v>2617</v>
      </c>
    </row>
    <row r="220" spans="1:13" x14ac:dyDescent="0.25">
      <c r="A220" t="s">
        <v>2623</v>
      </c>
      <c r="B220" t="s">
        <v>58</v>
      </c>
      <c r="C220" t="s">
        <v>2619</v>
      </c>
      <c r="D220" t="s">
        <v>2624</v>
      </c>
      <c r="E220" t="s">
        <v>2624</v>
      </c>
      <c r="F220" t="s">
        <v>418</v>
      </c>
      <c r="G220" t="str">
        <f>"17"</f>
        <v>17</v>
      </c>
      <c r="I220" t="str">
        <f>"32-830"</f>
        <v>32-830</v>
      </c>
      <c r="J220" t="s">
        <v>2624</v>
      </c>
      <c r="K220" t="str">
        <f>"146501131"</f>
        <v>146501131</v>
      </c>
      <c r="L220" t="s">
        <v>2625</v>
      </c>
      <c r="M220" t="s">
        <v>2617</v>
      </c>
    </row>
    <row r="221" spans="1:13" x14ac:dyDescent="0.25">
      <c r="A221" t="s">
        <v>2626</v>
      </c>
      <c r="B221" t="s">
        <v>58</v>
      </c>
      <c r="C221" t="s">
        <v>2619</v>
      </c>
      <c r="D221" t="s">
        <v>2627</v>
      </c>
      <c r="E221" t="s">
        <v>2627</v>
      </c>
      <c r="F221" t="s">
        <v>2628</v>
      </c>
      <c r="G221" t="str">
        <f>"31"</f>
        <v>31</v>
      </c>
      <c r="I221" t="str">
        <f>"33-240"</f>
        <v>33-240</v>
      </c>
      <c r="J221" t="s">
        <v>2627</v>
      </c>
      <c r="K221" t="str">
        <f>"146456936"</f>
        <v>146456936</v>
      </c>
      <c r="L221" t="s">
        <v>2629</v>
      </c>
      <c r="M221" t="s">
        <v>2617</v>
      </c>
    </row>
    <row r="222" spans="1:13" x14ac:dyDescent="0.25">
      <c r="A222" t="s">
        <v>2736</v>
      </c>
      <c r="B222" t="s">
        <v>58</v>
      </c>
      <c r="C222" t="s">
        <v>942</v>
      </c>
      <c r="D222" t="s">
        <v>942</v>
      </c>
      <c r="E222" t="s">
        <v>942</v>
      </c>
      <c r="F222" t="s">
        <v>2737</v>
      </c>
      <c r="G222" t="str">
        <f>"25"</f>
        <v>25</v>
      </c>
      <c r="I222" t="str">
        <f>"33-100"</f>
        <v>33-100</v>
      </c>
      <c r="J222" t="s">
        <v>942</v>
      </c>
      <c r="K222" t="str">
        <f>"146222796"</f>
        <v>146222796</v>
      </c>
      <c r="L222" t="s">
        <v>2738</v>
      </c>
      <c r="M222" t="s">
        <v>2739</v>
      </c>
    </row>
    <row r="223" spans="1:13" x14ac:dyDescent="0.25">
      <c r="A223" t="s">
        <v>2743</v>
      </c>
      <c r="B223" t="s">
        <v>58</v>
      </c>
      <c r="C223" t="s">
        <v>1035</v>
      </c>
      <c r="D223" t="s">
        <v>1036</v>
      </c>
      <c r="E223" t="s">
        <v>1036</v>
      </c>
      <c r="F223" t="s">
        <v>2744</v>
      </c>
      <c r="G223" t="str">
        <f>"23a"</f>
        <v>23a</v>
      </c>
      <c r="I223" t="str">
        <f>"31-148"</f>
        <v>31-148</v>
      </c>
      <c r="J223" t="s">
        <v>1035</v>
      </c>
      <c r="K223" t="str">
        <f>"124221858"</f>
        <v>124221858</v>
      </c>
      <c r="L223" t="s">
        <v>2745</v>
      </c>
      <c r="M223" t="s">
        <v>2746</v>
      </c>
    </row>
    <row r="224" spans="1:13" x14ac:dyDescent="0.25">
      <c r="A224" t="s">
        <v>2754</v>
      </c>
      <c r="B224" t="s">
        <v>58</v>
      </c>
      <c r="C224" t="s">
        <v>1685</v>
      </c>
      <c r="D224" t="s">
        <v>2755</v>
      </c>
      <c r="E224" t="s">
        <v>2755</v>
      </c>
      <c r="F224" t="s">
        <v>333</v>
      </c>
      <c r="G224" t="str">
        <f>"10"</f>
        <v>10</v>
      </c>
      <c r="I224" t="str">
        <f>"32-050"</f>
        <v>32-050</v>
      </c>
      <c r="J224" t="s">
        <v>2755</v>
      </c>
      <c r="K224" t="str">
        <f>"122763840"</f>
        <v>122763840</v>
      </c>
      <c r="L224" t="s">
        <v>2756</v>
      </c>
      <c r="M224" t="s">
        <v>2757</v>
      </c>
    </row>
    <row r="225" spans="1:13" x14ac:dyDescent="0.25">
      <c r="A225" t="s">
        <v>2765</v>
      </c>
      <c r="B225" t="s">
        <v>58</v>
      </c>
      <c r="C225" t="s">
        <v>1035</v>
      </c>
      <c r="D225" t="s">
        <v>1036</v>
      </c>
      <c r="E225" t="s">
        <v>1036</v>
      </c>
      <c r="F225" t="s">
        <v>2766</v>
      </c>
      <c r="G225" t="str">
        <f>"2"</f>
        <v>2</v>
      </c>
      <c r="I225" t="str">
        <f>"31-046"</f>
        <v>31-046</v>
      </c>
      <c r="J225" t="s">
        <v>1035</v>
      </c>
      <c r="K225" t="str">
        <f>"124224383"</f>
        <v>124224383</v>
      </c>
      <c r="L225" t="s">
        <v>2767</v>
      </c>
      <c r="M225" t="s">
        <v>2768</v>
      </c>
    </row>
    <row r="226" spans="1:13" x14ac:dyDescent="0.25">
      <c r="A226" t="s">
        <v>2776</v>
      </c>
      <c r="B226" t="s">
        <v>58</v>
      </c>
      <c r="C226" t="s">
        <v>1035</v>
      </c>
      <c r="D226" t="s">
        <v>1185</v>
      </c>
      <c r="E226" t="s">
        <v>1185</v>
      </c>
      <c r="F226" t="s">
        <v>2777</v>
      </c>
      <c r="G226" t="str">
        <f>"17"</f>
        <v>17</v>
      </c>
      <c r="I226" t="str">
        <f>"30-818"</f>
        <v>30-818</v>
      </c>
      <c r="J226" t="s">
        <v>1035</v>
      </c>
      <c r="K226" t="str">
        <f>"126328773"</f>
        <v>126328773</v>
      </c>
      <c r="L226" t="s">
        <v>2778</v>
      </c>
      <c r="M226" t="s">
        <v>2779</v>
      </c>
    </row>
    <row r="227" spans="1:13" x14ac:dyDescent="0.25">
      <c r="A227" t="s">
        <v>2780</v>
      </c>
      <c r="B227" t="s">
        <v>58</v>
      </c>
      <c r="C227" t="s">
        <v>1035</v>
      </c>
      <c r="D227" t="s">
        <v>1213</v>
      </c>
      <c r="E227" t="s">
        <v>1213</v>
      </c>
      <c r="F227" t="s">
        <v>2781</v>
      </c>
      <c r="G227" t="str">
        <f>"41a"</f>
        <v>41a</v>
      </c>
      <c r="I227" t="str">
        <f>"31-831"</f>
        <v>31-831</v>
      </c>
      <c r="J227" t="s">
        <v>1035</v>
      </c>
      <c r="K227" t="str">
        <f>"124222712"</f>
        <v>124222712</v>
      </c>
      <c r="L227" t="s">
        <v>2782</v>
      </c>
      <c r="M227" t="s">
        <v>2783</v>
      </c>
    </row>
    <row r="228" spans="1:13" x14ac:dyDescent="0.25">
      <c r="A228" t="s">
        <v>2784</v>
      </c>
      <c r="B228" t="s">
        <v>58</v>
      </c>
      <c r="C228" t="s">
        <v>1685</v>
      </c>
      <c r="D228" t="s">
        <v>2785</v>
      </c>
      <c r="E228" t="s">
        <v>2785</v>
      </c>
      <c r="F228" t="s">
        <v>2786</v>
      </c>
      <c r="G228" t="str">
        <f>"42"</f>
        <v>42</v>
      </c>
      <c r="I228" t="str">
        <f>"32-043"</f>
        <v>32-043</v>
      </c>
      <c r="J228" t="s">
        <v>2785</v>
      </c>
      <c r="K228" t="str">
        <f>"123891548"</f>
        <v>123891548</v>
      </c>
      <c r="L228" t="s">
        <v>2787</v>
      </c>
      <c r="M228" t="s">
        <v>2788</v>
      </c>
    </row>
    <row r="229" spans="1:13" x14ac:dyDescent="0.25">
      <c r="A229" t="s">
        <v>2789</v>
      </c>
      <c r="B229" t="s">
        <v>58</v>
      </c>
      <c r="C229" t="s">
        <v>1685</v>
      </c>
      <c r="D229" t="s">
        <v>2790</v>
      </c>
      <c r="E229" t="s">
        <v>2790</v>
      </c>
      <c r="F229" t="s">
        <v>333</v>
      </c>
      <c r="G229" t="str">
        <f>"26"</f>
        <v>26</v>
      </c>
      <c r="I229" t="str">
        <f>"32-090"</f>
        <v>32-090</v>
      </c>
      <c r="J229" t="s">
        <v>2790</v>
      </c>
      <c r="K229" t="str">
        <f>"124426980"</f>
        <v>124426980</v>
      </c>
      <c r="L229" t="s">
        <v>2791</v>
      </c>
      <c r="M229" t="s">
        <v>2792</v>
      </c>
    </row>
    <row r="230" spans="1:13" x14ac:dyDescent="0.25">
      <c r="A230" t="s">
        <v>2793</v>
      </c>
      <c r="B230" t="s">
        <v>58</v>
      </c>
      <c r="C230" t="s">
        <v>1685</v>
      </c>
      <c r="D230" t="s">
        <v>2794</v>
      </c>
      <c r="E230" t="s">
        <v>2795</v>
      </c>
      <c r="F230" t="s">
        <v>2796</v>
      </c>
      <c r="G230" t="str">
        <f>"1"</f>
        <v>1</v>
      </c>
      <c r="I230" t="str">
        <f>"32-085"</f>
        <v>32-085</v>
      </c>
      <c r="J230" t="s">
        <v>2795</v>
      </c>
      <c r="K230" t="str">
        <f>"123067707"</f>
        <v>123067707</v>
      </c>
      <c r="L230" t="s">
        <v>2797</v>
      </c>
      <c r="M230" t="s">
        <v>2792</v>
      </c>
    </row>
    <row r="231" spans="1:13" x14ac:dyDescent="0.25">
      <c r="A231" t="s">
        <v>2818</v>
      </c>
      <c r="B231" t="s">
        <v>58</v>
      </c>
      <c r="C231" t="s">
        <v>1035</v>
      </c>
      <c r="D231" t="s">
        <v>1213</v>
      </c>
      <c r="E231" t="s">
        <v>1213</v>
      </c>
      <c r="F231" t="s">
        <v>2819</v>
      </c>
      <c r="G231" t="str">
        <f>"35"</f>
        <v>35</v>
      </c>
      <c r="I231" t="str">
        <f>"31-901"</f>
        <v>31-901</v>
      </c>
      <c r="J231" t="s">
        <v>1035</v>
      </c>
      <c r="K231" t="str">
        <f>"124121566"</f>
        <v>124121566</v>
      </c>
      <c r="L231" t="s">
        <v>2820</v>
      </c>
      <c r="M231" t="s">
        <v>2821</v>
      </c>
    </row>
    <row r="232" spans="1:13" x14ac:dyDescent="0.25">
      <c r="A232" t="s">
        <v>2829</v>
      </c>
      <c r="B232" t="s">
        <v>58</v>
      </c>
      <c r="C232" t="s">
        <v>2830</v>
      </c>
      <c r="D232" t="s">
        <v>2831</v>
      </c>
      <c r="E232" t="s">
        <v>2831</v>
      </c>
      <c r="F232" t="s">
        <v>2832</v>
      </c>
      <c r="G232" t="str">
        <f>"8"</f>
        <v>8</v>
      </c>
      <c r="I232" t="str">
        <f>"34-600"</f>
        <v>34-600</v>
      </c>
      <c r="J232" t="s">
        <v>2831</v>
      </c>
      <c r="K232" t="str">
        <f>"183371737"</f>
        <v>183371737</v>
      </c>
      <c r="L232" t="s">
        <v>2833</v>
      </c>
      <c r="M232" t="s">
        <v>2834</v>
      </c>
    </row>
    <row r="233" spans="1:13" x14ac:dyDescent="0.25">
      <c r="A233" t="s">
        <v>45</v>
      </c>
      <c r="B233" t="s">
        <v>46</v>
      </c>
      <c r="C233" t="s">
        <v>47</v>
      </c>
      <c r="D233" t="s">
        <v>48</v>
      </c>
      <c r="E233" t="s">
        <v>48</v>
      </c>
      <c r="F233" t="s">
        <v>49</v>
      </c>
      <c r="G233" t="str">
        <f>"26"</f>
        <v>26</v>
      </c>
      <c r="I233" t="str">
        <f>"01-471"</f>
        <v>01-471</v>
      </c>
      <c r="J233" t="s">
        <v>47</v>
      </c>
      <c r="K233" t="str">
        <f>"0226661774"</f>
        <v>0226661774</v>
      </c>
      <c r="L233" t="s">
        <v>50</v>
      </c>
      <c r="M233" t="s">
        <v>51</v>
      </c>
    </row>
    <row r="234" spans="1:13" x14ac:dyDescent="0.25">
      <c r="A234" t="s">
        <v>53</v>
      </c>
      <c r="B234" t="s">
        <v>46</v>
      </c>
      <c r="C234" t="s">
        <v>47</v>
      </c>
      <c r="D234" t="s">
        <v>54</v>
      </c>
      <c r="E234" t="s">
        <v>54</v>
      </c>
      <c r="F234" t="s">
        <v>55</v>
      </c>
      <c r="G234" t="str">
        <f>"12"</f>
        <v>12</v>
      </c>
      <c r="I234" t="str">
        <f>"02-216"</f>
        <v>02-216</v>
      </c>
      <c r="J234" t="s">
        <v>47</v>
      </c>
      <c r="K234" t="str">
        <f>"000000000"</f>
        <v>000000000</v>
      </c>
    </row>
    <row r="235" spans="1:13" x14ac:dyDescent="0.25">
      <c r="A235" t="s">
        <v>65</v>
      </c>
      <c r="B235" t="s">
        <v>46</v>
      </c>
      <c r="C235" t="s">
        <v>66</v>
      </c>
      <c r="D235" t="s">
        <v>67</v>
      </c>
      <c r="E235" t="s">
        <v>68</v>
      </c>
      <c r="F235" t="s">
        <v>69</v>
      </c>
      <c r="G235" t="str">
        <f>"284"</f>
        <v>284</v>
      </c>
      <c r="H235" t="str">
        <f>"7"</f>
        <v>7</v>
      </c>
      <c r="I235" t="str">
        <f>"05-082"</f>
        <v>05-082</v>
      </c>
      <c r="J235" t="s">
        <v>68</v>
      </c>
      <c r="L235" t="s">
        <v>70</v>
      </c>
      <c r="M235" t="s">
        <v>71</v>
      </c>
    </row>
    <row r="236" spans="1:13" x14ac:dyDescent="0.25">
      <c r="A236" t="s">
        <v>153</v>
      </c>
      <c r="B236" t="s">
        <v>46</v>
      </c>
      <c r="C236" t="s">
        <v>154</v>
      </c>
      <c r="D236" t="s">
        <v>155</v>
      </c>
      <c r="E236" t="s">
        <v>155</v>
      </c>
      <c r="F236" t="s">
        <v>156</v>
      </c>
      <c r="G236" t="str">
        <f>"9/11"</f>
        <v>9/11</v>
      </c>
      <c r="I236" t="str">
        <f>"09-300"</f>
        <v>09-300</v>
      </c>
      <c r="J236" t="s">
        <v>155</v>
      </c>
      <c r="K236" t="str">
        <f>"236572101"</f>
        <v>236572101</v>
      </c>
      <c r="L236" t="s">
        <v>157</v>
      </c>
    </row>
    <row r="237" spans="1:13" x14ac:dyDescent="0.25">
      <c r="A237" t="s">
        <v>158</v>
      </c>
      <c r="B237" t="s">
        <v>46</v>
      </c>
      <c r="C237" t="s">
        <v>164</v>
      </c>
      <c r="D237" t="s">
        <v>165</v>
      </c>
      <c r="E237" t="s">
        <v>165</v>
      </c>
      <c r="F237" t="s">
        <v>166</v>
      </c>
      <c r="G237" t="str">
        <f>"30"</f>
        <v>30</v>
      </c>
      <c r="I237" t="str">
        <f>"05-825"</f>
        <v>05-825</v>
      </c>
      <c r="J237" t="s">
        <v>165</v>
      </c>
      <c r="K237" t="str">
        <f>"227555574"</f>
        <v>227555574</v>
      </c>
      <c r="L237" t="s">
        <v>167</v>
      </c>
    </row>
    <row r="238" spans="1:13" x14ac:dyDescent="0.25">
      <c r="A238" t="s">
        <v>199</v>
      </c>
      <c r="B238" t="s">
        <v>46</v>
      </c>
      <c r="C238" t="s">
        <v>47</v>
      </c>
      <c r="D238" t="s">
        <v>200</v>
      </c>
      <c r="E238" t="s">
        <v>200</v>
      </c>
      <c r="F238" t="s">
        <v>201</v>
      </c>
      <c r="G238" t="str">
        <f>"9"</f>
        <v>9</v>
      </c>
      <c r="I238" t="str">
        <f>"00-019"</f>
        <v>00-019</v>
      </c>
      <c r="J238" t="s">
        <v>47</v>
      </c>
      <c r="K238" t="str">
        <f>"222903699"</f>
        <v>222903699</v>
      </c>
      <c r="L238" t="s">
        <v>202</v>
      </c>
      <c r="M238" t="s">
        <v>203</v>
      </c>
    </row>
    <row r="239" spans="1:13" x14ac:dyDescent="0.25">
      <c r="A239" t="s">
        <v>215</v>
      </c>
      <c r="B239" t="s">
        <v>46</v>
      </c>
      <c r="C239" t="s">
        <v>216</v>
      </c>
      <c r="D239" t="s">
        <v>216</v>
      </c>
      <c r="E239" t="s">
        <v>216</v>
      </c>
      <c r="F239" t="s">
        <v>217</v>
      </c>
      <c r="G239" t="str">
        <f>"22"</f>
        <v>22</v>
      </c>
      <c r="I239" t="str">
        <f>"26-600"</f>
        <v>26-600</v>
      </c>
      <c r="J239" t="s">
        <v>216</v>
      </c>
      <c r="K239" t="str">
        <f>"0483602097"</f>
        <v>0483602097</v>
      </c>
      <c r="L239" t="s">
        <v>218</v>
      </c>
      <c r="M239" t="s">
        <v>219</v>
      </c>
    </row>
    <row r="240" spans="1:13" x14ac:dyDescent="0.25">
      <c r="A240" t="s">
        <v>220</v>
      </c>
      <c r="B240" t="s">
        <v>46</v>
      </c>
      <c r="C240" t="s">
        <v>47</v>
      </c>
      <c r="D240" t="s">
        <v>200</v>
      </c>
      <c r="E240" t="s">
        <v>200</v>
      </c>
      <c r="F240" t="s">
        <v>221</v>
      </c>
      <c r="G240" t="str">
        <f>"30"</f>
        <v>30</v>
      </c>
      <c r="H240" t="str">
        <f>"5"</f>
        <v>5</v>
      </c>
      <c r="I240" t="str">
        <f>"00-024"</f>
        <v>00-024</v>
      </c>
      <c r="J240" t="s">
        <v>47</v>
      </c>
      <c r="K240" t="str">
        <f>"228251815"</f>
        <v>228251815</v>
      </c>
      <c r="L240" t="s">
        <v>222</v>
      </c>
      <c r="M240" t="s">
        <v>223</v>
      </c>
    </row>
    <row r="241" spans="1:13" x14ac:dyDescent="0.25">
      <c r="A241" t="s">
        <v>224</v>
      </c>
      <c r="B241" t="s">
        <v>46</v>
      </c>
      <c r="C241" t="s">
        <v>47</v>
      </c>
      <c r="D241" t="s">
        <v>200</v>
      </c>
      <c r="E241" t="s">
        <v>200</v>
      </c>
      <c r="F241" t="s">
        <v>225</v>
      </c>
      <c r="G241" t="str">
        <f>"1a"</f>
        <v>1a</v>
      </c>
      <c r="I241" t="str">
        <f>"00-162"</f>
        <v>00-162</v>
      </c>
      <c r="J241" t="s">
        <v>47</v>
      </c>
      <c r="K241" t="str">
        <f>"226366699"</f>
        <v>226366699</v>
      </c>
      <c r="L241" t="s">
        <v>226</v>
      </c>
      <c r="M241" t="s">
        <v>227</v>
      </c>
    </row>
    <row r="242" spans="1:13" x14ac:dyDescent="0.25">
      <c r="A242" t="s">
        <v>236</v>
      </c>
      <c r="B242" t="s">
        <v>46</v>
      </c>
      <c r="C242" t="s">
        <v>216</v>
      </c>
      <c r="D242" t="s">
        <v>216</v>
      </c>
      <c r="E242" t="s">
        <v>216</v>
      </c>
      <c r="F242" t="s">
        <v>237</v>
      </c>
      <c r="G242" t="str">
        <f>"19"</f>
        <v>19</v>
      </c>
      <c r="I242" t="str">
        <f>"26-600"</f>
        <v>26-600</v>
      </c>
      <c r="J242" t="s">
        <v>216</v>
      </c>
      <c r="K242" t="str">
        <f>"0483312498"</f>
        <v>0483312498</v>
      </c>
      <c r="L242" t="s">
        <v>238</v>
      </c>
      <c r="M242" t="s">
        <v>239</v>
      </c>
    </row>
    <row r="243" spans="1:13" x14ac:dyDescent="0.25">
      <c r="A243" t="s">
        <v>245</v>
      </c>
      <c r="B243" t="s">
        <v>46</v>
      </c>
      <c r="C243" t="s">
        <v>47</v>
      </c>
      <c r="D243" t="s">
        <v>246</v>
      </c>
      <c r="E243" t="s">
        <v>246</v>
      </c>
      <c r="F243" t="s">
        <v>247</v>
      </c>
      <c r="G243" t="str">
        <f>"14"</f>
        <v>14</v>
      </c>
      <c r="I243" t="str">
        <f>"02-972"</f>
        <v>02-972</v>
      </c>
      <c r="J243" t="s">
        <v>47</v>
      </c>
      <c r="K243" t="str">
        <f>"228582029"</f>
        <v>228582029</v>
      </c>
      <c r="L243" t="s">
        <v>248</v>
      </c>
      <c r="M243" t="s">
        <v>249</v>
      </c>
    </row>
    <row r="244" spans="1:13" x14ac:dyDescent="0.25">
      <c r="A244" t="s">
        <v>250</v>
      </c>
      <c r="B244" t="s">
        <v>46</v>
      </c>
      <c r="C244" t="s">
        <v>216</v>
      </c>
      <c r="D244" t="s">
        <v>216</v>
      </c>
      <c r="E244" t="s">
        <v>216</v>
      </c>
      <c r="F244" t="s">
        <v>251</v>
      </c>
      <c r="G244" t="str">
        <f>"3"</f>
        <v>3</v>
      </c>
      <c r="I244" t="str">
        <f>"26-600"</f>
        <v>26-600</v>
      </c>
      <c r="J244" t="s">
        <v>216</v>
      </c>
      <c r="K244" t="str">
        <f>"0483314510"</f>
        <v>0483314510</v>
      </c>
      <c r="L244" t="s">
        <v>252</v>
      </c>
      <c r="M244" t="s">
        <v>253</v>
      </c>
    </row>
    <row r="245" spans="1:13" x14ac:dyDescent="0.25">
      <c r="A245" t="s">
        <v>299</v>
      </c>
      <c r="B245" t="s">
        <v>46</v>
      </c>
      <c r="C245" t="s">
        <v>300</v>
      </c>
      <c r="D245" t="s">
        <v>301</v>
      </c>
      <c r="E245" t="s">
        <v>301</v>
      </c>
      <c r="F245" t="s">
        <v>302</v>
      </c>
      <c r="G245" t="str">
        <f>"23A"</f>
        <v>23A</v>
      </c>
      <c r="I245" t="str">
        <f>"07-407"</f>
        <v>07-407</v>
      </c>
      <c r="J245" t="s">
        <v>301</v>
      </c>
      <c r="K245" t="str">
        <f>"297619042"</f>
        <v>297619042</v>
      </c>
      <c r="L245" t="s">
        <v>303</v>
      </c>
      <c r="M245" t="s">
        <v>304</v>
      </c>
    </row>
    <row r="246" spans="1:13" x14ac:dyDescent="0.25">
      <c r="A246" t="s">
        <v>415</v>
      </c>
      <c r="B246" t="s">
        <v>46</v>
      </c>
      <c r="C246" t="s">
        <v>416</v>
      </c>
      <c r="D246" t="s">
        <v>417</v>
      </c>
      <c r="E246" t="s">
        <v>417</v>
      </c>
      <c r="F246" t="s">
        <v>418</v>
      </c>
      <c r="G246" t="str">
        <f>"69"</f>
        <v>69</v>
      </c>
      <c r="I246" t="str">
        <f>"05-120"</f>
        <v>05-120</v>
      </c>
      <c r="J246" t="s">
        <v>417</v>
      </c>
      <c r="K246" t="str">
        <f>"227743814"</f>
        <v>227743814</v>
      </c>
      <c r="L246" t="s">
        <v>419</v>
      </c>
      <c r="M246" t="s">
        <v>420</v>
      </c>
    </row>
    <row r="247" spans="1:13" x14ac:dyDescent="0.25">
      <c r="A247" t="s">
        <v>455</v>
      </c>
      <c r="B247" t="s">
        <v>46</v>
      </c>
      <c r="C247" t="s">
        <v>456</v>
      </c>
      <c r="D247" t="s">
        <v>457</v>
      </c>
      <c r="E247" t="s">
        <v>457</v>
      </c>
      <c r="F247" t="s">
        <v>458</v>
      </c>
      <c r="G247" t="str">
        <f>"3"</f>
        <v>3</v>
      </c>
      <c r="I247" t="str">
        <f>"06-200"</f>
        <v>06-200</v>
      </c>
      <c r="J247" t="s">
        <v>457</v>
      </c>
      <c r="K247" t="str">
        <f>"297171501"</f>
        <v>297171501</v>
      </c>
      <c r="L247" t="s">
        <v>459</v>
      </c>
      <c r="M247" t="s">
        <v>460</v>
      </c>
    </row>
    <row r="248" spans="1:13" x14ac:dyDescent="0.25">
      <c r="A248" t="s">
        <v>485</v>
      </c>
      <c r="B248" t="s">
        <v>46</v>
      </c>
      <c r="C248" t="s">
        <v>300</v>
      </c>
      <c r="D248" t="s">
        <v>486</v>
      </c>
      <c r="E248" t="s">
        <v>486</v>
      </c>
      <c r="F248" t="s">
        <v>487</v>
      </c>
      <c r="G248" t="str">
        <f>"5"</f>
        <v>5</v>
      </c>
      <c r="I248" t="str">
        <f>"07-430"</f>
        <v>07-430</v>
      </c>
      <c r="J248" t="s">
        <v>486</v>
      </c>
      <c r="K248" t="str">
        <f>"297721132"</f>
        <v>297721132</v>
      </c>
      <c r="L248" t="s">
        <v>488</v>
      </c>
      <c r="M248" t="s">
        <v>489</v>
      </c>
    </row>
    <row r="249" spans="1:13" x14ac:dyDescent="0.25">
      <c r="A249" t="s">
        <v>632</v>
      </c>
      <c r="B249" t="s">
        <v>46</v>
      </c>
      <c r="C249" t="s">
        <v>633</v>
      </c>
      <c r="D249" t="s">
        <v>634</v>
      </c>
      <c r="E249" t="s">
        <v>634</v>
      </c>
      <c r="F249" t="s">
        <v>333</v>
      </c>
      <c r="G249" t="str">
        <f>"185"</f>
        <v>185</v>
      </c>
      <c r="I249" t="str">
        <f>"26-500"</f>
        <v>26-500</v>
      </c>
      <c r="J249" t="s">
        <v>634</v>
      </c>
      <c r="K249" t="str">
        <f>"486171001"</f>
        <v>486171001</v>
      </c>
      <c r="L249" t="s">
        <v>635</v>
      </c>
      <c r="M249" t="s">
        <v>636</v>
      </c>
    </row>
    <row r="250" spans="1:13" x14ac:dyDescent="0.25">
      <c r="A250" t="s">
        <v>672</v>
      </c>
      <c r="B250" t="s">
        <v>46</v>
      </c>
      <c r="C250" t="s">
        <v>673</v>
      </c>
      <c r="D250" t="s">
        <v>674</v>
      </c>
      <c r="E250" t="s">
        <v>674</v>
      </c>
      <c r="F250" t="s">
        <v>675</v>
      </c>
      <c r="G250" t="str">
        <f>"6"</f>
        <v>6</v>
      </c>
      <c r="I250" t="str">
        <f>"05-100"</f>
        <v>05-100</v>
      </c>
      <c r="J250" t="s">
        <v>674</v>
      </c>
      <c r="K250" t="str">
        <f>"0227752013"</f>
        <v>0227752013</v>
      </c>
      <c r="L250" t="s">
        <v>676</v>
      </c>
      <c r="M250" t="s">
        <v>677</v>
      </c>
    </row>
    <row r="251" spans="1:13" x14ac:dyDescent="0.25">
      <c r="A251" t="s">
        <v>704</v>
      </c>
      <c r="B251" t="s">
        <v>46</v>
      </c>
      <c r="C251" t="s">
        <v>47</v>
      </c>
      <c r="D251" t="s">
        <v>705</v>
      </c>
      <c r="E251" t="s">
        <v>705</v>
      </c>
      <c r="F251" t="s">
        <v>706</v>
      </c>
      <c r="G251" t="str">
        <f>"44"</f>
        <v>44</v>
      </c>
      <c r="I251" t="str">
        <f>"03-042"</f>
        <v>03-042</v>
      </c>
      <c r="J251" t="s">
        <v>47</v>
      </c>
      <c r="K251" t="str">
        <f>"228141061"</f>
        <v>228141061</v>
      </c>
      <c r="L251" t="s">
        <v>707</v>
      </c>
      <c r="M251" t="s">
        <v>708</v>
      </c>
    </row>
    <row r="252" spans="1:13" x14ac:dyDescent="0.25">
      <c r="A252" t="s">
        <v>734</v>
      </c>
      <c r="B252" t="s">
        <v>46</v>
      </c>
      <c r="C252" t="s">
        <v>735</v>
      </c>
      <c r="D252" t="s">
        <v>736</v>
      </c>
      <c r="E252" t="s">
        <v>736</v>
      </c>
      <c r="F252" t="s">
        <v>721</v>
      </c>
      <c r="G252" t="str">
        <f>"6"</f>
        <v>6</v>
      </c>
      <c r="I252" t="str">
        <f>"08-200"</f>
        <v>08-200</v>
      </c>
      <c r="J252" t="s">
        <v>736</v>
      </c>
      <c r="K252" t="str">
        <f>"833573788"</f>
        <v>833573788</v>
      </c>
      <c r="L252" t="s">
        <v>737</v>
      </c>
      <c r="M252" t="s">
        <v>738</v>
      </c>
    </row>
    <row r="253" spans="1:13" x14ac:dyDescent="0.25">
      <c r="A253" t="s">
        <v>801</v>
      </c>
      <c r="B253" t="s">
        <v>46</v>
      </c>
      <c r="C253" t="s">
        <v>802</v>
      </c>
      <c r="D253" t="s">
        <v>803</v>
      </c>
      <c r="E253" t="s">
        <v>803</v>
      </c>
      <c r="F253" t="s">
        <v>187</v>
      </c>
      <c r="G253" t="str">
        <f>"39"</f>
        <v>39</v>
      </c>
      <c r="I253" t="str">
        <f>"26-700"</f>
        <v>26-700</v>
      </c>
      <c r="J253" t="s">
        <v>803</v>
      </c>
      <c r="K253" t="str">
        <f>"486762613"</f>
        <v>486762613</v>
      </c>
      <c r="L253" t="s">
        <v>804</v>
      </c>
      <c r="M253" t="s">
        <v>805</v>
      </c>
    </row>
    <row r="254" spans="1:13" x14ac:dyDescent="0.25">
      <c r="A254" t="s">
        <v>806</v>
      </c>
      <c r="B254" t="s">
        <v>46</v>
      </c>
      <c r="C254" t="s">
        <v>823</v>
      </c>
      <c r="D254" t="s">
        <v>824</v>
      </c>
      <c r="E254" t="s">
        <v>824</v>
      </c>
      <c r="F254" t="s">
        <v>447</v>
      </c>
      <c r="G254" t="str">
        <f>"30"</f>
        <v>30</v>
      </c>
      <c r="I254" t="str">
        <f>"05-500"</f>
        <v>05-500</v>
      </c>
      <c r="J254" t="s">
        <v>824</v>
      </c>
      <c r="K254" t="str">
        <f>"227564455"</f>
        <v>227564455</v>
      </c>
      <c r="L254" t="s">
        <v>825</v>
      </c>
      <c r="M254" t="s">
        <v>826</v>
      </c>
    </row>
    <row r="255" spans="1:13" x14ac:dyDescent="0.25">
      <c r="A255" t="s">
        <v>806</v>
      </c>
      <c r="B255" t="s">
        <v>46</v>
      </c>
      <c r="C255" t="s">
        <v>836</v>
      </c>
      <c r="D255" t="s">
        <v>837</v>
      </c>
      <c r="E255" t="s">
        <v>837</v>
      </c>
      <c r="F255" t="s">
        <v>838</v>
      </c>
      <c r="G255" t="str">
        <f>"7b"</f>
        <v>7b</v>
      </c>
      <c r="I255" t="str">
        <f>"05-070"</f>
        <v>05-070</v>
      </c>
      <c r="J255" t="s">
        <v>837</v>
      </c>
      <c r="K255" t="str">
        <f>"227839771"</f>
        <v>227839771</v>
      </c>
      <c r="L255" t="s">
        <v>839</v>
      </c>
      <c r="M255" t="s">
        <v>840</v>
      </c>
    </row>
    <row r="256" spans="1:13" x14ac:dyDescent="0.25">
      <c r="A256" t="s">
        <v>806</v>
      </c>
      <c r="B256" t="s">
        <v>46</v>
      </c>
      <c r="C256" t="s">
        <v>912</v>
      </c>
      <c r="D256" t="s">
        <v>913</v>
      </c>
      <c r="E256" t="s">
        <v>913</v>
      </c>
      <c r="F256" t="s">
        <v>914</v>
      </c>
      <c r="G256" t="str">
        <f>"2"</f>
        <v>2</v>
      </c>
      <c r="I256" t="str">
        <f>"05-800"</f>
        <v>05-800</v>
      </c>
      <c r="J256" t="s">
        <v>913</v>
      </c>
      <c r="K256" t="str">
        <f>"227586829"</f>
        <v>227586829</v>
      </c>
      <c r="L256" t="s">
        <v>915</v>
      </c>
      <c r="M256" t="s">
        <v>916</v>
      </c>
    </row>
    <row r="257" spans="1:13" x14ac:dyDescent="0.25">
      <c r="A257" t="s">
        <v>806</v>
      </c>
      <c r="B257" t="s">
        <v>46</v>
      </c>
      <c r="C257" t="s">
        <v>922</v>
      </c>
      <c r="D257" t="s">
        <v>923</v>
      </c>
      <c r="E257" t="s">
        <v>923</v>
      </c>
      <c r="F257" t="s">
        <v>924</v>
      </c>
      <c r="G257" t="str">
        <f>"6"</f>
        <v>6</v>
      </c>
      <c r="I257" t="str">
        <f>"06-300"</f>
        <v>06-300</v>
      </c>
      <c r="J257" t="s">
        <v>923</v>
      </c>
      <c r="K257" t="str">
        <f>"297522615"</f>
        <v>297522615</v>
      </c>
      <c r="L257" t="s">
        <v>925</v>
      </c>
      <c r="M257" t="s">
        <v>926</v>
      </c>
    </row>
    <row r="258" spans="1:13" x14ac:dyDescent="0.25">
      <c r="A258" t="s">
        <v>806</v>
      </c>
      <c r="B258" t="s">
        <v>46</v>
      </c>
      <c r="C258" t="s">
        <v>930</v>
      </c>
      <c r="D258" t="s">
        <v>931</v>
      </c>
      <c r="E258" t="s">
        <v>931</v>
      </c>
      <c r="F258" t="s">
        <v>352</v>
      </c>
      <c r="G258" t="str">
        <f>"84"</f>
        <v>84</v>
      </c>
      <c r="I258" t="str">
        <f>"26-800"</f>
        <v>26-800</v>
      </c>
      <c r="J258" t="s">
        <v>931</v>
      </c>
      <c r="K258" t="str">
        <f>"486133078"</f>
        <v>486133078</v>
      </c>
      <c r="L258" t="s">
        <v>932</v>
      </c>
    </row>
    <row r="259" spans="1:13" x14ac:dyDescent="0.25">
      <c r="A259" t="s">
        <v>806</v>
      </c>
      <c r="B259" t="s">
        <v>46</v>
      </c>
      <c r="C259" t="s">
        <v>305</v>
      </c>
      <c r="D259" t="s">
        <v>305</v>
      </c>
      <c r="E259" t="s">
        <v>305</v>
      </c>
      <c r="F259" t="s">
        <v>960</v>
      </c>
      <c r="G259" t="str">
        <f>"1"</f>
        <v>1</v>
      </c>
      <c r="I259" t="str">
        <f>"07-410"</f>
        <v>07-410</v>
      </c>
      <c r="J259" t="s">
        <v>305</v>
      </c>
      <c r="K259" t="str">
        <f>"297604536"</f>
        <v>297604536</v>
      </c>
      <c r="L259" t="s">
        <v>961</v>
      </c>
      <c r="M259" t="s">
        <v>962</v>
      </c>
    </row>
    <row r="260" spans="1:13" x14ac:dyDescent="0.25">
      <c r="A260" t="s">
        <v>966</v>
      </c>
      <c r="B260" t="s">
        <v>46</v>
      </c>
      <c r="C260" t="s">
        <v>47</v>
      </c>
      <c r="D260" t="s">
        <v>967</v>
      </c>
      <c r="E260" t="s">
        <v>967</v>
      </c>
      <c r="F260" t="s">
        <v>968</v>
      </c>
      <c r="G260" t="str">
        <f>"3"</f>
        <v>3</v>
      </c>
      <c r="I260" t="str">
        <f>"03-531"</f>
        <v>03-531</v>
      </c>
      <c r="J260" t="s">
        <v>47</v>
      </c>
      <c r="K260" t="str">
        <f>"502397548"</f>
        <v>502397548</v>
      </c>
      <c r="L260" t="s">
        <v>969</v>
      </c>
    </row>
    <row r="261" spans="1:13" x14ac:dyDescent="0.25">
      <c r="A261" t="s">
        <v>1006</v>
      </c>
      <c r="B261" t="s">
        <v>46</v>
      </c>
      <c r="C261" t="s">
        <v>1007</v>
      </c>
      <c r="D261" t="s">
        <v>1007</v>
      </c>
      <c r="E261" t="s">
        <v>1007</v>
      </c>
      <c r="F261" t="s">
        <v>1008</v>
      </c>
      <c r="G261" t="str">
        <f>"7"</f>
        <v>7</v>
      </c>
      <c r="I261" t="str">
        <f>"09-400"</f>
        <v>09-400</v>
      </c>
      <c r="J261" t="s">
        <v>1007</v>
      </c>
      <c r="K261" t="str">
        <f>"243672323"</f>
        <v>243672323</v>
      </c>
      <c r="L261" t="s">
        <v>1009</v>
      </c>
    </row>
    <row r="262" spans="1:13" x14ac:dyDescent="0.25">
      <c r="A262" t="s">
        <v>1066</v>
      </c>
      <c r="B262" t="s">
        <v>46</v>
      </c>
      <c r="C262" t="s">
        <v>47</v>
      </c>
      <c r="D262" t="s">
        <v>1067</v>
      </c>
      <c r="E262" t="s">
        <v>1067</v>
      </c>
      <c r="F262" t="s">
        <v>1068</v>
      </c>
      <c r="G262" t="str">
        <f>"24"</f>
        <v>24</v>
      </c>
      <c r="I262" t="str">
        <f>"01-963"</f>
        <v>01-963</v>
      </c>
      <c r="J262" t="s">
        <v>47</v>
      </c>
      <c r="K262" t="str">
        <f>"228350348"</f>
        <v>228350348</v>
      </c>
      <c r="L262" t="s">
        <v>1069</v>
      </c>
      <c r="M262" t="s">
        <v>1070</v>
      </c>
    </row>
    <row r="263" spans="1:13" x14ac:dyDescent="0.25">
      <c r="A263" t="s">
        <v>1071</v>
      </c>
      <c r="B263" t="s">
        <v>46</v>
      </c>
      <c r="C263" t="s">
        <v>47</v>
      </c>
      <c r="D263" t="s">
        <v>967</v>
      </c>
      <c r="E263" t="s">
        <v>967</v>
      </c>
      <c r="F263" t="s">
        <v>1072</v>
      </c>
      <c r="G263" t="str">
        <f>"23"</f>
        <v>23</v>
      </c>
      <c r="I263" t="str">
        <f>"03-310"</f>
        <v>03-310</v>
      </c>
      <c r="J263" t="s">
        <v>967</v>
      </c>
      <c r="K263" t="str">
        <f>"228110522"</f>
        <v>228110522</v>
      </c>
      <c r="L263" t="s">
        <v>1073</v>
      </c>
      <c r="M263" t="s">
        <v>1074</v>
      </c>
    </row>
    <row r="264" spans="1:13" x14ac:dyDescent="0.25">
      <c r="A264" t="s">
        <v>1075</v>
      </c>
      <c r="B264" t="s">
        <v>46</v>
      </c>
      <c r="C264" t="s">
        <v>47</v>
      </c>
      <c r="D264" t="s">
        <v>1076</v>
      </c>
      <c r="E264" t="s">
        <v>1076</v>
      </c>
      <c r="F264" t="s">
        <v>1077</v>
      </c>
      <c r="G264" t="str">
        <f>"13"</f>
        <v>13</v>
      </c>
      <c r="I264" t="str">
        <f>"01-167"</f>
        <v>01-167</v>
      </c>
      <c r="J264" t="s">
        <v>47</v>
      </c>
      <c r="K264" t="str">
        <f>"226310823"</f>
        <v>226310823</v>
      </c>
      <c r="L264" t="s">
        <v>1078</v>
      </c>
      <c r="M264" t="s">
        <v>1079</v>
      </c>
    </row>
    <row r="265" spans="1:13" x14ac:dyDescent="0.25">
      <c r="A265" t="s">
        <v>1080</v>
      </c>
      <c r="B265" t="s">
        <v>46</v>
      </c>
      <c r="C265" t="s">
        <v>47</v>
      </c>
      <c r="D265" t="s">
        <v>1081</v>
      </c>
      <c r="E265" t="s">
        <v>1081</v>
      </c>
      <c r="F265" t="s">
        <v>1082</v>
      </c>
      <c r="G265" t="str">
        <f>"42"</f>
        <v>42</v>
      </c>
      <c r="I265" t="str">
        <f>"02-495"</f>
        <v>02-495</v>
      </c>
      <c r="J265" t="s">
        <v>1081</v>
      </c>
      <c r="K265" t="str">
        <f>"228867328"</f>
        <v>228867328</v>
      </c>
      <c r="L265" t="s">
        <v>1083</v>
      </c>
      <c r="M265" t="s">
        <v>1084</v>
      </c>
    </row>
    <row r="266" spans="1:13" x14ac:dyDescent="0.25">
      <c r="A266" t="s">
        <v>1085</v>
      </c>
      <c r="B266" t="s">
        <v>46</v>
      </c>
      <c r="C266" t="s">
        <v>47</v>
      </c>
      <c r="D266" t="s">
        <v>1086</v>
      </c>
      <c r="E266" t="s">
        <v>1086</v>
      </c>
      <c r="F266" t="s">
        <v>1087</v>
      </c>
      <c r="G266" t="str">
        <f>"40"</f>
        <v>40</v>
      </c>
      <c r="I266" t="str">
        <f>"04-393"</f>
        <v>04-393</v>
      </c>
      <c r="J266" t="s">
        <v>47</v>
      </c>
      <c r="K266" t="str">
        <f>"226102132"</f>
        <v>226102132</v>
      </c>
      <c r="L266" t="s">
        <v>1088</v>
      </c>
      <c r="M266" t="s">
        <v>1089</v>
      </c>
    </row>
    <row r="267" spans="1:13" x14ac:dyDescent="0.25">
      <c r="A267" t="s">
        <v>1090</v>
      </c>
      <c r="B267" t="s">
        <v>46</v>
      </c>
      <c r="C267" t="s">
        <v>47</v>
      </c>
      <c r="D267" t="s">
        <v>1091</v>
      </c>
      <c r="E267" t="s">
        <v>1091</v>
      </c>
      <c r="F267" t="s">
        <v>1092</v>
      </c>
      <c r="G267" t="str">
        <f>"1a"</f>
        <v>1a</v>
      </c>
      <c r="I267" t="str">
        <f>"04-713"</f>
        <v>04-713</v>
      </c>
      <c r="J267" t="s">
        <v>47</v>
      </c>
      <c r="K267" t="str">
        <f>"222772000"</f>
        <v>222772000</v>
      </c>
      <c r="L267" t="s">
        <v>1093</v>
      </c>
      <c r="M267" t="s">
        <v>1094</v>
      </c>
    </row>
    <row r="268" spans="1:13" x14ac:dyDescent="0.25">
      <c r="A268" t="s">
        <v>1095</v>
      </c>
      <c r="B268" t="s">
        <v>46</v>
      </c>
      <c r="C268" t="s">
        <v>47</v>
      </c>
      <c r="D268" t="s">
        <v>1096</v>
      </c>
      <c r="E268" t="s">
        <v>1096</v>
      </c>
      <c r="F268" t="s">
        <v>1097</v>
      </c>
      <c r="G268" t="str">
        <f>"4"</f>
        <v>4</v>
      </c>
      <c r="I268" t="str">
        <f>"02-787"</f>
        <v>02-787</v>
      </c>
      <c r="J268" t="s">
        <v>1096</v>
      </c>
      <c r="K268" t="str">
        <f>"222594005"</f>
        <v>222594005</v>
      </c>
      <c r="L268" t="s">
        <v>1098</v>
      </c>
      <c r="M268" t="s">
        <v>1099</v>
      </c>
    </row>
    <row r="269" spans="1:13" x14ac:dyDescent="0.25">
      <c r="A269" t="s">
        <v>1100</v>
      </c>
      <c r="B269" t="s">
        <v>46</v>
      </c>
      <c r="C269" t="s">
        <v>47</v>
      </c>
      <c r="D269" t="s">
        <v>1096</v>
      </c>
      <c r="E269" t="s">
        <v>1096</v>
      </c>
      <c r="F269" t="s">
        <v>1101</v>
      </c>
      <c r="G269" t="str">
        <f>"3"</f>
        <v>3</v>
      </c>
      <c r="I269" t="str">
        <f>"02-793"</f>
        <v>02-793</v>
      </c>
      <c r="J269" t="s">
        <v>1096</v>
      </c>
      <c r="K269" t="str">
        <f>"513905022"</f>
        <v>513905022</v>
      </c>
      <c r="L269" t="s">
        <v>1102</v>
      </c>
      <c r="M269" t="s">
        <v>1103</v>
      </c>
    </row>
    <row r="270" spans="1:13" x14ac:dyDescent="0.25">
      <c r="A270" t="s">
        <v>1104</v>
      </c>
      <c r="B270" t="s">
        <v>46</v>
      </c>
      <c r="C270" t="s">
        <v>1007</v>
      </c>
      <c r="D270" t="s">
        <v>1007</v>
      </c>
      <c r="E270" t="s">
        <v>1007</v>
      </c>
      <c r="F270" t="s">
        <v>1117</v>
      </c>
      <c r="G270" t="str">
        <f>"10"</f>
        <v>10</v>
      </c>
      <c r="I270" t="str">
        <f>"09-402"</f>
        <v>09-402</v>
      </c>
      <c r="J270" t="s">
        <v>1007</v>
      </c>
      <c r="K270" t="str">
        <f>"243649901"</f>
        <v>243649901</v>
      </c>
      <c r="L270" t="s">
        <v>1118</v>
      </c>
      <c r="M270" t="s">
        <v>1119</v>
      </c>
    </row>
    <row r="271" spans="1:13" x14ac:dyDescent="0.25">
      <c r="A271" t="s">
        <v>1104</v>
      </c>
      <c r="B271" t="s">
        <v>46</v>
      </c>
      <c r="C271" t="s">
        <v>47</v>
      </c>
      <c r="D271" t="s">
        <v>1076</v>
      </c>
      <c r="E271" t="s">
        <v>1076</v>
      </c>
      <c r="F271" t="s">
        <v>1120</v>
      </c>
      <c r="G271" t="str">
        <f>"53"</f>
        <v>53</v>
      </c>
      <c r="H271" t="str">
        <f>"A"</f>
        <v>A</v>
      </c>
      <c r="I271" t="str">
        <f>"01-197"</f>
        <v>01-197</v>
      </c>
      <c r="J271" t="s">
        <v>47</v>
      </c>
      <c r="K271" t="str">
        <f>"228367088"</f>
        <v>228367088</v>
      </c>
      <c r="L271" t="s">
        <v>1121</v>
      </c>
      <c r="M271" t="s">
        <v>1122</v>
      </c>
    </row>
    <row r="272" spans="1:13" x14ac:dyDescent="0.25">
      <c r="A272" t="s">
        <v>52</v>
      </c>
      <c r="B272" t="s">
        <v>46</v>
      </c>
      <c r="C272" t="s">
        <v>47</v>
      </c>
      <c r="D272" t="s">
        <v>48</v>
      </c>
      <c r="E272" t="s">
        <v>48</v>
      </c>
      <c r="F272" t="s">
        <v>117</v>
      </c>
      <c r="G272" t="str">
        <f>"17"</f>
        <v>17</v>
      </c>
      <c r="I272" t="str">
        <f>"01-381"</f>
        <v>01-381</v>
      </c>
      <c r="J272" t="s">
        <v>47</v>
      </c>
      <c r="K272" t="str">
        <f>"226661774"</f>
        <v>226661774</v>
      </c>
      <c r="L272" t="s">
        <v>50</v>
      </c>
      <c r="M272" t="s">
        <v>1157</v>
      </c>
    </row>
    <row r="273" spans="1:13" x14ac:dyDescent="0.25">
      <c r="A273" t="s">
        <v>56</v>
      </c>
      <c r="B273" t="s">
        <v>46</v>
      </c>
      <c r="C273" t="s">
        <v>47</v>
      </c>
      <c r="D273" t="s">
        <v>54</v>
      </c>
      <c r="E273" t="s">
        <v>54</v>
      </c>
      <c r="F273" t="s">
        <v>1158</v>
      </c>
      <c r="G273" t="str">
        <f>"31"</f>
        <v>31</v>
      </c>
      <c r="I273" t="str">
        <f>"02-272"</f>
        <v>02-272</v>
      </c>
      <c r="J273" t="s">
        <v>47</v>
      </c>
      <c r="K273" t="str">
        <f>"0228461918"</f>
        <v>0228461918</v>
      </c>
      <c r="L273" t="s">
        <v>1159</v>
      </c>
      <c r="M273" t="s">
        <v>1160</v>
      </c>
    </row>
    <row r="274" spans="1:13" x14ac:dyDescent="0.25">
      <c r="A274" t="s">
        <v>1161</v>
      </c>
      <c r="B274" t="s">
        <v>46</v>
      </c>
      <c r="C274" t="s">
        <v>47</v>
      </c>
      <c r="D274" t="s">
        <v>1162</v>
      </c>
      <c r="E274" t="s">
        <v>1162</v>
      </c>
      <c r="F274" t="s">
        <v>1163</v>
      </c>
      <c r="G274" t="str">
        <f>"8"</f>
        <v>8</v>
      </c>
      <c r="I274" t="str">
        <f>"05-075"</f>
        <v>05-075</v>
      </c>
      <c r="J274" t="s">
        <v>47</v>
      </c>
      <c r="K274" t="str">
        <f>"227600387"</f>
        <v>227600387</v>
      </c>
      <c r="L274" t="s">
        <v>1164</v>
      </c>
      <c r="M274" t="s">
        <v>1165</v>
      </c>
    </row>
    <row r="275" spans="1:13" x14ac:dyDescent="0.25">
      <c r="A275" t="s">
        <v>1166</v>
      </c>
      <c r="B275" t="s">
        <v>46</v>
      </c>
      <c r="C275" t="s">
        <v>47</v>
      </c>
      <c r="D275" t="s">
        <v>1173</v>
      </c>
      <c r="E275" t="s">
        <v>1173</v>
      </c>
      <c r="F275" t="s">
        <v>1174</v>
      </c>
      <c r="G275" t="str">
        <f>"15"</f>
        <v>15</v>
      </c>
      <c r="I275" t="str">
        <f>"01-513"</f>
        <v>01-513</v>
      </c>
      <c r="J275" t="s">
        <v>47</v>
      </c>
      <c r="K275" t="str">
        <f>"226002130"</f>
        <v>226002130</v>
      </c>
      <c r="L275" t="s">
        <v>1175</v>
      </c>
      <c r="M275" t="s">
        <v>1176</v>
      </c>
    </row>
    <row r="276" spans="1:13" x14ac:dyDescent="0.25">
      <c r="A276" t="s">
        <v>1197</v>
      </c>
      <c r="B276" t="s">
        <v>46</v>
      </c>
      <c r="C276" t="s">
        <v>47</v>
      </c>
      <c r="D276" t="s">
        <v>1086</v>
      </c>
      <c r="E276" t="s">
        <v>1086</v>
      </c>
      <c r="F276" t="s">
        <v>1209</v>
      </c>
      <c r="G276" t="str">
        <f>"1/5"</f>
        <v>1/5</v>
      </c>
      <c r="I276" t="str">
        <f>"03-806"</f>
        <v>03-806</v>
      </c>
      <c r="J276" t="s">
        <v>47</v>
      </c>
      <c r="K276" t="str">
        <f>"228102029"</f>
        <v>228102029</v>
      </c>
      <c r="L276" t="s">
        <v>1210</v>
      </c>
      <c r="M276" t="s">
        <v>1211</v>
      </c>
    </row>
    <row r="277" spans="1:13" x14ac:dyDescent="0.25">
      <c r="A277" t="s">
        <v>1225</v>
      </c>
      <c r="B277" t="s">
        <v>46</v>
      </c>
      <c r="C277" t="s">
        <v>47</v>
      </c>
      <c r="D277" t="s">
        <v>1226</v>
      </c>
      <c r="E277" t="s">
        <v>1226</v>
      </c>
      <c r="F277" t="s">
        <v>1227</v>
      </c>
      <c r="G277" t="str">
        <f>"3"</f>
        <v>3</v>
      </c>
      <c r="I277" t="str">
        <f>"03-759"</f>
        <v>03-759</v>
      </c>
      <c r="J277" t="s">
        <v>47</v>
      </c>
      <c r="K277" t="str">
        <f>"226190194"</f>
        <v>226190194</v>
      </c>
      <c r="L277" t="s">
        <v>1228</v>
      </c>
      <c r="M277" t="s">
        <v>1229</v>
      </c>
    </row>
    <row r="278" spans="1:13" x14ac:dyDescent="0.25">
      <c r="A278" t="s">
        <v>1249</v>
      </c>
      <c r="B278" t="s">
        <v>46</v>
      </c>
      <c r="C278" t="s">
        <v>47</v>
      </c>
      <c r="D278" t="s">
        <v>1076</v>
      </c>
      <c r="E278" t="s">
        <v>1076</v>
      </c>
      <c r="F278" t="s">
        <v>1077</v>
      </c>
      <c r="G278" t="str">
        <f>"13"</f>
        <v>13</v>
      </c>
      <c r="I278" t="str">
        <f>"01-167"</f>
        <v>01-167</v>
      </c>
      <c r="J278" t="s">
        <v>47</v>
      </c>
      <c r="K278" t="str">
        <f>"226310823"</f>
        <v>226310823</v>
      </c>
      <c r="L278" t="s">
        <v>1078</v>
      </c>
      <c r="M278" t="s">
        <v>1079</v>
      </c>
    </row>
    <row r="279" spans="1:13" x14ac:dyDescent="0.25">
      <c r="A279" t="s">
        <v>1255</v>
      </c>
      <c r="B279" t="s">
        <v>46</v>
      </c>
      <c r="C279" t="s">
        <v>47</v>
      </c>
      <c r="D279" t="s">
        <v>1256</v>
      </c>
      <c r="E279" t="s">
        <v>1256</v>
      </c>
      <c r="F279" t="s">
        <v>1257</v>
      </c>
      <c r="G279" t="str">
        <f>"65/71"</f>
        <v>65/71</v>
      </c>
      <c r="I279" t="str">
        <f>"02-524"</f>
        <v>02-524</v>
      </c>
      <c r="J279" t="s">
        <v>47</v>
      </c>
      <c r="K279" t="str">
        <f>"228499998"</f>
        <v>228499998</v>
      </c>
      <c r="L279" t="s">
        <v>1258</v>
      </c>
      <c r="M279" t="s">
        <v>1259</v>
      </c>
    </row>
    <row r="280" spans="1:13" x14ac:dyDescent="0.25">
      <c r="A280" t="s">
        <v>1268</v>
      </c>
      <c r="B280" t="s">
        <v>46</v>
      </c>
      <c r="C280" t="s">
        <v>47</v>
      </c>
      <c r="D280" t="s">
        <v>1256</v>
      </c>
      <c r="E280" t="s">
        <v>1256</v>
      </c>
      <c r="F280" t="s">
        <v>1272</v>
      </c>
      <c r="G280" t="str">
        <f>"6/8"</f>
        <v>6/8</v>
      </c>
      <c r="I280" t="str">
        <f>"00-739"</f>
        <v>00-739</v>
      </c>
      <c r="J280" t="s">
        <v>47</v>
      </c>
      <c r="K280" t="str">
        <f>"228411423"</f>
        <v>228411423</v>
      </c>
      <c r="L280" t="s">
        <v>1273</v>
      </c>
      <c r="M280" t="s">
        <v>1274</v>
      </c>
    </row>
    <row r="281" spans="1:13" x14ac:dyDescent="0.25">
      <c r="A281" t="s">
        <v>1275</v>
      </c>
      <c r="B281" t="s">
        <v>46</v>
      </c>
      <c r="C281" t="s">
        <v>47</v>
      </c>
      <c r="D281" t="s">
        <v>1280</v>
      </c>
      <c r="E281" t="s">
        <v>1280</v>
      </c>
      <c r="F281" t="s">
        <v>1281</v>
      </c>
      <c r="G281" t="str">
        <f>"13/21"</f>
        <v>13/21</v>
      </c>
      <c r="I281" t="str">
        <f>"02-323"</f>
        <v>02-323</v>
      </c>
      <c r="J281" t="s">
        <v>47</v>
      </c>
      <c r="K281" t="str">
        <f>"228222887"</f>
        <v>228222887</v>
      </c>
      <c r="L281" t="s">
        <v>1282</v>
      </c>
      <c r="M281" t="s">
        <v>1283</v>
      </c>
    </row>
    <row r="282" spans="1:13" x14ac:dyDescent="0.25">
      <c r="A282" t="s">
        <v>1331</v>
      </c>
      <c r="B282" t="s">
        <v>46</v>
      </c>
      <c r="C282" t="s">
        <v>66</v>
      </c>
      <c r="D282" t="s">
        <v>1332</v>
      </c>
      <c r="E282" t="s">
        <v>1332</v>
      </c>
      <c r="F282" t="s">
        <v>1333</v>
      </c>
      <c r="G282" t="str">
        <f>"10a"</f>
        <v>10a</v>
      </c>
      <c r="I282" t="str">
        <f>"05-870"</f>
        <v>05-870</v>
      </c>
      <c r="J282" t="s">
        <v>1332</v>
      </c>
      <c r="K282" t="str">
        <f>"227254611"</f>
        <v>227254611</v>
      </c>
      <c r="L282" t="s">
        <v>1334</v>
      </c>
      <c r="M282" t="s">
        <v>1335</v>
      </c>
    </row>
    <row r="283" spans="1:13" x14ac:dyDescent="0.25">
      <c r="A283" t="s">
        <v>1421</v>
      </c>
      <c r="B283" t="s">
        <v>46</v>
      </c>
      <c r="C283" t="s">
        <v>1422</v>
      </c>
      <c r="D283" t="s">
        <v>1423</v>
      </c>
      <c r="E283" t="s">
        <v>1423</v>
      </c>
      <c r="F283" t="s">
        <v>1424</v>
      </c>
      <c r="G283" t="str">
        <f>"10A"</f>
        <v>10A</v>
      </c>
      <c r="I283" t="str">
        <f>"06-400"</f>
        <v>06-400</v>
      </c>
      <c r="J283" t="s">
        <v>1423</v>
      </c>
      <c r="K283" t="str">
        <f>"236722673"</f>
        <v>236722673</v>
      </c>
      <c r="L283" t="s">
        <v>1425</v>
      </c>
      <c r="M283" t="s">
        <v>1426</v>
      </c>
    </row>
    <row r="284" spans="1:13" x14ac:dyDescent="0.25">
      <c r="A284" t="s">
        <v>1464</v>
      </c>
      <c r="B284" t="s">
        <v>46</v>
      </c>
      <c r="C284" t="s">
        <v>1465</v>
      </c>
      <c r="D284" t="s">
        <v>1466</v>
      </c>
      <c r="E284" t="s">
        <v>1466</v>
      </c>
      <c r="F284" t="s">
        <v>69</v>
      </c>
      <c r="G284" t="str">
        <f>"3"</f>
        <v>3</v>
      </c>
      <c r="I284" t="str">
        <f>"08-400"</f>
        <v>08-400</v>
      </c>
      <c r="J284" t="s">
        <v>1466</v>
      </c>
      <c r="K284" t="str">
        <f>"256843789"</f>
        <v>256843789</v>
      </c>
      <c r="L284" t="s">
        <v>1467</v>
      </c>
      <c r="M284" t="s">
        <v>1468</v>
      </c>
    </row>
    <row r="285" spans="1:13" x14ac:dyDescent="0.25">
      <c r="A285" t="s">
        <v>1500</v>
      </c>
      <c r="B285" t="s">
        <v>46</v>
      </c>
      <c r="C285" t="s">
        <v>1501</v>
      </c>
      <c r="D285" t="s">
        <v>1502</v>
      </c>
      <c r="E285" t="s">
        <v>1502</v>
      </c>
      <c r="F285" t="s">
        <v>1503</v>
      </c>
      <c r="G285" t="str">
        <f>"1a"</f>
        <v>1a</v>
      </c>
      <c r="I285" t="str">
        <f>"09-500"</f>
        <v>09-500</v>
      </c>
      <c r="J285" t="s">
        <v>1502</v>
      </c>
      <c r="K285" t="str">
        <f>"242353735"</f>
        <v>242353735</v>
      </c>
      <c r="L285" t="s">
        <v>1504</v>
      </c>
      <c r="M285" t="s">
        <v>1505</v>
      </c>
    </row>
    <row r="286" spans="1:13" x14ac:dyDescent="0.25">
      <c r="A286" t="s">
        <v>1522</v>
      </c>
      <c r="B286" t="s">
        <v>46</v>
      </c>
      <c r="C286" t="s">
        <v>1523</v>
      </c>
      <c r="D286" t="s">
        <v>1524</v>
      </c>
      <c r="E286" t="s">
        <v>1524</v>
      </c>
      <c r="F286" t="s">
        <v>1525</v>
      </c>
      <c r="G286" t="str">
        <f>"4"</f>
        <v>4</v>
      </c>
      <c r="I286" t="str">
        <f>"05-600"</f>
        <v>05-600</v>
      </c>
      <c r="J286" t="s">
        <v>1524</v>
      </c>
      <c r="K286" t="str">
        <f>"486642356"</f>
        <v>486642356</v>
      </c>
      <c r="L286" t="s">
        <v>1526</v>
      </c>
      <c r="M286" t="s">
        <v>1527</v>
      </c>
    </row>
    <row r="287" spans="1:13" x14ac:dyDescent="0.25">
      <c r="A287" t="s">
        <v>1552</v>
      </c>
      <c r="B287" t="s">
        <v>46</v>
      </c>
      <c r="C287" t="s">
        <v>1553</v>
      </c>
      <c r="D287" t="s">
        <v>1554</v>
      </c>
      <c r="E287" t="s">
        <v>1554</v>
      </c>
      <c r="F287" t="s">
        <v>1555</v>
      </c>
      <c r="G287" t="str">
        <f>"5"</f>
        <v>5</v>
      </c>
      <c r="I287" t="str">
        <f>"27-100"</f>
        <v>27-100</v>
      </c>
      <c r="J287" t="s">
        <v>1554</v>
      </c>
      <c r="K287" t="str">
        <f>"486163513"</f>
        <v>486163513</v>
      </c>
      <c r="L287" t="s">
        <v>1556</v>
      </c>
      <c r="M287" t="s">
        <v>1557</v>
      </c>
    </row>
    <row r="288" spans="1:13" x14ac:dyDescent="0.25">
      <c r="A288" t="s">
        <v>1674</v>
      </c>
      <c r="B288" t="s">
        <v>46</v>
      </c>
      <c r="C288" t="s">
        <v>1675</v>
      </c>
      <c r="D288" t="s">
        <v>1676</v>
      </c>
      <c r="E288" t="s">
        <v>1676</v>
      </c>
      <c r="G288" t="str">
        <f>"8a"</f>
        <v>8a</v>
      </c>
      <c r="I288" t="str">
        <f>"26-900"</f>
        <v>26-900</v>
      </c>
      <c r="J288" t="s">
        <v>1676</v>
      </c>
      <c r="K288" t="str">
        <f>"486148936"</f>
        <v>486148936</v>
      </c>
      <c r="L288" t="s">
        <v>1677</v>
      </c>
    </row>
    <row r="289" spans="1:13" x14ac:dyDescent="0.25">
      <c r="A289" t="s">
        <v>1730</v>
      </c>
      <c r="B289" t="s">
        <v>46</v>
      </c>
      <c r="C289" t="s">
        <v>1731</v>
      </c>
      <c r="D289" t="s">
        <v>1732</v>
      </c>
      <c r="E289" t="s">
        <v>1732</v>
      </c>
      <c r="F289" t="s">
        <v>1733</v>
      </c>
      <c r="G289" t="str">
        <f>"39"</f>
        <v>39</v>
      </c>
      <c r="I289" t="str">
        <f>"27-300"</f>
        <v>27-300</v>
      </c>
      <c r="J289" t="s">
        <v>1732</v>
      </c>
      <c r="K289" t="str">
        <f>"508101278"</f>
        <v>508101278</v>
      </c>
      <c r="L289" t="s">
        <v>1734</v>
      </c>
      <c r="M289" t="s">
        <v>1735</v>
      </c>
    </row>
    <row r="290" spans="1:13" x14ac:dyDescent="0.25">
      <c r="A290" t="s">
        <v>1736</v>
      </c>
      <c r="B290" t="s">
        <v>46</v>
      </c>
      <c r="C290" t="s">
        <v>66</v>
      </c>
      <c r="D290" t="s">
        <v>1737</v>
      </c>
      <c r="E290" t="s">
        <v>1737</v>
      </c>
      <c r="F290" t="s">
        <v>1123</v>
      </c>
      <c r="G290" t="str">
        <f>"10E"</f>
        <v>10E</v>
      </c>
      <c r="I290" t="str">
        <f>"05-092"</f>
        <v>05-092</v>
      </c>
      <c r="J290" t="s">
        <v>1737</v>
      </c>
      <c r="K290" t="str">
        <f>"227515786"</f>
        <v>227515786</v>
      </c>
      <c r="L290" t="s">
        <v>1738</v>
      </c>
      <c r="M290" t="s">
        <v>1335</v>
      </c>
    </row>
    <row r="291" spans="1:13" x14ac:dyDescent="0.25">
      <c r="A291" t="s">
        <v>1778</v>
      </c>
      <c r="B291" t="s">
        <v>46</v>
      </c>
      <c r="C291" t="s">
        <v>1779</v>
      </c>
      <c r="D291" t="s">
        <v>1780</v>
      </c>
      <c r="E291" t="s">
        <v>1780</v>
      </c>
      <c r="F291" t="s">
        <v>1781</v>
      </c>
      <c r="G291" t="str">
        <f>"26"</f>
        <v>26</v>
      </c>
      <c r="I291" t="str">
        <f>"05-270"</f>
        <v>05-270</v>
      </c>
      <c r="J291" t="s">
        <v>1780</v>
      </c>
      <c r="K291" t="str">
        <f>"228965229"</f>
        <v>228965229</v>
      </c>
      <c r="L291" t="s">
        <v>1782</v>
      </c>
      <c r="M291" t="s">
        <v>1783</v>
      </c>
    </row>
    <row r="292" spans="1:13" x14ac:dyDescent="0.25">
      <c r="A292" t="s">
        <v>1811</v>
      </c>
      <c r="B292" t="s">
        <v>46</v>
      </c>
      <c r="C292" t="s">
        <v>836</v>
      </c>
      <c r="D292" t="s">
        <v>841</v>
      </c>
      <c r="E292" t="s">
        <v>841</v>
      </c>
      <c r="F292" t="s">
        <v>1381</v>
      </c>
      <c r="G292" t="str">
        <f>"16"</f>
        <v>16</v>
      </c>
      <c r="I292" t="str">
        <f>"05-300"</f>
        <v>05-300</v>
      </c>
      <c r="J292" t="s">
        <v>841</v>
      </c>
      <c r="K292" t="str">
        <f>"257564005"</f>
        <v>257564005</v>
      </c>
      <c r="L292" t="s">
        <v>1812</v>
      </c>
      <c r="M292" t="s">
        <v>1813</v>
      </c>
    </row>
    <row r="293" spans="1:13" x14ac:dyDescent="0.25">
      <c r="A293" t="s">
        <v>1814</v>
      </c>
      <c r="B293" t="s">
        <v>46</v>
      </c>
      <c r="C293" t="s">
        <v>1815</v>
      </c>
      <c r="D293" t="s">
        <v>1816</v>
      </c>
      <c r="E293" t="s">
        <v>1816</v>
      </c>
      <c r="F293" t="s">
        <v>1817</v>
      </c>
      <c r="G293" t="str">
        <f>"9"</f>
        <v>9</v>
      </c>
      <c r="I293" t="str">
        <f>"06-500"</f>
        <v>06-500</v>
      </c>
      <c r="J293" t="s">
        <v>1816</v>
      </c>
      <c r="K293" t="str">
        <f>"236543329"</f>
        <v>236543329</v>
      </c>
      <c r="L293" t="s">
        <v>1818</v>
      </c>
      <c r="M293" t="s">
        <v>1819</v>
      </c>
    </row>
    <row r="294" spans="1:13" x14ac:dyDescent="0.25">
      <c r="A294" t="s">
        <v>1859</v>
      </c>
      <c r="B294" t="s">
        <v>46</v>
      </c>
      <c r="C294" t="s">
        <v>673</v>
      </c>
      <c r="D294" t="s">
        <v>1860</v>
      </c>
      <c r="E294" t="s">
        <v>1860</v>
      </c>
      <c r="F294" t="s">
        <v>721</v>
      </c>
      <c r="G294" t="str">
        <f>"6"</f>
        <v>6</v>
      </c>
      <c r="I294" t="str">
        <f>"05-190"</f>
        <v>05-190</v>
      </c>
      <c r="J294" t="s">
        <v>1860</v>
      </c>
      <c r="K294" t="str">
        <f>"236912647"</f>
        <v>236912647</v>
      </c>
      <c r="L294" t="s">
        <v>1861</v>
      </c>
      <c r="M294" t="s">
        <v>677</v>
      </c>
    </row>
    <row r="295" spans="1:13" x14ac:dyDescent="0.25">
      <c r="A295" t="s">
        <v>1925</v>
      </c>
      <c r="B295" t="s">
        <v>46</v>
      </c>
      <c r="C295" t="s">
        <v>159</v>
      </c>
      <c r="D295" t="s">
        <v>1926</v>
      </c>
      <c r="E295" t="s">
        <v>1926</v>
      </c>
      <c r="F295" t="s">
        <v>1927</v>
      </c>
      <c r="G295" t="str">
        <f>"15"</f>
        <v>15</v>
      </c>
      <c r="I295" t="str">
        <f>"07-300"</f>
        <v>07-300</v>
      </c>
      <c r="J295" t="s">
        <v>1926</v>
      </c>
      <c r="K295" t="str">
        <f>"297453476"</f>
        <v>297453476</v>
      </c>
      <c r="L295" t="s">
        <v>1928</v>
      </c>
      <c r="M295" t="s">
        <v>1929</v>
      </c>
    </row>
    <row r="296" spans="1:13" x14ac:dyDescent="0.25">
      <c r="A296" t="s">
        <v>73</v>
      </c>
      <c r="B296" t="s">
        <v>46</v>
      </c>
      <c r="C296" t="s">
        <v>66</v>
      </c>
      <c r="D296" t="s">
        <v>72</v>
      </c>
      <c r="E296" t="s">
        <v>72</v>
      </c>
      <c r="F296" t="s">
        <v>1938</v>
      </c>
      <c r="G296" t="str">
        <f>"4"</f>
        <v>4</v>
      </c>
      <c r="I296" t="str">
        <f>"05-850"</f>
        <v>05-850</v>
      </c>
      <c r="J296" t="s">
        <v>72</v>
      </c>
      <c r="K296" t="str">
        <f>"227220570"</f>
        <v>227220570</v>
      </c>
      <c r="L296" t="s">
        <v>1939</v>
      </c>
      <c r="M296" t="s">
        <v>1335</v>
      </c>
    </row>
    <row r="297" spans="1:13" x14ac:dyDescent="0.25">
      <c r="A297" t="s">
        <v>1964</v>
      </c>
      <c r="B297" t="s">
        <v>46</v>
      </c>
      <c r="C297" t="s">
        <v>1553</v>
      </c>
      <c r="D297" t="s">
        <v>1965</v>
      </c>
      <c r="E297" t="s">
        <v>1965</v>
      </c>
      <c r="F297" t="s">
        <v>1285</v>
      </c>
      <c r="G297" t="str">
        <f>"2"</f>
        <v>2</v>
      </c>
      <c r="I297" t="str">
        <f>"26-670"</f>
        <v>26-670</v>
      </c>
      <c r="J297" t="s">
        <v>1965</v>
      </c>
      <c r="K297" t="str">
        <f>"486121716"</f>
        <v>486121716</v>
      </c>
      <c r="L297" t="s">
        <v>1966</v>
      </c>
      <c r="M297" t="s">
        <v>1967</v>
      </c>
    </row>
    <row r="298" spans="1:13" x14ac:dyDescent="0.25">
      <c r="A298" t="s">
        <v>1978</v>
      </c>
      <c r="B298" t="s">
        <v>46</v>
      </c>
      <c r="C298" t="s">
        <v>1979</v>
      </c>
      <c r="D298" t="s">
        <v>1980</v>
      </c>
      <c r="E298" t="s">
        <v>1980</v>
      </c>
      <c r="F298" t="s">
        <v>760</v>
      </c>
      <c r="G298" t="str">
        <f>"8/10"</f>
        <v>8/10</v>
      </c>
      <c r="I298" t="str">
        <f>"09-100"</f>
        <v>09-100</v>
      </c>
      <c r="J298" t="s">
        <v>1980</v>
      </c>
      <c r="K298" t="str">
        <f>"0236622954"</f>
        <v>0236622954</v>
      </c>
      <c r="L298" t="s">
        <v>1981</v>
      </c>
      <c r="M298" t="s">
        <v>1982</v>
      </c>
    </row>
    <row r="299" spans="1:13" x14ac:dyDescent="0.25">
      <c r="A299" t="s">
        <v>1993</v>
      </c>
      <c r="B299" t="s">
        <v>46</v>
      </c>
      <c r="C299" t="s">
        <v>1994</v>
      </c>
      <c r="D299" t="s">
        <v>1995</v>
      </c>
      <c r="E299" t="s">
        <v>1995</v>
      </c>
      <c r="F299" t="s">
        <v>1718</v>
      </c>
      <c r="G299" t="str">
        <f>"10"</f>
        <v>10</v>
      </c>
      <c r="I299" t="str">
        <f>"26-400"</f>
        <v>26-400</v>
      </c>
      <c r="J299" t="s">
        <v>1995</v>
      </c>
      <c r="K299" t="str">
        <f>"483867418"</f>
        <v>483867418</v>
      </c>
      <c r="L299" t="s">
        <v>1996</v>
      </c>
      <c r="M299" t="s">
        <v>1997</v>
      </c>
    </row>
    <row r="300" spans="1:13" x14ac:dyDescent="0.25">
      <c r="A300" t="s">
        <v>2004</v>
      </c>
      <c r="B300" t="s">
        <v>46</v>
      </c>
      <c r="C300" t="s">
        <v>2005</v>
      </c>
      <c r="D300" t="s">
        <v>2006</v>
      </c>
      <c r="E300" t="s">
        <v>2006</v>
      </c>
      <c r="F300" t="s">
        <v>321</v>
      </c>
      <c r="G300" t="str">
        <f>"20"</f>
        <v>20</v>
      </c>
      <c r="I300" t="str">
        <f>"06-100"</f>
        <v>06-100</v>
      </c>
      <c r="J300" t="s">
        <v>2006</v>
      </c>
      <c r="K300" t="str">
        <f>"236925591"</f>
        <v>236925591</v>
      </c>
      <c r="L300" t="s">
        <v>2007</v>
      </c>
    </row>
    <row r="301" spans="1:13" x14ac:dyDescent="0.25">
      <c r="A301" t="s">
        <v>2018</v>
      </c>
      <c r="B301" t="s">
        <v>46</v>
      </c>
      <c r="C301" t="s">
        <v>216</v>
      </c>
      <c r="D301" t="s">
        <v>216</v>
      </c>
      <c r="E301" t="s">
        <v>216</v>
      </c>
      <c r="F301" t="s">
        <v>2019</v>
      </c>
      <c r="G301" t="str">
        <f>"3"</f>
        <v>3</v>
      </c>
      <c r="I301" t="str">
        <f>"26-612"</f>
        <v>26-612</v>
      </c>
      <c r="J301" t="s">
        <v>216</v>
      </c>
      <c r="K301" t="str">
        <f>"483633066"</f>
        <v>483633066</v>
      </c>
      <c r="L301" t="s">
        <v>2020</v>
      </c>
      <c r="M301" t="s">
        <v>2021</v>
      </c>
    </row>
    <row r="302" spans="1:13" x14ac:dyDescent="0.25">
      <c r="A302" t="s">
        <v>2027</v>
      </c>
      <c r="B302" t="s">
        <v>46</v>
      </c>
      <c r="C302" t="s">
        <v>1779</v>
      </c>
      <c r="D302" t="s">
        <v>2028</v>
      </c>
      <c r="E302" t="s">
        <v>2028</v>
      </c>
      <c r="F302" t="s">
        <v>2029</v>
      </c>
      <c r="G302" t="str">
        <f>"2F"</f>
        <v>2F</v>
      </c>
      <c r="I302" t="str">
        <f>"05-250"</f>
        <v>05-250</v>
      </c>
      <c r="J302" t="s">
        <v>2028</v>
      </c>
      <c r="K302" t="str">
        <f>"225996126"</f>
        <v>225996126</v>
      </c>
      <c r="L302" t="s">
        <v>2030</v>
      </c>
    </row>
    <row r="303" spans="1:13" x14ac:dyDescent="0.25">
      <c r="A303" t="s">
        <v>2083</v>
      </c>
      <c r="B303" t="s">
        <v>46</v>
      </c>
      <c r="C303" t="s">
        <v>2084</v>
      </c>
      <c r="D303" t="s">
        <v>2084</v>
      </c>
      <c r="E303" t="s">
        <v>2084</v>
      </c>
      <c r="F303" t="s">
        <v>2085</v>
      </c>
      <c r="G303" t="str">
        <f>"6"</f>
        <v>6</v>
      </c>
      <c r="I303" t="str">
        <f>"08-110"</f>
        <v>08-110</v>
      </c>
      <c r="J303" t="s">
        <v>2084</v>
      </c>
      <c r="K303" t="str">
        <f>"257943304"</f>
        <v>257943304</v>
      </c>
      <c r="L303" t="s">
        <v>2086</v>
      </c>
      <c r="M303" t="s">
        <v>2087</v>
      </c>
    </row>
    <row r="304" spans="1:13" x14ac:dyDescent="0.25">
      <c r="A304" t="s">
        <v>2098</v>
      </c>
      <c r="B304" t="s">
        <v>46</v>
      </c>
      <c r="C304" t="s">
        <v>2099</v>
      </c>
      <c r="D304" t="s">
        <v>2100</v>
      </c>
      <c r="E304" t="s">
        <v>2100</v>
      </c>
      <c r="F304" t="s">
        <v>161</v>
      </c>
      <c r="G304" t="str">
        <f>"8b"</f>
        <v>8b</v>
      </c>
      <c r="I304" t="str">
        <f>"09-200"</f>
        <v>09-200</v>
      </c>
      <c r="J304" t="s">
        <v>2100</v>
      </c>
      <c r="K304" t="str">
        <f>"242752994"</f>
        <v>242752994</v>
      </c>
      <c r="L304" t="s">
        <v>2101</v>
      </c>
    </row>
    <row r="305" spans="1:13" x14ac:dyDescent="0.25">
      <c r="A305" t="s">
        <v>2122</v>
      </c>
      <c r="B305" t="s">
        <v>46</v>
      </c>
      <c r="C305" t="s">
        <v>2123</v>
      </c>
      <c r="D305" t="s">
        <v>2124</v>
      </c>
      <c r="E305" t="s">
        <v>2124</v>
      </c>
      <c r="F305" t="s">
        <v>721</v>
      </c>
      <c r="G305" t="str">
        <f>"51"</f>
        <v>51</v>
      </c>
      <c r="I305" t="str">
        <f>"96-500"</f>
        <v>96-500</v>
      </c>
      <c r="J305" t="s">
        <v>2124</v>
      </c>
      <c r="K305" t="str">
        <f>"468625219"</f>
        <v>468625219</v>
      </c>
      <c r="L305" t="s">
        <v>2125</v>
      </c>
    </row>
    <row r="306" spans="1:13" x14ac:dyDescent="0.25">
      <c r="A306" t="s">
        <v>2212</v>
      </c>
      <c r="B306" t="s">
        <v>46</v>
      </c>
      <c r="C306" t="s">
        <v>1779</v>
      </c>
      <c r="D306" t="s">
        <v>2213</v>
      </c>
      <c r="E306" t="s">
        <v>2213</v>
      </c>
      <c r="F306" t="s">
        <v>383</v>
      </c>
      <c r="G306" t="str">
        <f>"1a"</f>
        <v>1a</v>
      </c>
      <c r="I306" t="str">
        <f>"05-240"</f>
        <v>05-240</v>
      </c>
      <c r="J306" t="s">
        <v>2213</v>
      </c>
      <c r="K306" t="str">
        <f>"297573897"</f>
        <v>297573897</v>
      </c>
      <c r="L306" t="s">
        <v>2214</v>
      </c>
      <c r="M306" t="s">
        <v>2215</v>
      </c>
    </row>
    <row r="307" spans="1:13" x14ac:dyDescent="0.25">
      <c r="A307" t="s">
        <v>2240</v>
      </c>
      <c r="B307" t="s">
        <v>46</v>
      </c>
      <c r="C307" t="s">
        <v>1523</v>
      </c>
      <c r="D307" t="s">
        <v>2241</v>
      </c>
      <c r="E307" t="s">
        <v>2241</v>
      </c>
      <c r="F307" t="s">
        <v>2242</v>
      </c>
      <c r="G307" t="str">
        <f>"11"</f>
        <v>11</v>
      </c>
      <c r="I307" t="str">
        <f>"05-660"</f>
        <v>05-660</v>
      </c>
      <c r="J307" t="s">
        <v>2241</v>
      </c>
      <c r="K307" t="str">
        <f>"486672889"</f>
        <v>486672889</v>
      </c>
      <c r="L307" t="s">
        <v>2243</v>
      </c>
      <c r="M307" t="s">
        <v>2244</v>
      </c>
    </row>
    <row r="308" spans="1:13" x14ac:dyDescent="0.25">
      <c r="A308" t="s">
        <v>2249</v>
      </c>
      <c r="B308" t="s">
        <v>46</v>
      </c>
      <c r="C308" t="s">
        <v>2250</v>
      </c>
      <c r="D308" t="s">
        <v>2251</v>
      </c>
      <c r="E308" t="s">
        <v>2251</v>
      </c>
      <c r="F308" t="s">
        <v>2252</v>
      </c>
      <c r="G308" t="str">
        <f>"23"</f>
        <v>23</v>
      </c>
      <c r="I308" t="str">
        <f>"07-100"</f>
        <v>07-100</v>
      </c>
      <c r="J308" t="s">
        <v>2251</v>
      </c>
      <c r="K308" t="str">
        <f>"257924700"</f>
        <v>257924700</v>
      </c>
      <c r="L308" t="s">
        <v>2253</v>
      </c>
      <c r="M308" t="s">
        <v>2254</v>
      </c>
    </row>
    <row r="309" spans="1:13" x14ac:dyDescent="0.25">
      <c r="A309" t="s">
        <v>2268</v>
      </c>
      <c r="B309" t="s">
        <v>46</v>
      </c>
      <c r="C309" t="s">
        <v>1779</v>
      </c>
      <c r="D309" t="s">
        <v>1784</v>
      </c>
      <c r="E309" t="s">
        <v>1784</v>
      </c>
      <c r="F309" t="s">
        <v>2269</v>
      </c>
      <c r="G309" t="str">
        <f>"85"</f>
        <v>85</v>
      </c>
      <c r="I309" t="str">
        <f>"05-200"</f>
        <v>05-200</v>
      </c>
      <c r="J309" t="s">
        <v>1784</v>
      </c>
      <c r="K309" t="str">
        <f>"227762785"</f>
        <v>227762785</v>
      </c>
      <c r="L309" t="s">
        <v>2270</v>
      </c>
      <c r="M309" t="s">
        <v>2271</v>
      </c>
    </row>
    <row r="310" spans="1:13" x14ac:dyDescent="0.25">
      <c r="A310" t="s">
        <v>2279</v>
      </c>
      <c r="B310" t="s">
        <v>46</v>
      </c>
      <c r="C310" t="s">
        <v>2280</v>
      </c>
      <c r="D310" t="s">
        <v>2281</v>
      </c>
      <c r="E310" t="s">
        <v>2281</v>
      </c>
      <c r="F310" t="s">
        <v>333</v>
      </c>
      <c r="G310" t="str">
        <f>"52"</f>
        <v>52</v>
      </c>
      <c r="I310" t="str">
        <f>"07-200"</f>
        <v>07-200</v>
      </c>
      <c r="J310" t="s">
        <v>2281</v>
      </c>
      <c r="K310" t="str">
        <f>"297425007"</f>
        <v>297425007</v>
      </c>
      <c r="L310" t="s">
        <v>2282</v>
      </c>
      <c r="M310" t="s">
        <v>2283</v>
      </c>
    </row>
    <row r="311" spans="1:13" x14ac:dyDescent="0.25">
      <c r="A311" t="s">
        <v>2289</v>
      </c>
      <c r="B311" t="s">
        <v>46</v>
      </c>
      <c r="C311" t="s">
        <v>1779</v>
      </c>
      <c r="D311" t="s">
        <v>2290</v>
      </c>
      <c r="E311" t="s">
        <v>2290</v>
      </c>
      <c r="F311" t="s">
        <v>2291</v>
      </c>
      <c r="G311" t="str">
        <f>"7a"</f>
        <v>7a</v>
      </c>
      <c r="I311" t="str">
        <f>"05-091"</f>
        <v>05-091</v>
      </c>
      <c r="J311" t="s">
        <v>2290</v>
      </c>
      <c r="K311" t="str">
        <f>"221736020"</f>
        <v>221736020</v>
      </c>
      <c r="L311" t="s">
        <v>2292</v>
      </c>
    </row>
    <row r="312" spans="1:13" x14ac:dyDescent="0.25">
      <c r="A312" t="s">
        <v>2316</v>
      </c>
      <c r="B312" t="s">
        <v>46</v>
      </c>
      <c r="C312" t="s">
        <v>1779</v>
      </c>
      <c r="D312" t="s">
        <v>2317</v>
      </c>
      <c r="E312" t="s">
        <v>2317</v>
      </c>
      <c r="F312" t="s">
        <v>2318</v>
      </c>
      <c r="G312" t="str">
        <f>"1"</f>
        <v>1</v>
      </c>
      <c r="I312" t="str">
        <f>"05-220"</f>
        <v>05-220</v>
      </c>
      <c r="J312" t="s">
        <v>2317</v>
      </c>
      <c r="K312" t="str">
        <f>"227602497"</f>
        <v>227602497</v>
      </c>
      <c r="L312" t="s">
        <v>2319</v>
      </c>
      <c r="M312" t="s">
        <v>2320</v>
      </c>
    </row>
    <row r="313" spans="1:13" x14ac:dyDescent="0.25">
      <c r="A313" t="s">
        <v>2331</v>
      </c>
      <c r="B313" t="s">
        <v>46</v>
      </c>
      <c r="C313" t="s">
        <v>2332</v>
      </c>
      <c r="D313" t="s">
        <v>2333</v>
      </c>
      <c r="E313" t="s">
        <v>2333</v>
      </c>
      <c r="F313" t="s">
        <v>2334</v>
      </c>
      <c r="G313" t="str">
        <f>"40"</f>
        <v>40</v>
      </c>
      <c r="I313" t="str">
        <f>"96-300"</f>
        <v>96-300</v>
      </c>
      <c r="J313" t="s">
        <v>2333</v>
      </c>
      <c r="K313" t="str">
        <f>"468553816"</f>
        <v>468553816</v>
      </c>
      <c r="L313" t="s">
        <v>2335</v>
      </c>
      <c r="M313" t="s">
        <v>2336</v>
      </c>
    </row>
    <row r="314" spans="1:13" x14ac:dyDescent="0.25">
      <c r="A314" t="s">
        <v>2368</v>
      </c>
      <c r="B314" t="s">
        <v>46</v>
      </c>
      <c r="C314" t="s">
        <v>47</v>
      </c>
      <c r="D314" t="s">
        <v>1256</v>
      </c>
      <c r="E314" t="s">
        <v>1256</v>
      </c>
      <c r="F314" t="s">
        <v>2369</v>
      </c>
      <c r="G314" t="str">
        <f>"4"</f>
        <v>4</v>
      </c>
      <c r="I314" t="str">
        <f>"00-781"</f>
        <v>00-781</v>
      </c>
      <c r="J314" t="s">
        <v>47</v>
      </c>
      <c r="K314" t="str">
        <f>"226465725"</f>
        <v>226465725</v>
      </c>
      <c r="L314" t="s">
        <v>2370</v>
      </c>
      <c r="M314" t="s">
        <v>2371</v>
      </c>
    </row>
    <row r="315" spans="1:13" x14ac:dyDescent="0.25">
      <c r="A315" t="s">
        <v>2374</v>
      </c>
      <c r="B315" t="s">
        <v>46</v>
      </c>
      <c r="C315" t="s">
        <v>2379</v>
      </c>
      <c r="D315" t="s">
        <v>2084</v>
      </c>
      <c r="E315" t="s">
        <v>2380</v>
      </c>
      <c r="F315" t="s">
        <v>2381</v>
      </c>
      <c r="G315" t="str">
        <f>"1"</f>
        <v>1</v>
      </c>
      <c r="I315" t="str">
        <f>"08-110"</f>
        <v>08-110</v>
      </c>
      <c r="J315" t="s">
        <v>2380</v>
      </c>
      <c r="K315" t="str">
        <f>"256330860"</f>
        <v>256330860</v>
      </c>
      <c r="L315" t="s">
        <v>2382</v>
      </c>
      <c r="M315" t="s">
        <v>2383</v>
      </c>
    </row>
    <row r="316" spans="1:13" x14ac:dyDescent="0.25">
      <c r="A316" t="s">
        <v>2410</v>
      </c>
      <c r="B316" t="s">
        <v>46</v>
      </c>
      <c r="C316" t="s">
        <v>1007</v>
      </c>
      <c r="D316" t="s">
        <v>1007</v>
      </c>
      <c r="E316" t="s">
        <v>1007</v>
      </c>
      <c r="F316" t="s">
        <v>2411</v>
      </c>
      <c r="G316" t="str">
        <f>"21"</f>
        <v>21</v>
      </c>
      <c r="I316" t="str">
        <f>"09-407"</f>
        <v>09-407</v>
      </c>
      <c r="J316" t="s">
        <v>1007</v>
      </c>
      <c r="K316" t="str">
        <f>"243640200"</f>
        <v>243640200</v>
      </c>
      <c r="L316" t="s">
        <v>2412</v>
      </c>
      <c r="M316" t="s">
        <v>2413</v>
      </c>
    </row>
    <row r="317" spans="1:13" x14ac:dyDescent="0.25">
      <c r="A317" t="s">
        <v>2566</v>
      </c>
      <c r="B317" t="s">
        <v>46</v>
      </c>
      <c r="C317" t="s">
        <v>2567</v>
      </c>
      <c r="D317" t="s">
        <v>2568</v>
      </c>
      <c r="E317" t="s">
        <v>2568</v>
      </c>
      <c r="F317" t="s">
        <v>870</v>
      </c>
      <c r="G317" t="str">
        <f>"17/19"</f>
        <v>17/19</v>
      </c>
      <c r="I317" t="str">
        <f>"05-400"</f>
        <v>05-400</v>
      </c>
      <c r="J317" t="s">
        <v>2568</v>
      </c>
      <c r="K317" t="str">
        <f>"227101550"</f>
        <v>227101550</v>
      </c>
      <c r="L317" t="s">
        <v>2569</v>
      </c>
      <c r="M317" t="s">
        <v>2570</v>
      </c>
    </row>
    <row r="318" spans="1:13" x14ac:dyDescent="0.25">
      <c r="A318" t="s">
        <v>2671</v>
      </c>
      <c r="B318" t="s">
        <v>46</v>
      </c>
      <c r="C318" t="s">
        <v>1779</v>
      </c>
      <c r="D318" t="s">
        <v>2290</v>
      </c>
      <c r="E318" t="s">
        <v>2290</v>
      </c>
      <c r="F318" t="s">
        <v>2672</v>
      </c>
      <c r="G318" t="str">
        <f>"62A"</f>
        <v>62A</v>
      </c>
      <c r="I318" t="str">
        <f>"05-091"</f>
        <v>05-091</v>
      </c>
      <c r="J318" t="s">
        <v>2290</v>
      </c>
      <c r="K318" t="str">
        <f>"224088080"</f>
        <v>224088080</v>
      </c>
    </row>
    <row r="319" spans="1:13" x14ac:dyDescent="0.25">
      <c r="A319" t="s">
        <v>2673</v>
      </c>
      <c r="B319" t="s">
        <v>46</v>
      </c>
      <c r="C319" t="s">
        <v>2674</v>
      </c>
      <c r="D319" t="s">
        <v>2675</v>
      </c>
      <c r="E319" t="s">
        <v>2675</v>
      </c>
      <c r="F319" t="s">
        <v>2676</v>
      </c>
      <c r="G319" t="str">
        <f>"24A"</f>
        <v>24A</v>
      </c>
      <c r="I319" t="str">
        <f>"08-300"</f>
        <v>08-300</v>
      </c>
      <c r="J319" t="s">
        <v>2675</v>
      </c>
      <c r="K319" t="str">
        <f>"257812239"</f>
        <v>257812239</v>
      </c>
      <c r="L319" t="s">
        <v>2677</v>
      </c>
    </row>
    <row r="320" spans="1:13" x14ac:dyDescent="0.25">
      <c r="A320" t="s">
        <v>2686</v>
      </c>
      <c r="B320" t="s">
        <v>46</v>
      </c>
      <c r="C320" t="s">
        <v>47</v>
      </c>
      <c r="D320" t="s">
        <v>705</v>
      </c>
      <c r="E320" t="s">
        <v>705</v>
      </c>
      <c r="F320" t="s">
        <v>2687</v>
      </c>
      <c r="G320" t="str">
        <f>"9"</f>
        <v>9</v>
      </c>
      <c r="H320" t="str">
        <f>"TU3"</f>
        <v>TU3</v>
      </c>
      <c r="I320" t="str">
        <f>"03-287"</f>
        <v>03-287</v>
      </c>
      <c r="J320" t="s">
        <v>47</v>
      </c>
      <c r="K320" t="str">
        <f>"505999048"</f>
        <v>505999048</v>
      </c>
      <c r="L320" t="s">
        <v>2688</v>
      </c>
    </row>
    <row r="321" spans="1:13" x14ac:dyDescent="0.25">
      <c r="A321" t="s">
        <v>2733</v>
      </c>
      <c r="B321" t="s">
        <v>46</v>
      </c>
      <c r="C321" t="s">
        <v>47</v>
      </c>
      <c r="D321" t="s">
        <v>200</v>
      </c>
      <c r="E321" t="s">
        <v>200</v>
      </c>
      <c r="F321" t="s">
        <v>225</v>
      </c>
      <c r="G321" t="str">
        <f>"7"</f>
        <v>7</v>
      </c>
      <c r="I321" t="str">
        <f>"00-154"</f>
        <v>00-154</v>
      </c>
      <c r="J321" t="s">
        <v>47</v>
      </c>
      <c r="K321" t="str">
        <f>"228263916"</f>
        <v>228263916</v>
      </c>
      <c r="L321" t="s">
        <v>2734</v>
      </c>
      <c r="M321" t="s">
        <v>2735</v>
      </c>
    </row>
    <row r="322" spans="1:13" x14ac:dyDescent="0.25">
      <c r="A322" t="s">
        <v>2747</v>
      </c>
      <c r="B322" t="s">
        <v>46</v>
      </c>
      <c r="C322" t="s">
        <v>47</v>
      </c>
      <c r="D322" t="s">
        <v>47</v>
      </c>
      <c r="E322" t="s">
        <v>47</v>
      </c>
      <c r="F322" t="s">
        <v>2748</v>
      </c>
      <c r="G322" t="str">
        <f>"8/10"</f>
        <v>8/10</v>
      </c>
      <c r="I322" t="str">
        <f>"02-026"</f>
        <v>02-026</v>
      </c>
      <c r="J322" t="s">
        <v>47</v>
      </c>
      <c r="K322" t="str">
        <f>"228227717"</f>
        <v>228227717</v>
      </c>
      <c r="L322" t="s">
        <v>2749</v>
      </c>
      <c r="M322" t="s">
        <v>2750</v>
      </c>
    </row>
    <row r="323" spans="1:13" x14ac:dyDescent="0.25">
      <c r="A323" t="s">
        <v>2751</v>
      </c>
      <c r="B323" t="s">
        <v>46</v>
      </c>
      <c r="C323" t="s">
        <v>47</v>
      </c>
      <c r="D323" t="s">
        <v>1076</v>
      </c>
      <c r="E323" t="s">
        <v>1076</v>
      </c>
      <c r="F323" t="s">
        <v>1120</v>
      </c>
      <c r="G323" t="str">
        <f>"53 A"</f>
        <v>53 A</v>
      </c>
      <c r="I323" t="str">
        <f>"01-197"</f>
        <v>01-197</v>
      </c>
      <c r="J323" t="s">
        <v>47</v>
      </c>
      <c r="K323" t="str">
        <f>"228227168"</f>
        <v>228227168</v>
      </c>
      <c r="L323" t="s">
        <v>2752</v>
      </c>
      <c r="M323" t="s">
        <v>2753</v>
      </c>
    </row>
    <row r="324" spans="1:13" x14ac:dyDescent="0.25">
      <c r="A324" t="s">
        <v>2798</v>
      </c>
      <c r="B324" t="s">
        <v>46</v>
      </c>
      <c r="C324" t="s">
        <v>1553</v>
      </c>
      <c r="D324" t="s">
        <v>1554</v>
      </c>
      <c r="E324" t="s">
        <v>2799</v>
      </c>
      <c r="G324" t="str">
        <f>"247"</f>
        <v>247</v>
      </c>
      <c r="I324" t="str">
        <f>"27-100"</f>
        <v>27-100</v>
      </c>
      <c r="J324" t="s">
        <v>1554</v>
      </c>
      <c r="K324" t="str">
        <f>"486163049"</f>
        <v>486163049</v>
      </c>
      <c r="L324" t="s">
        <v>2800</v>
      </c>
    </row>
    <row r="325" spans="1:13" x14ac:dyDescent="0.25">
      <c r="A325" t="s">
        <v>2825</v>
      </c>
      <c r="B325" t="s">
        <v>46</v>
      </c>
      <c r="C325" t="s">
        <v>216</v>
      </c>
      <c r="D325" t="s">
        <v>216</v>
      </c>
      <c r="E325" t="s">
        <v>216</v>
      </c>
      <c r="F325" t="s">
        <v>2826</v>
      </c>
      <c r="G325" t="str">
        <f>"2"</f>
        <v>2</v>
      </c>
      <c r="I325" t="str">
        <f>"26-600"</f>
        <v>26-600</v>
      </c>
      <c r="J325" t="s">
        <v>216</v>
      </c>
      <c r="K325" t="str">
        <f>"483664131"</f>
        <v>483664131</v>
      </c>
      <c r="L325" t="s">
        <v>2827</v>
      </c>
      <c r="M325" t="s">
        <v>2828</v>
      </c>
    </row>
    <row r="326" spans="1:13" x14ac:dyDescent="0.25">
      <c r="A326" t="s">
        <v>114</v>
      </c>
      <c r="B326" t="s">
        <v>115</v>
      </c>
      <c r="C326" t="s">
        <v>116</v>
      </c>
      <c r="D326" t="s">
        <v>116</v>
      </c>
      <c r="E326" t="s">
        <v>116</v>
      </c>
      <c r="F326" t="s">
        <v>117</v>
      </c>
      <c r="G326" t="str">
        <f>"19"</f>
        <v>19</v>
      </c>
      <c r="I326" t="str">
        <f>"45-086"</f>
        <v>45-086</v>
      </c>
      <c r="J326" t="s">
        <v>116</v>
      </c>
      <c r="K326" t="str">
        <f>"774545087"</f>
        <v>774545087</v>
      </c>
      <c r="L326" t="s">
        <v>118</v>
      </c>
    </row>
    <row r="327" spans="1:13" x14ac:dyDescent="0.25">
      <c r="A327" t="s">
        <v>391</v>
      </c>
      <c r="B327" t="s">
        <v>115</v>
      </c>
      <c r="C327" t="s">
        <v>392</v>
      </c>
      <c r="D327" t="s">
        <v>393</v>
      </c>
      <c r="E327" t="s">
        <v>393</v>
      </c>
      <c r="F327" t="s">
        <v>394</v>
      </c>
      <c r="G327" t="str">
        <f>"1"</f>
        <v>1</v>
      </c>
      <c r="I327" t="str">
        <f>"47-303"</f>
        <v>47-303</v>
      </c>
      <c r="J327" t="s">
        <v>393</v>
      </c>
      <c r="K327" t="str">
        <f>"774661263"</f>
        <v>774661263</v>
      </c>
      <c r="L327" t="s">
        <v>395</v>
      </c>
      <c r="M327" t="s">
        <v>396</v>
      </c>
    </row>
    <row r="328" spans="1:13" x14ac:dyDescent="0.25">
      <c r="A328" t="s">
        <v>490</v>
      </c>
      <c r="B328" t="s">
        <v>115</v>
      </c>
      <c r="C328" t="s">
        <v>491</v>
      </c>
      <c r="D328" t="s">
        <v>492</v>
      </c>
      <c r="E328" t="s">
        <v>492</v>
      </c>
      <c r="F328" t="s">
        <v>22</v>
      </c>
      <c r="G328" t="str">
        <f>"14"</f>
        <v>14</v>
      </c>
      <c r="I328" t="str">
        <f>"46-100"</f>
        <v>46-100</v>
      </c>
      <c r="J328" t="s">
        <v>492</v>
      </c>
      <c r="K328" t="str">
        <f>"0774101267"</f>
        <v>0774101267</v>
      </c>
      <c r="L328" t="s">
        <v>493</v>
      </c>
      <c r="M328" t="s">
        <v>494</v>
      </c>
    </row>
    <row r="329" spans="1:13" x14ac:dyDescent="0.25">
      <c r="A329" t="s">
        <v>597</v>
      </c>
      <c r="B329" t="s">
        <v>115</v>
      </c>
      <c r="C329" t="s">
        <v>598</v>
      </c>
      <c r="D329" t="s">
        <v>599</v>
      </c>
      <c r="E329" t="s">
        <v>599</v>
      </c>
      <c r="F329" t="s">
        <v>600</v>
      </c>
      <c r="G329" t="str">
        <f>"5"</f>
        <v>5</v>
      </c>
      <c r="I329" t="str">
        <f>"47-100"</f>
        <v>47-100</v>
      </c>
      <c r="J329" t="s">
        <v>599</v>
      </c>
      <c r="K329" t="str">
        <f>"774613026"</f>
        <v>774613026</v>
      </c>
      <c r="L329" t="s">
        <v>601</v>
      </c>
      <c r="M329" t="s">
        <v>602</v>
      </c>
    </row>
    <row r="330" spans="1:13" x14ac:dyDescent="0.25">
      <c r="A330" t="s">
        <v>806</v>
      </c>
      <c r="B330" t="s">
        <v>115</v>
      </c>
      <c r="C330" t="s">
        <v>946</v>
      </c>
      <c r="D330" t="s">
        <v>947</v>
      </c>
      <c r="E330" t="s">
        <v>947</v>
      </c>
      <c r="F330" t="s">
        <v>948</v>
      </c>
      <c r="G330" t="str">
        <f>"17"</f>
        <v>17</v>
      </c>
      <c r="I330" t="str">
        <f>"48-100"</f>
        <v>48-100</v>
      </c>
      <c r="J330" t="s">
        <v>947</v>
      </c>
      <c r="K330" t="str">
        <f>"774852995"</f>
        <v>774852995</v>
      </c>
      <c r="L330" t="s">
        <v>949</v>
      </c>
      <c r="M330" t="s">
        <v>950</v>
      </c>
    </row>
    <row r="331" spans="1:13" x14ac:dyDescent="0.25">
      <c r="A331" t="s">
        <v>1354</v>
      </c>
      <c r="B331" t="s">
        <v>115</v>
      </c>
      <c r="C331" t="s">
        <v>1355</v>
      </c>
      <c r="D331" t="s">
        <v>1356</v>
      </c>
      <c r="E331" t="s">
        <v>1356</v>
      </c>
      <c r="F331" t="s">
        <v>1357</v>
      </c>
      <c r="G331" t="str">
        <f>"3c"</f>
        <v>3c</v>
      </c>
      <c r="I331" t="str">
        <f>"49-300"</f>
        <v>49-300</v>
      </c>
      <c r="J331" t="s">
        <v>1356</v>
      </c>
      <c r="K331" t="str">
        <f>"774163207"</f>
        <v>774163207</v>
      </c>
      <c r="L331" t="s">
        <v>1358</v>
      </c>
      <c r="M331" t="s">
        <v>1359</v>
      </c>
    </row>
    <row r="332" spans="1:13" x14ac:dyDescent="0.25">
      <c r="A332" t="s">
        <v>1518</v>
      </c>
      <c r="B332" t="s">
        <v>115</v>
      </c>
      <c r="C332" t="s">
        <v>1355</v>
      </c>
      <c r="D332" t="s">
        <v>1519</v>
      </c>
      <c r="E332" t="s">
        <v>1519</v>
      </c>
      <c r="F332" t="s">
        <v>1520</v>
      </c>
      <c r="G332" t="str">
        <f>"3"</f>
        <v>3</v>
      </c>
      <c r="I332" t="str">
        <f>"49-200"</f>
        <v>49-200</v>
      </c>
      <c r="J332" t="s">
        <v>1519</v>
      </c>
      <c r="K332" t="str">
        <f>"775400145"</f>
        <v>775400145</v>
      </c>
      <c r="L332" t="s">
        <v>1521</v>
      </c>
    </row>
    <row r="333" spans="1:13" x14ac:dyDescent="0.25">
      <c r="A333" t="s">
        <v>1626</v>
      </c>
      <c r="B333" t="s">
        <v>115</v>
      </c>
      <c r="C333" t="s">
        <v>1627</v>
      </c>
      <c r="D333" t="s">
        <v>1628</v>
      </c>
      <c r="E333" t="s">
        <v>1628</v>
      </c>
      <c r="F333" t="s">
        <v>1619</v>
      </c>
      <c r="G333" t="str">
        <f>"20B"</f>
        <v>20B</v>
      </c>
      <c r="I333" t="str">
        <f>"46-200"</f>
        <v>46-200</v>
      </c>
      <c r="J333" t="s">
        <v>1628</v>
      </c>
      <c r="K333" t="str">
        <f>"774181263"</f>
        <v>774181263</v>
      </c>
      <c r="L333" t="s">
        <v>1629</v>
      </c>
      <c r="M333" t="s">
        <v>1630</v>
      </c>
    </row>
    <row r="334" spans="1:13" x14ac:dyDescent="0.25">
      <c r="A334" t="s">
        <v>1854</v>
      </c>
      <c r="B334" t="s">
        <v>115</v>
      </c>
      <c r="C334" t="s">
        <v>1855</v>
      </c>
      <c r="D334" t="s">
        <v>1856</v>
      </c>
      <c r="E334" t="s">
        <v>1856</v>
      </c>
      <c r="F334" t="s">
        <v>447</v>
      </c>
      <c r="G334" t="str">
        <f>"5"</f>
        <v>5</v>
      </c>
      <c r="I334" t="str">
        <f>"49-100"</f>
        <v>49-100</v>
      </c>
      <c r="J334" t="s">
        <v>1856</v>
      </c>
      <c r="K334" t="str">
        <f>"774606363"</f>
        <v>774606363</v>
      </c>
      <c r="L334" t="s">
        <v>1857</v>
      </c>
      <c r="M334" t="s">
        <v>1858</v>
      </c>
    </row>
    <row r="335" spans="1:13" x14ac:dyDescent="0.25">
      <c r="A335" t="s">
        <v>1867</v>
      </c>
      <c r="B335" t="s">
        <v>115</v>
      </c>
      <c r="C335" t="s">
        <v>1868</v>
      </c>
      <c r="D335" t="s">
        <v>1869</v>
      </c>
      <c r="E335" t="s">
        <v>1869</v>
      </c>
      <c r="F335" t="s">
        <v>1870</v>
      </c>
      <c r="G335" t="str">
        <f>"17"</f>
        <v>17</v>
      </c>
      <c r="I335" t="str">
        <f>"48-300"</f>
        <v>48-300</v>
      </c>
      <c r="J335" t="s">
        <v>1869</v>
      </c>
      <c r="K335" t="str">
        <f>"774093915"</f>
        <v>774093915</v>
      </c>
      <c r="L335" t="s">
        <v>1871</v>
      </c>
      <c r="M335" t="s">
        <v>1872</v>
      </c>
    </row>
    <row r="336" spans="1:13" x14ac:dyDescent="0.25">
      <c r="A336" t="s">
        <v>1910</v>
      </c>
      <c r="B336" t="s">
        <v>115</v>
      </c>
      <c r="C336" t="s">
        <v>116</v>
      </c>
      <c r="D336" t="s">
        <v>116</v>
      </c>
      <c r="E336" t="s">
        <v>116</v>
      </c>
      <c r="F336" t="s">
        <v>1911</v>
      </c>
      <c r="G336" t="str">
        <f>"27"</f>
        <v>27</v>
      </c>
      <c r="I336" t="str">
        <f>"45-005"</f>
        <v>45-005</v>
      </c>
      <c r="J336" t="s">
        <v>116</v>
      </c>
      <c r="K336" t="str">
        <f>"774410245"</f>
        <v>774410245</v>
      </c>
      <c r="L336" t="s">
        <v>1912</v>
      </c>
      <c r="M336" t="s">
        <v>1913</v>
      </c>
    </row>
    <row r="337" spans="1:13" x14ac:dyDescent="0.25">
      <c r="A337" t="s">
        <v>1940</v>
      </c>
      <c r="B337" t="s">
        <v>115</v>
      </c>
      <c r="C337" t="s">
        <v>1855</v>
      </c>
      <c r="D337" t="s">
        <v>1941</v>
      </c>
      <c r="E337" t="s">
        <v>1941</v>
      </c>
      <c r="F337" t="s">
        <v>1942</v>
      </c>
      <c r="G337" t="str">
        <f>"31"</f>
        <v>31</v>
      </c>
      <c r="I337" t="str">
        <f>"46-040"</f>
        <v>46-040</v>
      </c>
      <c r="J337" t="s">
        <v>1941</v>
      </c>
      <c r="K337" t="str">
        <f>"774651254"</f>
        <v>774651254</v>
      </c>
      <c r="L337" t="s">
        <v>1943</v>
      </c>
      <c r="M337" t="s">
        <v>1944</v>
      </c>
    </row>
    <row r="338" spans="1:13" x14ac:dyDescent="0.25">
      <c r="A338" t="s">
        <v>1983</v>
      </c>
      <c r="B338" t="s">
        <v>115</v>
      </c>
      <c r="C338" t="s">
        <v>1984</v>
      </c>
      <c r="D338" t="s">
        <v>1985</v>
      </c>
      <c r="E338" t="s">
        <v>1985</v>
      </c>
      <c r="F338" t="s">
        <v>606</v>
      </c>
      <c r="G338" t="str">
        <f>"10"</f>
        <v>10</v>
      </c>
      <c r="I338" t="str">
        <f>"48-200"</f>
        <v>48-200</v>
      </c>
      <c r="J338" t="s">
        <v>1985</v>
      </c>
      <c r="K338" t="str">
        <f>"774363862"</f>
        <v>774363862</v>
      </c>
      <c r="L338" t="s">
        <v>1986</v>
      </c>
      <c r="M338" t="s">
        <v>1987</v>
      </c>
    </row>
    <row r="339" spans="1:13" x14ac:dyDescent="0.25">
      <c r="A339" t="s">
        <v>2673</v>
      </c>
      <c r="B339" t="s">
        <v>115</v>
      </c>
      <c r="C339" t="s">
        <v>2678</v>
      </c>
      <c r="D339" t="s">
        <v>2679</v>
      </c>
      <c r="E339" t="s">
        <v>2679</v>
      </c>
      <c r="F339" t="s">
        <v>2680</v>
      </c>
      <c r="G339" t="str">
        <f>"4"</f>
        <v>4</v>
      </c>
      <c r="I339" t="str">
        <f>"47-200"</f>
        <v>47-200</v>
      </c>
      <c r="J339" t="s">
        <v>2679</v>
      </c>
      <c r="K339" t="str">
        <f>"774821226"</f>
        <v>774821226</v>
      </c>
      <c r="L339" t="s">
        <v>2681</v>
      </c>
      <c r="M339" t="s">
        <v>2682</v>
      </c>
    </row>
    <row r="340" spans="1:13" x14ac:dyDescent="0.25">
      <c r="A340" t="s">
        <v>2703</v>
      </c>
      <c r="B340" t="s">
        <v>115</v>
      </c>
      <c r="C340" t="s">
        <v>2704</v>
      </c>
      <c r="D340" t="s">
        <v>2705</v>
      </c>
      <c r="E340" t="s">
        <v>2705</v>
      </c>
      <c r="F340" t="s">
        <v>2706</v>
      </c>
      <c r="G340" t="str">
        <f>"3"</f>
        <v>3</v>
      </c>
      <c r="I340" t="str">
        <f>"46-300"</f>
        <v>46-300</v>
      </c>
      <c r="J340" t="s">
        <v>2705</v>
      </c>
      <c r="K340" t="str">
        <f>"343582874"</f>
        <v>343582874</v>
      </c>
      <c r="L340" t="s">
        <v>2707</v>
      </c>
    </row>
    <row r="341" spans="1:13" x14ac:dyDescent="0.25">
      <c r="A341" t="s">
        <v>2722</v>
      </c>
      <c r="B341" t="s">
        <v>115</v>
      </c>
      <c r="C341" t="s">
        <v>116</v>
      </c>
      <c r="D341" t="s">
        <v>116</v>
      </c>
      <c r="E341" t="s">
        <v>116</v>
      </c>
      <c r="F341" t="s">
        <v>2723</v>
      </c>
      <c r="G341" t="str">
        <f>"10 A"</f>
        <v>10 A</v>
      </c>
      <c r="I341" t="str">
        <f>"45-715"</f>
        <v>45-715</v>
      </c>
      <c r="J341" t="s">
        <v>116</v>
      </c>
      <c r="K341" t="str">
        <f>"669472410"</f>
        <v>669472410</v>
      </c>
    </row>
    <row r="342" spans="1:13" x14ac:dyDescent="0.25">
      <c r="A342" t="s">
        <v>129</v>
      </c>
      <c r="B342" t="s">
        <v>130</v>
      </c>
      <c r="C342" t="s">
        <v>131</v>
      </c>
      <c r="D342" t="s">
        <v>131</v>
      </c>
      <c r="E342" t="s">
        <v>131</v>
      </c>
      <c r="F342" t="s">
        <v>132</v>
      </c>
      <c r="G342" t="str">
        <f>"14"</f>
        <v>14</v>
      </c>
      <c r="I342" t="str">
        <f>"38-400"</f>
        <v>38-400</v>
      </c>
      <c r="J342" t="s">
        <v>131</v>
      </c>
      <c r="K342" t="str">
        <f>"134320519"</f>
        <v>134320519</v>
      </c>
      <c r="L342" t="s">
        <v>133</v>
      </c>
      <c r="M342" t="s">
        <v>134</v>
      </c>
    </row>
    <row r="343" spans="1:13" x14ac:dyDescent="0.25">
      <c r="A343" t="s">
        <v>359</v>
      </c>
      <c r="B343" t="s">
        <v>130</v>
      </c>
      <c r="C343" t="s">
        <v>360</v>
      </c>
      <c r="D343" t="s">
        <v>361</v>
      </c>
      <c r="E343" t="s">
        <v>361</v>
      </c>
      <c r="F343" t="s">
        <v>362</v>
      </c>
      <c r="G343" t="str">
        <f>"63"</f>
        <v>63</v>
      </c>
      <c r="I343" t="str">
        <f>"37-500"</f>
        <v>37-500</v>
      </c>
      <c r="J343" t="s">
        <v>361</v>
      </c>
      <c r="K343" t="str">
        <f>"166214178"</f>
        <v>166214178</v>
      </c>
      <c r="L343" t="s">
        <v>363</v>
      </c>
      <c r="M343" t="s">
        <v>364</v>
      </c>
    </row>
    <row r="344" spans="1:13" x14ac:dyDescent="0.25">
      <c r="A344" t="s">
        <v>421</v>
      </c>
      <c r="B344" t="s">
        <v>130</v>
      </c>
      <c r="C344" t="s">
        <v>422</v>
      </c>
      <c r="D344" t="s">
        <v>423</v>
      </c>
      <c r="E344" t="s">
        <v>423</v>
      </c>
      <c r="F344" t="s">
        <v>424</v>
      </c>
      <c r="G344" t="str">
        <f>"1"</f>
        <v>1</v>
      </c>
      <c r="I344" t="str">
        <f>"38-600"</f>
        <v>38-600</v>
      </c>
      <c r="J344" t="s">
        <v>423</v>
      </c>
      <c r="K344" t="str">
        <f>"134698145"</f>
        <v>134698145</v>
      </c>
      <c r="L344" t="s">
        <v>425</v>
      </c>
    </row>
    <row r="345" spans="1:13" x14ac:dyDescent="0.25">
      <c r="A345" t="s">
        <v>426</v>
      </c>
      <c r="B345" t="s">
        <v>130</v>
      </c>
      <c r="C345" t="s">
        <v>427</v>
      </c>
      <c r="D345" t="s">
        <v>428</v>
      </c>
      <c r="E345" t="s">
        <v>428</v>
      </c>
      <c r="F345" t="s">
        <v>429</v>
      </c>
      <c r="G345" t="str">
        <f>"8"</f>
        <v>8</v>
      </c>
      <c r="I345" t="str">
        <f>"37-300"</f>
        <v>37-300</v>
      </c>
      <c r="J345" t="s">
        <v>428</v>
      </c>
      <c r="K345" t="str">
        <f>"172420799"</f>
        <v>172420799</v>
      </c>
      <c r="L345" t="s">
        <v>430</v>
      </c>
      <c r="M345" t="s">
        <v>431</v>
      </c>
    </row>
    <row r="346" spans="1:13" x14ac:dyDescent="0.25">
      <c r="A346" t="s">
        <v>495</v>
      </c>
      <c r="B346" t="s">
        <v>130</v>
      </c>
      <c r="C346" t="s">
        <v>496</v>
      </c>
      <c r="D346" t="s">
        <v>497</v>
      </c>
      <c r="E346" t="s">
        <v>497</v>
      </c>
      <c r="F346" t="s">
        <v>498</v>
      </c>
      <c r="G346" t="str">
        <f>"7"</f>
        <v>7</v>
      </c>
      <c r="I346" t="str">
        <f>"39-460"</f>
        <v>39-460</v>
      </c>
      <c r="J346" t="s">
        <v>497</v>
      </c>
      <c r="K346" t="str">
        <f>"158462845"</f>
        <v>158462845</v>
      </c>
      <c r="L346" t="s">
        <v>499</v>
      </c>
      <c r="M346" t="s">
        <v>500</v>
      </c>
    </row>
    <row r="347" spans="1:13" x14ac:dyDescent="0.25">
      <c r="A347" t="s">
        <v>548</v>
      </c>
      <c r="B347" t="s">
        <v>130</v>
      </c>
      <c r="C347" t="s">
        <v>549</v>
      </c>
      <c r="D347" t="s">
        <v>550</v>
      </c>
      <c r="E347" t="s">
        <v>550</v>
      </c>
      <c r="F347" t="s">
        <v>551</v>
      </c>
      <c r="G347" t="str">
        <f>"16"</f>
        <v>16</v>
      </c>
      <c r="I347" t="str">
        <f>"37-200"</f>
        <v>37-200</v>
      </c>
      <c r="J347" t="s">
        <v>550</v>
      </c>
      <c r="K347" t="str">
        <f>"166488250"</f>
        <v>166488250</v>
      </c>
      <c r="L347" t="s">
        <v>552</v>
      </c>
      <c r="M347" t="s">
        <v>553</v>
      </c>
    </row>
    <row r="348" spans="1:13" x14ac:dyDescent="0.25">
      <c r="A348" t="s">
        <v>569</v>
      </c>
      <c r="B348" t="s">
        <v>130</v>
      </c>
      <c r="C348" t="s">
        <v>570</v>
      </c>
      <c r="D348" t="s">
        <v>571</v>
      </c>
      <c r="E348" t="s">
        <v>571</v>
      </c>
      <c r="F348" t="s">
        <v>572</v>
      </c>
      <c r="G348" t="str">
        <f>"5"</f>
        <v>5</v>
      </c>
      <c r="I348" t="str">
        <f>"38-500"</f>
        <v>38-500</v>
      </c>
      <c r="J348" t="s">
        <v>571</v>
      </c>
      <c r="K348" t="str">
        <f>"+48134631671"</f>
        <v>+48134631671</v>
      </c>
      <c r="L348" t="s">
        <v>573</v>
      </c>
      <c r="M348" t="s">
        <v>574</v>
      </c>
    </row>
    <row r="349" spans="1:13" x14ac:dyDescent="0.25">
      <c r="A349" t="s">
        <v>603</v>
      </c>
      <c r="B349" t="s">
        <v>130</v>
      </c>
      <c r="C349" t="s">
        <v>604</v>
      </c>
      <c r="D349" t="s">
        <v>605</v>
      </c>
      <c r="E349" t="s">
        <v>605</v>
      </c>
      <c r="F349" t="s">
        <v>606</v>
      </c>
      <c r="G349" t="str">
        <f>"4"</f>
        <v>4</v>
      </c>
      <c r="I349" t="str">
        <f>"38-100"</f>
        <v>38-100</v>
      </c>
      <c r="J349" t="s">
        <v>605</v>
      </c>
      <c r="K349" t="str">
        <f>"172761075"</f>
        <v>172761075</v>
      </c>
      <c r="L349" t="s">
        <v>607</v>
      </c>
      <c r="M349" t="s">
        <v>608</v>
      </c>
    </row>
    <row r="350" spans="1:13" x14ac:dyDescent="0.25">
      <c r="A350" t="s">
        <v>729</v>
      </c>
      <c r="B350" t="s">
        <v>130</v>
      </c>
      <c r="C350" t="s">
        <v>730</v>
      </c>
      <c r="D350" t="s">
        <v>731</v>
      </c>
      <c r="E350" t="s">
        <v>731</v>
      </c>
      <c r="F350" t="s">
        <v>22</v>
      </c>
      <c r="G350" t="str">
        <f>"3"</f>
        <v>3</v>
      </c>
      <c r="I350" t="str">
        <f>"37-100"</f>
        <v>37-100</v>
      </c>
      <c r="J350" t="s">
        <v>731</v>
      </c>
      <c r="K350" t="str">
        <f>"172253307"</f>
        <v>172253307</v>
      </c>
      <c r="L350" t="s">
        <v>732</v>
      </c>
      <c r="M350" t="s">
        <v>733</v>
      </c>
    </row>
    <row r="351" spans="1:13" x14ac:dyDescent="0.25">
      <c r="A351" t="s">
        <v>806</v>
      </c>
      <c r="B351" t="s">
        <v>130</v>
      </c>
      <c r="C351" t="s">
        <v>807</v>
      </c>
      <c r="D351" t="s">
        <v>807</v>
      </c>
      <c r="E351" t="s">
        <v>807</v>
      </c>
      <c r="F351" t="s">
        <v>808</v>
      </c>
      <c r="G351" t="str">
        <f>"4"</f>
        <v>4</v>
      </c>
      <c r="I351" t="str">
        <f>"37-700"</f>
        <v>37-700</v>
      </c>
      <c r="J351" t="s">
        <v>807</v>
      </c>
      <c r="K351" t="str">
        <f>"166783794"</f>
        <v>166783794</v>
      </c>
      <c r="L351" t="s">
        <v>809</v>
      </c>
      <c r="M351" t="s">
        <v>810</v>
      </c>
    </row>
    <row r="352" spans="1:13" x14ac:dyDescent="0.25">
      <c r="A352" t="s">
        <v>806</v>
      </c>
      <c r="B352" t="s">
        <v>130</v>
      </c>
      <c r="C352" t="s">
        <v>827</v>
      </c>
      <c r="D352" t="s">
        <v>828</v>
      </c>
      <c r="E352" t="s">
        <v>828</v>
      </c>
      <c r="F352" t="s">
        <v>829</v>
      </c>
      <c r="G352" t="str">
        <f>"4"</f>
        <v>4</v>
      </c>
      <c r="I352" t="str">
        <f>"37-400"</f>
        <v>37-400</v>
      </c>
      <c r="J352" t="s">
        <v>828</v>
      </c>
      <c r="K352" t="str">
        <f>"158412773"</f>
        <v>158412773</v>
      </c>
      <c r="L352" t="s">
        <v>830</v>
      </c>
      <c r="M352" t="s">
        <v>831</v>
      </c>
    </row>
    <row r="353" spans="1:13" x14ac:dyDescent="0.25">
      <c r="A353" t="s">
        <v>806</v>
      </c>
      <c r="B353" t="s">
        <v>130</v>
      </c>
      <c r="C353" t="s">
        <v>855</v>
      </c>
      <c r="D353" t="s">
        <v>856</v>
      </c>
      <c r="E353" t="s">
        <v>856</v>
      </c>
      <c r="F353" t="s">
        <v>857</v>
      </c>
      <c r="G353" t="str">
        <f>"2"</f>
        <v>2</v>
      </c>
      <c r="I353" t="str">
        <f>"36-200"</f>
        <v>36-200</v>
      </c>
      <c r="J353" t="s">
        <v>856</v>
      </c>
      <c r="K353" t="str">
        <f>"134341053"</f>
        <v>134341053</v>
      </c>
      <c r="L353" t="s">
        <v>858</v>
      </c>
      <c r="M353" t="s">
        <v>859</v>
      </c>
    </row>
    <row r="354" spans="1:13" x14ac:dyDescent="0.25">
      <c r="A354" t="s">
        <v>981</v>
      </c>
      <c r="B354" t="s">
        <v>130</v>
      </c>
      <c r="C354" t="s">
        <v>807</v>
      </c>
      <c r="D354" t="s">
        <v>807</v>
      </c>
      <c r="E354" t="s">
        <v>807</v>
      </c>
      <c r="F354" t="s">
        <v>982</v>
      </c>
      <c r="G354" t="str">
        <f>"1"</f>
        <v>1</v>
      </c>
      <c r="I354" t="str">
        <f>"37-700"</f>
        <v>37-700</v>
      </c>
      <c r="J354" t="s">
        <v>807</v>
      </c>
      <c r="K354" t="str">
        <f>"166787998"</f>
        <v>166787998</v>
      </c>
      <c r="L354" t="s">
        <v>983</v>
      </c>
      <c r="M354" t="s">
        <v>984</v>
      </c>
    </row>
    <row r="355" spans="1:13" x14ac:dyDescent="0.25">
      <c r="A355" t="s">
        <v>985</v>
      </c>
      <c r="B355" t="s">
        <v>130</v>
      </c>
      <c r="C355" t="s">
        <v>131</v>
      </c>
      <c r="D355" t="s">
        <v>131</v>
      </c>
      <c r="E355" t="s">
        <v>131</v>
      </c>
      <c r="F355" t="s">
        <v>606</v>
      </c>
      <c r="G355" t="str">
        <f>"2"</f>
        <v>2</v>
      </c>
      <c r="I355" t="str">
        <f>"38-400"</f>
        <v>38-400</v>
      </c>
      <c r="J355" t="s">
        <v>131</v>
      </c>
      <c r="K355" t="str">
        <f>"134321156"</f>
        <v>134321156</v>
      </c>
      <c r="L355" t="s">
        <v>986</v>
      </c>
      <c r="M355" t="s">
        <v>987</v>
      </c>
    </row>
    <row r="356" spans="1:13" x14ac:dyDescent="0.25">
      <c r="A356" t="s">
        <v>1053</v>
      </c>
      <c r="B356" t="s">
        <v>130</v>
      </c>
      <c r="C356" t="s">
        <v>1054</v>
      </c>
      <c r="D356" t="s">
        <v>1054</v>
      </c>
      <c r="E356" t="s">
        <v>1054</v>
      </c>
      <c r="F356" t="s">
        <v>1055</v>
      </c>
      <c r="G356" t="str">
        <f>"18A"</f>
        <v>18A</v>
      </c>
      <c r="I356" t="str">
        <f>"35-234"</f>
        <v>35-234</v>
      </c>
      <c r="J356" t="s">
        <v>1054</v>
      </c>
      <c r="K356" t="str">
        <f>"178528130"</f>
        <v>178528130</v>
      </c>
      <c r="L356" t="s">
        <v>1056</v>
      </c>
      <c r="M356" t="s">
        <v>1057</v>
      </c>
    </row>
    <row r="357" spans="1:13" x14ac:dyDescent="0.25">
      <c r="A357" t="s">
        <v>1104</v>
      </c>
      <c r="B357" t="s">
        <v>130</v>
      </c>
      <c r="C357" t="s">
        <v>1054</v>
      </c>
      <c r="D357" t="s">
        <v>1054</v>
      </c>
      <c r="E357" t="s">
        <v>1054</v>
      </c>
      <c r="F357" t="s">
        <v>1114</v>
      </c>
      <c r="G357" t="str">
        <f>"3"</f>
        <v>3</v>
      </c>
      <c r="I357" t="str">
        <f>"35-326"</f>
        <v>35-326</v>
      </c>
      <c r="J357" t="s">
        <v>1054</v>
      </c>
      <c r="K357" t="str">
        <f>"177483800"</f>
        <v>177483800</v>
      </c>
      <c r="L357" t="s">
        <v>1115</v>
      </c>
      <c r="M357" t="s">
        <v>1116</v>
      </c>
    </row>
    <row r="358" spans="1:13" x14ac:dyDescent="0.25">
      <c r="A358" t="s">
        <v>1437</v>
      </c>
      <c r="B358" t="s">
        <v>130</v>
      </c>
      <c r="C358" t="s">
        <v>1438</v>
      </c>
      <c r="D358" t="s">
        <v>1439</v>
      </c>
      <c r="E358" t="s">
        <v>1439</v>
      </c>
      <c r="F358" t="s">
        <v>606</v>
      </c>
      <c r="G358" t="str">
        <f>"28"</f>
        <v>28</v>
      </c>
      <c r="I358" t="str">
        <f>"39-200"</f>
        <v>39-200</v>
      </c>
      <c r="J358" t="s">
        <v>1439</v>
      </c>
      <c r="K358" t="str">
        <f>"146702460"</f>
        <v>146702460</v>
      </c>
      <c r="L358" t="s">
        <v>1440</v>
      </c>
      <c r="M358" t="s">
        <v>1441</v>
      </c>
    </row>
    <row r="359" spans="1:13" x14ac:dyDescent="0.25">
      <c r="A359" t="s">
        <v>1580</v>
      </c>
      <c r="B359" t="s">
        <v>130</v>
      </c>
      <c r="C359" t="s">
        <v>1581</v>
      </c>
      <c r="D359" t="s">
        <v>1582</v>
      </c>
      <c r="E359" t="s">
        <v>1582</v>
      </c>
      <c r="F359" t="s">
        <v>482</v>
      </c>
      <c r="G359" t="str">
        <f>"6"</f>
        <v>6</v>
      </c>
      <c r="I359" t="str">
        <f>"38-200"</f>
        <v>38-200</v>
      </c>
      <c r="J359" t="s">
        <v>1582</v>
      </c>
      <c r="K359" t="str">
        <f>"0134464546"</f>
        <v>0134464546</v>
      </c>
      <c r="L359" t="s">
        <v>1583</v>
      </c>
      <c r="M359" t="s">
        <v>1584</v>
      </c>
    </row>
    <row r="360" spans="1:13" x14ac:dyDescent="0.25">
      <c r="A360" t="s">
        <v>1640</v>
      </c>
      <c r="B360" t="s">
        <v>130</v>
      </c>
      <c r="C360" t="s">
        <v>1641</v>
      </c>
      <c r="D360" t="s">
        <v>1642</v>
      </c>
      <c r="E360" t="s">
        <v>1642</v>
      </c>
      <c r="F360" t="s">
        <v>1643</v>
      </c>
      <c r="G360" t="str">
        <f>"10"</f>
        <v>10</v>
      </c>
      <c r="I360" t="str">
        <f>"36-100"</f>
        <v>36-100</v>
      </c>
      <c r="J360" t="s">
        <v>1642</v>
      </c>
      <c r="K360" t="str">
        <f>"172271156"</f>
        <v>172271156</v>
      </c>
      <c r="L360" t="s">
        <v>1644</v>
      </c>
      <c r="M360" t="s">
        <v>1645</v>
      </c>
    </row>
    <row r="361" spans="1:13" x14ac:dyDescent="0.25">
      <c r="A361" t="s">
        <v>1744</v>
      </c>
      <c r="B361" t="s">
        <v>130</v>
      </c>
      <c r="C361" t="s">
        <v>1745</v>
      </c>
      <c r="D361" t="s">
        <v>1746</v>
      </c>
      <c r="E361" t="s">
        <v>1746</v>
      </c>
      <c r="F361" t="s">
        <v>22</v>
      </c>
      <c r="G361" t="str">
        <f>"45"</f>
        <v>45</v>
      </c>
      <c r="I361" t="str">
        <f>"37-600"</f>
        <v>37-600</v>
      </c>
      <c r="J361" t="s">
        <v>1746</v>
      </c>
      <c r="K361" t="str">
        <f>"0166321378"</f>
        <v>0166321378</v>
      </c>
      <c r="L361" t="s">
        <v>1747</v>
      </c>
      <c r="M361" t="s">
        <v>1748</v>
      </c>
    </row>
    <row r="362" spans="1:13" x14ac:dyDescent="0.25">
      <c r="A362" t="s">
        <v>1800</v>
      </c>
      <c r="B362" t="s">
        <v>130</v>
      </c>
      <c r="C362" t="s">
        <v>398</v>
      </c>
      <c r="D362" t="s">
        <v>1801</v>
      </c>
      <c r="E362" t="s">
        <v>1801</v>
      </c>
      <c r="F362" t="s">
        <v>1802</v>
      </c>
      <c r="G362" t="str">
        <f>"14a"</f>
        <v>14a</v>
      </c>
      <c r="I362" t="str">
        <f>"38-430"</f>
        <v>38-430</v>
      </c>
      <c r="J362" t="s">
        <v>1801</v>
      </c>
      <c r="K362" t="str">
        <f>"134353996"</f>
        <v>134353996</v>
      </c>
      <c r="L362" t="s">
        <v>1803</v>
      </c>
      <c r="M362" t="s">
        <v>1804</v>
      </c>
    </row>
    <row r="363" spans="1:13" x14ac:dyDescent="0.25">
      <c r="A363" t="s">
        <v>2054</v>
      </c>
      <c r="B363" t="s">
        <v>130</v>
      </c>
      <c r="C363" t="s">
        <v>2055</v>
      </c>
      <c r="D363" t="s">
        <v>2056</v>
      </c>
      <c r="E363" t="s">
        <v>2056</v>
      </c>
      <c r="F363" t="s">
        <v>435</v>
      </c>
      <c r="G363" t="str">
        <f>"3"</f>
        <v>3</v>
      </c>
      <c r="I363" t="str">
        <f>"39-100"</f>
        <v>39-100</v>
      </c>
      <c r="J363" t="s">
        <v>2056</v>
      </c>
      <c r="K363" t="str">
        <f>"172218457"</f>
        <v>172218457</v>
      </c>
      <c r="L363" t="s">
        <v>2057</v>
      </c>
      <c r="M363" t="s">
        <v>2058</v>
      </c>
    </row>
    <row r="364" spans="1:13" x14ac:dyDescent="0.25">
      <c r="A364" t="s">
        <v>2141</v>
      </c>
      <c r="B364" t="s">
        <v>130</v>
      </c>
      <c r="C364" t="s">
        <v>2142</v>
      </c>
      <c r="D364" t="s">
        <v>2143</v>
      </c>
      <c r="E364" t="s">
        <v>2143</v>
      </c>
      <c r="F364" t="s">
        <v>2144</v>
      </c>
      <c r="G364" t="str">
        <f>"12"</f>
        <v>12</v>
      </c>
      <c r="I364" t="str">
        <f>"37-450"</f>
        <v>37-450</v>
      </c>
      <c r="J364" t="s">
        <v>2143</v>
      </c>
      <c r="K364" t="str">
        <f>"883723640"</f>
        <v>883723640</v>
      </c>
      <c r="L364" t="s">
        <v>2145</v>
      </c>
      <c r="M364" t="s">
        <v>2146</v>
      </c>
    </row>
    <row r="365" spans="1:13" x14ac:dyDescent="0.25">
      <c r="A365" t="s">
        <v>2204</v>
      </c>
      <c r="B365" t="s">
        <v>130</v>
      </c>
      <c r="C365" t="s">
        <v>501</v>
      </c>
      <c r="D365" t="s">
        <v>501</v>
      </c>
      <c r="E365" t="s">
        <v>501</v>
      </c>
      <c r="F365" t="s">
        <v>333</v>
      </c>
      <c r="G365" t="str">
        <f>"30"</f>
        <v>30</v>
      </c>
      <c r="I365" t="str">
        <f>"39-400"</f>
        <v>39-400</v>
      </c>
      <c r="J365" t="s">
        <v>501</v>
      </c>
      <c r="K365" t="str">
        <f>"158479410"</f>
        <v>158479410</v>
      </c>
      <c r="L365" t="s">
        <v>2205</v>
      </c>
      <c r="M365" t="s">
        <v>2206</v>
      </c>
    </row>
    <row r="366" spans="1:13" x14ac:dyDescent="0.25">
      <c r="A366" t="s">
        <v>2231</v>
      </c>
      <c r="B366" t="s">
        <v>130</v>
      </c>
      <c r="C366" t="s">
        <v>2232</v>
      </c>
      <c r="D366" t="s">
        <v>2233</v>
      </c>
      <c r="E366" t="s">
        <v>2233</v>
      </c>
      <c r="F366" t="s">
        <v>2234</v>
      </c>
      <c r="G366" t="str">
        <f>"10"</f>
        <v>10</v>
      </c>
      <c r="I366" t="str">
        <f>"38-700"</f>
        <v>38-700</v>
      </c>
      <c r="J366" t="s">
        <v>2233</v>
      </c>
      <c r="K366" t="str">
        <f>"134611291"</f>
        <v>134611291</v>
      </c>
      <c r="L366" t="s">
        <v>2235</v>
      </c>
    </row>
    <row r="367" spans="1:13" x14ac:dyDescent="0.25">
      <c r="A367" t="s">
        <v>2801</v>
      </c>
      <c r="B367" t="s">
        <v>130</v>
      </c>
      <c r="C367" t="s">
        <v>2802</v>
      </c>
      <c r="D367" t="s">
        <v>2803</v>
      </c>
      <c r="E367" t="s">
        <v>2803</v>
      </c>
      <c r="F367" t="s">
        <v>2804</v>
      </c>
      <c r="G367" t="str">
        <f>"2B"</f>
        <v>2B</v>
      </c>
      <c r="I367" t="str">
        <f>"39-300"</f>
        <v>39-300</v>
      </c>
      <c r="J367" t="s">
        <v>2803</v>
      </c>
      <c r="K367" t="str">
        <f>"177884978"</f>
        <v>177884978</v>
      </c>
      <c r="L367" t="s">
        <v>2805</v>
      </c>
      <c r="M367" t="s">
        <v>2806</v>
      </c>
    </row>
    <row r="368" spans="1:13" x14ac:dyDescent="0.25">
      <c r="A368" t="s">
        <v>209</v>
      </c>
      <c r="B368" t="s">
        <v>210</v>
      </c>
      <c r="C368" t="s">
        <v>211</v>
      </c>
      <c r="D368" t="s">
        <v>211</v>
      </c>
      <c r="E368" t="s">
        <v>211</v>
      </c>
      <c r="F368" t="s">
        <v>212</v>
      </c>
      <c r="G368" t="str">
        <f>"1"</f>
        <v>1</v>
      </c>
      <c r="H368" t="str">
        <f>"27"</f>
        <v>27</v>
      </c>
      <c r="I368" t="str">
        <f>"18-400"</f>
        <v>18-400</v>
      </c>
      <c r="J368" t="s">
        <v>211</v>
      </c>
      <c r="K368" t="str">
        <f>"862156947"</f>
        <v>862156947</v>
      </c>
      <c r="L368" t="s">
        <v>213</v>
      </c>
      <c r="M368" t="s">
        <v>214</v>
      </c>
    </row>
    <row r="369" spans="1:13" x14ac:dyDescent="0.25">
      <c r="A369" t="s">
        <v>232</v>
      </c>
      <c r="B369" t="s">
        <v>210</v>
      </c>
      <c r="C369" t="s">
        <v>211</v>
      </c>
      <c r="D369" t="s">
        <v>211</v>
      </c>
      <c r="E369" t="s">
        <v>211</v>
      </c>
      <c r="F369" t="s">
        <v>233</v>
      </c>
      <c r="G369" t="str">
        <f>"16"</f>
        <v>16</v>
      </c>
      <c r="I369" t="str">
        <f>"18-400"</f>
        <v>18-400</v>
      </c>
      <c r="J369" t="s">
        <v>211</v>
      </c>
      <c r="K369" t="str">
        <f>"862150318"</f>
        <v>862150318</v>
      </c>
      <c r="L369" t="s">
        <v>234</v>
      </c>
      <c r="M369" t="s">
        <v>235</v>
      </c>
    </row>
    <row r="370" spans="1:13" x14ac:dyDescent="0.25">
      <c r="A370" t="s">
        <v>312</v>
      </c>
      <c r="B370" t="s">
        <v>210</v>
      </c>
      <c r="C370" t="s">
        <v>313</v>
      </c>
      <c r="D370" t="s">
        <v>314</v>
      </c>
      <c r="E370" t="s">
        <v>314</v>
      </c>
      <c r="F370" t="s">
        <v>315</v>
      </c>
      <c r="G370" t="str">
        <f>"24A"</f>
        <v>24A</v>
      </c>
      <c r="I370" t="str">
        <f>"16-200"</f>
        <v>16-200</v>
      </c>
      <c r="J370" t="s">
        <v>314</v>
      </c>
      <c r="K370" t="str">
        <f>"857121346"</f>
        <v>857121346</v>
      </c>
      <c r="L370" t="s">
        <v>316</v>
      </c>
      <c r="M370" t="s">
        <v>317</v>
      </c>
    </row>
    <row r="371" spans="1:13" x14ac:dyDescent="0.25">
      <c r="A371" t="s">
        <v>575</v>
      </c>
      <c r="B371" t="s">
        <v>210</v>
      </c>
      <c r="C371" t="s">
        <v>576</v>
      </c>
      <c r="D371" t="s">
        <v>577</v>
      </c>
      <c r="E371" t="s">
        <v>577</v>
      </c>
      <c r="F371" t="s">
        <v>578</v>
      </c>
      <c r="G371" t="str">
        <f>"1"</f>
        <v>1</v>
      </c>
      <c r="I371" t="str">
        <f>"16-500"</f>
        <v>16-500</v>
      </c>
      <c r="J371" t="s">
        <v>577</v>
      </c>
      <c r="K371" t="str">
        <f>"875162256"</f>
        <v>875162256</v>
      </c>
      <c r="L371" t="s">
        <v>579</v>
      </c>
      <c r="M371" t="s">
        <v>580</v>
      </c>
    </row>
    <row r="372" spans="1:13" x14ac:dyDescent="0.25">
      <c r="A372" t="s">
        <v>593</v>
      </c>
      <c r="B372" t="s">
        <v>210</v>
      </c>
      <c r="C372" t="s">
        <v>313</v>
      </c>
      <c r="D372" t="s">
        <v>318</v>
      </c>
      <c r="E372" t="s">
        <v>318</v>
      </c>
      <c r="F372" t="s">
        <v>594</v>
      </c>
      <c r="G372" t="str">
        <f>"1b"</f>
        <v>1b</v>
      </c>
      <c r="I372" t="str">
        <f>"16-100"</f>
        <v>16-100</v>
      </c>
      <c r="J372" t="s">
        <v>318</v>
      </c>
      <c r="K372" t="str">
        <f>"857113291"</f>
        <v>857113291</v>
      </c>
      <c r="L372" t="s">
        <v>595</v>
      </c>
      <c r="M372" t="s">
        <v>596</v>
      </c>
    </row>
    <row r="373" spans="1:13" x14ac:dyDescent="0.25">
      <c r="A373" t="s">
        <v>616</v>
      </c>
      <c r="B373" t="s">
        <v>210</v>
      </c>
      <c r="C373" t="s">
        <v>617</v>
      </c>
      <c r="D373" t="s">
        <v>617</v>
      </c>
      <c r="E373" t="s">
        <v>617</v>
      </c>
      <c r="F373" t="s">
        <v>618</v>
      </c>
      <c r="G373" t="str">
        <f>"10"</f>
        <v>10</v>
      </c>
      <c r="I373" t="str">
        <f>"16-400"</f>
        <v>16-400</v>
      </c>
      <c r="J373" t="s">
        <v>617</v>
      </c>
      <c r="K373" t="str">
        <f>"875664149"</f>
        <v>875664149</v>
      </c>
      <c r="L373" t="s">
        <v>619</v>
      </c>
      <c r="M373" t="s">
        <v>620</v>
      </c>
    </row>
    <row r="374" spans="1:13" x14ac:dyDescent="0.25">
      <c r="A374" t="s">
        <v>657</v>
      </c>
      <c r="B374" t="s">
        <v>210</v>
      </c>
      <c r="C374" t="s">
        <v>658</v>
      </c>
      <c r="D374" t="s">
        <v>659</v>
      </c>
      <c r="E374" t="s">
        <v>659</v>
      </c>
      <c r="F374" t="s">
        <v>660</v>
      </c>
      <c r="G374" t="str">
        <f>"2"</f>
        <v>2</v>
      </c>
      <c r="I374" t="str">
        <f>"18-300"</f>
        <v>18-300</v>
      </c>
      <c r="J374" t="s">
        <v>659</v>
      </c>
      <c r="K374" t="str">
        <f>"0862712178"</f>
        <v>0862712178</v>
      </c>
      <c r="L374" t="s">
        <v>661</v>
      </c>
      <c r="M374" t="s">
        <v>662</v>
      </c>
    </row>
    <row r="375" spans="1:13" x14ac:dyDescent="0.25">
      <c r="A375" t="s">
        <v>678</v>
      </c>
      <c r="B375" t="s">
        <v>210</v>
      </c>
      <c r="C375" t="s">
        <v>679</v>
      </c>
      <c r="D375" t="s">
        <v>680</v>
      </c>
      <c r="E375" t="s">
        <v>680</v>
      </c>
      <c r="F375" t="s">
        <v>681</v>
      </c>
      <c r="G375" t="str">
        <f>"1"</f>
        <v>1</v>
      </c>
      <c r="I375" t="str">
        <f>"17-100"</f>
        <v>17-100</v>
      </c>
      <c r="J375" t="s">
        <v>680</v>
      </c>
      <c r="K375" t="str">
        <f>"858332674"</f>
        <v>858332674</v>
      </c>
      <c r="L375" t="s">
        <v>682</v>
      </c>
      <c r="M375" t="s">
        <v>683</v>
      </c>
    </row>
    <row r="376" spans="1:13" x14ac:dyDescent="0.25">
      <c r="A376" t="s">
        <v>718</v>
      </c>
      <c r="B376" t="s">
        <v>210</v>
      </c>
      <c r="C376" t="s">
        <v>719</v>
      </c>
      <c r="D376" t="s">
        <v>720</v>
      </c>
      <c r="E376" t="s">
        <v>720</v>
      </c>
      <c r="F376" t="s">
        <v>721</v>
      </c>
      <c r="G376" t="str">
        <f>"10A"</f>
        <v>10A</v>
      </c>
      <c r="I376" t="str">
        <f>"17-200"</f>
        <v>17-200</v>
      </c>
      <c r="J376" t="s">
        <v>720</v>
      </c>
      <c r="K376" t="str">
        <f>"856822305"</f>
        <v>856822305</v>
      </c>
      <c r="L376" t="s">
        <v>722</v>
      </c>
      <c r="M376" t="s">
        <v>723</v>
      </c>
    </row>
    <row r="377" spans="1:13" x14ac:dyDescent="0.25">
      <c r="A377" t="s">
        <v>1010</v>
      </c>
      <c r="B377" t="s">
        <v>210</v>
      </c>
      <c r="C377" t="s">
        <v>1011</v>
      </c>
      <c r="D377" t="s">
        <v>1011</v>
      </c>
      <c r="E377" t="s">
        <v>1011</v>
      </c>
      <c r="F377" t="s">
        <v>1012</v>
      </c>
      <c r="G377" t="str">
        <f>"2"</f>
        <v>2</v>
      </c>
      <c r="I377" t="str">
        <f>"15-439"</f>
        <v>15-439</v>
      </c>
      <c r="J377" t="s">
        <v>1011</v>
      </c>
      <c r="K377" t="str">
        <f>"857445350"</f>
        <v>857445350</v>
      </c>
      <c r="L377" t="s">
        <v>1013</v>
      </c>
      <c r="M377" t="s">
        <v>1014</v>
      </c>
    </row>
    <row r="378" spans="1:13" x14ac:dyDescent="0.25">
      <c r="A378" t="s">
        <v>1129</v>
      </c>
      <c r="B378" t="s">
        <v>210</v>
      </c>
      <c r="C378" t="s">
        <v>1011</v>
      </c>
      <c r="D378" t="s">
        <v>1011</v>
      </c>
      <c r="E378" t="s">
        <v>1011</v>
      </c>
      <c r="F378" t="s">
        <v>1130</v>
      </c>
      <c r="G378" t="str">
        <f>"35"</f>
        <v>35</v>
      </c>
      <c r="I378" t="str">
        <f>"15-301"</f>
        <v>15-301</v>
      </c>
      <c r="J378" t="s">
        <v>1011</v>
      </c>
      <c r="K378" t="str">
        <f>"857423434"</f>
        <v>857423434</v>
      </c>
      <c r="L378" t="s">
        <v>1131</v>
      </c>
      <c r="M378" t="s">
        <v>1132</v>
      </c>
    </row>
    <row r="379" spans="1:13" x14ac:dyDescent="0.25">
      <c r="A379" t="s">
        <v>1297</v>
      </c>
      <c r="B379" t="s">
        <v>210</v>
      </c>
      <c r="C379" t="s">
        <v>1298</v>
      </c>
      <c r="D379" t="s">
        <v>1299</v>
      </c>
      <c r="E379" t="s">
        <v>1299</v>
      </c>
      <c r="F379" t="s">
        <v>1300</v>
      </c>
      <c r="G379" t="str">
        <f>"52"</f>
        <v>52</v>
      </c>
      <c r="I379" t="str">
        <f>"16-300"</f>
        <v>16-300</v>
      </c>
      <c r="J379" t="s">
        <v>1299</v>
      </c>
      <c r="K379" t="str">
        <f>"876433621"</f>
        <v>876433621</v>
      </c>
      <c r="L379" t="s">
        <v>1301</v>
      </c>
      <c r="M379" t="s">
        <v>1302</v>
      </c>
    </row>
    <row r="380" spans="1:13" x14ac:dyDescent="0.25">
      <c r="A380" t="s">
        <v>1512</v>
      </c>
      <c r="B380" t="s">
        <v>210</v>
      </c>
      <c r="C380" t="s">
        <v>1513</v>
      </c>
      <c r="D380" t="s">
        <v>1514</v>
      </c>
      <c r="E380" t="s">
        <v>1514</v>
      </c>
      <c r="F380" t="s">
        <v>1515</v>
      </c>
      <c r="G380" t="str">
        <f>"3"</f>
        <v>3</v>
      </c>
      <c r="I380" t="str">
        <f>"19-200"</f>
        <v>19-200</v>
      </c>
      <c r="J380" t="s">
        <v>1514</v>
      </c>
      <c r="K380" t="str">
        <f>"862723587"</f>
        <v>862723587</v>
      </c>
      <c r="L380" t="s">
        <v>1516</v>
      </c>
      <c r="M380" t="s">
        <v>1517</v>
      </c>
    </row>
    <row r="381" spans="1:13" x14ac:dyDescent="0.25">
      <c r="A381" t="s">
        <v>1646</v>
      </c>
      <c r="B381" t="s">
        <v>210</v>
      </c>
      <c r="C381" t="s">
        <v>1647</v>
      </c>
      <c r="D381" t="s">
        <v>1648</v>
      </c>
      <c r="E381" t="s">
        <v>1648</v>
      </c>
      <c r="F381" t="s">
        <v>291</v>
      </c>
      <c r="G381" t="str">
        <f>"1"</f>
        <v>1</v>
      </c>
      <c r="I381" t="str">
        <f>"18-500"</f>
        <v>18-500</v>
      </c>
      <c r="J381" t="s">
        <v>1648</v>
      </c>
      <c r="K381" t="str">
        <f>"862782181"</f>
        <v>862782181</v>
      </c>
      <c r="L381" t="s">
        <v>1649</v>
      </c>
      <c r="M381" t="s">
        <v>1650</v>
      </c>
    </row>
    <row r="382" spans="1:13" x14ac:dyDescent="0.25">
      <c r="A382" t="s">
        <v>1709</v>
      </c>
      <c r="B382" t="s">
        <v>210</v>
      </c>
      <c r="C382" t="s">
        <v>1710</v>
      </c>
      <c r="D382" t="s">
        <v>1711</v>
      </c>
      <c r="E382" t="s">
        <v>1711</v>
      </c>
      <c r="F382" t="s">
        <v>1712</v>
      </c>
      <c r="G382" t="str">
        <f>"8"</f>
        <v>8</v>
      </c>
      <c r="I382" t="str">
        <f>"18-100"</f>
        <v>18-100</v>
      </c>
      <c r="J382" t="s">
        <v>1711</v>
      </c>
      <c r="K382" t="str">
        <f>"857152334"</f>
        <v>857152334</v>
      </c>
      <c r="L382" t="s">
        <v>1713</v>
      </c>
      <c r="M382" t="s">
        <v>1714</v>
      </c>
    </row>
    <row r="383" spans="1:13" x14ac:dyDescent="0.25">
      <c r="A383" t="s">
        <v>1826</v>
      </c>
      <c r="B383" t="s">
        <v>210</v>
      </c>
      <c r="C383" t="s">
        <v>1827</v>
      </c>
      <c r="D383" t="s">
        <v>1828</v>
      </c>
      <c r="E383" t="s">
        <v>1828</v>
      </c>
      <c r="F383" t="s">
        <v>1829</v>
      </c>
      <c r="G383" t="str">
        <f>"15a"</f>
        <v>15a</v>
      </c>
      <c r="I383" t="str">
        <f>"19-100"</f>
        <v>19-100</v>
      </c>
      <c r="J383" t="s">
        <v>1828</v>
      </c>
      <c r="K383" t="str">
        <f>"857162544"</f>
        <v>857162544</v>
      </c>
      <c r="L383" t="s">
        <v>1830</v>
      </c>
      <c r="M383" t="s">
        <v>1831</v>
      </c>
    </row>
    <row r="384" spans="1:13" x14ac:dyDescent="0.25">
      <c r="A384" t="s">
        <v>2275</v>
      </c>
      <c r="B384" t="s">
        <v>210</v>
      </c>
      <c r="C384" t="s">
        <v>2276</v>
      </c>
      <c r="D384" t="s">
        <v>2277</v>
      </c>
      <c r="E384" t="s">
        <v>2277</v>
      </c>
      <c r="F384" t="s">
        <v>587</v>
      </c>
      <c r="G384" t="str">
        <f>"1B"</f>
        <v>1B</v>
      </c>
      <c r="I384" t="str">
        <f>"18-200"</f>
        <v>18-200</v>
      </c>
      <c r="J384" t="s">
        <v>2277</v>
      </c>
      <c r="K384" t="str">
        <f>"862752552"</f>
        <v>862752552</v>
      </c>
      <c r="L384" t="s">
        <v>2278</v>
      </c>
    </row>
    <row r="385" spans="1:13" x14ac:dyDescent="0.25">
      <c r="A385" t="s">
        <v>2472</v>
      </c>
      <c r="B385" t="s">
        <v>210</v>
      </c>
      <c r="C385" t="s">
        <v>1011</v>
      </c>
      <c r="D385" t="s">
        <v>1011</v>
      </c>
      <c r="E385" t="s">
        <v>1011</v>
      </c>
      <c r="F385" t="s">
        <v>2473</v>
      </c>
      <c r="G385" t="str">
        <f>"15/1"</f>
        <v>15/1</v>
      </c>
      <c r="I385" t="str">
        <f>"15-028"</f>
        <v>15-028</v>
      </c>
      <c r="J385" t="s">
        <v>1011</v>
      </c>
      <c r="K385" t="str">
        <f>"857416235"</f>
        <v>857416235</v>
      </c>
      <c r="L385" t="s">
        <v>2474</v>
      </c>
      <c r="M385" t="s">
        <v>2475</v>
      </c>
    </row>
    <row r="386" spans="1:13" x14ac:dyDescent="0.25">
      <c r="A386" t="s">
        <v>2597</v>
      </c>
      <c r="B386" t="s">
        <v>210</v>
      </c>
      <c r="C386" t="s">
        <v>2598</v>
      </c>
      <c r="D386" t="s">
        <v>2599</v>
      </c>
      <c r="E386" t="s">
        <v>2599</v>
      </c>
      <c r="F386" t="s">
        <v>333</v>
      </c>
      <c r="G386" t="str">
        <f>"43"</f>
        <v>43</v>
      </c>
      <c r="H386" t="str">
        <f>"a"</f>
        <v>a</v>
      </c>
      <c r="I386" t="str">
        <f>"17-300"</f>
        <v>17-300</v>
      </c>
      <c r="J386" t="s">
        <v>2599</v>
      </c>
      <c r="K386" t="str">
        <f>"856552612"</f>
        <v>856552612</v>
      </c>
      <c r="L386" t="s">
        <v>2600</v>
      </c>
      <c r="M386" t="s">
        <v>2601</v>
      </c>
    </row>
    <row r="387" spans="1:13" x14ac:dyDescent="0.25">
      <c r="A387" t="s">
        <v>2758</v>
      </c>
      <c r="B387" t="s">
        <v>210</v>
      </c>
      <c r="C387" t="s">
        <v>1011</v>
      </c>
      <c r="D387" t="s">
        <v>1011</v>
      </c>
      <c r="E387" t="s">
        <v>1011</v>
      </c>
      <c r="F387" t="s">
        <v>22</v>
      </c>
      <c r="G387" t="str">
        <f>"31/2"</f>
        <v>31/2</v>
      </c>
      <c r="I387" t="str">
        <f>"15-213"</f>
        <v>15-213</v>
      </c>
      <c r="J387" t="s">
        <v>1011</v>
      </c>
      <c r="K387" t="str">
        <f>"857328666"</f>
        <v>857328666</v>
      </c>
      <c r="L387" t="s">
        <v>2759</v>
      </c>
      <c r="M387" t="s">
        <v>2760</v>
      </c>
    </row>
    <row r="388" spans="1:13" x14ac:dyDescent="0.25">
      <c r="A388" t="s">
        <v>2761</v>
      </c>
      <c r="B388" t="s">
        <v>210</v>
      </c>
      <c r="C388" t="s">
        <v>1011</v>
      </c>
      <c r="D388" t="s">
        <v>1011</v>
      </c>
      <c r="E388" t="s">
        <v>1011</v>
      </c>
      <c r="F388" t="s">
        <v>2762</v>
      </c>
      <c r="G388" t="str">
        <f>"12"</f>
        <v>12</v>
      </c>
      <c r="I388" t="str">
        <f>"15-349"</f>
        <v>15-349</v>
      </c>
      <c r="J388" t="s">
        <v>1011</v>
      </c>
      <c r="K388" t="str">
        <f>"607503423"</f>
        <v>607503423</v>
      </c>
      <c r="L388" t="s">
        <v>2763</v>
      </c>
      <c r="M388" t="s">
        <v>2764</v>
      </c>
    </row>
    <row r="389" spans="1:13" x14ac:dyDescent="0.25">
      <c r="A389" t="s">
        <v>158</v>
      </c>
      <c r="B389" t="s">
        <v>189</v>
      </c>
      <c r="C389" t="s">
        <v>190</v>
      </c>
      <c r="D389" t="s">
        <v>190</v>
      </c>
      <c r="E389" t="s">
        <v>190</v>
      </c>
      <c r="F389" t="s">
        <v>191</v>
      </c>
      <c r="G389" t="str">
        <f>"9"</f>
        <v>9</v>
      </c>
      <c r="I389" t="str">
        <f>"76-200"</f>
        <v>76-200</v>
      </c>
      <c r="J389" t="s">
        <v>190</v>
      </c>
      <c r="K389" t="str">
        <f>"598456020"</f>
        <v>598456020</v>
      </c>
      <c r="L389" t="s">
        <v>192</v>
      </c>
      <c r="M389" t="s">
        <v>193</v>
      </c>
    </row>
    <row r="390" spans="1:13" x14ac:dyDescent="0.25">
      <c r="A390" t="s">
        <v>306</v>
      </c>
      <c r="B390" t="s">
        <v>189</v>
      </c>
      <c r="C390" t="s">
        <v>307</v>
      </c>
      <c r="D390" t="s">
        <v>308</v>
      </c>
      <c r="E390" t="s">
        <v>308</v>
      </c>
      <c r="F390" t="s">
        <v>309</v>
      </c>
      <c r="G390" t="str">
        <f>"20"</f>
        <v>20</v>
      </c>
      <c r="I390" t="str">
        <f>"77-300"</f>
        <v>77-300</v>
      </c>
      <c r="J390" t="s">
        <v>308</v>
      </c>
      <c r="K390" t="str">
        <f>"0598341133"</f>
        <v>0598341133</v>
      </c>
      <c r="L390" t="s">
        <v>310</v>
      </c>
      <c r="M390" t="s">
        <v>311</v>
      </c>
    </row>
    <row r="391" spans="1:13" x14ac:dyDescent="0.25">
      <c r="A391" t="s">
        <v>386</v>
      </c>
      <c r="B391" t="s">
        <v>189</v>
      </c>
      <c r="C391" t="s">
        <v>387</v>
      </c>
      <c r="D391" t="s">
        <v>388</v>
      </c>
      <c r="E391" t="s">
        <v>388</v>
      </c>
      <c r="F391" t="s">
        <v>206</v>
      </c>
      <c r="G391" t="str">
        <f>"1"</f>
        <v>1</v>
      </c>
      <c r="I391" t="str">
        <f>"83-400"</f>
        <v>83-400</v>
      </c>
      <c r="J391" t="s">
        <v>388</v>
      </c>
      <c r="K391" t="str">
        <f>"586864861"</f>
        <v>586864861</v>
      </c>
      <c r="L391" t="s">
        <v>389</v>
      </c>
      <c r="M391" t="s">
        <v>390</v>
      </c>
    </row>
    <row r="392" spans="1:13" x14ac:dyDescent="0.25">
      <c r="A392" t="s">
        <v>409</v>
      </c>
      <c r="B392" t="s">
        <v>189</v>
      </c>
      <c r="C392" t="s">
        <v>410</v>
      </c>
      <c r="D392" t="s">
        <v>411</v>
      </c>
      <c r="E392" t="s">
        <v>411</v>
      </c>
      <c r="F392" t="s">
        <v>412</v>
      </c>
      <c r="G392" t="str">
        <f>"15a"</f>
        <v>15a</v>
      </c>
      <c r="I392" t="str">
        <f>"84-300"</f>
        <v>84-300</v>
      </c>
      <c r="J392" t="s">
        <v>411</v>
      </c>
      <c r="K392" t="str">
        <f>"0598621834"</f>
        <v>0598621834</v>
      </c>
      <c r="L392" t="s">
        <v>413</v>
      </c>
      <c r="M392" t="s">
        <v>414</v>
      </c>
    </row>
    <row r="393" spans="1:13" x14ac:dyDescent="0.25">
      <c r="A393" t="s">
        <v>560</v>
      </c>
      <c r="B393" t="s">
        <v>189</v>
      </c>
      <c r="C393" t="s">
        <v>561</v>
      </c>
      <c r="D393" t="s">
        <v>562</v>
      </c>
      <c r="E393" t="s">
        <v>562</v>
      </c>
      <c r="F393" t="s">
        <v>217</v>
      </c>
      <c r="G393" t="str">
        <f>"7"</f>
        <v>7</v>
      </c>
      <c r="I393" t="str">
        <f>"84-100"</f>
        <v>84-100</v>
      </c>
      <c r="J393" t="s">
        <v>562</v>
      </c>
      <c r="K393" t="str">
        <f>"585065999"</f>
        <v>585065999</v>
      </c>
      <c r="L393" t="s">
        <v>563</v>
      </c>
      <c r="M393" t="s">
        <v>564</v>
      </c>
    </row>
    <row r="394" spans="1:13" x14ac:dyDescent="0.25">
      <c r="A394" t="s">
        <v>590</v>
      </c>
      <c r="B394" t="s">
        <v>189</v>
      </c>
      <c r="C394" t="s">
        <v>190</v>
      </c>
      <c r="D394" t="s">
        <v>190</v>
      </c>
      <c r="E394" t="s">
        <v>190</v>
      </c>
      <c r="F394" t="s">
        <v>275</v>
      </c>
      <c r="G394" t="str">
        <f>"1"</f>
        <v>1</v>
      </c>
      <c r="I394" t="str">
        <f>"76-200"</f>
        <v>76-200</v>
      </c>
      <c r="J394" t="s">
        <v>190</v>
      </c>
      <c r="K394" t="str">
        <f>"598456085"</f>
        <v>598456085</v>
      </c>
      <c r="L394" t="s">
        <v>591</v>
      </c>
      <c r="M394" t="s">
        <v>592</v>
      </c>
    </row>
    <row r="395" spans="1:13" x14ac:dyDescent="0.25">
      <c r="A395" t="s">
        <v>626</v>
      </c>
      <c r="B395" t="s">
        <v>189</v>
      </c>
      <c r="C395" t="s">
        <v>627</v>
      </c>
      <c r="D395" t="s">
        <v>628</v>
      </c>
      <c r="E395" t="s">
        <v>628</v>
      </c>
      <c r="F395" t="s">
        <v>629</v>
      </c>
      <c r="G395" t="str">
        <f>"3"</f>
        <v>3</v>
      </c>
      <c r="I395" t="str">
        <f>"82-400"</f>
        <v>82-400</v>
      </c>
      <c r="J395" t="s">
        <v>628</v>
      </c>
      <c r="K395" t="str">
        <f>"552472314"</f>
        <v>552472314</v>
      </c>
      <c r="L395" t="s">
        <v>630</v>
      </c>
      <c r="M395" t="s">
        <v>631</v>
      </c>
    </row>
    <row r="396" spans="1:13" x14ac:dyDescent="0.25">
      <c r="A396" t="s">
        <v>666</v>
      </c>
      <c r="B396" t="s">
        <v>189</v>
      </c>
      <c r="C396" t="s">
        <v>667</v>
      </c>
      <c r="D396" t="s">
        <v>668</v>
      </c>
      <c r="E396" t="s">
        <v>668</v>
      </c>
      <c r="F396" t="s">
        <v>669</v>
      </c>
      <c r="G396" t="str">
        <f>"2"</f>
        <v>2</v>
      </c>
      <c r="H396" t="str">
        <f>"a"</f>
        <v>a</v>
      </c>
      <c r="I396" t="str">
        <f>"83-330"</f>
        <v>83-330</v>
      </c>
      <c r="J396" t="s">
        <v>668</v>
      </c>
      <c r="K396" t="str">
        <f>"512695740"</f>
        <v>512695740</v>
      </c>
      <c r="L396" t="s">
        <v>670</v>
      </c>
    </row>
    <row r="397" spans="1:13" x14ac:dyDescent="0.25">
      <c r="A397" t="s">
        <v>769</v>
      </c>
      <c r="B397" t="s">
        <v>189</v>
      </c>
      <c r="C397" t="s">
        <v>770</v>
      </c>
      <c r="D397" t="s">
        <v>770</v>
      </c>
      <c r="E397" t="s">
        <v>770</v>
      </c>
      <c r="F397" t="s">
        <v>771</v>
      </c>
      <c r="G397" t="str">
        <f>"10"</f>
        <v>10</v>
      </c>
      <c r="I397" t="str">
        <f>"81-597"</f>
        <v>81-597</v>
      </c>
      <c r="J397" t="s">
        <v>770</v>
      </c>
      <c r="K397" t="str">
        <f>"586220942"</f>
        <v>586220942</v>
      </c>
      <c r="L397" t="s">
        <v>772</v>
      </c>
      <c r="M397" t="s">
        <v>773</v>
      </c>
    </row>
    <row r="398" spans="1:13" x14ac:dyDescent="0.25">
      <c r="A398" t="s">
        <v>774</v>
      </c>
      <c r="B398" t="s">
        <v>189</v>
      </c>
      <c r="C398" t="s">
        <v>770</v>
      </c>
      <c r="D398" t="s">
        <v>770</v>
      </c>
      <c r="E398" t="s">
        <v>770</v>
      </c>
      <c r="F398" t="s">
        <v>775</v>
      </c>
      <c r="G398" t="str">
        <f>"227"</f>
        <v>227</v>
      </c>
      <c r="I398" t="str">
        <f>"81-007"</f>
        <v>81-007</v>
      </c>
      <c r="J398" t="s">
        <v>770</v>
      </c>
      <c r="K398" t="str">
        <f>"586233139"</f>
        <v>586233139</v>
      </c>
      <c r="L398" t="s">
        <v>776</v>
      </c>
      <c r="M398" t="s">
        <v>777</v>
      </c>
    </row>
    <row r="399" spans="1:13" x14ac:dyDescent="0.25">
      <c r="A399" t="s">
        <v>778</v>
      </c>
      <c r="B399" t="s">
        <v>189</v>
      </c>
      <c r="C399" t="s">
        <v>770</v>
      </c>
      <c r="D399" t="s">
        <v>770</v>
      </c>
      <c r="E399" t="s">
        <v>770</v>
      </c>
      <c r="F399" t="s">
        <v>779</v>
      </c>
      <c r="G399" t="str">
        <f>"207"</f>
        <v>207</v>
      </c>
      <c r="I399" t="str">
        <f>"81-155"</f>
        <v>81-155</v>
      </c>
      <c r="J399" t="s">
        <v>770</v>
      </c>
      <c r="K399" t="str">
        <f>"586253502"</f>
        <v>586253502</v>
      </c>
      <c r="L399" t="s">
        <v>780</v>
      </c>
      <c r="M399" t="s">
        <v>781</v>
      </c>
    </row>
    <row r="400" spans="1:13" x14ac:dyDescent="0.25">
      <c r="A400" t="s">
        <v>806</v>
      </c>
      <c r="B400" t="s">
        <v>189</v>
      </c>
      <c r="C400" t="s">
        <v>673</v>
      </c>
      <c r="D400" t="s">
        <v>846</v>
      </c>
      <c r="E400" t="s">
        <v>846</v>
      </c>
      <c r="F400" t="s">
        <v>847</v>
      </c>
      <c r="G400" t="str">
        <f>"6"</f>
        <v>6</v>
      </c>
      <c r="I400" t="str">
        <f>"82-100"</f>
        <v>82-100</v>
      </c>
      <c r="J400" t="s">
        <v>846</v>
      </c>
      <c r="K400" t="str">
        <f>"552472282"</f>
        <v>552472282</v>
      </c>
      <c r="L400" t="s">
        <v>848</v>
      </c>
      <c r="M400" t="s">
        <v>849</v>
      </c>
    </row>
    <row r="401" spans="1:13" x14ac:dyDescent="0.25">
      <c r="A401" t="s">
        <v>806</v>
      </c>
      <c r="B401" t="s">
        <v>189</v>
      </c>
      <c r="C401" t="s">
        <v>850</v>
      </c>
      <c r="D401" t="s">
        <v>851</v>
      </c>
      <c r="E401" t="s">
        <v>851</v>
      </c>
      <c r="F401" t="s">
        <v>852</v>
      </c>
      <c r="G401" t="str">
        <f>"32"</f>
        <v>32</v>
      </c>
      <c r="I401" t="str">
        <f>"82-200"</f>
        <v>82-200</v>
      </c>
      <c r="J401" t="s">
        <v>851</v>
      </c>
      <c r="K401" t="str">
        <f>"552729803"</f>
        <v>552729803</v>
      </c>
      <c r="L401" t="s">
        <v>853</v>
      </c>
      <c r="M401" t="s">
        <v>854</v>
      </c>
    </row>
    <row r="402" spans="1:13" x14ac:dyDescent="0.25">
      <c r="A402" t="s">
        <v>1019</v>
      </c>
      <c r="B402" t="s">
        <v>189</v>
      </c>
      <c r="C402" t="s">
        <v>1020</v>
      </c>
      <c r="D402" t="s">
        <v>1020</v>
      </c>
      <c r="E402" t="s">
        <v>1020</v>
      </c>
      <c r="F402" t="s">
        <v>1021</v>
      </c>
      <c r="G402" t="str">
        <f>"1"</f>
        <v>1</v>
      </c>
      <c r="I402" t="str">
        <f>"80-259"</f>
        <v>80-259</v>
      </c>
      <c r="J402" t="s">
        <v>1020</v>
      </c>
      <c r="K402" t="str">
        <f>"583418758"</f>
        <v>583418758</v>
      </c>
      <c r="L402" t="s">
        <v>1022</v>
      </c>
      <c r="M402" t="s">
        <v>1023</v>
      </c>
    </row>
    <row r="403" spans="1:13" x14ac:dyDescent="0.25">
      <c r="A403" t="s">
        <v>1180</v>
      </c>
      <c r="B403" t="s">
        <v>189</v>
      </c>
      <c r="C403" t="s">
        <v>1020</v>
      </c>
      <c r="D403" t="s">
        <v>1020</v>
      </c>
      <c r="E403" t="s">
        <v>1020</v>
      </c>
      <c r="F403" t="s">
        <v>1181</v>
      </c>
      <c r="G403" t="str">
        <f>"21"</f>
        <v>21</v>
      </c>
      <c r="I403" t="str">
        <f>"80-858"</f>
        <v>80-858</v>
      </c>
      <c r="J403" t="s">
        <v>1020</v>
      </c>
      <c r="K403" t="str">
        <f>"583010721"</f>
        <v>583010721</v>
      </c>
      <c r="L403" t="s">
        <v>1182</v>
      </c>
      <c r="M403" t="s">
        <v>1183</v>
      </c>
    </row>
    <row r="404" spans="1:13" x14ac:dyDescent="0.25">
      <c r="A404" t="s">
        <v>1221</v>
      </c>
      <c r="B404" t="s">
        <v>189</v>
      </c>
      <c r="C404" t="s">
        <v>1020</v>
      </c>
      <c r="D404" t="s">
        <v>1020</v>
      </c>
      <c r="E404" t="s">
        <v>1020</v>
      </c>
      <c r="F404" t="s">
        <v>1222</v>
      </c>
      <c r="G404" t="str">
        <f>"1"</f>
        <v>1</v>
      </c>
      <c r="I404" t="str">
        <f>"80-448"</f>
        <v>80-448</v>
      </c>
      <c r="J404" t="s">
        <v>1020</v>
      </c>
      <c r="K404" t="str">
        <f>"585201349"</f>
        <v>585201349</v>
      </c>
      <c r="L404" t="s">
        <v>1223</v>
      </c>
      <c r="M404" t="s">
        <v>1224</v>
      </c>
    </row>
    <row r="405" spans="1:13" x14ac:dyDescent="0.25">
      <c r="A405" t="s">
        <v>1245</v>
      </c>
      <c r="B405" t="s">
        <v>189</v>
      </c>
      <c r="C405" t="s">
        <v>1020</v>
      </c>
      <c r="D405" t="s">
        <v>1020</v>
      </c>
      <c r="E405" t="s">
        <v>1020</v>
      </c>
      <c r="F405" t="s">
        <v>1246</v>
      </c>
      <c r="G405" t="str">
        <f>"5"</f>
        <v>5</v>
      </c>
      <c r="I405" t="str">
        <f>"80-288"</f>
        <v>80-288</v>
      </c>
      <c r="J405" t="s">
        <v>1020</v>
      </c>
      <c r="K405" t="str">
        <f>"583487282"</f>
        <v>583487282</v>
      </c>
      <c r="L405" t="s">
        <v>1247</v>
      </c>
      <c r="M405" t="s">
        <v>1248</v>
      </c>
    </row>
    <row r="406" spans="1:13" x14ac:dyDescent="0.25">
      <c r="A406" t="s">
        <v>1264</v>
      </c>
      <c r="B406" t="s">
        <v>189</v>
      </c>
      <c r="C406" t="s">
        <v>1020</v>
      </c>
      <c r="D406" t="s">
        <v>1020</v>
      </c>
      <c r="E406" t="s">
        <v>1020</v>
      </c>
      <c r="F406" t="s">
        <v>1265</v>
      </c>
      <c r="G406" t="str">
        <f>"1b"</f>
        <v>1b</v>
      </c>
      <c r="I406" t="str">
        <f>"80-435"</f>
        <v>80-435</v>
      </c>
      <c r="J406" t="s">
        <v>1020</v>
      </c>
      <c r="K406" t="str">
        <f>"583413950"</f>
        <v>583413950</v>
      </c>
      <c r="L406" t="s">
        <v>1266</v>
      </c>
      <c r="M406" t="s">
        <v>1267</v>
      </c>
    </row>
    <row r="407" spans="1:13" x14ac:dyDescent="0.25">
      <c r="A407" t="s">
        <v>1390</v>
      </c>
      <c r="B407" t="s">
        <v>189</v>
      </c>
      <c r="C407" t="s">
        <v>1391</v>
      </c>
      <c r="D407" t="s">
        <v>1392</v>
      </c>
      <c r="E407" t="s">
        <v>1392</v>
      </c>
      <c r="F407" t="s">
        <v>263</v>
      </c>
      <c r="G407" t="str">
        <f>"37"</f>
        <v>37</v>
      </c>
      <c r="I407" t="str">
        <f>"77-100"</f>
        <v>77-100</v>
      </c>
      <c r="J407" t="s">
        <v>1392</v>
      </c>
      <c r="K407" t="str">
        <f>"598222520"</f>
        <v>598222520</v>
      </c>
      <c r="L407" t="s">
        <v>1393</v>
      </c>
      <c r="M407" t="s">
        <v>1394</v>
      </c>
    </row>
    <row r="408" spans="1:13" x14ac:dyDescent="0.25">
      <c r="A408" t="s">
        <v>1405</v>
      </c>
      <c r="B408" t="s">
        <v>189</v>
      </c>
      <c r="C408" t="s">
        <v>1406</v>
      </c>
      <c r="D408" t="s">
        <v>1407</v>
      </c>
      <c r="E408" t="s">
        <v>1407</v>
      </c>
      <c r="F408" t="s">
        <v>919</v>
      </c>
      <c r="G408" t="str">
        <f>"30A"</f>
        <v>30A</v>
      </c>
      <c r="I408" t="str">
        <f>"89-600"</f>
        <v>89-600</v>
      </c>
      <c r="J408" t="s">
        <v>1407</v>
      </c>
      <c r="K408" t="str">
        <f>"523344460"</f>
        <v>523344460</v>
      </c>
      <c r="L408" t="s">
        <v>1408</v>
      </c>
      <c r="M408" t="s">
        <v>1409</v>
      </c>
    </row>
    <row r="409" spans="1:13" x14ac:dyDescent="0.25">
      <c r="A409" t="s">
        <v>1607</v>
      </c>
      <c r="B409" t="s">
        <v>189</v>
      </c>
      <c r="C409" t="s">
        <v>667</v>
      </c>
      <c r="D409" t="s">
        <v>671</v>
      </c>
      <c r="E409" t="s">
        <v>671</v>
      </c>
      <c r="F409" t="s">
        <v>217</v>
      </c>
      <c r="G409" t="str">
        <f>"17"</f>
        <v>17</v>
      </c>
      <c r="I409" t="str">
        <f>"83-300"</f>
        <v>83-300</v>
      </c>
      <c r="J409" t="s">
        <v>671</v>
      </c>
      <c r="K409" t="str">
        <f>"587366374"</f>
        <v>587366374</v>
      </c>
      <c r="L409" t="s">
        <v>1608</v>
      </c>
      <c r="M409" t="s">
        <v>1609</v>
      </c>
    </row>
    <row r="410" spans="1:13" x14ac:dyDescent="0.25">
      <c r="A410" t="s">
        <v>1698</v>
      </c>
      <c r="B410" t="s">
        <v>189</v>
      </c>
      <c r="C410" t="s">
        <v>1699</v>
      </c>
      <c r="D410" t="s">
        <v>1700</v>
      </c>
      <c r="E410" t="s">
        <v>1700</v>
      </c>
      <c r="F410" t="s">
        <v>1701</v>
      </c>
      <c r="G410" t="str">
        <f>"8"</f>
        <v>8</v>
      </c>
      <c r="I410" t="str">
        <f>"82-500"</f>
        <v>82-500</v>
      </c>
      <c r="J410" t="s">
        <v>1700</v>
      </c>
      <c r="K410" t="str">
        <f>"552792119"</f>
        <v>552792119</v>
      </c>
      <c r="L410" t="s">
        <v>1702</v>
      </c>
      <c r="M410" t="s">
        <v>1703</v>
      </c>
    </row>
    <row r="411" spans="1:13" x14ac:dyDescent="0.25">
      <c r="A411" t="s">
        <v>1704</v>
      </c>
      <c r="B411" t="s">
        <v>189</v>
      </c>
      <c r="C411" t="s">
        <v>1699</v>
      </c>
      <c r="D411" t="s">
        <v>1705</v>
      </c>
      <c r="E411" t="s">
        <v>1705</v>
      </c>
      <c r="F411" t="s">
        <v>1706</v>
      </c>
      <c r="G411" t="str">
        <f>"1"</f>
        <v>1</v>
      </c>
      <c r="I411" t="str">
        <f>"82-550"</f>
        <v>82-550</v>
      </c>
      <c r="J411" t="s">
        <v>1705</v>
      </c>
      <c r="K411" t="str">
        <f>"552782116"</f>
        <v>552782116</v>
      </c>
      <c r="L411" t="s">
        <v>1707</v>
      </c>
      <c r="M411" t="s">
        <v>1708</v>
      </c>
    </row>
    <row r="412" spans="1:13" x14ac:dyDescent="0.25">
      <c r="A412" t="s">
        <v>1785</v>
      </c>
      <c r="B412" t="s">
        <v>189</v>
      </c>
      <c r="C412" t="s">
        <v>1391</v>
      </c>
      <c r="D412" t="s">
        <v>1786</v>
      </c>
      <c r="E412" t="s">
        <v>1786</v>
      </c>
      <c r="F412" t="s">
        <v>1787</v>
      </c>
      <c r="G412" t="str">
        <f>"4a"</f>
        <v>4a</v>
      </c>
      <c r="I412" t="str">
        <f>"77-200"</f>
        <v>77-200</v>
      </c>
      <c r="J412" t="s">
        <v>1786</v>
      </c>
      <c r="K412" t="str">
        <f>"598570400"</f>
        <v>598570400</v>
      </c>
      <c r="L412" t="s">
        <v>1788</v>
      </c>
      <c r="M412" t="s">
        <v>1789</v>
      </c>
    </row>
    <row r="413" spans="1:13" x14ac:dyDescent="0.25">
      <c r="A413" t="s">
        <v>1988</v>
      </c>
      <c r="B413" t="s">
        <v>189</v>
      </c>
      <c r="C413" t="s">
        <v>1989</v>
      </c>
      <c r="D413" t="s">
        <v>1990</v>
      </c>
      <c r="E413" t="s">
        <v>1990</v>
      </c>
      <c r="F413" t="s">
        <v>447</v>
      </c>
      <c r="G413" t="str">
        <f>"2"</f>
        <v>2</v>
      </c>
      <c r="I413" t="str">
        <f>"83-000"</f>
        <v>83-000</v>
      </c>
      <c r="J413" t="s">
        <v>1990</v>
      </c>
      <c r="K413" t="str">
        <f>"586823304"</f>
        <v>586823304</v>
      </c>
      <c r="L413" t="s">
        <v>1991</v>
      </c>
      <c r="M413" t="s">
        <v>1992</v>
      </c>
    </row>
    <row r="414" spans="1:13" x14ac:dyDescent="0.25">
      <c r="A414" t="s">
        <v>2063</v>
      </c>
      <c r="B414" t="s">
        <v>189</v>
      </c>
      <c r="C414" t="s">
        <v>2064</v>
      </c>
      <c r="D414" t="s">
        <v>2065</v>
      </c>
      <c r="E414" t="s">
        <v>2065</v>
      </c>
      <c r="F414" t="s">
        <v>2066</v>
      </c>
      <c r="G414" t="str">
        <f>"3"</f>
        <v>3</v>
      </c>
      <c r="I414" t="str">
        <f>"84-230"</f>
        <v>84-230</v>
      </c>
      <c r="J414" t="s">
        <v>2065</v>
      </c>
      <c r="K414" t="str">
        <f>"586710956"</f>
        <v>586710956</v>
      </c>
      <c r="L414" t="s">
        <v>2067</v>
      </c>
      <c r="M414" t="s">
        <v>2068</v>
      </c>
    </row>
    <row r="415" spans="1:13" x14ac:dyDescent="0.25">
      <c r="A415" t="s">
        <v>2126</v>
      </c>
      <c r="B415" t="s">
        <v>189</v>
      </c>
      <c r="C415" t="s">
        <v>2127</v>
      </c>
      <c r="D415" t="s">
        <v>2127</v>
      </c>
      <c r="E415" t="s">
        <v>2127</v>
      </c>
      <c r="F415" t="s">
        <v>2128</v>
      </c>
      <c r="G415" t="str">
        <f>"23/25"</f>
        <v>23/25</v>
      </c>
      <c r="I415" t="str">
        <f>"81-742"</f>
        <v>81-742</v>
      </c>
      <c r="J415" t="s">
        <v>2127</v>
      </c>
      <c r="K415" t="str">
        <f>"585515133"</f>
        <v>585515133</v>
      </c>
      <c r="L415" t="s">
        <v>2129</v>
      </c>
      <c r="M415" t="s">
        <v>2130</v>
      </c>
    </row>
    <row r="416" spans="1:13" x14ac:dyDescent="0.25">
      <c r="A416" t="s">
        <v>2152</v>
      </c>
      <c r="B416" t="s">
        <v>189</v>
      </c>
      <c r="C416" t="s">
        <v>2153</v>
      </c>
      <c r="D416" t="s">
        <v>2154</v>
      </c>
      <c r="E416" t="s">
        <v>2154</v>
      </c>
      <c r="F416" t="s">
        <v>2155</v>
      </c>
      <c r="G416" t="str">
        <f>"28"</f>
        <v>28</v>
      </c>
      <c r="I416" t="str">
        <f>"83-200"</f>
        <v>83-200</v>
      </c>
      <c r="J416" t="s">
        <v>2154</v>
      </c>
      <c r="K416" t="str">
        <f>"585622982"</f>
        <v>585622982</v>
      </c>
      <c r="L416" t="s">
        <v>2156</v>
      </c>
      <c r="M416" t="s">
        <v>2157</v>
      </c>
    </row>
    <row r="417" spans="1:13" x14ac:dyDescent="0.25">
      <c r="A417" t="s">
        <v>2207</v>
      </c>
      <c r="B417" t="s">
        <v>189</v>
      </c>
      <c r="C417" t="s">
        <v>2208</v>
      </c>
      <c r="D417" t="s">
        <v>2209</v>
      </c>
      <c r="E417" t="s">
        <v>2209</v>
      </c>
      <c r="F417" t="s">
        <v>447</v>
      </c>
      <c r="G417" t="str">
        <f>"6"</f>
        <v>6</v>
      </c>
      <c r="I417" t="str">
        <f>"83-110"</f>
        <v>83-110</v>
      </c>
      <c r="J417" t="s">
        <v>2209</v>
      </c>
      <c r="K417" t="str">
        <f>"0585311009"</f>
        <v>0585311009</v>
      </c>
      <c r="L417" t="s">
        <v>2210</v>
      </c>
      <c r="M417" t="s">
        <v>2211</v>
      </c>
    </row>
    <row r="418" spans="1:13" x14ac:dyDescent="0.25">
      <c r="A418" t="s">
        <v>2255</v>
      </c>
      <c r="B418" t="s">
        <v>189</v>
      </c>
      <c r="C418" t="s">
        <v>2064</v>
      </c>
      <c r="D418" t="s">
        <v>2069</v>
      </c>
      <c r="E418" t="s">
        <v>2069</v>
      </c>
      <c r="F418" t="s">
        <v>2256</v>
      </c>
      <c r="G418" t="str">
        <f>"22"</f>
        <v>22</v>
      </c>
      <c r="I418" t="str">
        <f>"84-200"</f>
        <v>84-200</v>
      </c>
      <c r="J418" t="s">
        <v>2069</v>
      </c>
      <c r="K418" t="str">
        <f>"587708540"</f>
        <v>587708540</v>
      </c>
      <c r="L418" t="s">
        <v>2257</v>
      </c>
      <c r="M418" t="s">
        <v>2068</v>
      </c>
    </row>
    <row r="419" spans="1:13" x14ac:dyDescent="0.25">
      <c r="A419" t="s">
        <v>2865</v>
      </c>
      <c r="B419" t="s">
        <v>189</v>
      </c>
      <c r="C419" t="s">
        <v>1020</v>
      </c>
      <c r="D419" t="s">
        <v>1020</v>
      </c>
      <c r="E419" t="s">
        <v>1020</v>
      </c>
      <c r="F419" t="s">
        <v>2866</v>
      </c>
      <c r="G419" t="str">
        <f>"21"</f>
        <v>21</v>
      </c>
      <c r="I419" t="str">
        <f>"80-704"</f>
        <v>80-704</v>
      </c>
      <c r="J419" t="s">
        <v>1020</v>
      </c>
      <c r="K419" t="str">
        <f>"583011815"</f>
        <v>583011815</v>
      </c>
      <c r="L419" t="s">
        <v>2867</v>
      </c>
      <c r="M419" t="s">
        <v>2868</v>
      </c>
    </row>
    <row r="420" spans="1:13" x14ac:dyDescent="0.25">
      <c r="A420" t="s">
        <v>13</v>
      </c>
      <c r="B420" t="s">
        <v>14</v>
      </c>
      <c r="C420" t="s">
        <v>15</v>
      </c>
      <c r="D420" t="s">
        <v>15</v>
      </c>
      <c r="E420" t="s">
        <v>15</v>
      </c>
      <c r="F420" t="s">
        <v>16</v>
      </c>
      <c r="G420" t="str">
        <f>"40"</f>
        <v>40</v>
      </c>
      <c r="I420" t="str">
        <f>"42-216"</f>
        <v>42-216</v>
      </c>
      <c r="J420" t="s">
        <v>15</v>
      </c>
      <c r="K420" t="str">
        <f>"533377180"</f>
        <v>533377180</v>
      </c>
      <c r="L420" t="s">
        <v>17</v>
      </c>
      <c r="M420" t="s">
        <v>18</v>
      </c>
    </row>
    <row r="421" spans="1:13" x14ac:dyDescent="0.25">
      <c r="A421" t="s">
        <v>158</v>
      </c>
      <c r="B421" t="s">
        <v>14</v>
      </c>
      <c r="C421" t="s">
        <v>181</v>
      </c>
      <c r="D421" t="s">
        <v>181</v>
      </c>
      <c r="E421" t="s">
        <v>181</v>
      </c>
      <c r="F421" t="s">
        <v>182</v>
      </c>
      <c r="G421" t="str">
        <f>"2"</f>
        <v>2</v>
      </c>
      <c r="I421" t="str">
        <f>"41-902"</f>
        <v>41-902</v>
      </c>
      <c r="J421" t="s">
        <v>181</v>
      </c>
      <c r="K421" t="str">
        <f>"322819405"</f>
        <v>322819405</v>
      </c>
      <c r="L421" t="s">
        <v>183</v>
      </c>
      <c r="M421" t="s">
        <v>184</v>
      </c>
    </row>
    <row r="422" spans="1:13" x14ac:dyDescent="0.25">
      <c r="A422" t="s">
        <v>240</v>
      </c>
      <c r="B422" t="s">
        <v>14</v>
      </c>
      <c r="C422" t="s">
        <v>241</v>
      </c>
      <c r="D422" t="s">
        <v>242</v>
      </c>
      <c r="E422" t="s">
        <v>242</v>
      </c>
      <c r="F422" t="s">
        <v>243</v>
      </c>
      <c r="G422" t="str">
        <f>"80"</f>
        <v>80</v>
      </c>
      <c r="I422" t="str">
        <f>"42-400"</f>
        <v>42-400</v>
      </c>
      <c r="J422" t="s">
        <v>242</v>
      </c>
      <c r="K422" t="str">
        <f>"324941500"</f>
        <v>324941500</v>
      </c>
      <c r="L422" t="s">
        <v>244</v>
      </c>
    </row>
    <row r="423" spans="1:13" x14ac:dyDescent="0.25">
      <c r="A423" t="s">
        <v>294</v>
      </c>
      <c r="B423" t="s">
        <v>14</v>
      </c>
      <c r="C423" t="s">
        <v>295</v>
      </c>
      <c r="D423" t="s">
        <v>296</v>
      </c>
      <c r="E423" t="s">
        <v>296</v>
      </c>
      <c r="F423" t="s">
        <v>297</v>
      </c>
      <c r="G423" t="str">
        <f>"13a"</f>
        <v>13a</v>
      </c>
      <c r="I423" t="str">
        <f>"43-400"</f>
        <v>43-400</v>
      </c>
      <c r="J423" t="s">
        <v>296</v>
      </c>
      <c r="K423" t="str">
        <f>"0338522433"</f>
        <v>0338522433</v>
      </c>
      <c r="L423" t="s">
        <v>298</v>
      </c>
    </row>
    <row r="424" spans="1:13" x14ac:dyDescent="0.25">
      <c r="A424" t="s">
        <v>319</v>
      </c>
      <c r="B424" t="s">
        <v>14</v>
      </c>
      <c r="C424" t="s">
        <v>320</v>
      </c>
      <c r="D424" t="s">
        <v>320</v>
      </c>
      <c r="E424" t="s">
        <v>320</v>
      </c>
      <c r="F424" t="s">
        <v>321</v>
      </c>
      <c r="G424" t="str">
        <f>"22"</f>
        <v>22</v>
      </c>
      <c r="I424" t="str">
        <f>"41-300"</f>
        <v>41-300</v>
      </c>
      <c r="J424" t="s">
        <v>320</v>
      </c>
      <c r="K424" t="str">
        <f>"322623811"</f>
        <v>322623811</v>
      </c>
      <c r="L424" t="s">
        <v>322</v>
      </c>
      <c r="M424" t="s">
        <v>323</v>
      </c>
    </row>
    <row r="425" spans="1:13" x14ac:dyDescent="0.25">
      <c r="A425" t="s">
        <v>473</v>
      </c>
      <c r="B425" t="s">
        <v>14</v>
      </c>
      <c r="C425" t="s">
        <v>474</v>
      </c>
      <c r="D425" t="s">
        <v>475</v>
      </c>
      <c r="E425" t="s">
        <v>475</v>
      </c>
      <c r="F425" t="s">
        <v>476</v>
      </c>
      <c r="G425" t="str">
        <f>"4"</f>
        <v>4</v>
      </c>
      <c r="I425" t="str">
        <f>"43-190"</f>
        <v>43-190</v>
      </c>
      <c r="J425" t="s">
        <v>475</v>
      </c>
      <c r="K425" t="str">
        <f>"322262071"</f>
        <v>322262071</v>
      </c>
      <c r="L425" t="s">
        <v>477</v>
      </c>
      <c r="M425" t="s">
        <v>478</v>
      </c>
    </row>
    <row r="426" spans="1:13" x14ac:dyDescent="0.25">
      <c r="A426" t="s">
        <v>554</v>
      </c>
      <c r="B426" t="s">
        <v>14</v>
      </c>
      <c r="C426" t="s">
        <v>555</v>
      </c>
      <c r="D426" t="s">
        <v>556</v>
      </c>
      <c r="E426" t="s">
        <v>556</v>
      </c>
      <c r="F426" t="s">
        <v>557</v>
      </c>
      <c r="G426" t="str">
        <f>"5"</f>
        <v>5</v>
      </c>
      <c r="I426" t="str">
        <f>"43-200"</f>
        <v>43-200</v>
      </c>
      <c r="J426" t="s">
        <v>556</v>
      </c>
      <c r="K426" t="str">
        <f>"322103716"</f>
        <v>322103716</v>
      </c>
      <c r="L426" t="s">
        <v>558</v>
      </c>
      <c r="M426" t="s">
        <v>559</v>
      </c>
    </row>
    <row r="427" spans="1:13" x14ac:dyDescent="0.25">
      <c r="A427" t="s">
        <v>581</v>
      </c>
      <c r="B427" t="s">
        <v>14</v>
      </c>
      <c r="C427" t="s">
        <v>295</v>
      </c>
      <c r="D427" t="s">
        <v>582</v>
      </c>
      <c r="E427" t="s">
        <v>582</v>
      </c>
      <c r="F427" t="s">
        <v>583</v>
      </c>
      <c r="G427" t="str">
        <f>"65a"</f>
        <v>65a</v>
      </c>
      <c r="I427" t="str">
        <f>"43-430"</f>
        <v>43-430</v>
      </c>
      <c r="J427" t="s">
        <v>582</v>
      </c>
      <c r="K427" t="str">
        <f>"0338532554"</f>
        <v>0338532554</v>
      </c>
      <c r="L427" t="s">
        <v>584</v>
      </c>
    </row>
    <row r="428" spans="1:13" x14ac:dyDescent="0.25">
      <c r="A428" t="s">
        <v>709</v>
      </c>
      <c r="B428" t="s">
        <v>14</v>
      </c>
      <c r="C428" t="s">
        <v>710</v>
      </c>
      <c r="D428" t="s">
        <v>710</v>
      </c>
      <c r="E428" t="s">
        <v>710</v>
      </c>
      <c r="F428" t="s">
        <v>321</v>
      </c>
      <c r="G428" t="str">
        <f>"31"</f>
        <v>31</v>
      </c>
      <c r="I428" t="str">
        <f>"44-200"</f>
        <v>44-200</v>
      </c>
      <c r="J428" t="s">
        <v>710</v>
      </c>
      <c r="K428" t="str">
        <f>"324311267"</f>
        <v>324311267</v>
      </c>
      <c r="L428" t="s">
        <v>711</v>
      </c>
      <c r="M428" t="s">
        <v>712</v>
      </c>
    </row>
    <row r="429" spans="1:13" x14ac:dyDescent="0.25">
      <c r="A429" t="s">
        <v>739</v>
      </c>
      <c r="B429" t="s">
        <v>14</v>
      </c>
      <c r="C429" t="s">
        <v>740</v>
      </c>
      <c r="D429" t="s">
        <v>741</v>
      </c>
      <c r="E429" t="s">
        <v>741</v>
      </c>
      <c r="F429" t="s">
        <v>281</v>
      </c>
      <c r="G429" t="str">
        <f>"17"</f>
        <v>17</v>
      </c>
      <c r="I429" t="str">
        <f>"34-360"</f>
        <v>34-360</v>
      </c>
      <c r="J429" t="s">
        <v>741</v>
      </c>
      <c r="K429" t="str">
        <f>"338642125"</f>
        <v>338642125</v>
      </c>
      <c r="L429" t="s">
        <v>742</v>
      </c>
      <c r="M429" t="s">
        <v>743</v>
      </c>
    </row>
    <row r="430" spans="1:13" x14ac:dyDescent="0.25">
      <c r="A430" t="s">
        <v>792</v>
      </c>
      <c r="B430" t="s">
        <v>14</v>
      </c>
      <c r="C430" t="s">
        <v>793</v>
      </c>
      <c r="D430" t="s">
        <v>794</v>
      </c>
      <c r="E430" t="s">
        <v>794</v>
      </c>
      <c r="F430" t="s">
        <v>795</v>
      </c>
      <c r="G430" t="str">
        <f>"14"</f>
        <v>14</v>
      </c>
      <c r="I430" t="str">
        <f>"47-400"</f>
        <v>47-400</v>
      </c>
      <c r="J430" t="s">
        <v>794</v>
      </c>
      <c r="K430" t="str">
        <f>"324153547"</f>
        <v>324153547</v>
      </c>
      <c r="L430" t="s">
        <v>796</v>
      </c>
    </row>
    <row r="431" spans="1:13" x14ac:dyDescent="0.25">
      <c r="A431" t="s">
        <v>806</v>
      </c>
      <c r="B431" t="s">
        <v>14</v>
      </c>
      <c r="C431" t="s">
        <v>832</v>
      </c>
      <c r="D431" t="s">
        <v>832</v>
      </c>
      <c r="E431" t="s">
        <v>832</v>
      </c>
      <c r="F431" t="s">
        <v>833</v>
      </c>
      <c r="G431" t="str">
        <f>"23"</f>
        <v>23</v>
      </c>
      <c r="I431" t="str">
        <f>"41-506"</f>
        <v>41-506</v>
      </c>
      <c r="J431" t="s">
        <v>832</v>
      </c>
      <c r="K431" t="str">
        <f>"322415439"</f>
        <v>322415439</v>
      </c>
      <c r="L431" t="s">
        <v>834</v>
      </c>
      <c r="M431" t="s">
        <v>835</v>
      </c>
    </row>
    <row r="432" spans="1:13" x14ac:dyDescent="0.25">
      <c r="A432" t="s">
        <v>806</v>
      </c>
      <c r="B432" t="s">
        <v>14</v>
      </c>
      <c r="C432" t="s">
        <v>864</v>
      </c>
      <c r="D432" t="s">
        <v>864</v>
      </c>
      <c r="E432" t="s">
        <v>864</v>
      </c>
      <c r="F432" t="s">
        <v>865</v>
      </c>
      <c r="G432" t="str">
        <f>"102"</f>
        <v>102</v>
      </c>
      <c r="I432" t="str">
        <f>"43-100"</f>
        <v>43-100</v>
      </c>
      <c r="J432" t="s">
        <v>864</v>
      </c>
      <c r="K432" t="str">
        <f>"322272392"</f>
        <v>322272392</v>
      </c>
      <c r="L432" t="s">
        <v>866</v>
      </c>
      <c r="M432" t="s">
        <v>867</v>
      </c>
    </row>
    <row r="433" spans="1:13" x14ac:dyDescent="0.25">
      <c r="A433" t="s">
        <v>806</v>
      </c>
      <c r="B433" t="s">
        <v>14</v>
      </c>
      <c r="C433" t="s">
        <v>927</v>
      </c>
      <c r="D433" t="s">
        <v>927</v>
      </c>
      <c r="E433" t="s">
        <v>927</v>
      </c>
      <c r="F433" t="s">
        <v>897</v>
      </c>
      <c r="G433" t="str">
        <f>"12"</f>
        <v>12</v>
      </c>
      <c r="I433" t="str">
        <f>"44-335"</f>
        <v>44-335</v>
      </c>
      <c r="J433" t="s">
        <v>927</v>
      </c>
      <c r="K433" t="str">
        <f>"324717878"</f>
        <v>324717878</v>
      </c>
      <c r="L433" t="s">
        <v>928</v>
      </c>
      <c r="M433" t="s">
        <v>929</v>
      </c>
    </row>
    <row r="434" spans="1:13" x14ac:dyDescent="0.25">
      <c r="A434" t="s">
        <v>806</v>
      </c>
      <c r="B434" t="s">
        <v>14</v>
      </c>
      <c r="C434" t="s">
        <v>951</v>
      </c>
      <c r="D434" t="s">
        <v>951</v>
      </c>
      <c r="E434" t="s">
        <v>951</v>
      </c>
      <c r="F434" t="s">
        <v>952</v>
      </c>
      <c r="G434" t="str">
        <f>"1"</f>
        <v>1</v>
      </c>
      <c r="H434" t="str">
        <f>"207"</f>
        <v>207</v>
      </c>
      <c r="I434" t="str">
        <f>"44-240"</f>
        <v>44-240</v>
      </c>
      <c r="J434" t="s">
        <v>951</v>
      </c>
      <c r="K434" t="str">
        <f>"324345329"</f>
        <v>324345329</v>
      </c>
      <c r="L434" t="s">
        <v>953</v>
      </c>
      <c r="M434" t="s">
        <v>954</v>
      </c>
    </row>
    <row r="435" spans="1:13" x14ac:dyDescent="0.25">
      <c r="A435" t="s">
        <v>985</v>
      </c>
      <c r="B435" t="s">
        <v>14</v>
      </c>
      <c r="C435" t="s">
        <v>995</v>
      </c>
      <c r="D435" t="s">
        <v>995</v>
      </c>
      <c r="E435" t="s">
        <v>995</v>
      </c>
      <c r="F435" t="s">
        <v>996</v>
      </c>
      <c r="G435" t="str">
        <f>"14"</f>
        <v>14</v>
      </c>
      <c r="I435" t="str">
        <f>"40-837"</f>
        <v>40-837</v>
      </c>
      <c r="J435" t="s">
        <v>995</v>
      </c>
      <c r="K435" t="str">
        <f>"322542312"</f>
        <v>322542312</v>
      </c>
      <c r="L435" t="s">
        <v>997</v>
      </c>
      <c r="M435" t="s">
        <v>998</v>
      </c>
    </row>
    <row r="436" spans="1:13" x14ac:dyDescent="0.25">
      <c r="A436" t="s">
        <v>1058</v>
      </c>
      <c r="B436" t="s">
        <v>14</v>
      </c>
      <c r="C436" t="s">
        <v>1059</v>
      </c>
      <c r="D436" t="s">
        <v>1059</v>
      </c>
      <c r="E436" t="s">
        <v>1059</v>
      </c>
      <c r="F436" t="s">
        <v>721</v>
      </c>
      <c r="G436" t="str">
        <f>"114"</f>
        <v>114</v>
      </c>
      <c r="I436" t="str">
        <f>"41-209"</f>
        <v>41-209</v>
      </c>
      <c r="J436" t="s">
        <v>1059</v>
      </c>
      <c r="K436" t="str">
        <f>"322661471"</f>
        <v>322661471</v>
      </c>
      <c r="L436" t="s">
        <v>1060</v>
      </c>
      <c r="M436" t="s">
        <v>1061</v>
      </c>
    </row>
    <row r="437" spans="1:13" x14ac:dyDescent="0.25">
      <c r="A437" t="s">
        <v>1125</v>
      </c>
      <c r="B437" t="s">
        <v>14</v>
      </c>
      <c r="C437" t="s">
        <v>995</v>
      </c>
      <c r="D437" t="s">
        <v>995</v>
      </c>
      <c r="E437" t="s">
        <v>995</v>
      </c>
      <c r="F437" t="s">
        <v>1126</v>
      </c>
      <c r="G437" t="str">
        <f>"6a"</f>
        <v>6a</v>
      </c>
      <c r="I437" t="str">
        <f>"40-648"</f>
        <v>40-648</v>
      </c>
      <c r="J437" t="s">
        <v>995</v>
      </c>
      <c r="K437" t="str">
        <f>"322527959"</f>
        <v>322527959</v>
      </c>
      <c r="L437" t="s">
        <v>1127</v>
      </c>
      <c r="M437" t="s">
        <v>1128</v>
      </c>
    </row>
    <row r="438" spans="1:13" x14ac:dyDescent="0.25">
      <c r="A438" t="s">
        <v>1153</v>
      </c>
      <c r="B438" t="s">
        <v>14</v>
      </c>
      <c r="C438" t="s">
        <v>1059</v>
      </c>
      <c r="D438" t="s">
        <v>1059</v>
      </c>
      <c r="E438" t="s">
        <v>1059</v>
      </c>
      <c r="F438" t="s">
        <v>1154</v>
      </c>
      <c r="G438" t="str">
        <f>"17"</f>
        <v>17</v>
      </c>
      <c r="I438" t="str">
        <f>"41-219"</f>
        <v>41-219</v>
      </c>
      <c r="J438" t="s">
        <v>1059</v>
      </c>
      <c r="K438" t="str">
        <f>"322633034"</f>
        <v>322633034</v>
      </c>
      <c r="L438" t="s">
        <v>1155</v>
      </c>
      <c r="M438" t="s">
        <v>1156</v>
      </c>
    </row>
    <row r="439" spans="1:13" x14ac:dyDescent="0.25">
      <c r="A439" t="s">
        <v>1166</v>
      </c>
      <c r="B439" t="s">
        <v>14</v>
      </c>
      <c r="C439" t="s">
        <v>995</v>
      </c>
      <c r="D439" t="s">
        <v>995</v>
      </c>
      <c r="E439" t="s">
        <v>995</v>
      </c>
      <c r="F439" t="s">
        <v>1168</v>
      </c>
      <c r="G439" t="str">
        <f>"58"</f>
        <v>58</v>
      </c>
      <c r="I439" t="str">
        <f>"40-431"</f>
        <v>40-431</v>
      </c>
      <c r="J439" t="s">
        <v>995</v>
      </c>
      <c r="K439" t="str">
        <f>"322557051"</f>
        <v>322557051</v>
      </c>
      <c r="L439" t="s">
        <v>1169</v>
      </c>
      <c r="M439" t="s">
        <v>1170</v>
      </c>
    </row>
    <row r="440" spans="1:13" x14ac:dyDescent="0.25">
      <c r="A440" t="s">
        <v>1225</v>
      </c>
      <c r="B440" t="s">
        <v>14</v>
      </c>
      <c r="C440" t="s">
        <v>995</v>
      </c>
      <c r="D440" t="s">
        <v>995</v>
      </c>
      <c r="E440" t="s">
        <v>995</v>
      </c>
      <c r="F440" t="s">
        <v>1238</v>
      </c>
      <c r="G440" t="str">
        <f>"17"</f>
        <v>17</v>
      </c>
      <c r="I440" t="str">
        <f>"40-126"</f>
        <v>40-126</v>
      </c>
      <c r="J440" t="s">
        <v>995</v>
      </c>
      <c r="K440" t="str">
        <f>"322035446"</f>
        <v>322035446</v>
      </c>
      <c r="L440" t="s">
        <v>1239</v>
      </c>
      <c r="M440" t="s">
        <v>1240</v>
      </c>
    </row>
    <row r="441" spans="1:13" x14ac:dyDescent="0.25">
      <c r="A441" t="s">
        <v>1320</v>
      </c>
      <c r="B441" t="s">
        <v>14</v>
      </c>
      <c r="C441" t="s">
        <v>1321</v>
      </c>
      <c r="D441" t="s">
        <v>1322</v>
      </c>
      <c r="E441" t="s">
        <v>1322</v>
      </c>
      <c r="F441" t="s">
        <v>1323</v>
      </c>
      <c r="G441" t="str">
        <f>"130"</f>
        <v>130</v>
      </c>
      <c r="I441" t="str">
        <f>"43-155"</f>
        <v>43-155</v>
      </c>
      <c r="J441" t="s">
        <v>1322</v>
      </c>
      <c r="K441" t="str">
        <f>"322163690"</f>
        <v>322163690</v>
      </c>
      <c r="L441" t="s">
        <v>1324</v>
      </c>
      <c r="M441" t="s">
        <v>1325</v>
      </c>
    </row>
    <row r="442" spans="1:13" x14ac:dyDescent="0.25">
      <c r="A442" t="s">
        <v>1469</v>
      </c>
      <c r="B442" t="s">
        <v>14</v>
      </c>
      <c r="C442" t="s">
        <v>1470</v>
      </c>
      <c r="D442" t="s">
        <v>1470</v>
      </c>
      <c r="E442" t="s">
        <v>1470</v>
      </c>
      <c r="F442" t="s">
        <v>1471</v>
      </c>
      <c r="G442" t="str">
        <f>"1"</f>
        <v>1</v>
      </c>
      <c r="I442" t="str">
        <f>"44-102"</f>
        <v>44-102</v>
      </c>
      <c r="J442" t="s">
        <v>1470</v>
      </c>
      <c r="K442" t="str">
        <f>"322310569"</f>
        <v>322310569</v>
      </c>
      <c r="L442" t="s">
        <v>1472</v>
      </c>
      <c r="M442" t="s">
        <v>1473</v>
      </c>
    </row>
    <row r="443" spans="1:13" x14ac:dyDescent="0.25">
      <c r="A443" t="s">
        <v>1585</v>
      </c>
      <c r="B443" t="s">
        <v>14</v>
      </c>
      <c r="C443" t="s">
        <v>1586</v>
      </c>
      <c r="D443" t="s">
        <v>1586</v>
      </c>
      <c r="E443" t="s">
        <v>1586</v>
      </c>
      <c r="F443" t="s">
        <v>1587</v>
      </c>
      <c r="G443" t="str">
        <f>"14"</f>
        <v>14</v>
      </c>
      <c r="I443" t="str">
        <f>"43-603"</f>
        <v>43-603</v>
      </c>
      <c r="J443" t="s">
        <v>1586</v>
      </c>
      <c r="K443" t="str">
        <f>"327629137"</f>
        <v>327629137</v>
      </c>
      <c r="L443" t="s">
        <v>1588</v>
      </c>
      <c r="M443" t="s">
        <v>1589</v>
      </c>
    </row>
    <row r="444" spans="1:13" x14ac:dyDescent="0.25">
      <c r="A444" t="s">
        <v>1631</v>
      </c>
      <c r="B444" t="s">
        <v>14</v>
      </c>
      <c r="C444" t="s">
        <v>1632</v>
      </c>
      <c r="D444" t="s">
        <v>1633</v>
      </c>
      <c r="E444" t="s">
        <v>1633</v>
      </c>
      <c r="F444" t="s">
        <v>1634</v>
      </c>
      <c r="G444" t="str">
        <f>"5a"</f>
        <v>5a</v>
      </c>
      <c r="I444" t="str">
        <f>"44-194"</f>
        <v>44-194</v>
      </c>
      <c r="J444" t="s">
        <v>1633</v>
      </c>
      <c r="K444" t="str">
        <f>"322351476"</f>
        <v>322351476</v>
      </c>
      <c r="L444" t="s">
        <v>1635</v>
      </c>
      <c r="M444" t="s">
        <v>1636</v>
      </c>
    </row>
    <row r="445" spans="1:13" x14ac:dyDescent="0.25">
      <c r="A445" t="s">
        <v>1849</v>
      </c>
      <c r="B445" t="s">
        <v>14</v>
      </c>
      <c r="C445" t="s">
        <v>1850</v>
      </c>
      <c r="D445" t="s">
        <v>1850</v>
      </c>
      <c r="E445" t="s">
        <v>1850</v>
      </c>
      <c r="F445" t="s">
        <v>1851</v>
      </c>
      <c r="G445" t="str">
        <f>"84a"</f>
        <v>84a</v>
      </c>
      <c r="I445" t="str">
        <f>"41-400"</f>
        <v>41-400</v>
      </c>
      <c r="J445" t="s">
        <v>1850</v>
      </c>
      <c r="K445" t="str">
        <f>"0322225203"</f>
        <v>0322225203</v>
      </c>
      <c r="L445" t="s">
        <v>1852</v>
      </c>
      <c r="M445" t="s">
        <v>1853</v>
      </c>
    </row>
    <row r="446" spans="1:13" x14ac:dyDescent="0.25">
      <c r="A446" t="s">
        <v>1955</v>
      </c>
      <c r="B446" t="s">
        <v>14</v>
      </c>
      <c r="C446" t="s">
        <v>1956</v>
      </c>
      <c r="D446" t="s">
        <v>1956</v>
      </c>
      <c r="E446" t="s">
        <v>1956</v>
      </c>
      <c r="F446" t="s">
        <v>429</v>
      </c>
      <c r="G446" t="str">
        <f>"108"</f>
        <v>108</v>
      </c>
      <c r="I446" t="str">
        <f>"41-949"</f>
        <v>41-949</v>
      </c>
      <c r="J446" t="s">
        <v>1956</v>
      </c>
      <c r="K446" t="str">
        <f>"322879762"</f>
        <v>322879762</v>
      </c>
      <c r="L446" t="s">
        <v>1957</v>
      </c>
      <c r="M446" t="s">
        <v>1958</v>
      </c>
    </row>
    <row r="447" spans="1:13" x14ac:dyDescent="0.25">
      <c r="A447" t="s">
        <v>2013</v>
      </c>
      <c r="B447" t="s">
        <v>14</v>
      </c>
      <c r="C447" t="s">
        <v>1632</v>
      </c>
      <c r="D447" t="s">
        <v>2014</v>
      </c>
      <c r="E447" t="s">
        <v>2014</v>
      </c>
      <c r="F447" t="s">
        <v>2015</v>
      </c>
      <c r="G447" t="str">
        <f>"37"</f>
        <v>37</v>
      </c>
      <c r="I447" t="str">
        <f>"44-120"</f>
        <v>44-120</v>
      </c>
      <c r="J447" t="s">
        <v>2014</v>
      </c>
      <c r="K447" t="str">
        <f>"322333223"</f>
        <v>322333223</v>
      </c>
      <c r="L447" t="s">
        <v>2016</v>
      </c>
      <c r="M447" t="s">
        <v>2017</v>
      </c>
    </row>
    <row r="448" spans="1:13" x14ac:dyDescent="0.25">
      <c r="A448" t="s">
        <v>2059</v>
      </c>
      <c r="B448" t="s">
        <v>14</v>
      </c>
      <c r="C448" t="s">
        <v>2060</v>
      </c>
      <c r="D448" t="s">
        <v>2060</v>
      </c>
      <c r="E448" t="s">
        <v>2060</v>
      </c>
      <c r="F448" t="s">
        <v>600</v>
      </c>
      <c r="G448" t="str">
        <f>"6"</f>
        <v>6</v>
      </c>
      <c r="I448" t="str">
        <f>"41-705"</f>
        <v>41-705</v>
      </c>
      <c r="J448" t="s">
        <v>2060</v>
      </c>
      <c r="K448" t="str">
        <f>"322487306"</f>
        <v>322487306</v>
      </c>
      <c r="L448" t="s">
        <v>2061</v>
      </c>
      <c r="M448" t="s">
        <v>2062</v>
      </c>
    </row>
    <row r="449" spans="1:13" x14ac:dyDescent="0.25">
      <c r="A449" t="s">
        <v>2070</v>
      </c>
      <c r="B449" t="s">
        <v>14</v>
      </c>
      <c r="C449" t="s">
        <v>710</v>
      </c>
      <c r="D449" t="s">
        <v>710</v>
      </c>
      <c r="E449" t="s">
        <v>710</v>
      </c>
      <c r="F449" t="s">
        <v>333</v>
      </c>
      <c r="G449" t="str">
        <f>"55"</f>
        <v>55</v>
      </c>
      <c r="I449" t="str">
        <f>"44-200"</f>
        <v>44-200</v>
      </c>
      <c r="J449" t="s">
        <v>710</v>
      </c>
      <c r="K449" t="str">
        <f>"324223935"</f>
        <v>324223935</v>
      </c>
      <c r="L449" t="s">
        <v>2071</v>
      </c>
      <c r="M449" t="s">
        <v>2072</v>
      </c>
    </row>
    <row r="450" spans="1:13" x14ac:dyDescent="0.25">
      <c r="A450" t="s">
        <v>2088</v>
      </c>
      <c r="B450" t="s">
        <v>14</v>
      </c>
      <c r="C450" t="s">
        <v>2089</v>
      </c>
      <c r="D450" t="s">
        <v>2089</v>
      </c>
      <c r="E450" t="s">
        <v>2089</v>
      </c>
      <c r="F450" t="s">
        <v>2090</v>
      </c>
      <c r="G450" t="str">
        <f>"2a"</f>
        <v>2a</v>
      </c>
      <c r="I450" t="str">
        <f>"41-100"</f>
        <v>41-100</v>
      </c>
      <c r="J450" t="s">
        <v>2089</v>
      </c>
      <c r="K450" t="str">
        <f>"326086565"</f>
        <v>326086565</v>
      </c>
      <c r="L450" t="s">
        <v>2091</v>
      </c>
      <c r="M450" t="s">
        <v>2092</v>
      </c>
    </row>
    <row r="451" spans="1:13" x14ac:dyDescent="0.25">
      <c r="A451" t="s">
        <v>2184</v>
      </c>
      <c r="B451" t="s">
        <v>14</v>
      </c>
      <c r="C451" t="s">
        <v>2185</v>
      </c>
      <c r="D451" t="s">
        <v>2185</v>
      </c>
      <c r="E451" t="s">
        <v>2185</v>
      </c>
      <c r="F451" t="s">
        <v>2186</v>
      </c>
      <c r="G451" t="str">
        <f>"1"</f>
        <v>1</v>
      </c>
      <c r="I451" t="str">
        <f>"41-605"</f>
        <v>41-605</v>
      </c>
      <c r="J451" t="s">
        <v>2185</v>
      </c>
      <c r="K451" t="str">
        <f>"322454910"</f>
        <v>322454910</v>
      </c>
      <c r="L451" t="s">
        <v>2187</v>
      </c>
      <c r="M451" t="s">
        <v>2188</v>
      </c>
    </row>
    <row r="452" spans="1:13" x14ac:dyDescent="0.25">
      <c r="A452" t="s">
        <v>2298</v>
      </c>
      <c r="B452" t="s">
        <v>14</v>
      </c>
      <c r="C452" t="s">
        <v>2299</v>
      </c>
      <c r="D452" t="s">
        <v>2299</v>
      </c>
      <c r="E452" t="s">
        <v>2299</v>
      </c>
      <c r="F452" t="s">
        <v>321</v>
      </c>
      <c r="G452" t="str">
        <f>"93A"</f>
        <v>93A</v>
      </c>
      <c r="I452" t="str">
        <f>"41-800"</f>
        <v>41-800</v>
      </c>
      <c r="J452" t="s">
        <v>2299</v>
      </c>
      <c r="K452" t="str">
        <f>"323702240"</f>
        <v>323702240</v>
      </c>
      <c r="L452" t="s">
        <v>2300</v>
      </c>
      <c r="M452" t="s">
        <v>2301</v>
      </c>
    </row>
    <row r="453" spans="1:13" x14ac:dyDescent="0.25">
      <c r="A453" t="s">
        <v>2337</v>
      </c>
      <c r="B453" t="s">
        <v>14</v>
      </c>
      <c r="C453" t="s">
        <v>740</v>
      </c>
      <c r="D453" t="s">
        <v>744</v>
      </c>
      <c r="E453" t="s">
        <v>744</v>
      </c>
      <c r="F453" t="s">
        <v>2155</v>
      </c>
      <c r="G453" t="str">
        <f>"10"</f>
        <v>10</v>
      </c>
      <c r="H453" t="str">
        <f>"-"</f>
        <v>-</v>
      </c>
      <c r="I453" t="str">
        <f>"34-300"</f>
        <v>34-300</v>
      </c>
      <c r="J453" t="s">
        <v>744</v>
      </c>
      <c r="K453" t="str">
        <f>"338613309"</f>
        <v>338613309</v>
      </c>
      <c r="L453" t="s">
        <v>2338</v>
      </c>
      <c r="M453" t="s">
        <v>2339</v>
      </c>
    </row>
    <row r="454" spans="1:13" x14ac:dyDescent="0.25">
      <c r="A454" t="s">
        <v>2374</v>
      </c>
      <c r="B454" t="s">
        <v>14</v>
      </c>
      <c r="C454" t="s">
        <v>2375</v>
      </c>
      <c r="D454" t="s">
        <v>2376</v>
      </c>
      <c r="E454" t="s">
        <v>2376</v>
      </c>
      <c r="F454" t="s">
        <v>857</v>
      </c>
      <c r="G454" t="str">
        <f>"16"</f>
        <v>16</v>
      </c>
      <c r="I454" t="str">
        <f>"42-600"</f>
        <v>42-600</v>
      </c>
      <c r="J454" t="s">
        <v>2376</v>
      </c>
      <c r="K454" t="str">
        <f>"322854367"</f>
        <v>322854367</v>
      </c>
      <c r="L454" t="s">
        <v>2377</v>
      </c>
      <c r="M454" t="s">
        <v>2378</v>
      </c>
    </row>
    <row r="455" spans="1:13" x14ac:dyDescent="0.25">
      <c r="A455" t="s">
        <v>2374</v>
      </c>
      <c r="B455" t="s">
        <v>14</v>
      </c>
      <c r="C455" t="s">
        <v>2384</v>
      </c>
      <c r="D455" t="s">
        <v>2385</v>
      </c>
      <c r="E455" t="s">
        <v>2385</v>
      </c>
      <c r="F455" t="s">
        <v>2386</v>
      </c>
      <c r="G455" t="str">
        <f>"46A"</f>
        <v>46A</v>
      </c>
      <c r="I455" t="str">
        <f>"42-100"</f>
        <v>42-100</v>
      </c>
      <c r="J455" t="s">
        <v>2385</v>
      </c>
      <c r="K455" t="str">
        <f>"343172757"</f>
        <v>343172757</v>
      </c>
      <c r="L455" t="s">
        <v>2387</v>
      </c>
      <c r="M455" t="s">
        <v>2388</v>
      </c>
    </row>
    <row r="456" spans="1:13" x14ac:dyDescent="0.25">
      <c r="A456" t="s">
        <v>2389</v>
      </c>
      <c r="B456" t="s">
        <v>14</v>
      </c>
      <c r="C456" t="s">
        <v>15</v>
      </c>
      <c r="D456" t="s">
        <v>15</v>
      </c>
      <c r="E456" t="s">
        <v>15</v>
      </c>
      <c r="F456" t="s">
        <v>2390</v>
      </c>
      <c r="G456" t="str">
        <f>"5"</f>
        <v>5</v>
      </c>
      <c r="I456" t="str">
        <f>"42-200"</f>
        <v>42-200</v>
      </c>
      <c r="J456" t="s">
        <v>15</v>
      </c>
      <c r="K456" t="str">
        <f>"343229201"</f>
        <v>343229201</v>
      </c>
      <c r="L456" t="s">
        <v>2391</v>
      </c>
      <c r="M456" t="s">
        <v>2392</v>
      </c>
    </row>
    <row r="457" spans="1:13" x14ac:dyDescent="0.25">
      <c r="A457" t="s">
        <v>2453</v>
      </c>
      <c r="B457" t="s">
        <v>14</v>
      </c>
      <c r="C457" t="s">
        <v>2454</v>
      </c>
      <c r="D457" t="s">
        <v>2455</v>
      </c>
      <c r="E457" t="s">
        <v>2455</v>
      </c>
      <c r="F457" t="s">
        <v>291</v>
      </c>
      <c r="G457" t="str">
        <f>"5"</f>
        <v>5</v>
      </c>
      <c r="I457" t="str">
        <f>"42-500"</f>
        <v>42-500</v>
      </c>
      <c r="J457" t="s">
        <v>2455</v>
      </c>
      <c r="K457" t="str">
        <f>"322674401"</f>
        <v>322674401</v>
      </c>
      <c r="L457" t="s">
        <v>2456</v>
      </c>
      <c r="M457" t="s">
        <v>2457</v>
      </c>
    </row>
    <row r="458" spans="1:13" x14ac:dyDescent="0.25">
      <c r="A458" t="s">
        <v>2486</v>
      </c>
      <c r="B458" t="s">
        <v>14</v>
      </c>
      <c r="C458" t="s">
        <v>679</v>
      </c>
      <c r="D458" t="s">
        <v>2487</v>
      </c>
      <c r="E458" t="s">
        <v>2487</v>
      </c>
      <c r="F458" t="s">
        <v>2488</v>
      </c>
      <c r="G458" t="str">
        <f>"48"</f>
        <v>48</v>
      </c>
      <c r="I458" t="str">
        <f>"43-502"</f>
        <v>43-502</v>
      </c>
      <c r="J458" t="s">
        <v>2487</v>
      </c>
      <c r="K458" t="str">
        <f>"322152220"</f>
        <v>322152220</v>
      </c>
      <c r="L458" t="s">
        <v>2489</v>
      </c>
      <c r="M458" t="s">
        <v>2490</v>
      </c>
    </row>
    <row r="459" spans="1:13" x14ac:dyDescent="0.25">
      <c r="A459" t="s">
        <v>2492</v>
      </c>
      <c r="B459" t="s">
        <v>14</v>
      </c>
      <c r="C459" t="s">
        <v>679</v>
      </c>
      <c r="D459" t="s">
        <v>2487</v>
      </c>
      <c r="E459" t="s">
        <v>2487</v>
      </c>
      <c r="F459" t="s">
        <v>2493</v>
      </c>
      <c r="G459" t="str">
        <f>"11"</f>
        <v>11</v>
      </c>
      <c r="I459" t="str">
        <f>"43-502"</f>
        <v>43-502</v>
      </c>
      <c r="J459" t="s">
        <v>2487</v>
      </c>
      <c r="K459" t="str">
        <f>"322152220"</f>
        <v>322152220</v>
      </c>
      <c r="L459" t="s">
        <v>2489</v>
      </c>
      <c r="M459" t="s">
        <v>2494</v>
      </c>
    </row>
    <row r="460" spans="1:13" x14ac:dyDescent="0.25">
      <c r="A460" t="s">
        <v>2495</v>
      </c>
      <c r="B460" t="s">
        <v>14</v>
      </c>
      <c r="C460" t="s">
        <v>2491</v>
      </c>
      <c r="D460" t="s">
        <v>2491</v>
      </c>
      <c r="E460" t="s">
        <v>2491</v>
      </c>
      <c r="F460" t="s">
        <v>302</v>
      </c>
      <c r="G460" t="str">
        <f>"44"</f>
        <v>44</v>
      </c>
      <c r="I460" t="str">
        <f>"43-300"</f>
        <v>43-300</v>
      </c>
      <c r="J460" t="s">
        <v>2491</v>
      </c>
      <c r="K460" t="str">
        <f>"338118247"</f>
        <v>338118247</v>
      </c>
    </row>
    <row r="461" spans="1:13" x14ac:dyDescent="0.25">
      <c r="A461" t="s">
        <v>2585</v>
      </c>
      <c r="B461" t="s">
        <v>14</v>
      </c>
      <c r="C461" t="s">
        <v>2586</v>
      </c>
      <c r="D461" t="s">
        <v>2587</v>
      </c>
      <c r="E461" t="s">
        <v>2587</v>
      </c>
      <c r="F461" t="s">
        <v>2588</v>
      </c>
      <c r="G461" t="str">
        <f>"23"</f>
        <v>23</v>
      </c>
      <c r="I461" t="str">
        <f>"44-310"</f>
        <v>44-310</v>
      </c>
      <c r="J461" t="s">
        <v>2587</v>
      </c>
      <c r="K461" t="str">
        <f>"324561993"</f>
        <v>324561993</v>
      </c>
      <c r="L461" t="s">
        <v>2589</v>
      </c>
      <c r="M461" t="s">
        <v>2590</v>
      </c>
    </row>
    <row r="462" spans="1:13" x14ac:dyDescent="0.25">
      <c r="A462" t="s">
        <v>2649</v>
      </c>
      <c r="B462" t="s">
        <v>14</v>
      </c>
      <c r="C462" t="s">
        <v>2650</v>
      </c>
      <c r="D462" t="s">
        <v>2651</v>
      </c>
      <c r="E462" t="s">
        <v>2651</v>
      </c>
      <c r="F462" t="s">
        <v>177</v>
      </c>
      <c r="G462" t="str">
        <f>"9"</f>
        <v>9</v>
      </c>
      <c r="I462" t="str">
        <f>"42-700"</f>
        <v>42-700</v>
      </c>
      <c r="J462" t="s">
        <v>2651</v>
      </c>
      <c r="K462" t="str">
        <f>"343562966"</f>
        <v>343562966</v>
      </c>
      <c r="L462" t="s">
        <v>2652</v>
      </c>
      <c r="M462" t="s">
        <v>2653</v>
      </c>
    </row>
    <row r="463" spans="1:13" x14ac:dyDescent="0.25">
      <c r="A463" t="s">
        <v>2654</v>
      </c>
      <c r="B463" t="s">
        <v>14</v>
      </c>
      <c r="C463" t="s">
        <v>2655</v>
      </c>
      <c r="D463" t="s">
        <v>2656</v>
      </c>
      <c r="E463" t="s">
        <v>2656</v>
      </c>
      <c r="F463" t="s">
        <v>2657</v>
      </c>
      <c r="G463" t="str">
        <f>"8"</f>
        <v>8</v>
      </c>
      <c r="I463" t="str">
        <f>"42-230"</f>
        <v>42-230</v>
      </c>
      <c r="J463" t="s">
        <v>2656</v>
      </c>
      <c r="K463" t="str">
        <f>"343551673"</f>
        <v>343551673</v>
      </c>
      <c r="L463" t="s">
        <v>2658</v>
      </c>
      <c r="M463" t="s">
        <v>2659</v>
      </c>
    </row>
    <row r="464" spans="1:13" x14ac:dyDescent="0.25">
      <c r="A464" t="s">
        <v>2683</v>
      </c>
      <c r="B464" t="s">
        <v>14</v>
      </c>
      <c r="C464" t="s">
        <v>295</v>
      </c>
      <c r="D464" t="s">
        <v>296</v>
      </c>
      <c r="E464" t="s">
        <v>296</v>
      </c>
      <c r="F464" t="s">
        <v>2684</v>
      </c>
      <c r="G464" t="str">
        <f>"64"</f>
        <v>64</v>
      </c>
      <c r="I464" t="str">
        <f>"43-400"</f>
        <v>43-400</v>
      </c>
      <c r="J464" t="s">
        <v>296</v>
      </c>
      <c r="K464" t="str">
        <f>"697697947"</f>
        <v>697697947</v>
      </c>
      <c r="L464" t="s">
        <v>2685</v>
      </c>
    </row>
    <row r="465" spans="1:13" x14ac:dyDescent="0.25">
      <c r="A465" t="s">
        <v>2691</v>
      </c>
      <c r="B465" t="s">
        <v>14</v>
      </c>
      <c r="C465" t="s">
        <v>15</v>
      </c>
      <c r="D465" t="s">
        <v>15</v>
      </c>
      <c r="E465" t="s">
        <v>15</v>
      </c>
      <c r="F465" t="s">
        <v>2692</v>
      </c>
      <c r="G465" t="str">
        <f>"5"</f>
        <v>5</v>
      </c>
      <c r="I465" t="str">
        <f>"42-224"</f>
        <v>42-224</v>
      </c>
      <c r="J465" t="s">
        <v>15</v>
      </c>
      <c r="K465" t="str">
        <f>"343622424"</f>
        <v>343622424</v>
      </c>
      <c r="L465" t="s">
        <v>17</v>
      </c>
      <c r="M465" t="s">
        <v>2693</v>
      </c>
    </row>
    <row r="466" spans="1:13" x14ac:dyDescent="0.25">
      <c r="A466" t="s">
        <v>2694</v>
      </c>
      <c r="B466" t="s">
        <v>14</v>
      </c>
      <c r="C466" t="s">
        <v>15</v>
      </c>
      <c r="D466" t="s">
        <v>15</v>
      </c>
      <c r="E466" t="s">
        <v>15</v>
      </c>
      <c r="F466" t="s">
        <v>16</v>
      </c>
      <c r="G466" t="str">
        <f>"40"</f>
        <v>40</v>
      </c>
      <c r="I466" t="str">
        <f>"42-216"</f>
        <v>42-216</v>
      </c>
      <c r="J466" t="s">
        <v>15</v>
      </c>
      <c r="K466" t="str">
        <f>"533300136"</f>
        <v>533300136</v>
      </c>
      <c r="L466" t="s">
        <v>17</v>
      </c>
      <c r="M466" t="s">
        <v>2693</v>
      </c>
    </row>
    <row r="467" spans="1:13" x14ac:dyDescent="0.25">
      <c r="A467" t="s">
        <v>2698</v>
      </c>
      <c r="B467" t="s">
        <v>14</v>
      </c>
      <c r="C467" t="s">
        <v>2699</v>
      </c>
      <c r="D467" t="s">
        <v>2700</v>
      </c>
      <c r="E467" t="s">
        <v>2700</v>
      </c>
      <c r="F467" t="s">
        <v>1613</v>
      </c>
      <c r="G467" t="str">
        <f>"21"</f>
        <v>21</v>
      </c>
      <c r="I467" t="str">
        <f>"42-300"</f>
        <v>42-300</v>
      </c>
      <c r="J467" t="s">
        <v>2700</v>
      </c>
      <c r="K467" t="str">
        <f>"343130367"</f>
        <v>343130367</v>
      </c>
      <c r="L467" t="s">
        <v>2701</v>
      </c>
      <c r="M467" t="s">
        <v>2702</v>
      </c>
    </row>
    <row r="468" spans="1:13" x14ac:dyDescent="0.25">
      <c r="A468" t="s">
        <v>2708</v>
      </c>
      <c r="B468" t="s">
        <v>14</v>
      </c>
      <c r="C468" t="s">
        <v>474</v>
      </c>
      <c r="D468" t="s">
        <v>2709</v>
      </c>
      <c r="E468" t="s">
        <v>2709</v>
      </c>
      <c r="F468" t="s">
        <v>2710</v>
      </c>
      <c r="G468" t="str">
        <f>"172"</f>
        <v>172</v>
      </c>
      <c r="I468" t="str">
        <f>"43-180"</f>
        <v>43-180</v>
      </c>
      <c r="J468" t="s">
        <v>2709</v>
      </c>
      <c r="K468" t="str">
        <f>"783775180"</f>
        <v>783775180</v>
      </c>
    </row>
    <row r="469" spans="1:13" x14ac:dyDescent="0.25">
      <c r="A469" t="s">
        <v>2719</v>
      </c>
      <c r="B469" t="s">
        <v>14</v>
      </c>
      <c r="C469" t="s">
        <v>927</v>
      </c>
      <c r="D469" t="s">
        <v>927</v>
      </c>
      <c r="E469" t="s">
        <v>927</v>
      </c>
      <c r="F469" t="s">
        <v>1363</v>
      </c>
      <c r="G469" t="str">
        <f>"13a"</f>
        <v>13a</v>
      </c>
      <c r="I469" t="str">
        <f>"44-330"</f>
        <v>44-330</v>
      </c>
      <c r="J469" t="s">
        <v>927</v>
      </c>
      <c r="K469" t="str">
        <f>"324761025"</f>
        <v>324761025</v>
      </c>
      <c r="L469" t="s">
        <v>2720</v>
      </c>
      <c r="M469" t="s">
        <v>2721</v>
      </c>
    </row>
    <row r="470" spans="1:13" x14ac:dyDescent="0.25">
      <c r="A470" t="s">
        <v>2724</v>
      </c>
      <c r="B470" t="s">
        <v>14</v>
      </c>
      <c r="C470" t="s">
        <v>320</v>
      </c>
      <c r="D470" t="s">
        <v>320</v>
      </c>
      <c r="E470" t="s">
        <v>320</v>
      </c>
      <c r="F470" t="s">
        <v>2394</v>
      </c>
      <c r="G470" t="str">
        <f>"1"</f>
        <v>1</v>
      </c>
      <c r="I470" t="str">
        <f>"41-300"</f>
        <v>41-300</v>
      </c>
      <c r="J470" t="s">
        <v>320</v>
      </c>
      <c r="K470" t="str">
        <f>"660069497"</f>
        <v>660069497</v>
      </c>
      <c r="L470" t="s">
        <v>2725</v>
      </c>
      <c r="M470" t="s">
        <v>2726</v>
      </c>
    </row>
    <row r="471" spans="1:13" x14ac:dyDescent="0.25">
      <c r="A471" t="s">
        <v>2727</v>
      </c>
      <c r="B471" t="s">
        <v>14</v>
      </c>
      <c r="C471" t="s">
        <v>15</v>
      </c>
      <c r="D471" t="s">
        <v>15</v>
      </c>
      <c r="E471" t="s">
        <v>15</v>
      </c>
      <c r="F471" t="s">
        <v>2728</v>
      </c>
      <c r="G471" t="str">
        <f>"44"</f>
        <v>44</v>
      </c>
      <c r="I471" t="str">
        <f>"42-207"</f>
        <v>42-207</v>
      </c>
      <c r="J471" t="s">
        <v>15</v>
      </c>
      <c r="K471" t="str">
        <f>"608371277"</f>
        <v>608371277</v>
      </c>
      <c r="L471" t="s">
        <v>2729</v>
      </c>
    </row>
    <row r="472" spans="1:13" x14ac:dyDescent="0.25">
      <c r="A472" t="s">
        <v>2730</v>
      </c>
      <c r="B472" t="s">
        <v>14</v>
      </c>
      <c r="C472" t="s">
        <v>995</v>
      </c>
      <c r="D472" t="s">
        <v>995</v>
      </c>
      <c r="E472" t="s">
        <v>995</v>
      </c>
      <c r="F472" t="s">
        <v>2731</v>
      </c>
      <c r="G472" t="str">
        <f>"2"</f>
        <v>2</v>
      </c>
      <c r="I472" t="str">
        <f>"40-668"</f>
        <v>40-668</v>
      </c>
      <c r="J472" t="s">
        <v>995</v>
      </c>
      <c r="K472" t="str">
        <f>"327939025"</f>
        <v>327939025</v>
      </c>
      <c r="L472" t="s">
        <v>2732</v>
      </c>
      <c r="M472" t="s">
        <v>2726</v>
      </c>
    </row>
    <row r="473" spans="1:13" x14ac:dyDescent="0.25">
      <c r="A473" t="s">
        <v>2740</v>
      </c>
      <c r="B473" t="s">
        <v>14</v>
      </c>
      <c r="C473" t="s">
        <v>995</v>
      </c>
      <c r="D473" t="s">
        <v>995</v>
      </c>
      <c r="E473" t="s">
        <v>995</v>
      </c>
      <c r="F473" t="s">
        <v>2741</v>
      </c>
      <c r="G473" t="str">
        <f>"26"</f>
        <v>26</v>
      </c>
      <c r="I473" t="str">
        <f>"40-086"</f>
        <v>40-086</v>
      </c>
      <c r="J473" t="s">
        <v>995</v>
      </c>
      <c r="K473" t="str">
        <f>"322599586"</f>
        <v>322599586</v>
      </c>
      <c r="L473" t="s">
        <v>2742</v>
      </c>
    </row>
    <row r="474" spans="1:13" x14ac:dyDescent="0.25">
      <c r="A474" t="s">
        <v>2807</v>
      </c>
      <c r="B474" t="s">
        <v>14</v>
      </c>
      <c r="C474" t="s">
        <v>995</v>
      </c>
      <c r="D474" t="s">
        <v>995</v>
      </c>
      <c r="E474" t="s">
        <v>995</v>
      </c>
      <c r="F474" t="s">
        <v>701</v>
      </c>
      <c r="G474" t="str">
        <f>"4"</f>
        <v>4</v>
      </c>
      <c r="I474" t="str">
        <f>"40-126"</f>
        <v>40-126</v>
      </c>
      <c r="J474" t="s">
        <v>995</v>
      </c>
      <c r="K474" t="str">
        <f>"322583512"</f>
        <v>322583512</v>
      </c>
      <c r="L474" t="s">
        <v>2808</v>
      </c>
      <c r="M474" t="s">
        <v>2809</v>
      </c>
    </row>
    <row r="475" spans="1:13" x14ac:dyDescent="0.25">
      <c r="A475" t="s">
        <v>2856</v>
      </c>
      <c r="B475" t="s">
        <v>14</v>
      </c>
      <c r="C475" t="s">
        <v>2491</v>
      </c>
      <c r="D475" t="s">
        <v>2491</v>
      </c>
      <c r="E475" t="s">
        <v>2491</v>
      </c>
      <c r="F475" t="s">
        <v>482</v>
      </c>
      <c r="G475" t="str">
        <f>"45"</f>
        <v>45</v>
      </c>
      <c r="I475" t="str">
        <f>"43-300"</f>
        <v>43-300</v>
      </c>
      <c r="J475" t="s">
        <v>2491</v>
      </c>
      <c r="K475" t="str">
        <f>"338125078"</f>
        <v>338125078</v>
      </c>
      <c r="L475" t="s">
        <v>2857</v>
      </c>
      <c r="M475" t="s">
        <v>2858</v>
      </c>
    </row>
    <row r="476" spans="1:13" x14ac:dyDescent="0.25">
      <c r="A476" t="s">
        <v>2859</v>
      </c>
      <c r="B476" t="s">
        <v>14</v>
      </c>
      <c r="C476" t="s">
        <v>2491</v>
      </c>
      <c r="D476" t="s">
        <v>2491</v>
      </c>
      <c r="E476" t="s">
        <v>2491</v>
      </c>
      <c r="F476" t="s">
        <v>482</v>
      </c>
      <c r="G476" t="str">
        <f>"45"</f>
        <v>45</v>
      </c>
      <c r="I476" t="str">
        <f>"43-318"</f>
        <v>43-318</v>
      </c>
      <c r="J476" t="s">
        <v>2491</v>
      </c>
      <c r="K476" t="str">
        <f>"338140706"</f>
        <v>338140706</v>
      </c>
      <c r="L476" t="s">
        <v>2857</v>
      </c>
      <c r="M476" t="s">
        <v>2858</v>
      </c>
    </row>
    <row r="477" spans="1:13" x14ac:dyDescent="0.25">
      <c r="A477" t="s">
        <v>2860</v>
      </c>
      <c r="B477" t="s">
        <v>14</v>
      </c>
      <c r="C477" t="s">
        <v>2491</v>
      </c>
      <c r="D477" t="s">
        <v>2491</v>
      </c>
      <c r="E477" t="s">
        <v>2491</v>
      </c>
      <c r="F477" t="s">
        <v>482</v>
      </c>
      <c r="G477" t="str">
        <f>"45"</f>
        <v>45</v>
      </c>
      <c r="I477" t="str">
        <f>"43-300"</f>
        <v>43-300</v>
      </c>
      <c r="J477" t="s">
        <v>2491</v>
      </c>
      <c r="K477" t="str">
        <f>"338125769"</f>
        <v>338125769</v>
      </c>
      <c r="L477" t="s">
        <v>2857</v>
      </c>
      <c r="M477" t="s">
        <v>2858</v>
      </c>
    </row>
    <row r="478" spans="1:13" x14ac:dyDescent="0.25">
      <c r="A478" t="s">
        <v>135</v>
      </c>
      <c r="B478" t="s">
        <v>136</v>
      </c>
      <c r="C478" t="s">
        <v>137</v>
      </c>
      <c r="D478" t="s">
        <v>137</v>
      </c>
      <c r="E478" t="s">
        <v>137</v>
      </c>
      <c r="F478" t="s">
        <v>138</v>
      </c>
      <c r="G478" t="str">
        <f>"16"</f>
        <v>16</v>
      </c>
      <c r="I478" t="str">
        <f>"25-729"</f>
        <v>25-729</v>
      </c>
      <c r="J478" t="s">
        <v>137</v>
      </c>
      <c r="K478" t="str">
        <f>"413676728"</f>
        <v>413676728</v>
      </c>
      <c r="L478" t="s">
        <v>139</v>
      </c>
      <c r="M478" t="s">
        <v>140</v>
      </c>
    </row>
    <row r="479" spans="1:13" x14ac:dyDescent="0.25">
      <c r="A479" t="s">
        <v>1384</v>
      </c>
      <c r="B479" t="s">
        <v>136</v>
      </c>
      <c r="C479" t="s">
        <v>1385</v>
      </c>
      <c r="D479" t="s">
        <v>1386</v>
      </c>
      <c r="E479" t="s">
        <v>1386</v>
      </c>
      <c r="F479" t="s">
        <v>1387</v>
      </c>
      <c r="G479" t="str">
        <f>"120"</f>
        <v>120</v>
      </c>
      <c r="I479" t="str">
        <f>"28-100"</f>
        <v>28-100</v>
      </c>
      <c r="J479" t="s">
        <v>1386</v>
      </c>
      <c r="K479" t="str">
        <f>"412345670"</f>
        <v>412345670</v>
      </c>
      <c r="L479" t="s">
        <v>1388</v>
      </c>
      <c r="M479" t="s">
        <v>1389</v>
      </c>
    </row>
    <row r="480" spans="1:13" x14ac:dyDescent="0.25">
      <c r="A480" t="s">
        <v>1590</v>
      </c>
      <c r="B480" t="s">
        <v>136</v>
      </c>
      <c r="C480" t="s">
        <v>1591</v>
      </c>
      <c r="D480" t="s">
        <v>1592</v>
      </c>
      <c r="E480" t="s">
        <v>1592</v>
      </c>
      <c r="F480" t="s">
        <v>1593</v>
      </c>
      <c r="G480" t="str">
        <f>"1"</f>
        <v>1</v>
      </c>
      <c r="I480" t="str">
        <f>"28-300"</f>
        <v>28-300</v>
      </c>
      <c r="J480" t="s">
        <v>1592</v>
      </c>
      <c r="K480" t="str">
        <f>"0413861722"</f>
        <v>0413861722</v>
      </c>
      <c r="L480" t="s">
        <v>1594</v>
      </c>
      <c r="M480" t="s">
        <v>1595</v>
      </c>
    </row>
    <row r="481" spans="1:13" x14ac:dyDescent="0.25">
      <c r="A481" t="s">
        <v>1610</v>
      </c>
      <c r="B481" t="s">
        <v>136</v>
      </c>
      <c r="C481" t="s">
        <v>1611</v>
      </c>
      <c r="D481" t="s">
        <v>1612</v>
      </c>
      <c r="E481" t="s">
        <v>1612</v>
      </c>
      <c r="F481" t="s">
        <v>1613</v>
      </c>
      <c r="G481" t="str">
        <f>"29"</f>
        <v>29</v>
      </c>
      <c r="I481" t="str">
        <f>"28-500"</f>
        <v>28-500</v>
      </c>
      <c r="J481" t="s">
        <v>1612</v>
      </c>
      <c r="K481" t="str">
        <f>"413521349"</f>
        <v>413521349</v>
      </c>
      <c r="L481" t="s">
        <v>1614</v>
      </c>
      <c r="M481" t="s">
        <v>1615</v>
      </c>
    </row>
    <row r="482" spans="1:13" x14ac:dyDescent="0.25">
      <c r="A482" t="s">
        <v>1657</v>
      </c>
      <c r="B482" t="s">
        <v>136</v>
      </c>
      <c r="C482" t="s">
        <v>1658</v>
      </c>
      <c r="D482" t="s">
        <v>1659</v>
      </c>
      <c r="E482" t="s">
        <v>1659</v>
      </c>
      <c r="F482" t="s">
        <v>1660</v>
      </c>
      <c r="G482" t="str">
        <f>"2"</f>
        <v>2</v>
      </c>
      <c r="I482" t="str">
        <f>"26-200"</f>
        <v>26-200</v>
      </c>
      <c r="J482" t="s">
        <v>1659</v>
      </c>
      <c r="K482" t="str">
        <f>"413723400"</f>
        <v>413723400</v>
      </c>
      <c r="L482" t="s">
        <v>1661</v>
      </c>
    </row>
    <row r="483" spans="1:13" x14ac:dyDescent="0.25">
      <c r="A483" t="s">
        <v>1896</v>
      </c>
      <c r="B483" t="s">
        <v>136</v>
      </c>
      <c r="C483" t="s">
        <v>1897</v>
      </c>
      <c r="D483" t="s">
        <v>1898</v>
      </c>
      <c r="E483" t="s">
        <v>1898</v>
      </c>
      <c r="F483" t="s">
        <v>1899</v>
      </c>
      <c r="G483" t="str">
        <f>"3"</f>
        <v>3</v>
      </c>
      <c r="I483" t="str">
        <f>"27-500"</f>
        <v>27-500</v>
      </c>
      <c r="J483" t="s">
        <v>1898</v>
      </c>
      <c r="K483" t="str">
        <f>"158682636"</f>
        <v>158682636</v>
      </c>
      <c r="L483" t="s">
        <v>1900</v>
      </c>
      <c r="M483" t="s">
        <v>1901</v>
      </c>
    </row>
    <row r="484" spans="1:13" x14ac:dyDescent="0.25">
      <c r="A484" t="s">
        <v>1920</v>
      </c>
      <c r="B484" t="s">
        <v>136</v>
      </c>
      <c r="C484" t="s">
        <v>1921</v>
      </c>
      <c r="D484" t="s">
        <v>1922</v>
      </c>
      <c r="E484" t="s">
        <v>1922</v>
      </c>
      <c r="F484" t="s">
        <v>352</v>
      </c>
      <c r="G484" t="str">
        <f>"5"</f>
        <v>5</v>
      </c>
      <c r="I484" t="str">
        <f>"27-400"</f>
        <v>27-400</v>
      </c>
      <c r="J484" t="s">
        <v>1922</v>
      </c>
      <c r="K484" t="str">
        <f>"0412664190"</f>
        <v>0412664190</v>
      </c>
      <c r="L484" t="s">
        <v>1923</v>
      </c>
      <c r="M484" t="s">
        <v>1924</v>
      </c>
    </row>
    <row r="485" spans="1:13" x14ac:dyDescent="0.25">
      <c r="A485" t="s">
        <v>1934</v>
      </c>
      <c r="B485" t="s">
        <v>136</v>
      </c>
      <c r="C485" t="s">
        <v>1897</v>
      </c>
      <c r="D485" t="s">
        <v>1935</v>
      </c>
      <c r="E485" t="s">
        <v>1935</v>
      </c>
      <c r="F485" t="s">
        <v>1936</v>
      </c>
      <c r="G485" t="str">
        <f>"56"</f>
        <v>56</v>
      </c>
      <c r="I485" t="str">
        <f>"27-530"</f>
        <v>27-530</v>
      </c>
      <c r="J485" t="s">
        <v>1935</v>
      </c>
      <c r="K485" t="str">
        <f>"158611002"</f>
        <v>158611002</v>
      </c>
      <c r="L485" t="s">
        <v>1937</v>
      </c>
      <c r="M485" t="s">
        <v>1901</v>
      </c>
    </row>
    <row r="486" spans="1:13" x14ac:dyDescent="0.25">
      <c r="A486" t="s">
        <v>1959</v>
      </c>
      <c r="B486" t="s">
        <v>136</v>
      </c>
      <c r="C486" t="s">
        <v>1960</v>
      </c>
      <c r="D486" t="s">
        <v>1961</v>
      </c>
      <c r="E486" t="s">
        <v>1961</v>
      </c>
      <c r="F486" t="s">
        <v>1962</v>
      </c>
      <c r="G486" t="str">
        <f>"6"</f>
        <v>6</v>
      </c>
      <c r="I486" t="str">
        <f>"28-400"</f>
        <v>28-400</v>
      </c>
      <c r="J486" t="s">
        <v>1961</v>
      </c>
      <c r="K486" t="str">
        <f>"413574701"</f>
        <v>413574701</v>
      </c>
      <c r="L486" t="s">
        <v>1963</v>
      </c>
    </row>
    <row r="487" spans="1:13" x14ac:dyDescent="0.25">
      <c r="A487" t="s">
        <v>2078</v>
      </c>
      <c r="B487" t="s">
        <v>136</v>
      </c>
      <c r="C487" t="s">
        <v>2079</v>
      </c>
      <c r="D487" t="s">
        <v>2080</v>
      </c>
      <c r="E487" t="s">
        <v>2080</v>
      </c>
      <c r="F487" t="s">
        <v>22</v>
      </c>
      <c r="G487" t="str">
        <f>"34"</f>
        <v>34</v>
      </c>
      <c r="I487" t="str">
        <f>"27-600"</f>
        <v>27-600</v>
      </c>
      <c r="J487" t="s">
        <v>2080</v>
      </c>
      <c r="K487" t="str">
        <f>"158323204"</f>
        <v>158323204</v>
      </c>
      <c r="L487" t="s">
        <v>2081</v>
      </c>
      <c r="M487" t="s">
        <v>2082</v>
      </c>
    </row>
    <row r="488" spans="1:13" x14ac:dyDescent="0.25">
      <c r="A488" t="s">
        <v>2102</v>
      </c>
      <c r="B488" t="s">
        <v>136</v>
      </c>
      <c r="C488" t="s">
        <v>2103</v>
      </c>
      <c r="D488" t="s">
        <v>2104</v>
      </c>
      <c r="E488" t="s">
        <v>2104</v>
      </c>
      <c r="F488" t="s">
        <v>2105</v>
      </c>
      <c r="G488" t="str">
        <f>"1"</f>
        <v>1</v>
      </c>
      <c r="I488" t="str">
        <f>"26-110"</f>
        <v>26-110</v>
      </c>
      <c r="J488" t="s">
        <v>2104</v>
      </c>
      <c r="K488" t="str">
        <f>"412530686"</f>
        <v>412530686</v>
      </c>
      <c r="L488" t="s">
        <v>2106</v>
      </c>
      <c r="M488" t="s">
        <v>2107</v>
      </c>
    </row>
    <row r="489" spans="1:13" x14ac:dyDescent="0.25">
      <c r="A489" t="s">
        <v>2147</v>
      </c>
      <c r="B489" t="s">
        <v>136</v>
      </c>
      <c r="C489" t="s">
        <v>2148</v>
      </c>
      <c r="D489" t="s">
        <v>2149</v>
      </c>
      <c r="E489" t="s">
        <v>2149</v>
      </c>
      <c r="F489" t="s">
        <v>1281</v>
      </c>
      <c r="G489" t="str">
        <f>"72"</f>
        <v>72</v>
      </c>
      <c r="I489" t="str">
        <f>"27-200"</f>
        <v>27-200</v>
      </c>
      <c r="J489" t="s">
        <v>2149</v>
      </c>
      <c r="K489" t="str">
        <f>"412747385"</f>
        <v>412747385</v>
      </c>
      <c r="L489" t="s">
        <v>2150</v>
      </c>
      <c r="M489" t="s">
        <v>2151</v>
      </c>
    </row>
    <row r="490" spans="1:13" x14ac:dyDescent="0.25">
      <c r="A490" t="s">
        <v>2345</v>
      </c>
      <c r="B490" t="s">
        <v>136</v>
      </c>
      <c r="C490" t="s">
        <v>2346</v>
      </c>
      <c r="D490" t="s">
        <v>2347</v>
      </c>
      <c r="E490" t="s">
        <v>2347</v>
      </c>
      <c r="F490" t="s">
        <v>1000</v>
      </c>
      <c r="G490" t="str">
        <f>"38"</f>
        <v>38</v>
      </c>
      <c r="I490" t="str">
        <f>"29-100"</f>
        <v>29-100</v>
      </c>
      <c r="J490" t="s">
        <v>2347</v>
      </c>
      <c r="K490" t="str">
        <f>"413943319"</f>
        <v>413943319</v>
      </c>
      <c r="L490" t="s">
        <v>2348</v>
      </c>
      <c r="M490" t="s">
        <v>2349</v>
      </c>
    </row>
    <row r="491" spans="1:13" x14ac:dyDescent="0.25">
      <c r="A491" t="s">
        <v>2476</v>
      </c>
      <c r="B491" t="s">
        <v>136</v>
      </c>
      <c r="C491" t="s">
        <v>2477</v>
      </c>
      <c r="D491" t="s">
        <v>2478</v>
      </c>
      <c r="E491" t="s">
        <v>2478</v>
      </c>
      <c r="F491" t="s">
        <v>760</v>
      </c>
      <c r="G491" t="str">
        <f>"1A"</f>
        <v>1A</v>
      </c>
      <c r="I491" t="str">
        <f>"26-010"</f>
        <v>26-010</v>
      </c>
      <c r="J491" t="s">
        <v>2478</v>
      </c>
      <c r="K491" t="str">
        <f>"413115020"</f>
        <v>413115020</v>
      </c>
      <c r="L491" t="s">
        <v>2479</v>
      </c>
      <c r="M491" t="s">
        <v>2480</v>
      </c>
    </row>
    <row r="492" spans="1:13" x14ac:dyDescent="0.25">
      <c r="A492" t="s">
        <v>2481</v>
      </c>
      <c r="B492" t="s">
        <v>136</v>
      </c>
      <c r="C492" t="s">
        <v>2477</v>
      </c>
      <c r="D492" t="s">
        <v>2482</v>
      </c>
      <c r="E492" t="s">
        <v>2482</v>
      </c>
      <c r="F492" t="s">
        <v>2483</v>
      </c>
      <c r="G492" t="str">
        <f>"1A"</f>
        <v>1A</v>
      </c>
      <c r="I492" t="str">
        <f>"26-020"</f>
        <v>26-020</v>
      </c>
      <c r="J492" t="s">
        <v>2482</v>
      </c>
      <c r="K492" t="str">
        <f>"413544217"</f>
        <v>413544217</v>
      </c>
      <c r="L492" t="s">
        <v>2484</v>
      </c>
      <c r="M492" t="s">
        <v>2485</v>
      </c>
    </row>
    <row r="493" spans="1:13" x14ac:dyDescent="0.25">
      <c r="A493" t="s">
        <v>2578</v>
      </c>
      <c r="B493" t="s">
        <v>136</v>
      </c>
      <c r="C493" t="s">
        <v>2477</v>
      </c>
      <c r="D493" t="s">
        <v>2579</v>
      </c>
      <c r="E493" t="s">
        <v>2579</v>
      </c>
      <c r="F493" t="s">
        <v>1942</v>
      </c>
      <c r="G493" t="str">
        <f>"110"</f>
        <v>110</v>
      </c>
      <c r="I493" t="str">
        <f>"26-065"</f>
        <v>26-065</v>
      </c>
      <c r="J493" t="s">
        <v>2579</v>
      </c>
      <c r="K493" t="str">
        <f>"413061115"</f>
        <v>413061115</v>
      </c>
      <c r="L493" t="s">
        <v>2580</v>
      </c>
      <c r="M493" t="s">
        <v>2581</v>
      </c>
    </row>
    <row r="494" spans="1:13" x14ac:dyDescent="0.25">
      <c r="A494" t="s">
        <v>2711</v>
      </c>
      <c r="B494" t="s">
        <v>136</v>
      </c>
      <c r="C494" t="s">
        <v>2712</v>
      </c>
      <c r="D494" t="s">
        <v>2713</v>
      </c>
      <c r="E494" t="s">
        <v>2713</v>
      </c>
      <c r="F494" t="s">
        <v>291</v>
      </c>
      <c r="G494" t="str">
        <f>"1"</f>
        <v>1</v>
      </c>
      <c r="I494" t="str">
        <f>"28-200"</f>
        <v>28-200</v>
      </c>
      <c r="J494" t="s">
        <v>2713</v>
      </c>
      <c r="K494" t="str">
        <f>"158643759"</f>
        <v>158643759</v>
      </c>
      <c r="L494" t="s">
        <v>2714</v>
      </c>
      <c r="M494" t="s">
        <v>2715</v>
      </c>
    </row>
    <row r="495" spans="1:13" x14ac:dyDescent="0.25">
      <c r="A495" t="s">
        <v>158</v>
      </c>
      <c r="B495" t="s">
        <v>168</v>
      </c>
      <c r="C495" t="s">
        <v>169</v>
      </c>
      <c r="D495" t="s">
        <v>170</v>
      </c>
      <c r="E495" t="s">
        <v>170</v>
      </c>
      <c r="F495" t="s">
        <v>171</v>
      </c>
      <c r="G495" t="str">
        <f>"13"</f>
        <v>13</v>
      </c>
      <c r="I495" t="str">
        <f>"11-200"</f>
        <v>11-200</v>
      </c>
      <c r="J495" t="s">
        <v>170</v>
      </c>
      <c r="K495" t="str">
        <f>"897622806"</f>
        <v>897622806</v>
      </c>
      <c r="L495" t="s">
        <v>172</v>
      </c>
      <c r="M495" t="s">
        <v>173</v>
      </c>
    </row>
    <row r="496" spans="1:13" x14ac:dyDescent="0.25">
      <c r="A496" t="s">
        <v>204</v>
      </c>
      <c r="B496" t="s">
        <v>168</v>
      </c>
      <c r="C496" t="s">
        <v>205</v>
      </c>
      <c r="D496" t="s">
        <v>205</v>
      </c>
      <c r="E496" t="s">
        <v>205</v>
      </c>
      <c r="F496" t="s">
        <v>206</v>
      </c>
      <c r="G496" t="str">
        <f>"14"</f>
        <v>14</v>
      </c>
      <c r="I496" t="str">
        <f>"82-300"</f>
        <v>82-300</v>
      </c>
      <c r="J496" t="s">
        <v>205</v>
      </c>
      <c r="K496" t="str">
        <f>"556258230"</f>
        <v>556258230</v>
      </c>
      <c r="L496" t="s">
        <v>207</v>
      </c>
      <c r="M496" t="s">
        <v>208</v>
      </c>
    </row>
    <row r="497" spans="1:13" x14ac:dyDescent="0.25">
      <c r="A497" t="s">
        <v>228</v>
      </c>
      <c r="B497" t="s">
        <v>168</v>
      </c>
      <c r="C497" t="s">
        <v>205</v>
      </c>
      <c r="D497" t="s">
        <v>205</v>
      </c>
      <c r="E497" t="s">
        <v>205</v>
      </c>
      <c r="F497" t="s">
        <v>229</v>
      </c>
      <c r="G497" t="str">
        <f>"30"</f>
        <v>30</v>
      </c>
      <c r="I497" t="str">
        <f>"82-300"</f>
        <v>82-300</v>
      </c>
      <c r="J497" t="s">
        <v>205</v>
      </c>
      <c r="K497" t="str">
        <f>"556258251"</f>
        <v>556258251</v>
      </c>
      <c r="L497" t="s">
        <v>230</v>
      </c>
      <c r="M497" t="s">
        <v>231</v>
      </c>
    </row>
    <row r="498" spans="1:13" x14ac:dyDescent="0.25">
      <c r="A498" t="s">
        <v>502</v>
      </c>
      <c r="B498" t="s">
        <v>168</v>
      </c>
      <c r="C498" t="s">
        <v>503</v>
      </c>
      <c r="D498" t="s">
        <v>504</v>
      </c>
      <c r="E498" t="s">
        <v>504</v>
      </c>
      <c r="F498" t="s">
        <v>281</v>
      </c>
      <c r="G498" t="str">
        <f>"8"</f>
        <v>8</v>
      </c>
      <c r="H498" t="str">
        <f>"4"</f>
        <v>4</v>
      </c>
      <c r="I498" t="str">
        <f>"11-130"</f>
        <v>11-130</v>
      </c>
      <c r="J498" t="s">
        <v>504</v>
      </c>
      <c r="K498" t="str">
        <f>"552421392"</f>
        <v>552421392</v>
      </c>
      <c r="L498" t="s">
        <v>505</v>
      </c>
      <c r="M498" t="s">
        <v>506</v>
      </c>
    </row>
    <row r="499" spans="1:13" x14ac:dyDescent="0.25">
      <c r="A499" t="s">
        <v>621</v>
      </c>
      <c r="B499" t="s">
        <v>168</v>
      </c>
      <c r="C499" t="s">
        <v>622</v>
      </c>
      <c r="D499" t="s">
        <v>623</v>
      </c>
      <c r="E499" t="s">
        <v>623</v>
      </c>
      <c r="F499" t="s">
        <v>624</v>
      </c>
      <c r="G499" t="str">
        <f>"10"</f>
        <v>10</v>
      </c>
      <c r="I499" t="str">
        <f>"12-100"</f>
        <v>12-100</v>
      </c>
      <c r="J499" t="s">
        <v>623</v>
      </c>
      <c r="K499" t="str">
        <f>"896242592"</f>
        <v>896242592</v>
      </c>
      <c r="L499" t="s">
        <v>625</v>
      </c>
    </row>
    <row r="500" spans="1:13" x14ac:dyDescent="0.25">
      <c r="A500" t="s">
        <v>806</v>
      </c>
      <c r="B500" t="s">
        <v>168</v>
      </c>
      <c r="C500" t="s">
        <v>873</v>
      </c>
      <c r="D500" t="s">
        <v>874</v>
      </c>
      <c r="E500" t="s">
        <v>874</v>
      </c>
      <c r="F500" t="s">
        <v>875</v>
      </c>
      <c r="G500" t="str">
        <f>"5"</f>
        <v>5</v>
      </c>
      <c r="I500" t="str">
        <f>"11-500"</f>
        <v>11-500</v>
      </c>
      <c r="J500" t="s">
        <v>874</v>
      </c>
      <c r="K500" t="str">
        <f>"874281028"</f>
        <v>874281028</v>
      </c>
      <c r="L500" t="s">
        <v>876</v>
      </c>
      <c r="M500" t="s">
        <v>877</v>
      </c>
    </row>
    <row r="501" spans="1:13" x14ac:dyDescent="0.25">
      <c r="A501" t="s">
        <v>806</v>
      </c>
      <c r="B501" t="s">
        <v>168</v>
      </c>
      <c r="C501" t="s">
        <v>887</v>
      </c>
      <c r="D501" t="s">
        <v>888</v>
      </c>
      <c r="E501" t="s">
        <v>888</v>
      </c>
      <c r="F501" t="s">
        <v>321</v>
      </c>
      <c r="G501" t="str">
        <f>"25"</f>
        <v>25</v>
      </c>
      <c r="I501" t="str">
        <f>"13-300"</f>
        <v>13-300</v>
      </c>
      <c r="J501" t="s">
        <v>888</v>
      </c>
      <c r="K501" t="str">
        <f>"564726038"</f>
        <v>564726038</v>
      </c>
      <c r="L501" t="s">
        <v>889</v>
      </c>
      <c r="M501" t="s">
        <v>890</v>
      </c>
    </row>
    <row r="502" spans="1:13" x14ac:dyDescent="0.25">
      <c r="A502" t="s">
        <v>806</v>
      </c>
      <c r="B502" t="s">
        <v>168</v>
      </c>
      <c r="C502" t="s">
        <v>907</v>
      </c>
      <c r="D502" t="s">
        <v>908</v>
      </c>
      <c r="E502" t="s">
        <v>908</v>
      </c>
      <c r="F502" t="s">
        <v>909</v>
      </c>
      <c r="G502" t="str">
        <f>"16A"</f>
        <v>16A</v>
      </c>
      <c r="I502" t="str">
        <f>"11-600"</f>
        <v>11-600</v>
      </c>
      <c r="J502" t="s">
        <v>908</v>
      </c>
      <c r="K502" t="str">
        <f>"874272503"</f>
        <v>874272503</v>
      </c>
      <c r="L502" t="s">
        <v>910</v>
      </c>
      <c r="M502" t="s">
        <v>911</v>
      </c>
    </row>
    <row r="503" spans="1:13" x14ac:dyDescent="0.25">
      <c r="A503" t="s">
        <v>806</v>
      </c>
      <c r="B503" t="s">
        <v>168</v>
      </c>
      <c r="C503" t="s">
        <v>955</v>
      </c>
      <c r="D503" t="s">
        <v>956</v>
      </c>
      <c r="E503" t="s">
        <v>956</v>
      </c>
      <c r="F503" t="s">
        <v>957</v>
      </c>
      <c r="G503" t="str">
        <f>"12"</f>
        <v>12</v>
      </c>
      <c r="I503" t="str">
        <f>"13-100"</f>
        <v>13-100</v>
      </c>
      <c r="J503" t="s">
        <v>956</v>
      </c>
      <c r="K503" t="str">
        <f>"896253139"</f>
        <v>896253139</v>
      </c>
      <c r="L503" t="s">
        <v>958</v>
      </c>
      <c r="M503" t="s">
        <v>959</v>
      </c>
    </row>
    <row r="504" spans="1:13" x14ac:dyDescent="0.25">
      <c r="A504" t="s">
        <v>1048</v>
      </c>
      <c r="B504" t="s">
        <v>168</v>
      </c>
      <c r="C504" t="s">
        <v>1049</v>
      </c>
      <c r="D504" t="s">
        <v>1049</v>
      </c>
      <c r="E504" t="s">
        <v>1049</v>
      </c>
      <c r="F504" t="s">
        <v>1050</v>
      </c>
      <c r="G504" t="str">
        <f>"3"</f>
        <v>3</v>
      </c>
      <c r="I504" t="str">
        <f>"10-685"</f>
        <v>10-685</v>
      </c>
      <c r="J504" t="s">
        <v>1049</v>
      </c>
      <c r="K504" t="str">
        <f>"895272003"</f>
        <v>895272003</v>
      </c>
      <c r="L504" t="s">
        <v>1051</v>
      </c>
      <c r="M504" t="s">
        <v>1052</v>
      </c>
    </row>
    <row r="505" spans="1:13" x14ac:dyDescent="0.25">
      <c r="A505" t="s">
        <v>1193</v>
      </c>
      <c r="B505" t="s">
        <v>168</v>
      </c>
      <c r="C505" t="s">
        <v>1049</v>
      </c>
      <c r="D505" t="s">
        <v>1049</v>
      </c>
      <c r="E505" t="s">
        <v>1049</v>
      </c>
      <c r="F505" t="s">
        <v>1194</v>
      </c>
      <c r="G505" t="str">
        <f>"45"</f>
        <v>45</v>
      </c>
      <c r="I505" t="str">
        <f>"10-512"</f>
        <v>10-512</v>
      </c>
      <c r="J505" t="s">
        <v>1049</v>
      </c>
      <c r="K505" t="str">
        <f>"895272347"</f>
        <v>895272347</v>
      </c>
      <c r="L505" t="s">
        <v>1195</v>
      </c>
      <c r="M505" t="s">
        <v>1196</v>
      </c>
    </row>
    <row r="506" spans="1:13" x14ac:dyDescent="0.25">
      <c r="A506" t="s">
        <v>1348</v>
      </c>
      <c r="B506" t="s">
        <v>168</v>
      </c>
      <c r="C506" t="s">
        <v>1349</v>
      </c>
      <c r="D506" t="s">
        <v>1350</v>
      </c>
      <c r="E506" t="s">
        <v>1350</v>
      </c>
      <c r="F506" t="s">
        <v>1351</v>
      </c>
      <c r="G506" t="str">
        <f>"15A"</f>
        <v>15A</v>
      </c>
      <c r="I506" t="str">
        <f>"14-500"</f>
        <v>14-500</v>
      </c>
      <c r="J506" t="s">
        <v>1350</v>
      </c>
      <c r="K506" t="str">
        <f>"552432639"</f>
        <v>552432639</v>
      </c>
      <c r="L506" t="s">
        <v>1352</v>
      </c>
      <c r="M506" t="s">
        <v>1353</v>
      </c>
    </row>
    <row r="507" spans="1:13" x14ac:dyDescent="0.25">
      <c r="A507" t="s">
        <v>1455</v>
      </c>
      <c r="B507" t="s">
        <v>168</v>
      </c>
      <c r="C507" t="s">
        <v>1456</v>
      </c>
      <c r="D507" t="s">
        <v>1457</v>
      </c>
      <c r="E507" t="s">
        <v>1457</v>
      </c>
      <c r="F507" t="s">
        <v>291</v>
      </c>
      <c r="G507" t="str">
        <f>"16"</f>
        <v>16</v>
      </c>
      <c r="I507" t="str">
        <f>"13-200"</f>
        <v>13-200</v>
      </c>
      <c r="J507" t="s">
        <v>1457</v>
      </c>
      <c r="K507" t="str">
        <f>"236976251"</f>
        <v>236976251</v>
      </c>
      <c r="L507" t="s">
        <v>1458</v>
      </c>
      <c r="M507" t="s">
        <v>1459</v>
      </c>
    </row>
    <row r="508" spans="1:13" x14ac:dyDescent="0.25">
      <c r="A508" t="s">
        <v>1460</v>
      </c>
      <c r="B508" t="s">
        <v>168</v>
      </c>
      <c r="C508" t="s">
        <v>1456</v>
      </c>
      <c r="D508" t="s">
        <v>1461</v>
      </c>
      <c r="E508" t="s">
        <v>1461</v>
      </c>
      <c r="F508" t="s">
        <v>1462</v>
      </c>
      <c r="G508" t="str">
        <f>"20"</f>
        <v>20</v>
      </c>
      <c r="I508" t="str">
        <f>"13-230"</f>
        <v>13-230</v>
      </c>
      <c r="J508" t="s">
        <v>1461</v>
      </c>
      <c r="K508" t="str">
        <f>"236961269"</f>
        <v>236961269</v>
      </c>
      <c r="L508" t="s">
        <v>1463</v>
      </c>
      <c r="M508" t="s">
        <v>1459</v>
      </c>
    </row>
    <row r="509" spans="1:13" x14ac:dyDescent="0.25">
      <c r="A509" t="s">
        <v>1480</v>
      </c>
      <c r="B509" t="s">
        <v>168</v>
      </c>
      <c r="C509" t="s">
        <v>1481</v>
      </c>
      <c r="D509" t="s">
        <v>1482</v>
      </c>
      <c r="E509" t="s">
        <v>1482</v>
      </c>
      <c r="F509" t="s">
        <v>760</v>
      </c>
      <c r="G509" t="str">
        <f>"11"</f>
        <v>11</v>
      </c>
      <c r="I509" t="str">
        <f>"19-500"</f>
        <v>19-500</v>
      </c>
      <c r="J509" t="s">
        <v>1482</v>
      </c>
      <c r="K509" t="str">
        <f>"876107430"</f>
        <v>876107430</v>
      </c>
      <c r="L509" t="s">
        <v>1483</v>
      </c>
      <c r="M509" t="s">
        <v>1484</v>
      </c>
    </row>
    <row r="510" spans="1:13" x14ac:dyDescent="0.25">
      <c r="A510" t="s">
        <v>1832</v>
      </c>
      <c r="B510" t="s">
        <v>168</v>
      </c>
      <c r="C510" t="s">
        <v>1833</v>
      </c>
      <c r="D510" t="s">
        <v>1834</v>
      </c>
      <c r="E510" t="s">
        <v>1834</v>
      </c>
      <c r="F510" t="s">
        <v>1835</v>
      </c>
      <c r="G510" t="str">
        <f>"6"</f>
        <v>6</v>
      </c>
      <c r="I510" t="str">
        <f>"14-300"</f>
        <v>14-300</v>
      </c>
      <c r="J510" t="s">
        <v>1834</v>
      </c>
      <c r="K510" t="str">
        <f>"897572011"</f>
        <v>897572011</v>
      </c>
      <c r="L510" t="s">
        <v>1836</v>
      </c>
      <c r="M510" t="s">
        <v>1837</v>
      </c>
    </row>
    <row r="511" spans="1:13" x14ac:dyDescent="0.25">
      <c r="A511" t="s">
        <v>1839</v>
      </c>
      <c r="B511" t="s">
        <v>168</v>
      </c>
      <c r="C511" t="s">
        <v>1840</v>
      </c>
      <c r="D511" t="s">
        <v>1841</v>
      </c>
      <c r="E511" t="s">
        <v>1841</v>
      </c>
      <c r="F511" t="s">
        <v>1842</v>
      </c>
      <c r="G511" t="str">
        <f>"13"</f>
        <v>13</v>
      </c>
      <c r="I511" t="str">
        <f>"11-700"</f>
        <v>11-700</v>
      </c>
      <c r="J511" t="s">
        <v>1841</v>
      </c>
      <c r="K511" t="str">
        <f>"783520444"</f>
        <v>783520444</v>
      </c>
      <c r="L511" t="s">
        <v>1843</v>
      </c>
      <c r="M511" t="s">
        <v>1844</v>
      </c>
    </row>
    <row r="512" spans="1:13" x14ac:dyDescent="0.25">
      <c r="A512" t="s">
        <v>1882</v>
      </c>
      <c r="B512" t="s">
        <v>168</v>
      </c>
      <c r="C512" t="s">
        <v>1883</v>
      </c>
      <c r="D512" t="s">
        <v>1884</v>
      </c>
      <c r="E512" t="s">
        <v>1884</v>
      </c>
      <c r="F512" t="s">
        <v>1885</v>
      </c>
      <c r="G512" t="str">
        <f>"2"</f>
        <v>2</v>
      </c>
      <c r="I512" t="str">
        <f>"19-400"</f>
        <v>19-400</v>
      </c>
      <c r="J512" t="s">
        <v>1884</v>
      </c>
      <c r="K512" t="str">
        <f>"875239338"</f>
        <v>875239338</v>
      </c>
      <c r="L512" t="s">
        <v>1886</v>
      </c>
      <c r="M512" t="s">
        <v>1887</v>
      </c>
    </row>
    <row r="513" spans="1:13" x14ac:dyDescent="0.25">
      <c r="A513" t="s">
        <v>1917</v>
      </c>
      <c r="B513" t="s">
        <v>168</v>
      </c>
      <c r="C513" t="s">
        <v>1833</v>
      </c>
      <c r="D513" t="s">
        <v>1838</v>
      </c>
      <c r="E513" t="s">
        <v>1838</v>
      </c>
      <c r="F513" t="s">
        <v>1285</v>
      </c>
      <c r="G513" t="str">
        <f>"1"</f>
        <v>1</v>
      </c>
      <c r="I513" t="str">
        <f>"14-100"</f>
        <v>14-100</v>
      </c>
      <c r="J513" t="s">
        <v>1838</v>
      </c>
      <c r="K513" t="str">
        <f>"896466598"</f>
        <v>896466598</v>
      </c>
      <c r="L513" t="s">
        <v>1918</v>
      </c>
      <c r="M513" t="s">
        <v>1919</v>
      </c>
    </row>
    <row r="514" spans="1:13" x14ac:dyDescent="0.25">
      <c r="A514" t="s">
        <v>1949</v>
      </c>
      <c r="B514" t="s">
        <v>168</v>
      </c>
      <c r="C514" t="s">
        <v>1950</v>
      </c>
      <c r="D514" t="s">
        <v>1951</v>
      </c>
      <c r="E514" t="s">
        <v>1951</v>
      </c>
      <c r="F514" t="s">
        <v>1952</v>
      </c>
      <c r="G514" t="str">
        <f>"2"</f>
        <v>2</v>
      </c>
      <c r="H514" t="str">
        <f>"2"</f>
        <v>2</v>
      </c>
      <c r="I514" t="str">
        <f>"14-400"</f>
        <v>14-400</v>
      </c>
      <c r="J514" t="s">
        <v>1951</v>
      </c>
      <c r="K514" t="str">
        <f>"552482432"</f>
        <v>552482432</v>
      </c>
      <c r="L514" t="s">
        <v>1953</v>
      </c>
      <c r="M514" t="s">
        <v>1954</v>
      </c>
    </row>
    <row r="515" spans="1:13" x14ac:dyDescent="0.25">
      <c r="A515" t="s">
        <v>2393</v>
      </c>
      <c r="B515" t="s">
        <v>168</v>
      </c>
      <c r="C515" t="s">
        <v>503</v>
      </c>
      <c r="D515" t="s">
        <v>507</v>
      </c>
      <c r="E515" t="s">
        <v>507</v>
      </c>
      <c r="F515" t="s">
        <v>2394</v>
      </c>
      <c r="G515" t="str">
        <f>"20"</f>
        <v>20</v>
      </c>
      <c r="I515" t="str">
        <f>"11-100"</f>
        <v>11-100</v>
      </c>
      <c r="J515" t="s">
        <v>507</v>
      </c>
      <c r="K515" t="str">
        <f>"453030858"</f>
        <v>453030858</v>
      </c>
      <c r="L515" t="s">
        <v>2395</v>
      </c>
      <c r="M515" t="s">
        <v>2396</v>
      </c>
    </row>
    <row r="516" spans="1:13" x14ac:dyDescent="0.25">
      <c r="A516" t="s">
        <v>2431</v>
      </c>
      <c r="B516" t="s">
        <v>168</v>
      </c>
      <c r="C516" t="s">
        <v>2432</v>
      </c>
      <c r="D516" t="s">
        <v>2433</v>
      </c>
      <c r="E516" t="s">
        <v>2433</v>
      </c>
      <c r="F516" t="s">
        <v>69</v>
      </c>
      <c r="G516" t="str">
        <f>"5"</f>
        <v>5</v>
      </c>
      <c r="I516" t="str">
        <f>"12-200"</f>
        <v>12-200</v>
      </c>
      <c r="J516" t="s">
        <v>2433</v>
      </c>
      <c r="K516" t="str">
        <f>"874232404"</f>
        <v>874232404</v>
      </c>
      <c r="L516" t="s">
        <v>2434</v>
      </c>
      <c r="M516" t="s">
        <v>2435</v>
      </c>
    </row>
    <row r="517" spans="1:13" x14ac:dyDescent="0.25">
      <c r="A517" t="s">
        <v>2496</v>
      </c>
      <c r="B517" t="s">
        <v>168</v>
      </c>
      <c r="C517" t="s">
        <v>2497</v>
      </c>
      <c r="D517" t="s">
        <v>2498</v>
      </c>
      <c r="E517" t="s">
        <v>2498</v>
      </c>
      <c r="F517" t="s">
        <v>2499</v>
      </c>
      <c r="G517" t="str">
        <f>"8"</f>
        <v>8</v>
      </c>
      <c r="I517" t="str">
        <f>"19-300"</f>
        <v>19-300</v>
      </c>
      <c r="J517" t="s">
        <v>2498</v>
      </c>
      <c r="K517" t="str">
        <f>"876102747"</f>
        <v>876102747</v>
      </c>
      <c r="L517" t="s">
        <v>2500</v>
      </c>
      <c r="M517" t="s">
        <v>2501</v>
      </c>
    </row>
    <row r="518" spans="1:13" x14ac:dyDescent="0.25">
      <c r="A518" t="s">
        <v>2502</v>
      </c>
      <c r="B518" t="s">
        <v>168</v>
      </c>
      <c r="C518" t="s">
        <v>2503</v>
      </c>
      <c r="D518" t="s">
        <v>2504</v>
      </c>
      <c r="E518" t="s">
        <v>2504</v>
      </c>
      <c r="F518" t="s">
        <v>2167</v>
      </c>
      <c r="G518" t="str">
        <f>"11"</f>
        <v>11</v>
      </c>
      <c r="I518" t="str">
        <f>"11-400"</f>
        <v>11-400</v>
      </c>
      <c r="J518" t="s">
        <v>2504</v>
      </c>
      <c r="K518" t="str">
        <f>"897513536"</f>
        <v>897513536</v>
      </c>
      <c r="L518" t="s">
        <v>2505</v>
      </c>
      <c r="M518" t="s">
        <v>2506</v>
      </c>
    </row>
    <row r="519" spans="1:13" x14ac:dyDescent="0.25">
      <c r="A519" t="s">
        <v>2557</v>
      </c>
      <c r="B519" t="s">
        <v>168</v>
      </c>
      <c r="C519" t="s">
        <v>1049</v>
      </c>
      <c r="D519" t="s">
        <v>1049</v>
      </c>
      <c r="E519" t="s">
        <v>1049</v>
      </c>
      <c r="F519" t="s">
        <v>2558</v>
      </c>
      <c r="G519" t="str">
        <f>"5"</f>
        <v>5</v>
      </c>
      <c r="I519" t="str">
        <f>"10-516"</f>
        <v>10-516</v>
      </c>
      <c r="J519" t="s">
        <v>1049</v>
      </c>
      <c r="K519" t="str">
        <f>"895270346"</f>
        <v>895270346</v>
      </c>
      <c r="L519" t="s">
        <v>2559</v>
      </c>
      <c r="M519" t="s">
        <v>2560</v>
      </c>
    </row>
    <row r="520" spans="1:13" x14ac:dyDescent="0.25">
      <c r="A520" t="s">
        <v>2639</v>
      </c>
      <c r="B520" t="s">
        <v>168</v>
      </c>
      <c r="C520" t="s">
        <v>2640</v>
      </c>
      <c r="D520" t="s">
        <v>2641</v>
      </c>
      <c r="E520" t="s">
        <v>2641</v>
      </c>
      <c r="F520" t="s">
        <v>1194</v>
      </c>
      <c r="G520" t="str">
        <f>"8a"</f>
        <v>8a</v>
      </c>
      <c r="I520" t="str">
        <f>"14-200"</f>
        <v>14-200</v>
      </c>
      <c r="J520" t="s">
        <v>2641</v>
      </c>
      <c r="K520" t="str">
        <f>"896492435"</f>
        <v>896492435</v>
      </c>
      <c r="L520" t="s">
        <v>2642</v>
      </c>
      <c r="M520" t="s">
        <v>2643</v>
      </c>
    </row>
    <row r="521" spans="1:13" x14ac:dyDescent="0.25">
      <c r="A521" t="s">
        <v>35</v>
      </c>
      <c r="B521" t="s">
        <v>32</v>
      </c>
      <c r="C521" t="s">
        <v>33</v>
      </c>
      <c r="D521" t="s">
        <v>36</v>
      </c>
      <c r="E521" t="s">
        <v>36</v>
      </c>
      <c r="F521" t="s">
        <v>37</v>
      </c>
      <c r="G521" t="str">
        <f>"29"</f>
        <v>29</v>
      </c>
      <c r="I521" t="str">
        <f>"60-005"</f>
        <v>60-005</v>
      </c>
      <c r="J521" t="s">
        <v>33</v>
      </c>
      <c r="K521" t="str">
        <f>"533790308"</f>
        <v>533790308</v>
      </c>
      <c r="L521" t="s">
        <v>30</v>
      </c>
    </row>
    <row r="522" spans="1:13" x14ac:dyDescent="0.25">
      <c r="A522" t="s">
        <v>74</v>
      </c>
      <c r="B522" t="s">
        <v>32</v>
      </c>
      <c r="C522" t="s">
        <v>75</v>
      </c>
      <c r="D522" t="s">
        <v>76</v>
      </c>
      <c r="E522" t="s">
        <v>76</v>
      </c>
      <c r="F522" t="s">
        <v>77</v>
      </c>
      <c r="G522" t="str">
        <f>"8"</f>
        <v>8</v>
      </c>
      <c r="I522" t="str">
        <f>"64-320"</f>
        <v>64-320</v>
      </c>
      <c r="J522" t="s">
        <v>76</v>
      </c>
      <c r="K522" t="str">
        <f>"618140241"</f>
        <v>618140241</v>
      </c>
      <c r="L522" t="s">
        <v>78</v>
      </c>
      <c r="M522" t="s">
        <v>79</v>
      </c>
    </row>
    <row r="523" spans="1:13" x14ac:dyDescent="0.25">
      <c r="A523" t="s">
        <v>90</v>
      </c>
      <c r="B523" t="s">
        <v>32</v>
      </c>
      <c r="C523" t="s">
        <v>75</v>
      </c>
      <c r="D523" t="s">
        <v>91</v>
      </c>
      <c r="E523" t="s">
        <v>91</v>
      </c>
      <c r="F523" t="s">
        <v>92</v>
      </c>
      <c r="G523" t="str">
        <f>"34A"</f>
        <v>34A</v>
      </c>
      <c r="I523" t="str">
        <f>"62-035"</f>
        <v>62-035</v>
      </c>
      <c r="J523" t="s">
        <v>91</v>
      </c>
      <c r="K523" t="str">
        <f>"618190495"</f>
        <v>618190495</v>
      </c>
      <c r="L523" t="s">
        <v>93</v>
      </c>
      <c r="M523" t="s">
        <v>94</v>
      </c>
    </row>
    <row r="524" spans="1:13" x14ac:dyDescent="0.25">
      <c r="A524" t="s">
        <v>96</v>
      </c>
      <c r="B524" t="s">
        <v>32</v>
      </c>
      <c r="C524" t="s">
        <v>75</v>
      </c>
      <c r="D524" t="s">
        <v>97</v>
      </c>
      <c r="E524" t="s">
        <v>97</v>
      </c>
      <c r="F524" t="s">
        <v>98</v>
      </c>
      <c r="G524" t="str">
        <f>"1"</f>
        <v>1</v>
      </c>
      <c r="I524" t="str">
        <f>"62-025"</f>
        <v>62-025</v>
      </c>
      <c r="J524" t="s">
        <v>97</v>
      </c>
      <c r="K524" t="str">
        <f>"618189819"</f>
        <v>618189819</v>
      </c>
      <c r="L524" t="s">
        <v>99</v>
      </c>
      <c r="M524" t="s">
        <v>100</v>
      </c>
    </row>
    <row r="525" spans="1:13" x14ac:dyDescent="0.25">
      <c r="A525" t="s">
        <v>102</v>
      </c>
      <c r="B525" t="s">
        <v>32</v>
      </c>
      <c r="C525" t="s">
        <v>75</v>
      </c>
      <c r="D525" t="s">
        <v>103</v>
      </c>
      <c r="E525" t="s">
        <v>104</v>
      </c>
      <c r="F525" t="s">
        <v>42</v>
      </c>
      <c r="G525" t="str">
        <f>"24"</f>
        <v>24</v>
      </c>
      <c r="I525" t="str">
        <f>"62-028"</f>
        <v>62-028</v>
      </c>
      <c r="J525" t="s">
        <v>104</v>
      </c>
      <c r="K525" t="str">
        <f>"618121454"</f>
        <v>618121454</v>
      </c>
      <c r="L525" t="s">
        <v>105</v>
      </c>
      <c r="M525" t="s">
        <v>100</v>
      </c>
    </row>
    <row r="526" spans="1:13" x14ac:dyDescent="0.25">
      <c r="A526" t="s">
        <v>106</v>
      </c>
      <c r="B526" t="s">
        <v>32</v>
      </c>
      <c r="C526" t="s">
        <v>75</v>
      </c>
      <c r="D526" t="s">
        <v>107</v>
      </c>
      <c r="E526" t="s">
        <v>107</v>
      </c>
      <c r="F526" t="s">
        <v>108</v>
      </c>
      <c r="G526" t="str">
        <f>"16"</f>
        <v>16</v>
      </c>
      <c r="I526" t="str">
        <f>"62-010"</f>
        <v>62-010</v>
      </c>
      <c r="J526" t="s">
        <v>107</v>
      </c>
      <c r="K526" t="str">
        <f>"618154674"</f>
        <v>618154674</v>
      </c>
      <c r="L526" t="s">
        <v>109</v>
      </c>
      <c r="M526" t="s">
        <v>100</v>
      </c>
    </row>
    <row r="527" spans="1:13" x14ac:dyDescent="0.25">
      <c r="A527" t="s">
        <v>110</v>
      </c>
      <c r="B527" t="s">
        <v>32</v>
      </c>
      <c r="C527" t="s">
        <v>75</v>
      </c>
      <c r="D527" t="s">
        <v>111</v>
      </c>
      <c r="E527" t="s">
        <v>111</v>
      </c>
      <c r="F527" t="s">
        <v>112</v>
      </c>
      <c r="G527" t="str">
        <f>"2"</f>
        <v>2</v>
      </c>
      <c r="I527" t="str">
        <f>"62-060"</f>
        <v>62-060</v>
      </c>
      <c r="J527" t="s">
        <v>111</v>
      </c>
      <c r="K527" t="str">
        <f>"729856077"</f>
        <v>729856077</v>
      </c>
      <c r="L527" t="s">
        <v>113</v>
      </c>
      <c r="M527" t="s">
        <v>79</v>
      </c>
    </row>
    <row r="528" spans="1:13" x14ac:dyDescent="0.25">
      <c r="A528" t="s">
        <v>124</v>
      </c>
      <c r="B528" t="s">
        <v>32</v>
      </c>
      <c r="C528" t="s">
        <v>125</v>
      </c>
      <c r="D528" t="s">
        <v>125</v>
      </c>
      <c r="E528" t="s">
        <v>125</v>
      </c>
      <c r="F528" t="s">
        <v>126</v>
      </c>
      <c r="G528" t="str">
        <f>"12"</f>
        <v>12</v>
      </c>
      <c r="I528" t="str">
        <f>"62-510"</f>
        <v>62-510</v>
      </c>
      <c r="J528" t="s">
        <v>125</v>
      </c>
      <c r="K528" t="str">
        <f>"632431866"</f>
        <v>632431866</v>
      </c>
      <c r="L528" t="s">
        <v>127</v>
      </c>
      <c r="M528" t="s">
        <v>128</v>
      </c>
    </row>
    <row r="529" spans="1:13" x14ac:dyDescent="0.25">
      <c r="A529" t="s">
        <v>158</v>
      </c>
      <c r="B529" t="s">
        <v>32</v>
      </c>
      <c r="C529" t="s">
        <v>159</v>
      </c>
      <c r="D529" t="s">
        <v>160</v>
      </c>
      <c r="E529" t="s">
        <v>160</v>
      </c>
      <c r="F529" t="s">
        <v>161</v>
      </c>
      <c r="G529" t="str">
        <f>"2"</f>
        <v>2</v>
      </c>
      <c r="I529" t="str">
        <f>"63-400"</f>
        <v>63-400</v>
      </c>
      <c r="J529" t="s">
        <v>160</v>
      </c>
      <c r="K529" t="str">
        <f>"627365139"</f>
        <v>627365139</v>
      </c>
      <c r="L529" t="s">
        <v>162</v>
      </c>
      <c r="M529" t="s">
        <v>163</v>
      </c>
    </row>
    <row r="530" spans="1:13" x14ac:dyDescent="0.25">
      <c r="A530" t="s">
        <v>337</v>
      </c>
      <c r="B530" t="s">
        <v>32</v>
      </c>
      <c r="C530" t="s">
        <v>338</v>
      </c>
      <c r="D530" t="s">
        <v>339</v>
      </c>
      <c r="E530" t="s">
        <v>339</v>
      </c>
      <c r="F530" t="s">
        <v>340</v>
      </c>
      <c r="G530" t="str">
        <f>"4"</f>
        <v>4</v>
      </c>
      <c r="I530" t="str">
        <f>"62-200"</f>
        <v>62-200</v>
      </c>
      <c r="J530" t="s">
        <v>339</v>
      </c>
      <c r="K530" t="str">
        <f>"601435196"</f>
        <v>601435196</v>
      </c>
      <c r="L530" t="s">
        <v>341</v>
      </c>
      <c r="M530" t="s">
        <v>342</v>
      </c>
    </row>
    <row r="531" spans="1:13" x14ac:dyDescent="0.25">
      <c r="A531" t="s">
        <v>355</v>
      </c>
      <c r="B531" t="s">
        <v>32</v>
      </c>
      <c r="C531" t="s">
        <v>164</v>
      </c>
      <c r="D531" t="s">
        <v>356</v>
      </c>
      <c r="E531" t="s">
        <v>356</v>
      </c>
      <c r="F531" t="s">
        <v>357</v>
      </c>
      <c r="G531" t="str">
        <f>"11"</f>
        <v>11</v>
      </c>
      <c r="I531" t="str">
        <f>"62-065"</f>
        <v>62-065</v>
      </c>
      <c r="J531" t="s">
        <v>356</v>
      </c>
      <c r="K531" t="str">
        <f>"616770888"</f>
        <v>616770888</v>
      </c>
      <c r="L531" t="s">
        <v>358</v>
      </c>
    </row>
    <row r="532" spans="1:13" x14ac:dyDescent="0.25">
      <c r="A532" t="s">
        <v>370</v>
      </c>
      <c r="B532" t="s">
        <v>32</v>
      </c>
      <c r="C532" t="s">
        <v>371</v>
      </c>
      <c r="D532" t="s">
        <v>372</v>
      </c>
      <c r="E532" t="s">
        <v>372</v>
      </c>
      <c r="F532" t="s">
        <v>217</v>
      </c>
      <c r="G532" t="str">
        <f>"13"</f>
        <v>13</v>
      </c>
      <c r="I532" t="str">
        <f>"62-600"</f>
        <v>62-600</v>
      </c>
      <c r="J532" t="s">
        <v>372</v>
      </c>
      <c r="K532" t="str">
        <f>"632722789"</f>
        <v>632722789</v>
      </c>
      <c r="L532" t="s">
        <v>373</v>
      </c>
      <c r="M532" t="s">
        <v>374</v>
      </c>
    </row>
    <row r="533" spans="1:13" x14ac:dyDescent="0.25">
      <c r="A533" t="s">
        <v>380</v>
      </c>
      <c r="B533" t="s">
        <v>32</v>
      </c>
      <c r="C533" t="s">
        <v>381</v>
      </c>
      <c r="D533" t="s">
        <v>382</v>
      </c>
      <c r="E533" t="s">
        <v>382</v>
      </c>
      <c r="F533" t="s">
        <v>383</v>
      </c>
      <c r="G533" t="str">
        <f>"5"</f>
        <v>5</v>
      </c>
      <c r="H533" t="str">
        <f>"A"</f>
        <v>A</v>
      </c>
      <c r="I533" t="str">
        <f>"64-000"</f>
        <v>64-000</v>
      </c>
      <c r="J533" t="s">
        <v>382</v>
      </c>
      <c r="K533" t="str">
        <f>"655121760"</f>
        <v>655121760</v>
      </c>
      <c r="L533" t="s">
        <v>384</v>
      </c>
      <c r="M533" t="s">
        <v>385</v>
      </c>
    </row>
    <row r="534" spans="1:13" x14ac:dyDescent="0.25">
      <c r="A534" t="s">
        <v>513</v>
      </c>
      <c r="B534" t="s">
        <v>32</v>
      </c>
      <c r="C534" t="s">
        <v>514</v>
      </c>
      <c r="D534" t="s">
        <v>515</v>
      </c>
      <c r="E534" t="s">
        <v>515</v>
      </c>
      <c r="F534" t="s">
        <v>516</v>
      </c>
      <c r="G534" t="str">
        <f>"19"</f>
        <v>19</v>
      </c>
      <c r="I534" t="str">
        <f>"64-920"</f>
        <v>64-920</v>
      </c>
      <c r="J534" t="s">
        <v>515</v>
      </c>
      <c r="K534" t="str">
        <f>"673509097"</f>
        <v>673509097</v>
      </c>
      <c r="L534" t="s">
        <v>517</v>
      </c>
      <c r="M534" t="s">
        <v>518</v>
      </c>
    </row>
    <row r="535" spans="1:13" x14ac:dyDescent="0.25">
      <c r="A535" t="s">
        <v>519</v>
      </c>
      <c r="B535" t="s">
        <v>32</v>
      </c>
      <c r="C535" t="s">
        <v>520</v>
      </c>
      <c r="D535" t="s">
        <v>521</v>
      </c>
      <c r="E535" t="s">
        <v>521</v>
      </c>
      <c r="F535" t="s">
        <v>441</v>
      </c>
      <c r="G535" t="str">
        <f>"14"</f>
        <v>14</v>
      </c>
      <c r="I535" t="str">
        <f>"63-300"</f>
        <v>63-300</v>
      </c>
      <c r="J535" t="s">
        <v>521</v>
      </c>
      <c r="K535" t="str">
        <f>"627421655"</f>
        <v>627421655</v>
      </c>
      <c r="L535" t="s">
        <v>522</v>
      </c>
      <c r="M535" t="s">
        <v>523</v>
      </c>
    </row>
    <row r="536" spans="1:13" x14ac:dyDescent="0.25">
      <c r="A536" t="s">
        <v>642</v>
      </c>
      <c r="B536" t="s">
        <v>32</v>
      </c>
      <c r="C536" t="s">
        <v>643</v>
      </c>
      <c r="D536" t="s">
        <v>644</v>
      </c>
      <c r="E536" t="s">
        <v>644</v>
      </c>
      <c r="F536" t="s">
        <v>645</v>
      </c>
      <c r="G536" t="str">
        <f>"1"</f>
        <v>1</v>
      </c>
      <c r="I536" t="str">
        <f>"62-100"</f>
        <v>62-100</v>
      </c>
      <c r="J536" t="s">
        <v>644</v>
      </c>
      <c r="K536" t="str">
        <f>"672622380"</f>
        <v>672622380</v>
      </c>
      <c r="L536" t="s">
        <v>646</v>
      </c>
      <c r="M536" t="s">
        <v>647</v>
      </c>
    </row>
    <row r="537" spans="1:13" x14ac:dyDescent="0.25">
      <c r="A537" t="s">
        <v>648</v>
      </c>
      <c r="B537" t="s">
        <v>32</v>
      </c>
      <c r="C537" t="s">
        <v>514</v>
      </c>
      <c r="D537" t="s">
        <v>649</v>
      </c>
      <c r="E537" t="s">
        <v>649</v>
      </c>
      <c r="F537" t="s">
        <v>650</v>
      </c>
      <c r="G537" t="str">
        <f>"1"</f>
        <v>1</v>
      </c>
      <c r="I537" t="str">
        <f>"89-300"</f>
        <v>89-300</v>
      </c>
      <c r="J537" t="s">
        <v>649</v>
      </c>
      <c r="K537" t="str">
        <f>"672862477"</f>
        <v>672862477</v>
      </c>
      <c r="L537" t="s">
        <v>651</v>
      </c>
      <c r="M537" t="s">
        <v>652</v>
      </c>
    </row>
    <row r="538" spans="1:13" x14ac:dyDescent="0.25">
      <c r="A538" t="s">
        <v>806</v>
      </c>
      <c r="B538" t="s">
        <v>32</v>
      </c>
      <c r="C538" t="s">
        <v>811</v>
      </c>
      <c r="D538" t="s">
        <v>812</v>
      </c>
      <c r="E538" t="s">
        <v>812</v>
      </c>
      <c r="F538" t="s">
        <v>813</v>
      </c>
      <c r="G538" t="str">
        <f>"5"</f>
        <v>5</v>
      </c>
      <c r="I538" t="str">
        <f>"64-800"</f>
        <v>64-800</v>
      </c>
      <c r="J538" t="s">
        <v>812</v>
      </c>
      <c r="K538" t="str">
        <f>"672812531"</f>
        <v>672812531</v>
      </c>
      <c r="L538" t="s">
        <v>814</v>
      </c>
      <c r="M538" t="s">
        <v>815</v>
      </c>
    </row>
    <row r="539" spans="1:13" x14ac:dyDescent="0.25">
      <c r="A539" t="s">
        <v>806</v>
      </c>
      <c r="B539" t="s">
        <v>32</v>
      </c>
      <c r="C539" t="s">
        <v>818</v>
      </c>
      <c r="D539" t="s">
        <v>819</v>
      </c>
      <c r="E539" t="s">
        <v>819</v>
      </c>
      <c r="F539" t="s">
        <v>820</v>
      </c>
      <c r="G539" t="str">
        <f>"1"</f>
        <v>1</v>
      </c>
      <c r="I539" t="str">
        <f>"64-300"</f>
        <v>64-300</v>
      </c>
      <c r="J539" t="s">
        <v>819</v>
      </c>
      <c r="K539" t="str">
        <f>"614423436"</f>
        <v>614423436</v>
      </c>
      <c r="L539" t="s">
        <v>821</v>
      </c>
      <c r="M539" t="s">
        <v>822</v>
      </c>
    </row>
    <row r="540" spans="1:13" x14ac:dyDescent="0.25">
      <c r="A540" t="s">
        <v>806</v>
      </c>
      <c r="B540" t="s">
        <v>32</v>
      </c>
      <c r="C540" t="s">
        <v>933</v>
      </c>
      <c r="D540" t="s">
        <v>934</v>
      </c>
      <c r="E540" t="s">
        <v>934</v>
      </c>
      <c r="F540" t="s">
        <v>263</v>
      </c>
      <c r="G540" t="str">
        <f>"19"</f>
        <v>19</v>
      </c>
      <c r="I540" t="str">
        <f>"63-500"</f>
        <v>63-500</v>
      </c>
      <c r="J540" t="s">
        <v>934</v>
      </c>
      <c r="K540" t="str">
        <f>"627320367"</f>
        <v>627320367</v>
      </c>
      <c r="L540" t="s">
        <v>935</v>
      </c>
      <c r="M540" t="s">
        <v>936</v>
      </c>
    </row>
    <row r="541" spans="1:13" x14ac:dyDescent="0.25">
      <c r="A541" t="s">
        <v>972</v>
      </c>
      <c r="B541" t="s">
        <v>32</v>
      </c>
      <c r="C541" t="s">
        <v>33</v>
      </c>
      <c r="D541" t="s">
        <v>34</v>
      </c>
      <c r="E541" t="s">
        <v>34</v>
      </c>
      <c r="F541" t="s">
        <v>482</v>
      </c>
      <c r="G541" t="str">
        <f>"54"</f>
        <v>54</v>
      </c>
      <c r="H541" t="str">
        <f>"56"</f>
        <v>56</v>
      </c>
      <c r="I541" t="str">
        <f>"60-521"</f>
        <v>60-521</v>
      </c>
      <c r="J541" t="s">
        <v>33</v>
      </c>
      <c r="K541" t="str">
        <f>"616397666"</f>
        <v>616397666</v>
      </c>
      <c r="L541" t="s">
        <v>973</v>
      </c>
      <c r="M541" t="s">
        <v>974</v>
      </c>
    </row>
    <row r="542" spans="1:13" x14ac:dyDescent="0.25">
      <c r="A542" t="s">
        <v>976</v>
      </c>
      <c r="B542" t="s">
        <v>32</v>
      </c>
      <c r="C542" t="s">
        <v>33</v>
      </c>
      <c r="D542" t="s">
        <v>977</v>
      </c>
      <c r="E542" t="s">
        <v>977</v>
      </c>
      <c r="F542" t="s">
        <v>978</v>
      </c>
      <c r="G542" t="str">
        <f>"296/29"</f>
        <v>296/29</v>
      </c>
      <c r="I542" t="str">
        <f>"61-469"</f>
        <v>61-469</v>
      </c>
      <c r="J542" t="s">
        <v>33</v>
      </c>
      <c r="K542" t="str">
        <f>"616704037"</f>
        <v>616704037</v>
      </c>
      <c r="L542" t="s">
        <v>979</v>
      </c>
      <c r="M542" t="s">
        <v>980</v>
      </c>
    </row>
    <row r="543" spans="1:13" x14ac:dyDescent="0.25">
      <c r="A543" t="s">
        <v>1029</v>
      </c>
      <c r="B543" t="s">
        <v>32</v>
      </c>
      <c r="C543" t="s">
        <v>1030</v>
      </c>
      <c r="D543" t="s">
        <v>1030</v>
      </c>
      <c r="E543" t="s">
        <v>1030</v>
      </c>
      <c r="F543" t="s">
        <v>1031</v>
      </c>
      <c r="G543" t="str">
        <f>"19"</f>
        <v>19</v>
      </c>
      <c r="I543" t="str">
        <f>"62-800"</f>
        <v>62-800</v>
      </c>
      <c r="J543" t="s">
        <v>1030</v>
      </c>
      <c r="K543" t="str">
        <f>"625010119"</f>
        <v>625010119</v>
      </c>
      <c r="L543" t="s">
        <v>1032</v>
      </c>
      <c r="M543" t="s">
        <v>1033</v>
      </c>
    </row>
    <row r="544" spans="1:13" x14ac:dyDescent="0.25">
      <c r="A544" t="s">
        <v>1104</v>
      </c>
      <c r="B544" t="s">
        <v>32</v>
      </c>
      <c r="C544" t="s">
        <v>33</v>
      </c>
      <c r="D544" t="s">
        <v>36</v>
      </c>
      <c r="E544" t="s">
        <v>36</v>
      </c>
      <c r="F544" t="s">
        <v>1105</v>
      </c>
      <c r="G544" t="str">
        <f>"56"</f>
        <v>56</v>
      </c>
      <c r="I544" t="str">
        <f>"60-261"</f>
        <v>60-261</v>
      </c>
      <c r="J544" t="s">
        <v>33</v>
      </c>
      <c r="K544" t="str">
        <f>"618528558"</f>
        <v>618528558</v>
      </c>
      <c r="L544" t="s">
        <v>1106</v>
      </c>
      <c r="M544" t="s">
        <v>1107</v>
      </c>
    </row>
    <row r="545" spans="1:13" x14ac:dyDescent="0.25">
      <c r="A545" t="s">
        <v>1166</v>
      </c>
      <c r="B545" t="s">
        <v>32</v>
      </c>
      <c r="C545" t="s">
        <v>33</v>
      </c>
      <c r="D545" t="s">
        <v>34</v>
      </c>
      <c r="E545" t="s">
        <v>34</v>
      </c>
      <c r="F545" t="s">
        <v>482</v>
      </c>
      <c r="G545" t="str">
        <f>"54"</f>
        <v>54</v>
      </c>
      <c r="H545" t="str">
        <f>"56"</f>
        <v>56</v>
      </c>
      <c r="I545" t="str">
        <f>"60-521"</f>
        <v>60-521</v>
      </c>
      <c r="J545" t="s">
        <v>33</v>
      </c>
      <c r="K545" t="str">
        <f>"616397665"</f>
        <v>616397665</v>
      </c>
      <c r="L545" t="s">
        <v>973</v>
      </c>
      <c r="M545" t="s">
        <v>1167</v>
      </c>
    </row>
    <row r="546" spans="1:13" x14ac:dyDescent="0.25">
      <c r="A546" t="s">
        <v>1217</v>
      </c>
      <c r="B546" t="s">
        <v>32</v>
      </c>
      <c r="C546" t="s">
        <v>33</v>
      </c>
      <c r="D546" t="s">
        <v>975</v>
      </c>
      <c r="E546" t="s">
        <v>975</v>
      </c>
      <c r="F546" t="s">
        <v>1218</v>
      </c>
      <c r="G546" t="str">
        <f>"105"</f>
        <v>105</v>
      </c>
      <c r="I546" t="str">
        <f>"60-681"</f>
        <v>60-681</v>
      </c>
      <c r="J546" t="s">
        <v>33</v>
      </c>
      <c r="K546" t="str">
        <f>"618234431"</f>
        <v>618234431</v>
      </c>
      <c r="L546" t="s">
        <v>1219</v>
      </c>
      <c r="M546" t="s">
        <v>1220</v>
      </c>
    </row>
    <row r="547" spans="1:13" x14ac:dyDescent="0.25">
      <c r="A547" t="s">
        <v>1241</v>
      </c>
      <c r="B547" t="s">
        <v>32</v>
      </c>
      <c r="C547" t="s">
        <v>33</v>
      </c>
      <c r="D547" t="s">
        <v>975</v>
      </c>
      <c r="E547" t="s">
        <v>975</v>
      </c>
      <c r="F547" t="s">
        <v>1242</v>
      </c>
      <c r="G547" t="str">
        <f>"29"</f>
        <v>29</v>
      </c>
      <c r="I547" t="str">
        <f>"61-733"</f>
        <v>61-733</v>
      </c>
      <c r="J547" t="s">
        <v>33</v>
      </c>
      <c r="K547" t="str">
        <f>"618522062"</f>
        <v>618522062</v>
      </c>
      <c r="L547" t="s">
        <v>1243</v>
      </c>
      <c r="M547" t="s">
        <v>1244</v>
      </c>
    </row>
    <row r="548" spans="1:13" x14ac:dyDescent="0.25">
      <c r="A548" t="s">
        <v>1249</v>
      </c>
      <c r="B548" t="s">
        <v>32</v>
      </c>
      <c r="C548" t="s">
        <v>33</v>
      </c>
      <c r="D548" t="s">
        <v>977</v>
      </c>
      <c r="E548" t="s">
        <v>977</v>
      </c>
      <c r="F548" t="s">
        <v>978</v>
      </c>
      <c r="G548" t="str">
        <f>"296/29"</f>
        <v>296/29</v>
      </c>
      <c r="I548" t="str">
        <f>"61-469"</f>
        <v>61-469</v>
      </c>
      <c r="J548" t="s">
        <v>33</v>
      </c>
      <c r="K548" t="str">
        <f>"616704038"</f>
        <v>616704038</v>
      </c>
      <c r="L548" t="s">
        <v>1254</v>
      </c>
      <c r="M548" t="s">
        <v>980</v>
      </c>
    </row>
    <row r="549" spans="1:13" x14ac:dyDescent="0.25">
      <c r="A549" t="s">
        <v>1255</v>
      </c>
      <c r="B549" t="s">
        <v>32</v>
      </c>
      <c r="C549" t="s">
        <v>33</v>
      </c>
      <c r="D549" t="s">
        <v>1260</v>
      </c>
      <c r="E549" t="s">
        <v>1260</v>
      </c>
      <c r="F549" t="s">
        <v>1261</v>
      </c>
      <c r="G549" t="str">
        <f>"42"</f>
        <v>42</v>
      </c>
      <c r="I549" t="str">
        <f>"61-359"</f>
        <v>61-359</v>
      </c>
      <c r="J549" t="s">
        <v>33</v>
      </c>
      <c r="K549" t="str">
        <f>"618721050"</f>
        <v>618721050</v>
      </c>
      <c r="L549" t="s">
        <v>1262</v>
      </c>
      <c r="M549" t="s">
        <v>1263</v>
      </c>
    </row>
    <row r="550" spans="1:13" x14ac:dyDescent="0.25">
      <c r="A550" t="s">
        <v>1268</v>
      </c>
      <c r="B550" t="s">
        <v>32</v>
      </c>
      <c r="C550" t="s">
        <v>33</v>
      </c>
      <c r="D550" t="s">
        <v>1260</v>
      </c>
      <c r="E550" t="s">
        <v>1260</v>
      </c>
      <c r="F550" t="s">
        <v>1269</v>
      </c>
      <c r="G550" t="str">
        <f>"56"</f>
        <v>56</v>
      </c>
      <c r="H550" t="str">
        <f>"D1"</f>
        <v>D1</v>
      </c>
      <c r="I550" t="str">
        <f>"61-245"</f>
        <v>61-245</v>
      </c>
      <c r="J550" t="s">
        <v>33</v>
      </c>
      <c r="K550" t="str">
        <f>"616704039"</f>
        <v>616704039</v>
      </c>
      <c r="L550" t="s">
        <v>1270</v>
      </c>
      <c r="M550" t="s">
        <v>1271</v>
      </c>
    </row>
    <row r="551" spans="1:13" x14ac:dyDescent="0.25">
      <c r="A551" t="s">
        <v>1427</v>
      </c>
      <c r="B551" t="s">
        <v>32</v>
      </c>
      <c r="C551" t="s">
        <v>1428</v>
      </c>
      <c r="D551" t="s">
        <v>1429</v>
      </c>
      <c r="E551" t="s">
        <v>1429</v>
      </c>
      <c r="F551" t="s">
        <v>187</v>
      </c>
      <c r="G551" t="str">
        <f>"90"</f>
        <v>90</v>
      </c>
      <c r="I551" t="str">
        <f>"64-700"</f>
        <v>64-700</v>
      </c>
      <c r="J551" t="s">
        <v>1429</v>
      </c>
      <c r="K551" t="str">
        <f>"672552306"</f>
        <v>672552306</v>
      </c>
      <c r="L551" t="s">
        <v>1430</v>
      </c>
    </row>
    <row r="552" spans="1:13" x14ac:dyDescent="0.25">
      <c r="A552" t="s">
        <v>1506</v>
      </c>
      <c r="B552" t="s">
        <v>32</v>
      </c>
      <c r="C552" t="s">
        <v>1507</v>
      </c>
      <c r="D552" t="s">
        <v>1508</v>
      </c>
      <c r="E552" t="s">
        <v>1508</v>
      </c>
      <c r="F552" t="s">
        <v>1509</v>
      </c>
      <c r="G552" t="str">
        <f>"7"</f>
        <v>7</v>
      </c>
      <c r="I552" t="str">
        <f>"63-800"</f>
        <v>63-800</v>
      </c>
      <c r="J552" t="s">
        <v>1508</v>
      </c>
      <c r="K552" t="str">
        <f>"655720697"</f>
        <v>655720697</v>
      </c>
      <c r="L552" t="s">
        <v>1510</v>
      </c>
      <c r="M552" t="s">
        <v>1511</v>
      </c>
    </row>
    <row r="553" spans="1:13" x14ac:dyDescent="0.25">
      <c r="A553" t="s">
        <v>1574</v>
      </c>
      <c r="B553" t="s">
        <v>32</v>
      </c>
      <c r="C553" t="s">
        <v>1575</v>
      </c>
      <c r="D553" t="s">
        <v>1576</v>
      </c>
      <c r="E553" t="s">
        <v>1576</v>
      </c>
      <c r="F553" t="s">
        <v>1577</v>
      </c>
      <c r="G553" t="str">
        <f>"21"</f>
        <v>21</v>
      </c>
      <c r="I553" t="str">
        <f>"63-200"</f>
        <v>63-200</v>
      </c>
      <c r="J553" t="s">
        <v>1576</v>
      </c>
      <c r="K553" t="str">
        <f>"627472245"</f>
        <v>627472245</v>
      </c>
      <c r="L553" t="s">
        <v>1578</v>
      </c>
      <c r="M553" t="s">
        <v>1579</v>
      </c>
    </row>
    <row r="554" spans="1:13" x14ac:dyDescent="0.25">
      <c r="A554" t="s">
        <v>1616</v>
      </c>
      <c r="B554" t="s">
        <v>32</v>
      </c>
      <c r="C554" t="s">
        <v>1617</v>
      </c>
      <c r="D554" t="s">
        <v>1618</v>
      </c>
      <c r="E554" t="s">
        <v>1618</v>
      </c>
      <c r="F554" t="s">
        <v>1619</v>
      </c>
      <c r="G554" t="str">
        <f>"26"</f>
        <v>26</v>
      </c>
      <c r="I554" t="str">
        <f>"63-600"</f>
        <v>63-600</v>
      </c>
      <c r="J554" t="s">
        <v>1618</v>
      </c>
      <c r="K554" t="str">
        <f>"627824811"</f>
        <v>627824811</v>
      </c>
      <c r="L554" t="s">
        <v>1620</v>
      </c>
      <c r="M554" t="s">
        <v>1621</v>
      </c>
    </row>
    <row r="555" spans="1:13" x14ac:dyDescent="0.25">
      <c r="A555" t="s">
        <v>101</v>
      </c>
      <c r="B555" t="s">
        <v>32</v>
      </c>
      <c r="C555" t="s">
        <v>75</v>
      </c>
      <c r="D555" t="s">
        <v>1637</v>
      </c>
      <c r="E555" t="s">
        <v>1638</v>
      </c>
      <c r="F555" t="s">
        <v>92</v>
      </c>
      <c r="G555" t="str">
        <f>"95"</f>
        <v>95</v>
      </c>
      <c r="I555" t="str">
        <f>"62-006"</f>
        <v>62-006</v>
      </c>
      <c r="J555" t="s">
        <v>1638</v>
      </c>
      <c r="K555" t="str">
        <f>"618174951"</f>
        <v>618174951</v>
      </c>
      <c r="L555" t="s">
        <v>1639</v>
      </c>
      <c r="M555" t="s">
        <v>100</v>
      </c>
    </row>
    <row r="556" spans="1:13" x14ac:dyDescent="0.25">
      <c r="A556" t="s">
        <v>1678</v>
      </c>
      <c r="B556" t="s">
        <v>32</v>
      </c>
      <c r="C556" t="s">
        <v>1679</v>
      </c>
      <c r="D556" t="s">
        <v>1680</v>
      </c>
      <c r="E556" t="s">
        <v>1680</v>
      </c>
      <c r="F556" t="s">
        <v>1681</v>
      </c>
      <c r="G556" t="str">
        <f>"10"</f>
        <v>10</v>
      </c>
      <c r="I556" t="str">
        <f>"63-700"</f>
        <v>63-700</v>
      </c>
      <c r="J556" t="s">
        <v>1680</v>
      </c>
      <c r="K556" t="str">
        <f>"627252433"</f>
        <v>627252433</v>
      </c>
      <c r="L556" t="s">
        <v>1682</v>
      </c>
      <c r="M556" t="s">
        <v>1683</v>
      </c>
    </row>
    <row r="557" spans="1:13" x14ac:dyDescent="0.25">
      <c r="A557" t="s">
        <v>1689</v>
      </c>
      <c r="B557" t="s">
        <v>32</v>
      </c>
      <c r="C557" t="s">
        <v>1428</v>
      </c>
      <c r="D557" t="s">
        <v>1690</v>
      </c>
      <c r="E557" t="s">
        <v>1690</v>
      </c>
      <c r="F557" t="s">
        <v>447</v>
      </c>
      <c r="G557" t="str">
        <f>"73"</f>
        <v>73</v>
      </c>
      <c r="I557" t="str">
        <f>"64-761"</f>
        <v>64-761</v>
      </c>
      <c r="J557" t="s">
        <v>1690</v>
      </c>
      <c r="K557" t="str">
        <f>"672565143"</f>
        <v>672565143</v>
      </c>
      <c r="L557" t="s">
        <v>1691</v>
      </c>
      <c r="M557" t="s">
        <v>1692</v>
      </c>
    </row>
    <row r="558" spans="1:13" x14ac:dyDescent="0.25">
      <c r="A558" t="s">
        <v>1721</v>
      </c>
      <c r="B558" t="s">
        <v>32</v>
      </c>
      <c r="C558" t="s">
        <v>1722</v>
      </c>
      <c r="D558" t="s">
        <v>1722</v>
      </c>
      <c r="E558" t="s">
        <v>1722</v>
      </c>
      <c r="F558" t="s">
        <v>600</v>
      </c>
      <c r="G558" t="str">
        <f>"15"</f>
        <v>15</v>
      </c>
      <c r="I558" t="str">
        <f>"64-100"</f>
        <v>64-100</v>
      </c>
      <c r="J558" t="s">
        <v>1722</v>
      </c>
      <c r="K558" t="str">
        <f>"655293035"</f>
        <v>655293035</v>
      </c>
      <c r="L558" t="s">
        <v>1723</v>
      </c>
    </row>
    <row r="559" spans="1:13" x14ac:dyDescent="0.25">
      <c r="A559" t="s">
        <v>80</v>
      </c>
      <c r="B559" t="s">
        <v>32</v>
      </c>
      <c r="C559" t="s">
        <v>75</v>
      </c>
      <c r="D559" t="s">
        <v>1759</v>
      </c>
      <c r="E559" t="s">
        <v>1759</v>
      </c>
      <c r="F559" t="s">
        <v>1760</v>
      </c>
      <c r="G559" t="str">
        <f>"26B"</f>
        <v>26B</v>
      </c>
      <c r="I559" t="str">
        <f>"62-030"</f>
        <v>62-030</v>
      </c>
      <c r="J559" t="s">
        <v>1759</v>
      </c>
      <c r="K559" t="str">
        <f>"618581979"</f>
        <v>618581979</v>
      </c>
      <c r="L559" t="s">
        <v>1761</v>
      </c>
      <c r="M559" t="s">
        <v>79</v>
      </c>
    </row>
    <row r="560" spans="1:13" x14ac:dyDescent="0.25">
      <c r="A560" t="s">
        <v>1762</v>
      </c>
      <c r="B560" t="s">
        <v>32</v>
      </c>
      <c r="C560" t="s">
        <v>75</v>
      </c>
      <c r="D560" t="s">
        <v>1763</v>
      </c>
      <c r="E560" t="s">
        <v>1763</v>
      </c>
      <c r="F560" t="s">
        <v>880</v>
      </c>
      <c r="G560" t="str">
        <f>"15"</f>
        <v>15</v>
      </c>
      <c r="I560" t="str">
        <f>"62-002"</f>
        <v>62-002</v>
      </c>
      <c r="J560" t="s">
        <v>1763</v>
      </c>
      <c r="K560" t="str">
        <f>"618116122"</f>
        <v>618116122</v>
      </c>
      <c r="L560" t="s">
        <v>1764</v>
      </c>
      <c r="M560" t="s">
        <v>79</v>
      </c>
    </row>
    <row r="561" spans="1:13" x14ac:dyDescent="0.25">
      <c r="A561" t="s">
        <v>1765</v>
      </c>
      <c r="B561" t="s">
        <v>32</v>
      </c>
      <c r="C561" t="s">
        <v>75</v>
      </c>
      <c r="D561" t="s">
        <v>1766</v>
      </c>
      <c r="E561" t="s">
        <v>1766</v>
      </c>
      <c r="F561" t="s">
        <v>1285</v>
      </c>
      <c r="G561" t="str">
        <f>"1"</f>
        <v>1</v>
      </c>
      <c r="I561" t="str">
        <f>"62-080"</f>
        <v>62-080</v>
      </c>
      <c r="J561" t="s">
        <v>1766</v>
      </c>
      <c r="K561" t="str">
        <f>"505377660"</f>
        <v>505377660</v>
      </c>
      <c r="L561" t="s">
        <v>1767</v>
      </c>
      <c r="M561" t="s">
        <v>79</v>
      </c>
    </row>
    <row r="562" spans="1:13" x14ac:dyDescent="0.25">
      <c r="A562" t="s">
        <v>1795</v>
      </c>
      <c r="B562" t="s">
        <v>32</v>
      </c>
      <c r="C562" t="s">
        <v>1796</v>
      </c>
      <c r="D562" t="s">
        <v>1797</v>
      </c>
      <c r="E562" t="s">
        <v>1797</v>
      </c>
      <c r="F562" t="s">
        <v>1798</v>
      </c>
      <c r="G562" t="str">
        <f>"6A"</f>
        <v>6A</v>
      </c>
      <c r="I562" t="str">
        <f>"64-400"</f>
        <v>64-400</v>
      </c>
      <c r="J562" t="s">
        <v>1797</v>
      </c>
      <c r="K562" t="str">
        <f>"957482621"</f>
        <v>957482621</v>
      </c>
      <c r="L562" t="s">
        <v>1799</v>
      </c>
    </row>
    <row r="563" spans="1:13" x14ac:dyDescent="0.25">
      <c r="A563" t="s">
        <v>1873</v>
      </c>
      <c r="B563" t="s">
        <v>32</v>
      </c>
      <c r="C563" t="s">
        <v>1874</v>
      </c>
      <c r="D563" t="s">
        <v>1875</v>
      </c>
      <c r="E563" t="s">
        <v>1875</v>
      </c>
      <c r="F563" t="s">
        <v>22</v>
      </c>
      <c r="G563" t="str">
        <f>"4"</f>
        <v>4</v>
      </c>
      <c r="I563" t="str">
        <f>"64-600"</f>
        <v>64-600</v>
      </c>
      <c r="J563" t="s">
        <v>1875</v>
      </c>
      <c r="K563" t="str">
        <f>"0612960439"</f>
        <v>0612960439</v>
      </c>
      <c r="L563" t="s">
        <v>1876</v>
      </c>
      <c r="M563" t="s">
        <v>1877</v>
      </c>
    </row>
    <row r="564" spans="1:13" x14ac:dyDescent="0.25">
      <c r="A564" t="s">
        <v>95</v>
      </c>
      <c r="B564" t="s">
        <v>32</v>
      </c>
      <c r="C564" t="s">
        <v>75</v>
      </c>
      <c r="D564" t="s">
        <v>2008</v>
      </c>
      <c r="E564" t="s">
        <v>2008</v>
      </c>
      <c r="F564" t="s">
        <v>2009</v>
      </c>
      <c r="G564" t="str">
        <f>"2"</f>
        <v>2</v>
      </c>
      <c r="I564" t="str">
        <f>"62-040"</f>
        <v>62-040</v>
      </c>
      <c r="J564" t="s">
        <v>2010</v>
      </c>
      <c r="K564" t="str">
        <f>"612245168"</f>
        <v>612245168</v>
      </c>
      <c r="L564" t="s">
        <v>2011</v>
      </c>
      <c r="M564" t="s">
        <v>2012</v>
      </c>
    </row>
    <row r="565" spans="1:13" x14ac:dyDescent="0.25">
      <c r="A565" t="s">
        <v>2035</v>
      </c>
      <c r="B565" t="s">
        <v>32</v>
      </c>
      <c r="C565" t="s">
        <v>2036</v>
      </c>
      <c r="D565" t="s">
        <v>2037</v>
      </c>
      <c r="E565" t="s">
        <v>2037</v>
      </c>
      <c r="F565" t="s">
        <v>2038</v>
      </c>
      <c r="G565" t="str">
        <f>"9e"</f>
        <v>9e</v>
      </c>
      <c r="I565" t="str">
        <f>"63-900"</f>
        <v>63-900</v>
      </c>
      <c r="J565" t="s">
        <v>2037</v>
      </c>
      <c r="K565" t="str">
        <f>"656141854"</f>
        <v>656141854</v>
      </c>
      <c r="L565" t="s">
        <v>2039</v>
      </c>
      <c r="M565" t="s">
        <v>2040</v>
      </c>
    </row>
    <row r="566" spans="1:13" x14ac:dyDescent="0.25">
      <c r="A566" t="s">
        <v>2050</v>
      </c>
      <c r="B566" t="s">
        <v>32</v>
      </c>
      <c r="C566" t="s">
        <v>1874</v>
      </c>
      <c r="D566" t="s">
        <v>2051</v>
      </c>
      <c r="E566" t="s">
        <v>2051</v>
      </c>
      <c r="F566" t="s">
        <v>447</v>
      </c>
      <c r="G566" t="str">
        <f>"1"</f>
        <v>1</v>
      </c>
      <c r="I566" t="str">
        <f>"64-610"</f>
        <v>64-610</v>
      </c>
      <c r="J566" t="s">
        <v>2051</v>
      </c>
      <c r="K566" t="str">
        <f>"672618316"</f>
        <v>672618316</v>
      </c>
      <c r="L566" t="s">
        <v>2052</v>
      </c>
      <c r="M566" t="s">
        <v>2053</v>
      </c>
    </row>
    <row r="567" spans="1:13" x14ac:dyDescent="0.25">
      <c r="A567" t="s">
        <v>2117</v>
      </c>
      <c r="B567" t="s">
        <v>32</v>
      </c>
      <c r="C567" t="s">
        <v>2118</v>
      </c>
      <c r="D567" t="s">
        <v>2119</v>
      </c>
      <c r="E567" t="s">
        <v>2119</v>
      </c>
      <c r="F567" t="s">
        <v>447</v>
      </c>
      <c r="G567" t="str">
        <f>"13"</f>
        <v>13</v>
      </c>
      <c r="I567" t="str">
        <f>"62-400"</f>
        <v>62-400</v>
      </c>
      <c r="J567" t="s">
        <v>2119</v>
      </c>
      <c r="K567" t="str">
        <f>"632771322"</f>
        <v>632771322</v>
      </c>
      <c r="L567" t="s">
        <v>2120</v>
      </c>
      <c r="M567" t="s">
        <v>2121</v>
      </c>
    </row>
    <row r="568" spans="1:13" x14ac:dyDescent="0.25">
      <c r="A568" t="s">
        <v>2131</v>
      </c>
      <c r="B568" t="s">
        <v>32</v>
      </c>
      <c r="C568" t="s">
        <v>2132</v>
      </c>
      <c r="D568" t="s">
        <v>2133</v>
      </c>
      <c r="E568" t="s">
        <v>2133</v>
      </c>
      <c r="F568" t="s">
        <v>2134</v>
      </c>
      <c r="G568" t="str">
        <f>"2"</f>
        <v>2</v>
      </c>
      <c r="I568" t="str">
        <f>"63-100"</f>
        <v>63-100</v>
      </c>
      <c r="J568" t="s">
        <v>2133</v>
      </c>
      <c r="K568" t="str">
        <f>"612834864"</f>
        <v>612834864</v>
      </c>
      <c r="L568" t="s">
        <v>2135</v>
      </c>
      <c r="M568" t="s">
        <v>2136</v>
      </c>
    </row>
    <row r="569" spans="1:13" x14ac:dyDescent="0.25">
      <c r="A569" t="s">
        <v>2137</v>
      </c>
      <c r="B569" t="s">
        <v>32</v>
      </c>
      <c r="C569" t="s">
        <v>895</v>
      </c>
      <c r="D569" t="s">
        <v>2138</v>
      </c>
      <c r="E569" t="s">
        <v>2138</v>
      </c>
      <c r="F569" t="s">
        <v>476</v>
      </c>
      <c r="G569" t="str">
        <f>"3"</f>
        <v>3</v>
      </c>
      <c r="I569" t="str">
        <f>"63-000"</f>
        <v>63-000</v>
      </c>
      <c r="J569" t="s">
        <v>2138</v>
      </c>
      <c r="K569" t="str">
        <f>"616770880"</f>
        <v>616770880</v>
      </c>
      <c r="L569" t="s">
        <v>2139</v>
      </c>
      <c r="M569" t="s">
        <v>2140</v>
      </c>
    </row>
    <row r="570" spans="1:13" x14ac:dyDescent="0.25">
      <c r="A570" t="s">
        <v>2193</v>
      </c>
      <c r="B570" t="s">
        <v>32</v>
      </c>
      <c r="C570" t="s">
        <v>2194</v>
      </c>
      <c r="D570" t="s">
        <v>2195</v>
      </c>
      <c r="E570" t="s">
        <v>2195</v>
      </c>
      <c r="F570" t="s">
        <v>600</v>
      </c>
      <c r="G570" t="str">
        <f>"8b"</f>
        <v>8b</v>
      </c>
      <c r="I570" t="str">
        <f>"64-500"</f>
        <v>64-500</v>
      </c>
      <c r="J570" t="s">
        <v>2195</v>
      </c>
      <c r="K570" t="str">
        <f>"664064138"</f>
        <v>664064138</v>
      </c>
      <c r="L570" t="s">
        <v>2196</v>
      </c>
      <c r="M570" t="s">
        <v>2197</v>
      </c>
    </row>
    <row r="571" spans="1:13" x14ac:dyDescent="0.25">
      <c r="A571" t="s">
        <v>2221</v>
      </c>
      <c r="B571" t="s">
        <v>32</v>
      </c>
      <c r="C571" t="s">
        <v>1428</v>
      </c>
      <c r="D571" t="s">
        <v>2222</v>
      </c>
      <c r="E571" t="s">
        <v>2222</v>
      </c>
      <c r="F571" t="s">
        <v>275</v>
      </c>
      <c r="G571" t="str">
        <f>"1"</f>
        <v>1</v>
      </c>
      <c r="I571" t="str">
        <f>"64-980"</f>
        <v>64-980</v>
      </c>
      <c r="J571" t="s">
        <v>2222</v>
      </c>
      <c r="K571" t="str">
        <f>"672163583"</f>
        <v>672163583</v>
      </c>
      <c r="L571" t="s">
        <v>2223</v>
      </c>
      <c r="M571" t="s">
        <v>2224</v>
      </c>
    </row>
    <row r="572" spans="1:13" x14ac:dyDescent="0.25">
      <c r="A572" t="s">
        <v>2225</v>
      </c>
      <c r="B572" t="s">
        <v>32</v>
      </c>
      <c r="C572" t="s">
        <v>2226</v>
      </c>
      <c r="D572" t="s">
        <v>2227</v>
      </c>
      <c r="E572" t="s">
        <v>2227</v>
      </c>
      <c r="F572" t="s">
        <v>2228</v>
      </c>
      <c r="G572" t="str">
        <f>"12"</f>
        <v>12</v>
      </c>
      <c r="I572" t="str">
        <f>"62-700"</f>
        <v>62-700</v>
      </c>
      <c r="J572" t="s">
        <v>2227</v>
      </c>
      <c r="K572" t="str">
        <f>"0632223380"</f>
        <v>0632223380</v>
      </c>
      <c r="L572" t="s">
        <v>2229</v>
      </c>
      <c r="M572" t="s">
        <v>2230</v>
      </c>
    </row>
    <row r="573" spans="1:13" x14ac:dyDescent="0.25">
      <c r="A573" t="s">
        <v>2350</v>
      </c>
      <c r="B573" t="s">
        <v>32</v>
      </c>
      <c r="C573" t="s">
        <v>2194</v>
      </c>
      <c r="D573" t="s">
        <v>2351</v>
      </c>
      <c r="E573" t="s">
        <v>2351</v>
      </c>
      <c r="F573" t="s">
        <v>92</v>
      </c>
      <c r="G573" t="str">
        <f>"42"</f>
        <v>42</v>
      </c>
      <c r="I573" t="str">
        <f>"64-510"</f>
        <v>64-510</v>
      </c>
      <c r="J573" t="s">
        <v>2351</v>
      </c>
      <c r="K573" t="str">
        <f>"672540353"</f>
        <v>672540353</v>
      </c>
      <c r="L573" t="s">
        <v>2352</v>
      </c>
      <c r="M573" t="s">
        <v>2197</v>
      </c>
    </row>
    <row r="574" spans="1:13" x14ac:dyDescent="0.25">
      <c r="A574" t="s">
        <v>2353</v>
      </c>
      <c r="B574" t="s">
        <v>32</v>
      </c>
      <c r="C574" t="s">
        <v>2354</v>
      </c>
      <c r="D574" t="s">
        <v>2355</v>
      </c>
      <c r="E574" t="s">
        <v>2355</v>
      </c>
      <c r="F574" t="s">
        <v>1835</v>
      </c>
      <c r="G574" t="str">
        <f>"10"</f>
        <v>10</v>
      </c>
      <c r="I574" t="str">
        <f>"62-300"</f>
        <v>62-300</v>
      </c>
      <c r="J574" t="s">
        <v>2355</v>
      </c>
      <c r="K574" t="str">
        <f>"603993506"</f>
        <v>603993506</v>
      </c>
      <c r="L574" t="s">
        <v>2356</v>
      </c>
      <c r="M574" t="s">
        <v>2357</v>
      </c>
    </row>
    <row r="575" spans="1:13" x14ac:dyDescent="0.25">
      <c r="A575" t="s">
        <v>2372</v>
      </c>
      <c r="B575" t="s">
        <v>32</v>
      </c>
      <c r="C575" t="s">
        <v>514</v>
      </c>
      <c r="D575" t="s">
        <v>515</v>
      </c>
      <c r="E575" t="s">
        <v>515</v>
      </c>
      <c r="F575" t="s">
        <v>516</v>
      </c>
      <c r="G575" t="str">
        <f>"19"</f>
        <v>19</v>
      </c>
      <c r="I575" t="str">
        <f>"64-920"</f>
        <v>64-920</v>
      </c>
      <c r="J575" t="s">
        <v>515</v>
      </c>
      <c r="K575" t="str">
        <f>"673509097"</f>
        <v>673509097</v>
      </c>
      <c r="L575" t="s">
        <v>2373</v>
      </c>
      <c r="M575" t="s">
        <v>518</v>
      </c>
    </row>
    <row r="576" spans="1:13" x14ac:dyDescent="0.25">
      <c r="A576" t="s">
        <v>2420</v>
      </c>
      <c r="B576" t="s">
        <v>32</v>
      </c>
      <c r="C576" t="s">
        <v>2421</v>
      </c>
      <c r="D576" t="s">
        <v>2422</v>
      </c>
      <c r="E576" t="s">
        <v>2422</v>
      </c>
      <c r="F576" t="s">
        <v>880</v>
      </c>
      <c r="G576" t="str">
        <f>"3"</f>
        <v>3</v>
      </c>
      <c r="I576" t="str">
        <f>"77-400"</f>
        <v>77-400</v>
      </c>
      <c r="J576" t="s">
        <v>2422</v>
      </c>
      <c r="K576" t="str">
        <f>"672632103"</f>
        <v>672632103</v>
      </c>
      <c r="L576" t="s">
        <v>2423</v>
      </c>
      <c r="M576" t="s">
        <v>2424</v>
      </c>
    </row>
    <row r="577" spans="1:13" x14ac:dyDescent="0.25">
      <c r="A577" t="s">
        <v>2436</v>
      </c>
      <c r="B577" t="s">
        <v>32</v>
      </c>
      <c r="C577" t="s">
        <v>2437</v>
      </c>
      <c r="D577" t="s">
        <v>2438</v>
      </c>
      <c r="E577" t="s">
        <v>2438</v>
      </c>
      <c r="F577" t="s">
        <v>2439</v>
      </c>
      <c r="G577" t="str">
        <f>"5"</f>
        <v>5</v>
      </c>
      <c r="I577" t="str">
        <f>"64-200"</f>
        <v>64-200</v>
      </c>
      <c r="J577" t="s">
        <v>2438</v>
      </c>
      <c r="K577" t="str">
        <f>"683842082"</f>
        <v>683842082</v>
      </c>
      <c r="L577" t="s">
        <v>2440</v>
      </c>
      <c r="M577" t="s">
        <v>2441</v>
      </c>
    </row>
    <row r="578" spans="1:13" x14ac:dyDescent="0.25">
      <c r="A578" t="s">
        <v>2561</v>
      </c>
      <c r="B578" t="s">
        <v>32</v>
      </c>
      <c r="C578" t="s">
        <v>2562</v>
      </c>
      <c r="D578" t="s">
        <v>2563</v>
      </c>
      <c r="E578" t="s">
        <v>2563</v>
      </c>
      <c r="F578" t="s">
        <v>606</v>
      </c>
      <c r="G578" t="str">
        <f>"3"</f>
        <v>3</v>
      </c>
      <c r="I578" t="str">
        <f>"62-860"</f>
        <v>62-860</v>
      </c>
      <c r="J578" t="s">
        <v>2563</v>
      </c>
      <c r="K578" t="str">
        <f>"627529447"</f>
        <v>627529447</v>
      </c>
      <c r="L578" t="s">
        <v>2564</v>
      </c>
      <c r="M578" t="s">
        <v>2565</v>
      </c>
    </row>
    <row r="579" spans="1:13" x14ac:dyDescent="0.25">
      <c r="A579" t="s">
        <v>2591</v>
      </c>
      <c r="B579" t="s">
        <v>32</v>
      </c>
      <c r="C579" t="s">
        <v>2592</v>
      </c>
      <c r="D579" t="s">
        <v>2593</v>
      </c>
      <c r="E579" t="s">
        <v>2593</v>
      </c>
      <c r="F579" t="s">
        <v>2594</v>
      </c>
      <c r="G579" t="str">
        <f>"2"</f>
        <v>2</v>
      </c>
      <c r="I579" t="str">
        <f>"64-130"</f>
        <v>64-130</v>
      </c>
      <c r="J579" t="s">
        <v>2593</v>
      </c>
      <c r="K579" t="str">
        <f>"655380055"</f>
        <v>655380055</v>
      </c>
      <c r="L579" t="s">
        <v>2595</v>
      </c>
      <c r="M579" t="s">
        <v>2596</v>
      </c>
    </row>
    <row r="580" spans="1:13" x14ac:dyDescent="0.25">
      <c r="A580" t="s">
        <v>2607</v>
      </c>
      <c r="B580" t="s">
        <v>32</v>
      </c>
      <c r="C580" t="s">
        <v>2608</v>
      </c>
      <c r="D580" t="s">
        <v>2609</v>
      </c>
      <c r="E580" t="s">
        <v>2609</v>
      </c>
      <c r="F580" t="s">
        <v>476</v>
      </c>
      <c r="G580" t="str">
        <f>"55"</f>
        <v>55</v>
      </c>
      <c r="I580" t="str">
        <f>"62-561"</f>
        <v>62-561</v>
      </c>
      <c r="J580" t="s">
        <v>2609</v>
      </c>
      <c r="K580" t="str">
        <f>"632705988"</f>
        <v>632705988</v>
      </c>
      <c r="L580" t="s">
        <v>2610</v>
      </c>
      <c r="M580" t="s">
        <v>2611</v>
      </c>
    </row>
    <row r="581" spans="1:13" x14ac:dyDescent="0.25">
      <c r="A581" t="s">
        <v>2612</v>
      </c>
      <c r="B581" t="s">
        <v>32</v>
      </c>
      <c r="C581" t="s">
        <v>125</v>
      </c>
      <c r="D581" t="s">
        <v>125</v>
      </c>
      <c r="E581" t="s">
        <v>125</v>
      </c>
      <c r="F581" t="s">
        <v>92</v>
      </c>
      <c r="G581" t="str">
        <f>"74"</f>
        <v>74</v>
      </c>
      <c r="I581" t="str">
        <f>"62-510"</f>
        <v>62-510</v>
      </c>
      <c r="J581" t="s">
        <v>125</v>
      </c>
      <c r="K581" t="str">
        <f>"632430378"</f>
        <v>632430378</v>
      </c>
      <c r="L581" t="s">
        <v>2613</v>
      </c>
      <c r="M581" t="s">
        <v>2611</v>
      </c>
    </row>
    <row r="582" spans="1:13" x14ac:dyDescent="0.25">
      <c r="A582" t="s">
        <v>19</v>
      </c>
      <c r="B582" t="s">
        <v>20</v>
      </c>
      <c r="C582" t="s">
        <v>21</v>
      </c>
      <c r="D582" t="s">
        <v>21</v>
      </c>
      <c r="E582" t="s">
        <v>21</v>
      </c>
      <c r="F582" t="s">
        <v>22</v>
      </c>
      <c r="G582" t="str">
        <f>"23"</f>
        <v>23</v>
      </c>
      <c r="I582" t="str">
        <f>"70-383"</f>
        <v>70-383</v>
      </c>
      <c r="J582" t="s">
        <v>21</v>
      </c>
      <c r="K582" t="str">
        <f>"915065460"</f>
        <v>915065460</v>
      </c>
      <c r="L582" t="s">
        <v>23</v>
      </c>
      <c r="M582" t="s">
        <v>24</v>
      </c>
    </row>
    <row r="583" spans="1:13" x14ac:dyDescent="0.25">
      <c r="A583" t="s">
        <v>119</v>
      </c>
      <c r="B583" t="s">
        <v>20</v>
      </c>
      <c r="C583" t="s">
        <v>120</v>
      </c>
      <c r="D583" t="s">
        <v>120</v>
      </c>
      <c r="E583" t="s">
        <v>120</v>
      </c>
      <c r="F583" t="s">
        <v>121</v>
      </c>
      <c r="G583" t="str">
        <f>"43"</f>
        <v>43</v>
      </c>
      <c r="I583" t="str">
        <f>"75-215"</f>
        <v>75-215</v>
      </c>
      <c r="J583" t="s">
        <v>120</v>
      </c>
      <c r="K583" t="str">
        <f>"943430081"</f>
        <v>943430081</v>
      </c>
      <c r="L583" t="s">
        <v>122</v>
      </c>
      <c r="M583" t="s">
        <v>123</v>
      </c>
    </row>
    <row r="584" spans="1:13" x14ac:dyDescent="0.25">
      <c r="A584" t="s">
        <v>147</v>
      </c>
      <c r="B584" t="s">
        <v>20</v>
      </c>
      <c r="C584" t="s">
        <v>148</v>
      </c>
      <c r="D584" t="s">
        <v>149</v>
      </c>
      <c r="E584" t="s">
        <v>149</v>
      </c>
      <c r="F584" t="s">
        <v>150</v>
      </c>
      <c r="G584" t="str">
        <f>"10B"</f>
        <v>10B</v>
      </c>
      <c r="I584" t="str">
        <f>"78-600"</f>
        <v>78-600</v>
      </c>
      <c r="J584" t="s">
        <v>149</v>
      </c>
      <c r="K584" t="str">
        <f>"673871629"</f>
        <v>673871629</v>
      </c>
      <c r="L584" t="s">
        <v>151</v>
      </c>
      <c r="M584" t="s">
        <v>152</v>
      </c>
    </row>
    <row r="585" spans="1:13" x14ac:dyDescent="0.25">
      <c r="A585" t="s">
        <v>278</v>
      </c>
      <c r="B585" t="s">
        <v>20</v>
      </c>
      <c r="C585" t="s">
        <v>279</v>
      </c>
      <c r="D585" t="s">
        <v>280</v>
      </c>
      <c r="E585" t="s">
        <v>280</v>
      </c>
      <c r="F585" t="s">
        <v>281</v>
      </c>
      <c r="G585" t="str">
        <f>"2"</f>
        <v>2</v>
      </c>
      <c r="I585" t="str">
        <f>"78-200"</f>
        <v>78-200</v>
      </c>
      <c r="J585" t="s">
        <v>280</v>
      </c>
      <c r="K585" t="str">
        <f>"943122596"</f>
        <v>943122596</v>
      </c>
      <c r="L585" t="s">
        <v>282</v>
      </c>
    </row>
    <row r="586" spans="1:13" x14ac:dyDescent="0.25">
      <c r="A586" t="s">
        <v>343</v>
      </c>
      <c r="B586" t="s">
        <v>20</v>
      </c>
      <c r="C586" t="s">
        <v>344</v>
      </c>
      <c r="D586" t="s">
        <v>345</v>
      </c>
      <c r="E586" t="s">
        <v>345</v>
      </c>
      <c r="F586" t="s">
        <v>346</v>
      </c>
      <c r="G586" t="str">
        <f>"2"</f>
        <v>2</v>
      </c>
      <c r="I586" t="str">
        <f>"72-100"</f>
        <v>72-100</v>
      </c>
      <c r="J586" t="s">
        <v>345</v>
      </c>
      <c r="K586" t="str">
        <f>"914183119"</f>
        <v>914183119</v>
      </c>
      <c r="L586" t="s">
        <v>347</v>
      </c>
      <c r="M586" t="s">
        <v>348</v>
      </c>
    </row>
    <row r="587" spans="1:13" x14ac:dyDescent="0.25">
      <c r="A587" t="s">
        <v>375</v>
      </c>
      <c r="B587" t="s">
        <v>20</v>
      </c>
      <c r="C587" t="s">
        <v>376</v>
      </c>
      <c r="D587" t="s">
        <v>377</v>
      </c>
      <c r="E587" t="s">
        <v>377</v>
      </c>
      <c r="F587" t="s">
        <v>302</v>
      </c>
      <c r="G587" t="str">
        <f>"9"</f>
        <v>9</v>
      </c>
      <c r="I587" t="str">
        <f>"78-100"</f>
        <v>78-100</v>
      </c>
      <c r="J587" t="s">
        <v>377</v>
      </c>
      <c r="K587" t="str">
        <f>"943545447"</f>
        <v>943545447</v>
      </c>
      <c r="L587" t="s">
        <v>378</v>
      </c>
      <c r="M587" t="s">
        <v>379</v>
      </c>
    </row>
    <row r="588" spans="1:13" x14ac:dyDescent="0.25">
      <c r="A588" t="s">
        <v>432</v>
      </c>
      <c r="B588" t="s">
        <v>20</v>
      </c>
      <c r="C588" t="s">
        <v>433</v>
      </c>
      <c r="D588" t="s">
        <v>434</v>
      </c>
      <c r="E588" t="s">
        <v>434</v>
      </c>
      <c r="F588" t="s">
        <v>435</v>
      </c>
      <c r="G588" t="str">
        <f>"42"</f>
        <v>42</v>
      </c>
      <c r="I588" t="str">
        <f>"73-150"</f>
        <v>73-150</v>
      </c>
      <c r="J588" t="s">
        <v>434</v>
      </c>
      <c r="K588" t="str">
        <f>"913974162"</f>
        <v>913974162</v>
      </c>
      <c r="L588" t="s">
        <v>436</v>
      </c>
      <c r="M588" t="s">
        <v>437</v>
      </c>
    </row>
    <row r="589" spans="1:13" x14ac:dyDescent="0.25">
      <c r="A589" t="s">
        <v>530</v>
      </c>
      <c r="B589" t="s">
        <v>20</v>
      </c>
      <c r="C589" t="s">
        <v>531</v>
      </c>
      <c r="D589" t="s">
        <v>532</v>
      </c>
      <c r="E589" t="s">
        <v>532</v>
      </c>
      <c r="F589" t="s">
        <v>533</v>
      </c>
      <c r="G589" t="str">
        <f>"4"</f>
        <v>4</v>
      </c>
      <c r="I589" t="str">
        <f>"78-320"</f>
        <v>78-320</v>
      </c>
      <c r="J589" t="s">
        <v>532</v>
      </c>
      <c r="K589" t="str">
        <f>"943662963"</f>
        <v>943662963</v>
      </c>
      <c r="L589" t="s">
        <v>534</v>
      </c>
      <c r="M589" t="s">
        <v>535</v>
      </c>
    </row>
    <row r="590" spans="1:13" x14ac:dyDescent="0.25">
      <c r="A590" t="s">
        <v>537</v>
      </c>
      <c r="B590" t="s">
        <v>20</v>
      </c>
      <c r="C590" t="s">
        <v>538</v>
      </c>
      <c r="D590" t="s">
        <v>539</v>
      </c>
      <c r="E590" t="s">
        <v>539</v>
      </c>
      <c r="F590" t="s">
        <v>112</v>
      </c>
      <c r="G590" t="str">
        <f>"5"</f>
        <v>5</v>
      </c>
      <c r="I590" t="str">
        <f>"72-009"</f>
        <v>72-009</v>
      </c>
      <c r="J590" t="s">
        <v>539</v>
      </c>
      <c r="K590" t="str">
        <f>"913176729"</f>
        <v>913176729</v>
      </c>
      <c r="L590" t="s">
        <v>540</v>
      </c>
      <c r="M590" t="s">
        <v>541</v>
      </c>
    </row>
    <row r="591" spans="1:13" x14ac:dyDescent="0.25">
      <c r="A591" t="s">
        <v>684</v>
      </c>
      <c r="B591" t="s">
        <v>20</v>
      </c>
      <c r="C591" t="s">
        <v>685</v>
      </c>
      <c r="D591" t="s">
        <v>686</v>
      </c>
      <c r="E591" t="s">
        <v>686</v>
      </c>
      <c r="F591" t="s">
        <v>217</v>
      </c>
      <c r="G591" t="str">
        <f>"1"</f>
        <v>1</v>
      </c>
      <c r="I591" t="str">
        <f>"72-510"</f>
        <v>72-510</v>
      </c>
      <c r="J591" t="s">
        <v>686</v>
      </c>
      <c r="K591" t="str">
        <f>"913261490"</f>
        <v>913261490</v>
      </c>
      <c r="L591" t="s">
        <v>687</v>
      </c>
      <c r="M591" t="s">
        <v>688</v>
      </c>
    </row>
    <row r="592" spans="1:13" x14ac:dyDescent="0.25">
      <c r="A592" t="s">
        <v>806</v>
      </c>
      <c r="B592" t="s">
        <v>20</v>
      </c>
      <c r="C592" t="s">
        <v>891</v>
      </c>
      <c r="D592" t="s">
        <v>892</v>
      </c>
      <c r="E592" t="s">
        <v>892</v>
      </c>
      <c r="F592" t="s">
        <v>893</v>
      </c>
      <c r="G592" t="str">
        <f>"4"</f>
        <v>4</v>
      </c>
      <c r="I592" t="str">
        <f>"74-200"</f>
        <v>74-200</v>
      </c>
      <c r="J592" t="s">
        <v>892</v>
      </c>
      <c r="K592" t="str">
        <f>"915700744"</f>
        <v>915700744</v>
      </c>
      <c r="L592" t="s">
        <v>894</v>
      </c>
    </row>
    <row r="593" spans="1:13" x14ac:dyDescent="0.25">
      <c r="A593" t="s">
        <v>806</v>
      </c>
      <c r="B593" t="s">
        <v>20</v>
      </c>
      <c r="C593" t="s">
        <v>900</v>
      </c>
      <c r="D593" t="s">
        <v>901</v>
      </c>
      <c r="E593" t="s">
        <v>901</v>
      </c>
      <c r="F593" t="s">
        <v>902</v>
      </c>
      <c r="G593" t="str">
        <f>"7A"</f>
        <v>7A</v>
      </c>
      <c r="I593" t="str">
        <f>"73-110"</f>
        <v>73-110</v>
      </c>
      <c r="J593" t="s">
        <v>901</v>
      </c>
      <c r="K593" t="str">
        <f>"915784693"</f>
        <v>915784693</v>
      </c>
      <c r="L593" t="s">
        <v>903</v>
      </c>
    </row>
    <row r="594" spans="1:13" x14ac:dyDescent="0.25">
      <c r="A594" t="s">
        <v>806</v>
      </c>
      <c r="B594" t="s">
        <v>20</v>
      </c>
      <c r="C594" t="s">
        <v>963</v>
      </c>
      <c r="D594" t="s">
        <v>963</v>
      </c>
      <c r="E594" t="s">
        <v>963</v>
      </c>
      <c r="F594" t="s">
        <v>302</v>
      </c>
      <c r="G594" t="str">
        <f>"54"</f>
        <v>54</v>
      </c>
      <c r="I594" t="str">
        <f>"72-600"</f>
        <v>72-600</v>
      </c>
      <c r="J594" t="s">
        <v>963</v>
      </c>
      <c r="K594" t="str">
        <f>"913214911"</f>
        <v>913214911</v>
      </c>
      <c r="L594" t="s">
        <v>964</v>
      </c>
      <c r="M594" t="s">
        <v>965</v>
      </c>
    </row>
    <row r="595" spans="1:13" x14ac:dyDescent="0.25">
      <c r="A595" t="s">
        <v>985</v>
      </c>
      <c r="B595" t="s">
        <v>20</v>
      </c>
      <c r="C595" t="s">
        <v>21</v>
      </c>
      <c r="D595" t="s">
        <v>21</v>
      </c>
      <c r="E595" t="s">
        <v>21</v>
      </c>
      <c r="F595" t="s">
        <v>1003</v>
      </c>
      <c r="G595" t="str">
        <f>"2"</f>
        <v>2</v>
      </c>
      <c r="I595" t="str">
        <f>"70-413"</f>
        <v>70-413</v>
      </c>
      <c r="J595" t="s">
        <v>21</v>
      </c>
      <c r="K595" t="str">
        <f>"914339040"</f>
        <v>914339040</v>
      </c>
      <c r="L595" t="s">
        <v>1004</v>
      </c>
      <c r="M595" t="s">
        <v>1005</v>
      </c>
    </row>
    <row r="596" spans="1:13" x14ac:dyDescent="0.25">
      <c r="A596" t="s">
        <v>1104</v>
      </c>
      <c r="B596" t="s">
        <v>20</v>
      </c>
      <c r="C596" t="s">
        <v>21</v>
      </c>
      <c r="D596" t="s">
        <v>21</v>
      </c>
      <c r="E596" t="s">
        <v>21</v>
      </c>
      <c r="F596" t="s">
        <v>1123</v>
      </c>
      <c r="G596" t="str">
        <f>"4"</f>
        <v>4</v>
      </c>
      <c r="I596" t="str">
        <f>"70-773"</f>
        <v>70-773</v>
      </c>
      <c r="J596" t="s">
        <v>21</v>
      </c>
      <c r="K596" t="str">
        <f>"914614039"</f>
        <v>914614039</v>
      </c>
      <c r="L596" t="s">
        <v>1124</v>
      </c>
    </row>
    <row r="597" spans="1:13" x14ac:dyDescent="0.25">
      <c r="A597" t="s">
        <v>1166</v>
      </c>
      <c r="B597" t="s">
        <v>20</v>
      </c>
      <c r="C597" t="s">
        <v>21</v>
      </c>
      <c r="D597" t="s">
        <v>21</v>
      </c>
      <c r="E597" t="s">
        <v>21</v>
      </c>
      <c r="F597" t="s">
        <v>939</v>
      </c>
      <c r="G597" t="str">
        <f>"86"</f>
        <v>86</v>
      </c>
      <c r="I597" t="str">
        <f>"71-635"</f>
        <v>71-635</v>
      </c>
      <c r="J597" t="s">
        <v>21</v>
      </c>
      <c r="K597" t="str">
        <f>"914227883"</f>
        <v>914227883</v>
      </c>
      <c r="L597" t="s">
        <v>1171</v>
      </c>
      <c r="M597" t="s">
        <v>1172</v>
      </c>
    </row>
    <row r="598" spans="1:13" x14ac:dyDescent="0.25">
      <c r="A598" t="s">
        <v>1197</v>
      </c>
      <c r="B598" t="s">
        <v>20</v>
      </c>
      <c r="C598" t="s">
        <v>21</v>
      </c>
      <c r="D598" t="s">
        <v>21</v>
      </c>
      <c r="E598" t="s">
        <v>21</v>
      </c>
      <c r="F598" t="s">
        <v>1206</v>
      </c>
      <c r="G598" t="str">
        <f>"6"</f>
        <v>6</v>
      </c>
      <c r="I598" t="str">
        <f>"71-246"</f>
        <v>71-246</v>
      </c>
      <c r="J598" t="s">
        <v>21</v>
      </c>
      <c r="K598" t="str">
        <f>"914327116"</f>
        <v>914327116</v>
      </c>
      <c r="L598" t="s">
        <v>1207</v>
      </c>
      <c r="M598" t="s">
        <v>1208</v>
      </c>
    </row>
    <row r="599" spans="1:13" x14ac:dyDescent="0.25">
      <c r="A599" t="s">
        <v>1303</v>
      </c>
      <c r="B599" t="s">
        <v>20</v>
      </c>
      <c r="C599" t="s">
        <v>1304</v>
      </c>
      <c r="D599" t="s">
        <v>1305</v>
      </c>
      <c r="E599" t="s">
        <v>1305</v>
      </c>
      <c r="F599" t="s">
        <v>1306</v>
      </c>
      <c r="G599" t="str">
        <f>"2B"</f>
        <v>2B</v>
      </c>
      <c r="I599" t="str">
        <f>"74-320"</f>
        <v>74-320</v>
      </c>
      <c r="J599" t="s">
        <v>1305</v>
      </c>
      <c r="K599" t="str">
        <f>"957462207"</f>
        <v>957462207</v>
      </c>
      <c r="L599" t="s">
        <v>1307</v>
      </c>
      <c r="M599" t="s">
        <v>1308</v>
      </c>
    </row>
    <row r="600" spans="1:13" x14ac:dyDescent="0.25">
      <c r="A600" t="s">
        <v>1410</v>
      </c>
      <c r="B600" t="s">
        <v>20</v>
      </c>
      <c r="C600" t="s">
        <v>1411</v>
      </c>
      <c r="D600" t="s">
        <v>1412</v>
      </c>
      <c r="E600" t="s">
        <v>1412</v>
      </c>
      <c r="F600" t="s">
        <v>600</v>
      </c>
      <c r="G600" t="str">
        <f>"27"</f>
        <v>27</v>
      </c>
      <c r="I600" t="str">
        <f>"73-200"</f>
        <v>73-200</v>
      </c>
      <c r="J600" t="s">
        <v>1412</v>
      </c>
      <c r="K600" t="str">
        <f>"0957652205"</f>
        <v>0957652205</v>
      </c>
      <c r="L600" t="s">
        <v>1413</v>
      </c>
      <c r="M600" t="s">
        <v>1414</v>
      </c>
    </row>
    <row r="601" spans="1:13" x14ac:dyDescent="0.25">
      <c r="A601" t="s">
        <v>1442</v>
      </c>
      <c r="B601" t="s">
        <v>20</v>
      </c>
      <c r="C601" t="s">
        <v>1304</v>
      </c>
      <c r="D601" t="s">
        <v>1443</v>
      </c>
      <c r="E601" t="s">
        <v>1443</v>
      </c>
      <c r="F601" t="s">
        <v>22</v>
      </c>
      <c r="G601" t="str">
        <f>"30B"</f>
        <v>30B</v>
      </c>
      <c r="I601" t="str">
        <f>"74-400"</f>
        <v>74-400</v>
      </c>
      <c r="J601" t="s">
        <v>1443</v>
      </c>
      <c r="K601" t="str">
        <f>"957602338"</f>
        <v>957602338</v>
      </c>
      <c r="L601" t="s">
        <v>1444</v>
      </c>
      <c r="M601" t="s">
        <v>1445</v>
      </c>
    </row>
    <row r="602" spans="1:13" x14ac:dyDescent="0.25">
      <c r="A602" t="s">
        <v>1450</v>
      </c>
      <c r="B602" t="s">
        <v>20</v>
      </c>
      <c r="C602" t="s">
        <v>1451</v>
      </c>
      <c r="D602" t="s">
        <v>1452</v>
      </c>
      <c r="E602" t="s">
        <v>1452</v>
      </c>
      <c r="F602" t="s">
        <v>243</v>
      </c>
      <c r="G602" t="str">
        <f>"20"</f>
        <v>20</v>
      </c>
      <c r="I602" t="str">
        <f>"78-500"</f>
        <v>78-500</v>
      </c>
      <c r="J602" t="s">
        <v>1452</v>
      </c>
      <c r="K602" t="str">
        <f>"576658764"</f>
        <v>576658764</v>
      </c>
      <c r="L602" t="s">
        <v>1453</v>
      </c>
      <c r="M602" t="s">
        <v>1454</v>
      </c>
    </row>
    <row r="603" spans="1:13" x14ac:dyDescent="0.25">
      <c r="A603" t="s">
        <v>1528</v>
      </c>
      <c r="B603" t="s">
        <v>20</v>
      </c>
      <c r="C603" t="s">
        <v>1529</v>
      </c>
      <c r="D603" t="s">
        <v>1530</v>
      </c>
      <c r="E603" t="s">
        <v>1530</v>
      </c>
      <c r="F603" t="s">
        <v>233</v>
      </c>
      <c r="G603" t="str">
        <f>"8"</f>
        <v>8</v>
      </c>
      <c r="I603" t="str">
        <f>"72-300"</f>
        <v>72-300</v>
      </c>
      <c r="J603" t="s">
        <v>1530</v>
      </c>
      <c r="K603" t="str">
        <f>"913842441"</f>
        <v>913842441</v>
      </c>
      <c r="L603" t="s">
        <v>1531</v>
      </c>
    </row>
    <row r="604" spans="1:13" x14ac:dyDescent="0.25">
      <c r="A604" t="s">
        <v>1532</v>
      </c>
      <c r="B604" t="s">
        <v>20</v>
      </c>
      <c r="C604" t="s">
        <v>1533</v>
      </c>
      <c r="D604" t="s">
        <v>1534</v>
      </c>
      <c r="E604" t="s">
        <v>1534</v>
      </c>
      <c r="F604" t="s">
        <v>1535</v>
      </c>
      <c r="G604" t="str">
        <f>"91"</f>
        <v>91</v>
      </c>
      <c r="I604" t="str">
        <f>"74-100"</f>
        <v>74-100</v>
      </c>
      <c r="J604" t="s">
        <v>1534</v>
      </c>
      <c r="K604" t="str">
        <f>"914162737"</f>
        <v>914162737</v>
      </c>
      <c r="L604" t="s">
        <v>1536</v>
      </c>
      <c r="M604" t="s">
        <v>1537</v>
      </c>
    </row>
    <row r="605" spans="1:13" x14ac:dyDescent="0.25">
      <c r="A605" t="s">
        <v>1538</v>
      </c>
      <c r="B605" t="s">
        <v>20</v>
      </c>
      <c r="C605" t="s">
        <v>1533</v>
      </c>
      <c r="D605" t="s">
        <v>1539</v>
      </c>
      <c r="E605" t="s">
        <v>1539</v>
      </c>
      <c r="F605" t="s">
        <v>281</v>
      </c>
      <c r="G605" t="str">
        <f>"1"</f>
        <v>1</v>
      </c>
      <c r="I605" t="str">
        <f>"74-500"</f>
        <v>74-500</v>
      </c>
      <c r="J605" t="s">
        <v>1539</v>
      </c>
      <c r="K605" t="str">
        <f>"914312829"</f>
        <v>914312829</v>
      </c>
      <c r="L605" t="s">
        <v>1540</v>
      </c>
    </row>
    <row r="606" spans="1:13" x14ac:dyDescent="0.25">
      <c r="A606" t="s">
        <v>1603</v>
      </c>
      <c r="B606" t="s">
        <v>20</v>
      </c>
      <c r="C606" t="s">
        <v>685</v>
      </c>
      <c r="D606" t="s">
        <v>689</v>
      </c>
      <c r="E606" t="s">
        <v>689</v>
      </c>
      <c r="F606" t="s">
        <v>1604</v>
      </c>
      <c r="G606" t="str">
        <f>"7b"</f>
        <v>7b</v>
      </c>
      <c r="I606" t="str">
        <f>"72-400"</f>
        <v>72-400</v>
      </c>
      <c r="J606" t="s">
        <v>689</v>
      </c>
      <c r="K606" t="str">
        <f>"913820773"</f>
        <v>913820773</v>
      </c>
      <c r="L606" t="s">
        <v>1605</v>
      </c>
      <c r="M606" t="s">
        <v>1606</v>
      </c>
    </row>
    <row r="607" spans="1:13" x14ac:dyDescent="0.25">
      <c r="A607" t="s">
        <v>1845</v>
      </c>
      <c r="B607" t="s">
        <v>20</v>
      </c>
      <c r="C607" t="s">
        <v>1304</v>
      </c>
      <c r="D607" t="s">
        <v>1309</v>
      </c>
      <c r="E607" t="s">
        <v>1309</v>
      </c>
      <c r="F607" t="s">
        <v>1846</v>
      </c>
      <c r="G607" t="str">
        <f>"13"</f>
        <v>13</v>
      </c>
      <c r="I607" t="str">
        <f>"74-300"</f>
        <v>74-300</v>
      </c>
      <c r="J607" t="s">
        <v>1309</v>
      </c>
      <c r="K607" t="str">
        <f>"957473070"</f>
        <v>957473070</v>
      </c>
      <c r="L607" t="s">
        <v>1847</v>
      </c>
      <c r="M607" t="s">
        <v>1848</v>
      </c>
    </row>
    <row r="608" spans="1:13" x14ac:dyDescent="0.25">
      <c r="A608" t="s">
        <v>2177</v>
      </c>
      <c r="B608" t="s">
        <v>20</v>
      </c>
      <c r="C608" t="s">
        <v>531</v>
      </c>
      <c r="D608" t="s">
        <v>536</v>
      </c>
      <c r="E608" t="s">
        <v>536</v>
      </c>
      <c r="F608" t="s">
        <v>2178</v>
      </c>
      <c r="G608" t="str">
        <f>"32"</f>
        <v>32</v>
      </c>
      <c r="I608" t="str">
        <f>"78-300"</f>
        <v>78-300</v>
      </c>
      <c r="J608" t="s">
        <v>536</v>
      </c>
      <c r="K608" t="str">
        <f>"943652330"</f>
        <v>943652330</v>
      </c>
      <c r="L608" t="s">
        <v>2179</v>
      </c>
      <c r="M608" t="s">
        <v>2180</v>
      </c>
    </row>
    <row r="609" spans="1:13" x14ac:dyDescent="0.25">
      <c r="A609" t="s">
        <v>2198</v>
      </c>
      <c r="B609" t="s">
        <v>20</v>
      </c>
      <c r="C609" t="s">
        <v>2199</v>
      </c>
      <c r="D609" t="s">
        <v>2200</v>
      </c>
      <c r="E609" t="s">
        <v>2200</v>
      </c>
      <c r="F609" t="s">
        <v>2201</v>
      </c>
      <c r="G609" t="str">
        <f>"1"</f>
        <v>1</v>
      </c>
      <c r="I609" t="str">
        <f>"78-400"</f>
        <v>78-400</v>
      </c>
      <c r="J609" t="s">
        <v>2200</v>
      </c>
      <c r="K609" t="str">
        <f>"943743722"</f>
        <v>943743722</v>
      </c>
      <c r="L609" t="s">
        <v>2202</v>
      </c>
      <c r="M609" t="s">
        <v>2203</v>
      </c>
    </row>
    <row r="610" spans="1:13" x14ac:dyDescent="0.25">
      <c r="A610" t="s">
        <v>2436</v>
      </c>
      <c r="B610" t="s">
        <v>20</v>
      </c>
      <c r="C610" t="s">
        <v>2442</v>
      </c>
      <c r="D610" t="s">
        <v>2443</v>
      </c>
      <c r="E610" t="s">
        <v>2443</v>
      </c>
      <c r="F610" t="s">
        <v>1194</v>
      </c>
      <c r="G610" t="str">
        <f>"9"</f>
        <v>9</v>
      </c>
      <c r="I610" t="str">
        <f>"76-100"</f>
        <v>76-100</v>
      </c>
      <c r="J610" t="s">
        <v>2443</v>
      </c>
      <c r="K610" t="str">
        <f>"598107135"</f>
        <v>598107135</v>
      </c>
      <c r="L610" t="s">
        <v>2444</v>
      </c>
      <c r="M610" t="s">
        <v>2445</v>
      </c>
    </row>
    <row r="611" spans="1:13" x14ac:dyDescent="0.25">
      <c r="A611" t="s">
        <v>2531</v>
      </c>
      <c r="B611" t="s">
        <v>20</v>
      </c>
      <c r="C611" t="s">
        <v>120</v>
      </c>
      <c r="D611" t="s">
        <v>120</v>
      </c>
      <c r="E611" t="s">
        <v>120</v>
      </c>
      <c r="F611" t="s">
        <v>2532</v>
      </c>
      <c r="G611" t="str">
        <f>"32"</f>
        <v>32</v>
      </c>
      <c r="I611" t="str">
        <f>"75-626"</f>
        <v>75-626</v>
      </c>
      <c r="J611" t="s">
        <v>120</v>
      </c>
      <c r="K611" t="str">
        <f>"947140202"</f>
        <v>947140202</v>
      </c>
      <c r="L611" t="s">
        <v>2533</v>
      </c>
      <c r="M611" t="s">
        <v>2534</v>
      </c>
    </row>
    <row r="612" spans="1:13" x14ac:dyDescent="0.25">
      <c r="A612" t="s">
        <v>2604</v>
      </c>
      <c r="B612" t="s">
        <v>20</v>
      </c>
      <c r="C612" t="s">
        <v>2442</v>
      </c>
      <c r="D612" t="s">
        <v>2605</v>
      </c>
      <c r="E612" t="s">
        <v>2605</v>
      </c>
      <c r="F612" t="s">
        <v>2606</v>
      </c>
      <c r="G612" t="str">
        <f>"2"</f>
        <v>2</v>
      </c>
      <c r="I612" t="str">
        <f>"76-150"</f>
        <v>76-150</v>
      </c>
      <c r="J612" t="s">
        <v>2605</v>
      </c>
      <c r="K612" t="str">
        <f>"943141149"</f>
        <v>943141149</v>
      </c>
      <c r="L612" t="s">
        <v>2444</v>
      </c>
      <c r="M612" t="s">
        <v>2445</v>
      </c>
    </row>
    <row r="613" spans="1:13" x14ac:dyDescent="0.25">
      <c r="A613" t="s">
        <v>2814</v>
      </c>
      <c r="B613" t="s">
        <v>20</v>
      </c>
      <c r="C613" t="s">
        <v>344</v>
      </c>
      <c r="D613" t="s">
        <v>2815</v>
      </c>
      <c r="E613" t="s">
        <v>2815</v>
      </c>
      <c r="F613" t="s">
        <v>321</v>
      </c>
      <c r="G613" t="str">
        <f>"44"</f>
        <v>44</v>
      </c>
      <c r="I613" t="str">
        <f>"72-200"</f>
        <v>72-200</v>
      </c>
      <c r="J613" t="s">
        <v>2815</v>
      </c>
      <c r="K613" t="str">
        <f>"913920743"</f>
        <v>913920743</v>
      </c>
      <c r="L613" t="s">
        <v>2816</v>
      </c>
      <c r="M613" t="s">
        <v>2817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M613">
    <sortCondition ref="B2:B6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Ekstowicz Joanna</cp:lastModifiedBy>
  <dcterms:created xsi:type="dcterms:W3CDTF">2026-09-09T10:18:50Z</dcterms:created>
  <dcterms:modified xsi:type="dcterms:W3CDTF">2026-10-13T14:43:52Z</dcterms:modified>
  <cp:category/>
</cp:coreProperties>
</file>