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2DD6734F-F20A-441F-80DB-FD673878A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0" i="4" l="1"/>
  <c r="C109" i="4"/>
  <c r="C108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G70" i="4"/>
  <c r="F70" i="4"/>
  <c r="E70" i="4"/>
  <c r="D70" i="4"/>
  <c r="C70" i="4"/>
  <c r="G69" i="4"/>
  <c r="F69" i="4"/>
  <c r="E69" i="4"/>
  <c r="D69" i="4"/>
  <c r="C69" i="4"/>
  <c r="G65" i="4"/>
  <c r="F65" i="4"/>
  <c r="E65" i="4"/>
  <c r="D65" i="4"/>
  <c r="C65" i="4"/>
  <c r="G64" i="4"/>
  <c r="F64" i="4"/>
  <c r="E64" i="4"/>
  <c r="D64" i="4"/>
  <c r="C64" i="4"/>
  <c r="I57" i="4"/>
  <c r="H57" i="4"/>
  <c r="G57" i="4"/>
  <c r="F57" i="4"/>
  <c r="E57" i="4"/>
  <c r="D57" i="4"/>
  <c r="C57" i="4"/>
  <c r="I56" i="4"/>
  <c r="H56" i="4"/>
  <c r="G56" i="4"/>
  <c r="F56" i="4"/>
  <c r="F58" i="4" s="1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G52" i="4" s="1"/>
  <c r="G58" i="4" s="1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K31" i="4" s="1"/>
  <c r="D30" i="4"/>
  <c r="C30" i="4"/>
  <c r="D29" i="4"/>
  <c r="C29" i="4"/>
  <c r="D28" i="4"/>
  <c r="C28" i="4"/>
  <c r="D27" i="4"/>
  <c r="C27" i="4"/>
  <c r="D26" i="4"/>
  <c r="J26" i="4" s="1"/>
  <c r="C26" i="4"/>
  <c r="D25" i="4"/>
  <c r="C25" i="4"/>
  <c r="K25" i="4" s="1"/>
  <c r="D24" i="4"/>
  <c r="J24" i="4" s="1"/>
  <c r="C24" i="4"/>
  <c r="D23" i="4"/>
  <c r="C23" i="4"/>
  <c r="D22" i="4"/>
  <c r="C22" i="4"/>
  <c r="D21" i="4"/>
  <c r="C21" i="4"/>
  <c r="K21" i="4" s="1"/>
  <c r="D20" i="4"/>
  <c r="C20" i="4"/>
  <c r="D19" i="4"/>
  <c r="C19" i="4"/>
  <c r="D18" i="4"/>
  <c r="C18" i="4"/>
  <c r="K18" i="4" s="1"/>
  <c r="D17" i="4"/>
  <c r="C17" i="4"/>
  <c r="K17" i="4" s="1"/>
  <c r="D16" i="4"/>
  <c r="J16" i="4" s="1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85" i="4"/>
  <c r="K49" i="4"/>
  <c r="C52" i="4"/>
  <c r="K56" i="4"/>
  <c r="K79" i="4"/>
  <c r="K53" i="4"/>
  <c r="K91" i="4"/>
  <c r="K29" i="4"/>
  <c r="K8" i="4"/>
  <c r="K9" i="4"/>
  <c r="K32" i="4"/>
  <c r="K35" i="4"/>
  <c r="K77" i="4"/>
  <c r="K86" i="4"/>
  <c r="K11" i="4"/>
  <c r="K36" i="4"/>
  <c r="K55" i="4"/>
  <c r="J78" i="4"/>
  <c r="J81" i="4"/>
  <c r="J85" i="4"/>
  <c r="J79" i="4"/>
  <c r="J87" i="4"/>
  <c r="J83" i="4"/>
  <c r="J84" i="4"/>
  <c r="J86" i="4"/>
  <c r="J77" i="4"/>
  <c r="J82" i="4"/>
  <c r="J80" i="4"/>
  <c r="J89" i="4"/>
  <c r="J91" i="4"/>
  <c r="J88" i="4"/>
  <c r="J92" i="4"/>
  <c r="J90" i="4"/>
  <c r="J93" i="4"/>
  <c r="K19" i="4"/>
  <c r="K30" i="4"/>
  <c r="J56" i="4"/>
  <c r="J57" i="4"/>
  <c r="J50" i="4"/>
  <c r="J53" i="4"/>
  <c r="D52" i="4"/>
  <c r="J52" i="4" s="1"/>
  <c r="D58" i="4"/>
  <c r="J58" i="4"/>
  <c r="J49" i="4"/>
  <c r="J54" i="4"/>
  <c r="J51" i="4"/>
  <c r="J55" i="4"/>
  <c r="K82" i="4"/>
  <c r="I52" i="4"/>
  <c r="I58" i="4" s="1"/>
  <c r="K83" i="4"/>
  <c r="K92" i="4"/>
  <c r="K20" i="4"/>
  <c r="K84" i="4"/>
  <c r="K23" i="4"/>
  <c r="K57" i="4"/>
  <c r="K10" i="4"/>
  <c r="K78" i="4"/>
  <c r="D108" i="4"/>
  <c r="K39" i="4"/>
  <c r="K90" i="4"/>
  <c r="K15" i="4"/>
  <c r="K27" i="4"/>
  <c r="K33" i="4"/>
  <c r="E52" i="4"/>
  <c r="E58" i="4" s="1"/>
  <c r="K51" i="4"/>
  <c r="K80" i="4"/>
  <c r="D14" i="4"/>
  <c r="J14" i="4" s="1"/>
  <c r="F52" i="4"/>
  <c r="K87" i="4"/>
  <c r="K93" i="4"/>
  <c r="C59" i="4"/>
  <c r="K6" i="4"/>
  <c r="C38" i="4"/>
  <c r="C40" i="4" s="1"/>
  <c r="K16" i="4"/>
  <c r="K22" i="4"/>
  <c r="K28" i="4"/>
  <c r="K34" i="4"/>
  <c r="K54" i="4"/>
  <c r="K81" i="4"/>
  <c r="J18" i="4"/>
  <c r="J15" i="4"/>
  <c r="J35" i="4"/>
  <c r="J39" i="4"/>
  <c r="J33" i="4"/>
  <c r="D38" i="4"/>
  <c r="J38" i="4" s="1"/>
  <c r="D40" i="4"/>
  <c r="J6" i="4"/>
  <c r="J11" i="4"/>
  <c r="J34" i="4"/>
  <c r="J10" i="4"/>
  <c r="J29" i="4"/>
  <c r="J21" i="4"/>
  <c r="J36" i="4"/>
  <c r="J9" i="4"/>
  <c r="D59" i="4"/>
  <c r="J8" i="4"/>
  <c r="J23" i="4"/>
  <c r="J28" i="4"/>
  <c r="J25" i="4"/>
  <c r="J31" i="4"/>
  <c r="J19" i="4"/>
  <c r="J22" i="4"/>
  <c r="J27" i="4"/>
  <c r="J20" i="4"/>
  <c r="J17" i="4"/>
  <c r="J32" i="4"/>
  <c r="J30" i="4"/>
  <c r="H52" i="4"/>
  <c r="H58" i="4" s="1"/>
  <c r="K88" i="4"/>
  <c r="K50" i="4"/>
  <c r="K89" i="4"/>
  <c r="C58" i="4"/>
  <c r="B42" i="4"/>
  <c r="B1" i="4"/>
  <c r="B73" i="4"/>
  <c r="K40" i="4" l="1"/>
  <c r="K52" i="4"/>
  <c r="K58" i="4"/>
  <c r="J40" i="4"/>
  <c r="K26" i="4"/>
  <c r="K24" i="4"/>
  <c r="D13" i="4"/>
  <c r="J13" i="4" s="1"/>
  <c r="D7" i="4"/>
  <c r="L8" i="4" s="1"/>
  <c r="C14" i="4"/>
  <c r="K14" i="4" s="1"/>
  <c r="K38" i="4"/>
  <c r="C13" i="4" l="1"/>
  <c r="C7" i="4" s="1"/>
  <c r="D12" i="4"/>
  <c r="L10" i="4"/>
  <c r="L9" i="4"/>
  <c r="L11" i="4"/>
  <c r="L7" i="4"/>
  <c r="J7" i="4"/>
  <c r="K13" i="4" l="1"/>
  <c r="L12" i="4"/>
  <c r="J12" i="4"/>
  <c r="C12" i="4"/>
  <c r="K12" i="4" s="1"/>
  <c r="K7" i="4"/>
</calcChain>
</file>

<file path=xl/sharedStrings.xml><?xml version="1.0" encoding="utf-8"?>
<sst xmlns="http://schemas.openxmlformats.org/spreadsheetml/2006/main" count="394" uniqueCount="105">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</sst>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7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7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8" fillId="0" borderId="0" xfId="0" applyFont="1"/>
    <xf numFmtId="49" fontId="2" fillId="0" borderId="0" xfId="0" applyNumberFormat="1" applyFont="1"/>
    <xf numFmtId="0" fontId="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vertical="center" wrapText="1"/>
    </xf>
    <xf numFmtId="167" fontId="35" fillId="0" borderId="10" xfId="0" applyNumberFormat="1" applyFont="1" applyBorder="1" applyAlignment="1">
      <alignment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5.7109375" style="1" customWidth="1"/>
    <col min="4" max="4" width="13.7109375" style="1" customWidth="1"/>
    <col min="5" max="5" width="14.140625" style="1" bestFit="1" customWidth="1" outlineLevel="1"/>
    <col min="6" max="8" width="13.7109375" style="1" customWidth="1" outlineLevel="1"/>
    <col min="9" max="9" width="12.85546875" style="1" customWidth="1" outlineLevel="1"/>
    <col min="10" max="11" width="8.42578125" style="1" bestFit="1" customWidth="1"/>
    <col min="12" max="12" width="9.140625" style="1" bestFit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",$D$108," ",$C$109," rok    ",$C$111,"")</f>
        <v>Informacja z wykonania budżetów związków jednostek samorządu terytorialnego za IV Kwartały 2025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24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24"/>
      <c r="C4" s="130" t="s">
        <v>40</v>
      </c>
      <c r="D4" s="132"/>
      <c r="E4" s="133" t="s">
        <v>79</v>
      </c>
      <c r="F4" s="134"/>
      <c r="G4" s="134"/>
      <c r="H4" s="134"/>
      <c r="I4" s="135"/>
      <c r="J4" s="130" t="s">
        <v>4</v>
      </c>
      <c r="K4" s="131"/>
      <c r="L4" s="132"/>
    </row>
    <row r="5" spans="2:12" x14ac:dyDescent="0.2">
      <c r="B5" s="41">
        <v>1</v>
      </c>
      <c r="C5" s="40">
        <v>2</v>
      </c>
      <c r="D5" s="40">
        <v>3</v>
      </c>
      <c r="E5" s="136"/>
      <c r="F5" s="137"/>
      <c r="G5" s="137"/>
      <c r="H5" s="137"/>
      <c r="I5" s="138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5500232460.69</f>
        <v>5500232460.6899996</v>
      </c>
      <c r="D6" s="51">
        <f>5412219804.38</f>
        <v>5412219804.3800001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98.399837517068164</v>
      </c>
      <c r="L6" s="52"/>
    </row>
    <row r="7" spans="2:12" ht="27" customHeight="1" x14ac:dyDescent="0.2">
      <c r="B7" s="94" t="s">
        <v>27</v>
      </c>
      <c r="C7" s="15">
        <f>C6-C13</f>
        <v>4775908963.1599998</v>
      </c>
      <c r="D7" s="15">
        <f>D6-D13</f>
        <v>4770664778.1400003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88.146175701866326</v>
      </c>
      <c r="K7" s="19">
        <f t="shared" si="1"/>
        <v>99.890195038045078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614760813</f>
        <v>614760813</v>
      </c>
      <c r="D8" s="54">
        <f>614760813</f>
        <v>614760813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11.358755468550751</v>
      </c>
      <c r="K8" s="20">
        <f t="shared" si="1"/>
        <v>100</v>
      </c>
      <c r="L8" s="20">
        <f t="shared" si="2"/>
        <v>12.886271444116948</v>
      </c>
    </row>
    <row r="9" spans="2:12" ht="22.5" outlineLevel="1" x14ac:dyDescent="0.2">
      <c r="B9" s="56" t="s">
        <v>68</v>
      </c>
      <c r="C9" s="53">
        <f>1581917635.03</f>
        <v>1581917635.03</v>
      </c>
      <c r="D9" s="54">
        <f>1565055925.21</f>
        <v>1565055925.21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28.917079900255192</v>
      </c>
      <c r="K9" s="20">
        <f t="shared" si="1"/>
        <v>98.934096855195605</v>
      </c>
      <c r="L9" s="20">
        <f t="shared" si="2"/>
        <v>32.805824722402484</v>
      </c>
    </row>
    <row r="10" spans="2:12" ht="33.75" outlineLevel="1" x14ac:dyDescent="0.2">
      <c r="B10" s="56" t="s">
        <v>85</v>
      </c>
      <c r="C10" s="53">
        <f>976228764.85</f>
        <v>976228764.85000002</v>
      </c>
      <c r="D10" s="54">
        <f>964013160.98</f>
        <v>964013160.98000002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17.811788800592385</v>
      </c>
      <c r="K10" s="20">
        <f t="shared" si="1"/>
        <v>98.748694536584665</v>
      </c>
      <c r="L10" s="20">
        <f t="shared" si="2"/>
        <v>20.207103324410316</v>
      </c>
    </row>
    <row r="11" spans="2:12" ht="12.75" customHeight="1" outlineLevel="1" x14ac:dyDescent="0.2">
      <c r="B11" s="56" t="s">
        <v>19</v>
      </c>
      <c r="C11" s="53">
        <f>88880851.32</f>
        <v>88880851.319999993</v>
      </c>
      <c r="D11" s="54">
        <f>86747644.78</f>
        <v>86747644.780000001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1.6028108228308999</v>
      </c>
      <c r="K11" s="20">
        <f t="shared" si="1"/>
        <v>97.599925621414499</v>
      </c>
      <c r="L11" s="20">
        <f t="shared" si="2"/>
        <v>1.8183554874258301</v>
      </c>
    </row>
    <row r="12" spans="2:12" ht="12.75" customHeight="1" outlineLevel="1" x14ac:dyDescent="0.2">
      <c r="B12" s="56" t="s">
        <v>20</v>
      </c>
      <c r="C12" s="53">
        <f>C7-SUM(C8:C11)</f>
        <v>1514120898.96</v>
      </c>
      <c r="D12" s="53">
        <f>D7-SUM(D8:D11)</f>
        <v>1540087234.1700001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28.45574070963708</v>
      </c>
      <c r="K12" s="20">
        <f t="shared" si="1"/>
        <v>101.71494464067139</v>
      </c>
      <c r="L12" s="20">
        <f t="shared" si="2"/>
        <v>32.282445021644413</v>
      </c>
    </row>
    <row r="13" spans="2:12" ht="27" customHeight="1" x14ac:dyDescent="0.2">
      <c r="B13" s="95" t="s">
        <v>59</v>
      </c>
      <c r="C13" s="51">
        <f>C14+C33+C35</f>
        <v>724323497.52999997</v>
      </c>
      <c r="D13" s="51">
        <f>D14+D33+D35</f>
        <v>641555026.24000001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11.853824298133688</v>
      </c>
      <c r="K13" s="52">
        <f t="shared" si="1"/>
        <v>88.572996517129852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587334126.96000004</v>
      </c>
      <c r="D14" s="51">
        <f>D15+D17+D19+D21+D23+D25+D27+D29+D31</f>
        <v>534097494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9.8683629509608188</v>
      </c>
      <c r="K14" s="52">
        <f t="shared" si="1"/>
        <v>90.935886318142437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0</f>
        <v>0</v>
      </c>
      <c r="D17" s="53">
        <f>0</f>
        <v>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</v>
      </c>
      <c r="K17" s="20" t="str">
        <f t="shared" si="1"/>
        <v/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42094132.61</f>
        <v>42094132.609999999</v>
      </c>
      <c r="D21" s="53">
        <f>40179544.93</f>
        <v>40179544.93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0.74238568244186065</v>
      </c>
      <c r="K21" s="20">
        <f t="shared" si="1"/>
        <v>95.451651901849232</v>
      </c>
      <c r="L21" s="17"/>
    </row>
    <row r="22" spans="2:12" ht="12.75" customHeight="1" outlineLevel="1" x14ac:dyDescent="0.2">
      <c r="B22" s="98" t="s">
        <v>6</v>
      </c>
      <c r="C22" s="53">
        <f>1690792</f>
        <v>1690792</v>
      </c>
      <c r="D22" s="53">
        <f>1677457</f>
        <v>1677457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3.0993881635081929E-2</v>
      </c>
      <c r="K22" s="20">
        <f t="shared" si="1"/>
        <v>99.211316353519535</v>
      </c>
      <c r="L22" s="17"/>
    </row>
    <row r="23" spans="2:12" ht="34.5" customHeight="1" outlineLevel="1" x14ac:dyDescent="0.2">
      <c r="B23" s="99" t="s">
        <v>41</v>
      </c>
      <c r="C23" s="53">
        <f>14955237.78</f>
        <v>14955237.779999999</v>
      </c>
      <c r="D23" s="53">
        <f>13550508.75</f>
        <v>13550508.75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0.25036878101354731</v>
      </c>
      <c r="K23" s="20">
        <f t="shared" si="1"/>
        <v>90.607110026170375</v>
      </c>
      <c r="L23" s="17"/>
    </row>
    <row r="24" spans="2:12" ht="12.75" customHeight="1" outlineLevel="1" x14ac:dyDescent="0.2">
      <c r="B24" s="98" t="s">
        <v>6</v>
      </c>
      <c r="C24" s="53">
        <f>11920973.61</f>
        <v>11920973.609999999</v>
      </c>
      <c r="D24" s="53">
        <f>10833754.19</f>
        <v>10833754.189999999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0.20017210278918202</v>
      </c>
      <c r="K24" s="20">
        <f t="shared" si="1"/>
        <v>90.87977663931764</v>
      </c>
      <c r="L24" s="17"/>
    </row>
    <row r="25" spans="2:12" ht="12.75" customHeight="1" outlineLevel="1" x14ac:dyDescent="0.2">
      <c r="B25" s="96" t="s">
        <v>8</v>
      </c>
      <c r="C25" s="53">
        <f>12780689</f>
        <v>12780689</v>
      </c>
      <c r="D25" s="53">
        <f>3348264.61</f>
        <v>3348264.61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6.1864904438846277E-2</v>
      </c>
      <c r="K25" s="20">
        <f t="shared" si="1"/>
        <v>26.197841211847031</v>
      </c>
      <c r="L25" s="17"/>
    </row>
    <row r="26" spans="2:12" ht="12.75" customHeight="1" outlineLevel="1" x14ac:dyDescent="0.2">
      <c r="B26" s="98" t="s">
        <v>6</v>
      </c>
      <c r="C26" s="53">
        <f>12070349</f>
        <v>12070349</v>
      </c>
      <c r="D26" s="53">
        <f>3052056.55</f>
        <v>3052056.55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5.6391954878292863E-2</v>
      </c>
      <c r="K26" s="20">
        <f t="shared" si="1"/>
        <v>25.285570036127371</v>
      </c>
      <c r="L26" s="17"/>
    </row>
    <row r="27" spans="2:12" ht="67.5" outlineLevel="1" x14ac:dyDescent="0.2">
      <c r="B27" s="100" t="s">
        <v>70</v>
      </c>
      <c r="C27" s="53">
        <f>297000</f>
        <v>297000</v>
      </c>
      <c r="D27" s="53">
        <f>297000</f>
        <v>297000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5.487582003961552E-3</v>
      </c>
      <c r="K27" s="20">
        <f t="shared" si="1"/>
        <v>100</v>
      </c>
      <c r="L27" s="17"/>
    </row>
    <row r="28" spans="2:12" ht="12.75" customHeight="1" outlineLevel="1" x14ac:dyDescent="0.2">
      <c r="B28" s="98" t="s">
        <v>71</v>
      </c>
      <c r="C28" s="53">
        <f>297000</f>
        <v>297000</v>
      </c>
      <c r="D28" s="53">
        <f>297000</f>
        <v>297000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5.487582003961552E-3</v>
      </c>
      <c r="K28" s="20">
        <f t="shared" si="1"/>
        <v>100</v>
      </c>
      <c r="L28" s="17"/>
    </row>
    <row r="29" spans="2:12" ht="45" outlineLevel="1" x14ac:dyDescent="0.2">
      <c r="B29" s="100" t="s">
        <v>67</v>
      </c>
      <c r="C29" s="53">
        <f>517207067.57</f>
        <v>517207067.56999999</v>
      </c>
      <c r="D29" s="53">
        <f>476722175.71</f>
        <v>476722175.70999998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8.8082560010626025</v>
      </c>
      <c r="K29" s="66">
        <f t="shared" si="1"/>
        <v>92.172401655257602</v>
      </c>
      <c r="L29" s="17"/>
    </row>
    <row r="30" spans="2:12" ht="12.75" customHeight="1" outlineLevel="1" x14ac:dyDescent="0.2">
      <c r="B30" s="98" t="s">
        <v>6</v>
      </c>
      <c r="C30" s="53">
        <f>517207067.57</f>
        <v>517207067.56999999</v>
      </c>
      <c r="D30" s="53">
        <f>476722175.71</f>
        <v>476722175.70999998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8.8082560010626025</v>
      </c>
      <c r="K30" s="20">
        <f t="shared" si="1"/>
        <v>92.172401655257602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24865547.3</f>
        <v>24865547.300000001</v>
      </c>
      <c r="D33" s="53">
        <f>22107650</f>
        <v>22107650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0.40847657336660137</v>
      </c>
      <c r="K33" s="19">
        <f t="shared" si="1"/>
        <v>88.908760918365147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24865547.3</f>
        <v>24865547.300000001</v>
      </c>
      <c r="D34" s="53">
        <f>22107650</f>
        <v>22107650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0.40847657336660137</v>
      </c>
      <c r="K34" s="20">
        <f t="shared" si="1"/>
        <v>88.908760918365147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112123823.27</f>
        <v>112123823.27</v>
      </c>
      <c r="D35" s="53">
        <f>85349882.24</f>
        <v>85349882.239999995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1.5769847738062681</v>
      </c>
      <c r="K35" s="57">
        <f t="shared" si="1"/>
        <v>76.121095188194786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88564437.32</f>
        <v>88564437.319999993</v>
      </c>
      <c r="D36" s="53">
        <f>69743053.35</f>
        <v>69743053.349999994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1.2886219678949171</v>
      </c>
      <c r="K36" s="20">
        <f t="shared" si="1"/>
        <v>78.748372891486014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5500232460.6899996</v>
      </c>
      <c r="D38" s="51">
        <f>+D6</f>
        <v>5412219804.3800001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98.399837517068164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764856015.51</f>
        <v>764856015.50999999</v>
      </c>
      <c r="D39" s="14">
        <f>679238655.91</f>
        <v>679238655.90999997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12.550093685409928</v>
      </c>
      <c r="K39" s="20">
        <f t="shared" si="1"/>
        <v>88.806081423977432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4735376445.1799994</v>
      </c>
      <c r="D40" s="14">
        <f>D38-D39</f>
        <v>4732981148.4700003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87.449906314590066</v>
      </c>
      <c r="K40" s="20">
        <f t="shared" si="1"/>
        <v>99.949416973756385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",$D$108," ",$C$109," rok        ",$C$111,"")</f>
        <v>Informacja z wykonania budżetów związków jednostek samorządu terytorialnego za IV Kwartały 2025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24" t="s">
        <v>0</v>
      </c>
      <c r="C44" s="142" t="s">
        <v>50</v>
      </c>
      <c r="D44" s="142" t="s">
        <v>52</v>
      </c>
      <c r="E44" s="142" t="s">
        <v>51</v>
      </c>
      <c r="F44" s="142" t="s">
        <v>12</v>
      </c>
      <c r="G44" s="142"/>
      <c r="H44" s="142"/>
      <c r="I44" s="157" t="s">
        <v>53</v>
      </c>
      <c r="J44" s="142" t="s">
        <v>2</v>
      </c>
      <c r="K44" s="156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24"/>
      <c r="C45" s="142"/>
      <c r="D45" s="142"/>
      <c r="E45" s="126"/>
      <c r="F45" s="125" t="s">
        <v>54</v>
      </c>
      <c r="G45" s="144" t="s">
        <v>23</v>
      </c>
      <c r="H45" s="126"/>
      <c r="I45" s="158"/>
      <c r="J45" s="142"/>
      <c r="K45" s="156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24"/>
      <c r="C46" s="142"/>
      <c r="D46" s="142"/>
      <c r="E46" s="126"/>
      <c r="F46" s="126"/>
      <c r="G46" s="38" t="s">
        <v>55</v>
      </c>
      <c r="H46" s="38" t="s">
        <v>56</v>
      </c>
      <c r="I46" s="159"/>
      <c r="J46" s="142"/>
      <c r="K46" s="156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24"/>
      <c r="C47" s="130" t="s">
        <v>40</v>
      </c>
      <c r="D47" s="131"/>
      <c r="E47" s="131"/>
      <c r="F47" s="131"/>
      <c r="G47" s="131"/>
      <c r="H47" s="131"/>
      <c r="I47" s="132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3" ht="27" customHeight="1" x14ac:dyDescent="0.2">
      <c r="B49" s="93" t="s">
        <v>29</v>
      </c>
      <c r="C49" s="58">
        <f>5725617562.53</f>
        <v>5725617562.5299997</v>
      </c>
      <c r="D49" s="68">
        <f>5234443770.15</f>
        <v>5234443770.1499996</v>
      </c>
      <c r="E49" s="68">
        <f>5236208614.79</f>
        <v>5236208614.79</v>
      </c>
      <c r="F49" s="58">
        <f>286806251.55</f>
        <v>286806251.55000001</v>
      </c>
      <c r="G49" s="58">
        <f>0</f>
        <v>0</v>
      </c>
      <c r="H49" s="58">
        <f>23776480.01</f>
        <v>23776480.010000002</v>
      </c>
      <c r="I49" s="77">
        <f>1008095</f>
        <v>1008095</v>
      </c>
      <c r="J49" s="34">
        <f>IF($D$49=0,"",100*$D49/$D$49)</f>
        <v>100</v>
      </c>
      <c r="K49" s="34">
        <f>IF(C49=0,"",100*D49/C49)</f>
        <v>91.421470487404264</v>
      </c>
      <c r="L49" s="22"/>
      <c r="M49" s="74"/>
    </row>
    <row r="50" spans="2:13" x14ac:dyDescent="0.2">
      <c r="B50" s="94" t="s">
        <v>14</v>
      </c>
      <c r="C50" s="16">
        <f>1136105033.98</f>
        <v>1136105033.98</v>
      </c>
      <c r="D50" s="16">
        <f>912582718.76</f>
        <v>912582718.75999999</v>
      </c>
      <c r="E50" s="16">
        <f>912722200.76</f>
        <v>912722200.75999999</v>
      </c>
      <c r="F50" s="16">
        <f>31423341.32</f>
        <v>31423341.32</v>
      </c>
      <c r="G50" s="16">
        <f>0</f>
        <v>0</v>
      </c>
      <c r="H50" s="16">
        <f>0</f>
        <v>0</v>
      </c>
      <c r="I50" s="78">
        <f>1008095</f>
        <v>1008095</v>
      </c>
      <c r="J50" s="34">
        <f t="shared" ref="J50:J58" si="3">IF($D$49=0,"",100*$D50/$D$49)</f>
        <v>17.434187066142631</v>
      </c>
      <c r="K50" s="34">
        <f t="shared" ref="K50:K58" si="4">IF(C50=0,"",100*D50/C50)</f>
        <v>80.325558946169153</v>
      </c>
      <c r="L50" s="22"/>
      <c r="M50" s="76"/>
    </row>
    <row r="51" spans="2:13" ht="12.75" customHeight="1" outlineLevel="1" x14ac:dyDescent="0.2">
      <c r="B51" s="56" t="s">
        <v>13</v>
      </c>
      <c r="C51" s="53">
        <f>1133554874.28</f>
        <v>1133554874.28</v>
      </c>
      <c r="D51" s="53">
        <f>910232143.76</f>
        <v>910232143.75999999</v>
      </c>
      <c r="E51" s="53">
        <f>910371625.76</f>
        <v>910371625.75999999</v>
      </c>
      <c r="F51" s="53">
        <f>31423341.32</f>
        <v>31423341.32</v>
      </c>
      <c r="G51" s="53">
        <f>0</f>
        <v>0</v>
      </c>
      <c r="H51" s="53">
        <f>0</f>
        <v>0</v>
      </c>
      <c r="I51" s="79">
        <f>1008095</f>
        <v>1008095</v>
      </c>
      <c r="J51" s="34">
        <f t="shared" si="3"/>
        <v>17.38928114866188</v>
      </c>
      <c r="K51" s="34">
        <f t="shared" si="4"/>
        <v>80.298904306520853</v>
      </c>
      <c r="L51" s="22"/>
      <c r="M51" s="75"/>
    </row>
    <row r="52" spans="2:13" ht="27" customHeight="1" x14ac:dyDescent="0.2">
      <c r="B52" s="95" t="s">
        <v>30</v>
      </c>
      <c r="C52" s="59">
        <f t="shared" ref="C52:I52" si="5">C49-C50</f>
        <v>4589512528.5499992</v>
      </c>
      <c r="D52" s="67">
        <f>D49-D50</f>
        <v>4321861051.3899994</v>
      </c>
      <c r="E52" s="67">
        <f>E49-E50</f>
        <v>4323486414.0299997</v>
      </c>
      <c r="F52" s="59">
        <f t="shared" si="5"/>
        <v>255382910.23000002</v>
      </c>
      <c r="G52" s="59">
        <f t="shared" si="5"/>
        <v>0</v>
      </c>
      <c r="H52" s="59">
        <f t="shared" si="5"/>
        <v>23776480.010000002</v>
      </c>
      <c r="I52" s="78">
        <f t="shared" si="5"/>
        <v>0</v>
      </c>
      <c r="J52" s="34">
        <f t="shared" si="3"/>
        <v>82.565812933857359</v>
      </c>
      <c r="K52" s="34">
        <f t="shared" si="4"/>
        <v>94.168193778859532</v>
      </c>
      <c r="L52" s="22"/>
      <c r="M52" s="76"/>
    </row>
    <row r="53" spans="2:13" ht="22.5" outlineLevel="1" x14ac:dyDescent="0.2">
      <c r="B53" s="56" t="s">
        <v>72</v>
      </c>
      <c r="C53" s="53">
        <f>364957813.14</f>
        <v>364957813.13999999</v>
      </c>
      <c r="D53" s="53">
        <f>330129093.05</f>
        <v>330129093.05000001</v>
      </c>
      <c r="E53" s="53">
        <f>330389809.03</f>
        <v>330389809.02999997</v>
      </c>
      <c r="F53" s="53">
        <f>27302777.53</f>
        <v>27302777.530000001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6.3068610065619204</v>
      </c>
      <c r="K53" s="34">
        <f t="shared" si="4"/>
        <v>90.4567818975177</v>
      </c>
      <c r="L53" s="22"/>
      <c r="M53" s="75"/>
    </row>
    <row r="54" spans="2:13" ht="12.75" customHeight="1" outlineLevel="1" x14ac:dyDescent="0.2">
      <c r="B54" s="56" t="s">
        <v>26</v>
      </c>
      <c r="C54" s="61">
        <f>133574784.83</f>
        <v>133574784.83</v>
      </c>
      <c r="D54" s="61">
        <f>129711180.98</f>
        <v>129711180.98</v>
      </c>
      <c r="E54" s="61">
        <f>129711180.98</f>
        <v>129711180.98</v>
      </c>
      <c r="F54" s="61">
        <f>2073.49</f>
        <v>2073.4899999999998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2.47803179622814</v>
      </c>
      <c r="K54" s="34">
        <f t="shared" si="4"/>
        <v>97.107535037456969</v>
      </c>
      <c r="L54" s="22"/>
      <c r="M54" s="75"/>
    </row>
    <row r="55" spans="2:13" ht="12.75" customHeight="1" outlineLevel="1" x14ac:dyDescent="0.2">
      <c r="B55" s="56" t="s">
        <v>25</v>
      </c>
      <c r="C55" s="53">
        <f>23996685</f>
        <v>23996685</v>
      </c>
      <c r="D55" s="53">
        <f>17106161.5</f>
        <v>17106161.5</v>
      </c>
      <c r="E55" s="53">
        <f>17106161.5</f>
        <v>17106161.5</v>
      </c>
      <c r="F55" s="53">
        <f>289683.6</f>
        <v>289683.59999999998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0.32679998584662989</v>
      </c>
      <c r="K55" s="34">
        <f t="shared" si="4"/>
        <v>71.285519229010177</v>
      </c>
      <c r="L55" s="22"/>
      <c r="M55" s="75"/>
    </row>
    <row r="56" spans="2:13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3" ht="22.5" outlineLevel="1" x14ac:dyDescent="0.2">
      <c r="B57" s="56" t="s">
        <v>37</v>
      </c>
      <c r="C57" s="61">
        <f>3165785</f>
        <v>3165785</v>
      </c>
      <c r="D57" s="61">
        <f>1880098.67</f>
        <v>1880098.67</v>
      </c>
      <c r="E57" s="61">
        <f>1880098.67</f>
        <v>1880098.67</v>
      </c>
      <c r="F57" s="61">
        <f>69077.66</f>
        <v>69077.66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3.5917831054399184E-2</v>
      </c>
      <c r="K57" s="34">
        <f t="shared" si="4"/>
        <v>59.388071836842997</v>
      </c>
      <c r="L57" s="22"/>
      <c r="M57" s="75"/>
    </row>
    <row r="58" spans="2:13" ht="12.75" customHeight="1" outlineLevel="1" x14ac:dyDescent="0.2">
      <c r="B58" s="56" t="s">
        <v>24</v>
      </c>
      <c r="C58" s="53">
        <f t="shared" ref="C58:I58" si="6">C52-C53-C54-C55-C56-C57</f>
        <v>4063817460.5799994</v>
      </c>
      <c r="D58" s="53">
        <f>D52-D53-D54-D55-D56-D57</f>
        <v>3843034517.1899991</v>
      </c>
      <c r="E58" s="71">
        <f>E52-E53-E54-E55-E56-E57</f>
        <v>3844399163.8499999</v>
      </c>
      <c r="F58" s="71">
        <f t="shared" si="6"/>
        <v>227719297.95000002</v>
      </c>
      <c r="G58" s="71">
        <f t="shared" si="6"/>
        <v>0</v>
      </c>
      <c r="H58" s="71">
        <f t="shared" si="6"/>
        <v>23776480.010000002</v>
      </c>
      <c r="I58" s="82">
        <f t="shared" si="6"/>
        <v>0</v>
      </c>
      <c r="J58" s="34">
        <f t="shared" si="3"/>
        <v>73.41820231416628</v>
      </c>
      <c r="K58" s="34">
        <f t="shared" si="4"/>
        <v>94.567104808922949</v>
      </c>
      <c r="L58" s="22"/>
      <c r="M58" s="75"/>
    </row>
    <row r="59" spans="2:13" x14ac:dyDescent="0.2">
      <c r="B59" s="93" t="s">
        <v>15</v>
      </c>
      <c r="C59" s="59">
        <f>C6-C49</f>
        <v>-225385101.84000015</v>
      </c>
      <c r="D59" s="67">
        <f>D6-D49</f>
        <v>177776034.2300005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3" outlineLevel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3" outlineLevel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2:13" outlineLevel="1" x14ac:dyDescent="0.2">
      <c r="B62" s="140" t="s">
        <v>99</v>
      </c>
      <c r="C62" s="139" t="s">
        <v>95</v>
      </c>
      <c r="D62" s="139"/>
      <c r="E62" s="139" t="s">
        <v>96</v>
      </c>
      <c r="F62" s="139"/>
      <c r="G62" s="119" t="s">
        <v>100</v>
      </c>
      <c r="H62" s="37"/>
      <c r="I62" s="37"/>
      <c r="J62" s="37"/>
      <c r="K62" s="37"/>
      <c r="L62" s="37"/>
      <c r="M62" s="37"/>
    </row>
    <row r="63" spans="2:13" outlineLevel="1" x14ac:dyDescent="0.2">
      <c r="B63" s="140"/>
      <c r="C63" s="120" t="s">
        <v>97</v>
      </c>
      <c r="D63" s="120" t="s">
        <v>98</v>
      </c>
      <c r="E63" s="120" t="s">
        <v>97</v>
      </c>
      <c r="F63" s="120" t="s">
        <v>98</v>
      </c>
      <c r="G63" s="120" t="s">
        <v>97</v>
      </c>
      <c r="H63" s="37"/>
      <c r="I63" s="37"/>
      <c r="J63" s="37"/>
      <c r="K63" s="37"/>
      <c r="L63" s="37"/>
      <c r="M63" s="37"/>
    </row>
    <row r="64" spans="2:13" outlineLevel="1" x14ac:dyDescent="0.2">
      <c r="B64" s="121" t="s">
        <v>101</v>
      </c>
      <c r="C64" s="122">
        <f>8</f>
        <v>8</v>
      </c>
      <c r="D64" s="123">
        <f>15515723.46</f>
        <v>15515723.460000001</v>
      </c>
      <c r="E64" s="122">
        <f>137</f>
        <v>137</v>
      </c>
      <c r="F64" s="123">
        <f>+-240900825.3</f>
        <v>-240900825.30000001</v>
      </c>
      <c r="G64" s="122">
        <f>118</f>
        <v>118</v>
      </c>
      <c r="H64" s="37"/>
      <c r="I64" s="37"/>
      <c r="J64" s="37"/>
      <c r="K64" s="37"/>
      <c r="L64" s="37"/>
      <c r="M64" s="37"/>
    </row>
    <row r="65" spans="2:16" outlineLevel="1" x14ac:dyDescent="0.2">
      <c r="B65" s="121" t="s">
        <v>102</v>
      </c>
      <c r="C65" s="122">
        <f>114</f>
        <v>114</v>
      </c>
      <c r="D65" s="123">
        <f>243896532.74</f>
        <v>243896532.74000001</v>
      </c>
      <c r="E65" s="122">
        <f>79</f>
        <v>79</v>
      </c>
      <c r="F65" s="123">
        <f>+-66120498.51</f>
        <v>-66120498.509999998</v>
      </c>
      <c r="G65" s="122">
        <f>70</f>
        <v>70</v>
      </c>
      <c r="H65" s="37"/>
      <c r="I65" s="37"/>
      <c r="J65" s="37"/>
      <c r="K65" s="37"/>
      <c r="L65" s="37"/>
      <c r="M65" s="37"/>
    </row>
    <row r="66" spans="2:16" outlineLevel="1" x14ac:dyDescent="0.2">
      <c r="B66" s="22"/>
      <c r="C66" s="22"/>
      <c r="D66" s="22"/>
      <c r="E66" s="22"/>
      <c r="F66" s="22"/>
      <c r="G66" s="22"/>
      <c r="H66" s="37"/>
      <c r="I66" s="37"/>
      <c r="J66" s="37"/>
      <c r="K66" s="37"/>
      <c r="L66" s="37"/>
      <c r="M66" s="37"/>
    </row>
    <row r="67" spans="2:16" outlineLevel="1" x14ac:dyDescent="0.2">
      <c r="B67" s="140" t="s">
        <v>103</v>
      </c>
      <c r="C67" s="139" t="s">
        <v>95</v>
      </c>
      <c r="D67" s="139"/>
      <c r="E67" s="139" t="s">
        <v>96</v>
      </c>
      <c r="F67" s="139"/>
      <c r="G67" s="119" t="s">
        <v>100</v>
      </c>
      <c r="H67" s="37"/>
      <c r="I67" s="37"/>
      <c r="J67" s="37"/>
      <c r="K67" s="37"/>
      <c r="L67" s="37"/>
      <c r="M67" s="37"/>
    </row>
    <row r="68" spans="2:16" outlineLevel="1" x14ac:dyDescent="0.2">
      <c r="B68" s="140"/>
      <c r="C68" s="120" t="s">
        <v>97</v>
      </c>
      <c r="D68" s="120" t="s">
        <v>98</v>
      </c>
      <c r="E68" s="120" t="s">
        <v>97</v>
      </c>
      <c r="F68" s="120" t="s">
        <v>98</v>
      </c>
      <c r="G68" s="120" t="s">
        <v>97</v>
      </c>
      <c r="H68" s="37"/>
      <c r="I68" s="37"/>
      <c r="J68" s="37"/>
      <c r="K68" s="37"/>
      <c r="L68" s="37"/>
      <c r="M68" s="37"/>
    </row>
    <row r="69" spans="2:16" outlineLevel="1" x14ac:dyDescent="0.2">
      <c r="B69" s="121" t="s">
        <v>101</v>
      </c>
      <c r="C69" s="122">
        <f>44</f>
        <v>44</v>
      </c>
      <c r="D69" s="123">
        <f>239304920.34</f>
        <v>239304920.34</v>
      </c>
      <c r="E69" s="122">
        <f>113</f>
        <v>113</v>
      </c>
      <c r="F69" s="123">
        <f>+-93441003.71</f>
        <v>-93441003.709999993</v>
      </c>
      <c r="G69" s="122">
        <f>106</f>
        <v>106</v>
      </c>
      <c r="H69" s="37"/>
      <c r="I69" s="37"/>
      <c r="J69" s="37"/>
      <c r="K69" s="37"/>
      <c r="L69" s="37"/>
      <c r="M69" s="37"/>
    </row>
    <row r="70" spans="2:16" outlineLevel="1" x14ac:dyDescent="0.2">
      <c r="B70" s="121" t="s">
        <v>102</v>
      </c>
      <c r="C70" s="122">
        <f>122</f>
        <v>122</v>
      </c>
      <c r="D70" s="123">
        <f>438088914.67</f>
        <v>438088914.67000002</v>
      </c>
      <c r="E70" s="122">
        <f>71</f>
        <v>71</v>
      </c>
      <c r="F70" s="123">
        <f>+-26968817.59</f>
        <v>-26968817.59</v>
      </c>
      <c r="G70" s="122">
        <f>70</f>
        <v>70</v>
      </c>
      <c r="H70" s="37"/>
      <c r="I70" s="37"/>
      <c r="J70" s="37"/>
      <c r="K70" s="37"/>
      <c r="L70" s="37"/>
      <c r="M70" s="37"/>
    </row>
    <row r="71" spans="2:16" outlineLevel="1" x14ac:dyDescent="0.2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16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16" ht="18" customHeight="1" x14ac:dyDescent="0.2">
      <c r="B73" s="112" t="str">
        <f>CONCATENATE("Informacja z wykonania budżetów związków jednostek samorządu terytorialnego za ",$D$108," ",$C$109," rok        ",$C$111,"")</f>
        <v>Informacja z wykonania budżetów związków jednostek samorządu terytorialnego za IV Kwartały 2025 rok        =""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50"/>
    </row>
    <row r="74" spans="2:16" x14ac:dyDescent="0.2">
      <c r="B74" s="46" t="s">
        <v>16</v>
      </c>
      <c r="C74" s="69" t="s">
        <v>17</v>
      </c>
      <c r="D74" s="69" t="s">
        <v>1</v>
      </c>
      <c r="E74" s="147" t="s">
        <v>79</v>
      </c>
      <c r="F74" s="148"/>
      <c r="G74" s="148"/>
      <c r="H74" s="148"/>
      <c r="I74" s="149"/>
      <c r="J74" s="40" t="s">
        <v>21</v>
      </c>
      <c r="K74" s="40" t="s">
        <v>22</v>
      </c>
      <c r="L74" s="37"/>
      <c r="M74" s="37"/>
      <c r="N74" s="37"/>
      <c r="O74" s="37"/>
      <c r="P74" s="37"/>
    </row>
    <row r="75" spans="2:16" x14ac:dyDescent="0.2">
      <c r="B75" s="46"/>
      <c r="C75" s="125" t="s">
        <v>40</v>
      </c>
      <c r="D75" s="127"/>
      <c r="E75" s="150"/>
      <c r="F75" s="151"/>
      <c r="G75" s="151"/>
      <c r="H75" s="151"/>
      <c r="I75" s="152"/>
      <c r="J75" s="160" t="s">
        <v>4</v>
      </c>
      <c r="K75" s="161"/>
      <c r="L75" s="37"/>
      <c r="M75" s="37"/>
      <c r="N75" s="37"/>
      <c r="O75" s="37"/>
      <c r="P75" s="37"/>
    </row>
    <row r="76" spans="2:16" x14ac:dyDescent="0.2">
      <c r="B76" s="47">
        <v>1</v>
      </c>
      <c r="C76" s="48">
        <v>2</v>
      </c>
      <c r="D76" s="48">
        <v>3</v>
      </c>
      <c r="E76" s="153"/>
      <c r="F76" s="154"/>
      <c r="G76" s="154"/>
      <c r="H76" s="154"/>
      <c r="I76" s="155"/>
      <c r="J76" s="49">
        <v>4</v>
      </c>
      <c r="K76" s="49">
        <v>5</v>
      </c>
      <c r="L76" s="37"/>
      <c r="M76" s="37"/>
      <c r="N76" s="37"/>
      <c r="O76" s="37"/>
      <c r="P76" s="37"/>
    </row>
    <row r="77" spans="2:16" ht="27" customHeight="1" x14ac:dyDescent="0.2">
      <c r="B77" s="106" t="s">
        <v>31</v>
      </c>
      <c r="C77" s="27">
        <f>293859807.53</f>
        <v>293859807.52999997</v>
      </c>
      <c r="D77" s="27">
        <f>1235263365.96</f>
        <v>1235263365.96</v>
      </c>
      <c r="E77" s="102" t="s">
        <v>79</v>
      </c>
      <c r="F77" s="102" t="s">
        <v>79</v>
      </c>
      <c r="G77" s="102" t="s">
        <v>79</v>
      </c>
      <c r="H77" s="102" t="s">
        <v>79</v>
      </c>
      <c r="I77" s="102" t="s">
        <v>79</v>
      </c>
      <c r="J77" s="25">
        <f>IF($D$77=0,"",100*$D77/$D$77)</f>
        <v>100</v>
      </c>
      <c r="K77" s="21">
        <f t="shared" ref="K77:K91" si="7">IF(C77=0,"",100*D77/C77)</f>
        <v>420.3580531624396</v>
      </c>
      <c r="L77" s="37"/>
      <c r="M77" s="37"/>
      <c r="N77" s="37"/>
      <c r="O77" s="37"/>
      <c r="P77" s="37"/>
    </row>
    <row r="78" spans="2:16" ht="22.5" x14ac:dyDescent="0.2">
      <c r="B78" s="108" t="s">
        <v>60</v>
      </c>
      <c r="C78" s="28">
        <f>45549150.78</f>
        <v>45549150.780000001</v>
      </c>
      <c r="D78" s="28">
        <f>44127677.46</f>
        <v>44127677.460000001</v>
      </c>
      <c r="E78" s="103" t="s">
        <v>79</v>
      </c>
      <c r="F78" s="103" t="s">
        <v>79</v>
      </c>
      <c r="G78" s="103" t="s">
        <v>79</v>
      </c>
      <c r="H78" s="103" t="s">
        <v>79</v>
      </c>
      <c r="I78" s="103" t="s">
        <v>79</v>
      </c>
      <c r="J78" s="32">
        <f t="shared" ref="J78:J87" si="8">IF($D$77=0,"",100*$D78/$D$77)</f>
        <v>3.5723294866520741</v>
      </c>
      <c r="K78" s="33">
        <f t="shared" si="7"/>
        <v>96.879253958288615</v>
      </c>
      <c r="L78" s="37"/>
      <c r="M78" s="37"/>
      <c r="N78" s="37"/>
      <c r="O78" s="37"/>
      <c r="P78" s="37"/>
    </row>
    <row r="79" spans="2:16" ht="22.5" x14ac:dyDescent="0.2">
      <c r="B79" s="109" t="s">
        <v>61</v>
      </c>
      <c r="C79" s="64">
        <f>0</f>
        <v>0</v>
      </c>
      <c r="D79" s="64">
        <f>0</f>
        <v>0</v>
      </c>
      <c r="E79" s="103" t="s">
        <v>79</v>
      </c>
      <c r="F79" s="103" t="s">
        <v>79</v>
      </c>
      <c r="G79" s="103" t="s">
        <v>79</v>
      </c>
      <c r="H79" s="103" t="s">
        <v>79</v>
      </c>
      <c r="I79" s="103" t="s">
        <v>79</v>
      </c>
      <c r="J79" s="65">
        <f t="shared" si="8"/>
        <v>0</v>
      </c>
      <c r="K79" s="60" t="str">
        <f t="shared" si="7"/>
        <v/>
      </c>
      <c r="L79" s="37"/>
      <c r="M79" s="37"/>
      <c r="N79" s="37"/>
      <c r="O79" s="37"/>
      <c r="P79" s="37"/>
    </row>
    <row r="80" spans="2:16" ht="12.75" customHeight="1" x14ac:dyDescent="0.2">
      <c r="B80" s="63" t="s">
        <v>62</v>
      </c>
      <c r="C80" s="64">
        <f>0</f>
        <v>0</v>
      </c>
      <c r="D80" s="64">
        <f>0</f>
        <v>0</v>
      </c>
      <c r="E80" s="103" t="s">
        <v>79</v>
      </c>
      <c r="F80" s="103" t="s">
        <v>79</v>
      </c>
      <c r="G80" s="103" t="s">
        <v>79</v>
      </c>
      <c r="H80" s="103" t="s">
        <v>79</v>
      </c>
      <c r="I80" s="103" t="s">
        <v>79</v>
      </c>
      <c r="J80" s="65">
        <f t="shared" si="8"/>
        <v>0</v>
      </c>
      <c r="K80" s="60" t="str">
        <f t="shared" si="7"/>
        <v/>
      </c>
      <c r="L80" s="37"/>
      <c r="M80" s="37"/>
      <c r="N80" s="37"/>
      <c r="O80" s="37"/>
      <c r="P80" s="37"/>
    </row>
    <row r="81" spans="2:16" ht="56.25" x14ac:dyDescent="0.2">
      <c r="B81" s="63" t="s">
        <v>73</v>
      </c>
      <c r="C81" s="64">
        <f>138659899.59</f>
        <v>138659899.59</v>
      </c>
      <c r="D81" s="64">
        <f>1026446715.57</f>
        <v>1026446715.5700001</v>
      </c>
      <c r="E81" s="103" t="s">
        <v>79</v>
      </c>
      <c r="F81" s="103" t="s">
        <v>79</v>
      </c>
      <c r="G81" s="103" t="s">
        <v>79</v>
      </c>
      <c r="H81" s="103" t="s">
        <v>79</v>
      </c>
      <c r="I81" s="103" t="s">
        <v>79</v>
      </c>
      <c r="J81" s="65">
        <f t="shared" si="8"/>
        <v>83.095374140905122</v>
      </c>
      <c r="K81" s="60">
        <f t="shared" si="7"/>
        <v>740.26212236203446</v>
      </c>
      <c r="L81" s="37"/>
      <c r="M81" s="37"/>
      <c r="N81" s="37"/>
      <c r="O81" s="37"/>
      <c r="P81" s="37"/>
    </row>
    <row r="82" spans="2:16" ht="35.25" customHeight="1" x14ac:dyDescent="0.2">
      <c r="B82" s="63" t="s">
        <v>75</v>
      </c>
      <c r="C82" s="64">
        <f>47155186.95</f>
        <v>47155186.950000003</v>
      </c>
      <c r="D82" s="64">
        <f>79314228.46</f>
        <v>79314228.459999993</v>
      </c>
      <c r="E82" s="103" t="s">
        <v>79</v>
      </c>
      <c r="F82" s="103" t="s">
        <v>79</v>
      </c>
      <c r="G82" s="103" t="s">
        <v>79</v>
      </c>
      <c r="H82" s="103" t="s">
        <v>79</v>
      </c>
      <c r="I82" s="103" t="s">
        <v>79</v>
      </c>
      <c r="J82" s="65">
        <f t="shared" si="8"/>
        <v>6.4208354789474367</v>
      </c>
      <c r="K82" s="60">
        <f t="shared" si="7"/>
        <v>168.19831197806329</v>
      </c>
      <c r="L82" s="37"/>
      <c r="M82" s="37"/>
      <c r="N82" s="37"/>
      <c r="O82" s="37"/>
      <c r="P82" s="37"/>
    </row>
    <row r="83" spans="2:16" ht="12.75" customHeight="1" x14ac:dyDescent="0.2">
      <c r="B83" s="63" t="s">
        <v>63</v>
      </c>
      <c r="C83" s="64">
        <f>0</f>
        <v>0</v>
      </c>
      <c r="D83" s="64">
        <f>0</f>
        <v>0</v>
      </c>
      <c r="E83" s="103" t="s">
        <v>79</v>
      </c>
      <c r="F83" s="103" t="s">
        <v>79</v>
      </c>
      <c r="G83" s="103" t="s">
        <v>79</v>
      </c>
      <c r="H83" s="103" t="s">
        <v>79</v>
      </c>
      <c r="I83" s="103" t="s">
        <v>79</v>
      </c>
      <c r="J83" s="65">
        <f t="shared" si="8"/>
        <v>0</v>
      </c>
      <c r="K83" s="60" t="str">
        <f t="shared" si="7"/>
        <v/>
      </c>
      <c r="L83" s="37"/>
      <c r="M83" s="37"/>
      <c r="N83" s="37"/>
      <c r="O83" s="37"/>
      <c r="P83" s="37"/>
    </row>
    <row r="84" spans="2:16" ht="33.75" x14ac:dyDescent="0.2">
      <c r="B84" s="63" t="s">
        <v>64</v>
      </c>
      <c r="C84" s="64">
        <f>55995570.21</f>
        <v>55995570.210000001</v>
      </c>
      <c r="D84" s="64">
        <f>74848866.5</f>
        <v>74848866.5</v>
      </c>
      <c r="E84" s="103" t="s">
        <v>79</v>
      </c>
      <c r="F84" s="103" t="s">
        <v>79</v>
      </c>
      <c r="G84" s="103" t="s">
        <v>79</v>
      </c>
      <c r="H84" s="103" t="s">
        <v>79</v>
      </c>
      <c r="I84" s="103" t="s">
        <v>79</v>
      </c>
      <c r="J84" s="65">
        <f t="shared" si="8"/>
        <v>6.0593447974416605</v>
      </c>
      <c r="K84" s="60">
        <f t="shared" si="7"/>
        <v>133.66926387086434</v>
      </c>
      <c r="L84" s="37"/>
      <c r="M84" s="37"/>
      <c r="N84" s="37"/>
      <c r="O84" s="37"/>
      <c r="P84" s="37"/>
    </row>
    <row r="85" spans="2:16" ht="56.25" x14ac:dyDescent="0.2">
      <c r="B85" s="63" t="s">
        <v>90</v>
      </c>
      <c r="C85" s="64"/>
      <c r="D85" s="64">
        <f>0</f>
        <v>0</v>
      </c>
      <c r="E85" s="103" t="s">
        <v>79</v>
      </c>
      <c r="F85" s="103" t="s">
        <v>79</v>
      </c>
      <c r="G85" s="103" t="s">
        <v>79</v>
      </c>
      <c r="H85" s="103" t="s">
        <v>79</v>
      </c>
      <c r="I85" s="103" t="s">
        <v>79</v>
      </c>
      <c r="J85" s="65">
        <f t="shared" si="8"/>
        <v>0</v>
      </c>
      <c r="K85" s="60" t="str">
        <f>IF(C85=0,"",100*D85/C85)</f>
        <v/>
      </c>
      <c r="L85" s="37"/>
      <c r="M85" s="37"/>
      <c r="N85" s="37"/>
      <c r="O85" s="37"/>
      <c r="P85" s="37"/>
    </row>
    <row r="86" spans="2:16" x14ac:dyDescent="0.2">
      <c r="B86" s="63" t="s">
        <v>91</v>
      </c>
      <c r="C86" s="64">
        <f>6500000</f>
        <v>6500000</v>
      </c>
      <c r="D86" s="64">
        <f>10525877.97</f>
        <v>10525877.970000001</v>
      </c>
      <c r="E86" s="103" t="s">
        <v>79</v>
      </c>
      <c r="F86" s="103" t="s">
        <v>79</v>
      </c>
      <c r="G86" s="103" t="s">
        <v>79</v>
      </c>
      <c r="H86" s="103" t="s">
        <v>79</v>
      </c>
      <c r="I86" s="103" t="s">
        <v>79</v>
      </c>
      <c r="J86" s="65">
        <f t="shared" si="8"/>
        <v>0.85211609605370964</v>
      </c>
      <c r="K86" s="60">
        <f>IF(C86=0,"",100*D86/C86)</f>
        <v>161.93658415384618</v>
      </c>
      <c r="L86" s="37"/>
      <c r="M86" s="37"/>
      <c r="N86" s="37"/>
      <c r="O86" s="37"/>
      <c r="P86" s="37"/>
    </row>
    <row r="87" spans="2:16" ht="22.5" x14ac:dyDescent="0.2">
      <c r="B87" s="109" t="s">
        <v>92</v>
      </c>
      <c r="C87" s="64">
        <f>5000000</f>
        <v>5000000</v>
      </c>
      <c r="D87" s="64">
        <f>5273221.55</f>
        <v>5273221.55</v>
      </c>
      <c r="E87" s="103" t="s">
        <v>79</v>
      </c>
      <c r="F87" s="103" t="s">
        <v>79</v>
      </c>
      <c r="G87" s="103" t="s">
        <v>79</v>
      </c>
      <c r="H87" s="103" t="s">
        <v>79</v>
      </c>
      <c r="I87" s="103" t="s">
        <v>79</v>
      </c>
      <c r="J87" s="65">
        <f t="shared" si="8"/>
        <v>0.42689046686832255</v>
      </c>
      <c r="K87" s="60">
        <f t="shared" si="7"/>
        <v>105.464431</v>
      </c>
      <c r="L87" s="37"/>
      <c r="M87" s="37"/>
      <c r="N87" s="37"/>
      <c r="O87" s="37"/>
      <c r="P87" s="37"/>
    </row>
    <row r="88" spans="2:16" ht="27" customHeight="1" x14ac:dyDescent="0.2">
      <c r="B88" s="106" t="s">
        <v>32</v>
      </c>
      <c r="C88" s="31">
        <f>68464375.69</f>
        <v>68464375.689999998</v>
      </c>
      <c r="D88" s="31">
        <f>69890957.44</f>
        <v>69890957.439999998</v>
      </c>
      <c r="E88" s="104" t="s">
        <v>79</v>
      </c>
      <c r="F88" s="104" t="s">
        <v>79</v>
      </c>
      <c r="G88" s="104" t="s">
        <v>79</v>
      </c>
      <c r="H88" s="104" t="s">
        <v>79</v>
      </c>
      <c r="I88" s="104" t="s">
        <v>79</v>
      </c>
      <c r="J88" s="25">
        <f t="shared" ref="J88:J93" si="9">IF($D$88=0,"",100*$D88/$D$88)</f>
        <v>100</v>
      </c>
      <c r="K88" s="21">
        <f t="shared" si="7"/>
        <v>102.08368474206122</v>
      </c>
      <c r="L88" s="37"/>
      <c r="M88" s="37"/>
      <c r="N88" s="37"/>
      <c r="O88" s="37"/>
      <c r="P88" s="37"/>
    </row>
    <row r="89" spans="2:16" ht="22.5" x14ac:dyDescent="0.2">
      <c r="B89" s="108" t="s">
        <v>65</v>
      </c>
      <c r="C89" s="28">
        <f>35175597.89</f>
        <v>35175597.890000001</v>
      </c>
      <c r="D89" s="30">
        <f>35171849.21</f>
        <v>35171849.210000001</v>
      </c>
      <c r="E89" s="105" t="s">
        <v>79</v>
      </c>
      <c r="F89" s="105" t="s">
        <v>79</v>
      </c>
      <c r="G89" s="105" t="s">
        <v>79</v>
      </c>
      <c r="H89" s="105" t="s">
        <v>79</v>
      </c>
      <c r="I89" s="105" t="s">
        <v>79</v>
      </c>
      <c r="J89" s="32">
        <f t="shared" si="9"/>
        <v>50.323890955699575</v>
      </c>
      <c r="K89" s="33">
        <f t="shared" si="7"/>
        <v>99.989342952999053</v>
      </c>
      <c r="L89" s="37"/>
      <c r="M89" s="37"/>
      <c r="N89" s="37"/>
      <c r="O89" s="37"/>
      <c r="P89" s="37"/>
    </row>
    <row r="90" spans="2:16" ht="12.75" customHeight="1" x14ac:dyDescent="0.2">
      <c r="B90" s="109" t="s">
        <v>66</v>
      </c>
      <c r="C90" s="64">
        <f>0</f>
        <v>0</v>
      </c>
      <c r="D90" s="64">
        <f>0</f>
        <v>0</v>
      </c>
      <c r="E90" s="105" t="s">
        <v>79</v>
      </c>
      <c r="F90" s="105" t="s">
        <v>79</v>
      </c>
      <c r="G90" s="105" t="s">
        <v>79</v>
      </c>
      <c r="H90" s="105" t="s">
        <v>79</v>
      </c>
      <c r="I90" s="105" t="s">
        <v>79</v>
      </c>
      <c r="J90" s="65">
        <f t="shared" si="9"/>
        <v>0</v>
      </c>
      <c r="K90" s="60" t="str">
        <f t="shared" si="7"/>
        <v/>
      </c>
      <c r="L90" s="37"/>
      <c r="M90" s="37"/>
      <c r="N90" s="37"/>
      <c r="O90" s="37"/>
      <c r="P90" s="37"/>
    </row>
    <row r="91" spans="2:16" ht="12.75" customHeight="1" x14ac:dyDescent="0.2">
      <c r="B91" s="63" t="s">
        <v>74</v>
      </c>
      <c r="C91" s="64">
        <f>5683522</f>
        <v>5683522</v>
      </c>
      <c r="D91" s="64">
        <f>0</f>
        <v>0</v>
      </c>
      <c r="E91" s="105" t="s">
        <v>79</v>
      </c>
      <c r="F91" s="105" t="s">
        <v>79</v>
      </c>
      <c r="G91" s="105" t="s">
        <v>79</v>
      </c>
      <c r="H91" s="105" t="s">
        <v>79</v>
      </c>
      <c r="I91" s="105" t="s">
        <v>79</v>
      </c>
      <c r="J91" s="65">
        <f t="shared" si="9"/>
        <v>0</v>
      </c>
      <c r="K91" s="60">
        <f t="shared" si="7"/>
        <v>0</v>
      </c>
      <c r="L91" s="37"/>
      <c r="M91" s="37"/>
      <c r="N91" s="37"/>
      <c r="O91" s="37"/>
      <c r="P91" s="37"/>
    </row>
    <row r="92" spans="2:16" ht="12.75" customHeight="1" x14ac:dyDescent="0.2">
      <c r="B92" s="63" t="s">
        <v>93</v>
      </c>
      <c r="C92" s="64">
        <f>27605255.8</f>
        <v>27605255.800000001</v>
      </c>
      <c r="D92" s="64">
        <f>34719108.23</f>
        <v>34719108.229999997</v>
      </c>
      <c r="E92" s="105" t="s">
        <v>79</v>
      </c>
      <c r="F92" s="105" t="s">
        <v>79</v>
      </c>
      <c r="G92" s="105" t="s">
        <v>79</v>
      </c>
      <c r="H92" s="105" t="s">
        <v>79</v>
      </c>
      <c r="I92" s="105" t="s">
        <v>79</v>
      </c>
      <c r="J92" s="65">
        <f t="shared" si="9"/>
        <v>49.676109044300418</v>
      </c>
      <c r="K92" s="60">
        <f>IF(C92=0,"",100*D92/C92)</f>
        <v>125.76992034248781</v>
      </c>
      <c r="L92" s="37"/>
      <c r="M92" s="37"/>
      <c r="N92" s="37"/>
      <c r="O92" s="37"/>
      <c r="P92" s="37"/>
    </row>
    <row r="93" spans="2:16" ht="22.5" x14ac:dyDescent="0.2">
      <c r="B93" s="109" t="s">
        <v>94</v>
      </c>
      <c r="C93" s="64">
        <f>15167910</f>
        <v>15167910</v>
      </c>
      <c r="D93" s="64">
        <f>16381684.55</f>
        <v>16381684.550000001</v>
      </c>
      <c r="E93" s="105" t="s">
        <v>79</v>
      </c>
      <c r="F93" s="105" t="s">
        <v>79</v>
      </c>
      <c r="G93" s="105" t="s">
        <v>79</v>
      </c>
      <c r="H93" s="105" t="s">
        <v>79</v>
      </c>
      <c r="I93" s="105" t="s">
        <v>79</v>
      </c>
      <c r="J93" s="65">
        <f t="shared" si="9"/>
        <v>23.438918495376676</v>
      </c>
      <c r="K93" s="60">
        <f>IF(C93=0,"",100*D93/C93)</f>
        <v>108.00225311199763</v>
      </c>
      <c r="L93" s="37"/>
      <c r="M93" s="37"/>
      <c r="N93" s="37"/>
      <c r="O93" s="37"/>
      <c r="P93" s="37"/>
    </row>
    <row r="94" spans="2:16" x14ac:dyDescent="0.2">
      <c r="B94" s="22"/>
      <c r="C94" s="22"/>
      <c r="D94" s="22"/>
      <c r="E94" s="22"/>
      <c r="F94" s="22"/>
      <c r="G94" s="22"/>
      <c r="H94" s="22"/>
      <c r="I94" s="37"/>
      <c r="J94" s="37"/>
      <c r="K94" s="37"/>
      <c r="L94" s="37"/>
      <c r="M94" s="37"/>
    </row>
    <row r="95" spans="2:16" x14ac:dyDescent="0.2">
      <c r="B95" s="44" t="s">
        <v>16</v>
      </c>
      <c r="C95" s="70" t="s">
        <v>17</v>
      </c>
      <c r="D95" s="13" t="s">
        <v>1</v>
      </c>
      <c r="E95" s="37"/>
      <c r="F95" s="37"/>
      <c r="G95" s="37"/>
      <c r="H95" s="37"/>
      <c r="I95" s="37"/>
    </row>
    <row r="96" spans="2:16" x14ac:dyDescent="0.2">
      <c r="B96" s="44"/>
      <c r="C96" s="128" t="s">
        <v>40</v>
      </c>
      <c r="D96" s="129"/>
      <c r="E96" s="37"/>
      <c r="F96" s="37"/>
      <c r="G96" s="37"/>
      <c r="H96" s="37"/>
      <c r="I96" s="37"/>
    </row>
    <row r="97" spans="2:13" x14ac:dyDescent="0.2">
      <c r="B97" s="23">
        <v>1</v>
      </c>
      <c r="C97" s="26">
        <v>2</v>
      </c>
      <c r="D97" s="24">
        <v>3</v>
      </c>
      <c r="E97" s="37"/>
      <c r="F97" s="37"/>
      <c r="G97" s="37"/>
      <c r="H97" s="37"/>
      <c r="I97" s="37"/>
    </row>
    <row r="98" spans="2:13" ht="36.75" customHeight="1" x14ac:dyDescent="0.2">
      <c r="B98" s="107" t="s">
        <v>89</v>
      </c>
      <c r="C98" s="29">
        <f>240911155.3</f>
        <v>240911155.30000001</v>
      </c>
      <c r="D98" s="85">
        <f>66120498.51</f>
        <v>66120498.509999998</v>
      </c>
      <c r="E98" s="37"/>
      <c r="F98" s="37"/>
      <c r="G98" s="37"/>
      <c r="H98" s="37"/>
      <c r="I98" s="37"/>
    </row>
    <row r="99" spans="2:13" ht="36" customHeight="1" x14ac:dyDescent="0.2">
      <c r="B99" s="110" t="s">
        <v>42</v>
      </c>
      <c r="C99" s="30">
        <f>0</f>
        <v>0</v>
      </c>
      <c r="D99" s="84">
        <f>0</f>
        <v>0</v>
      </c>
      <c r="E99" s="37"/>
      <c r="F99" s="37"/>
      <c r="G99" s="37"/>
      <c r="H99" s="37"/>
      <c r="I99" s="37"/>
    </row>
    <row r="100" spans="2:13" ht="12.75" customHeight="1" x14ac:dyDescent="0.2">
      <c r="B100" s="110" t="s">
        <v>43</v>
      </c>
      <c r="C100" s="30">
        <f>44390188.78</f>
        <v>44390188.780000001</v>
      </c>
      <c r="D100" s="84">
        <f>27900707.89</f>
        <v>27900707.890000001</v>
      </c>
      <c r="E100" s="37"/>
      <c r="F100" s="37"/>
      <c r="G100" s="37"/>
      <c r="H100" s="37"/>
      <c r="I100" s="37"/>
    </row>
    <row r="101" spans="2:13" ht="25.5" customHeight="1" x14ac:dyDescent="0.2">
      <c r="B101" s="110" t="s">
        <v>44</v>
      </c>
      <c r="C101" s="30">
        <f>0</f>
        <v>0</v>
      </c>
      <c r="D101" s="84">
        <f>0</f>
        <v>0</v>
      </c>
      <c r="E101" s="37"/>
      <c r="F101" s="37"/>
      <c r="G101" s="37"/>
      <c r="H101" s="37"/>
      <c r="I101" s="37"/>
    </row>
    <row r="102" spans="2:13" ht="57.75" customHeight="1" x14ac:dyDescent="0.2">
      <c r="B102" s="110" t="s">
        <v>76</v>
      </c>
      <c r="C102" s="30">
        <f>131511605.28</f>
        <v>131511605.28</v>
      </c>
      <c r="D102" s="84">
        <f>26884839.74</f>
        <v>26884839.739999998</v>
      </c>
      <c r="E102" s="37"/>
      <c r="F102" s="37"/>
      <c r="G102" s="37"/>
      <c r="H102" s="37"/>
      <c r="I102" s="37"/>
    </row>
    <row r="103" spans="2:13" ht="84" customHeight="1" x14ac:dyDescent="0.2">
      <c r="B103" s="110" t="s">
        <v>45</v>
      </c>
      <c r="C103" s="30">
        <f>21302142.4</f>
        <v>21302142.399999999</v>
      </c>
      <c r="D103" s="84">
        <f>1771025.03</f>
        <v>1771025.03</v>
      </c>
      <c r="E103" s="37"/>
      <c r="F103" s="37"/>
      <c r="G103" s="37"/>
      <c r="H103" s="37"/>
      <c r="I103" s="37"/>
    </row>
    <row r="104" spans="2:13" ht="149.25" customHeight="1" x14ac:dyDescent="0.2">
      <c r="B104" s="110" t="s">
        <v>77</v>
      </c>
      <c r="C104" s="30">
        <f>40065239.84</f>
        <v>40065239.840000004</v>
      </c>
      <c r="D104" s="84">
        <f>7749329.94</f>
        <v>7749329.9400000004</v>
      </c>
      <c r="E104" s="37"/>
      <c r="F104" s="37"/>
      <c r="G104" s="37"/>
      <c r="H104" s="37"/>
      <c r="I104" s="37"/>
    </row>
    <row r="105" spans="2:13" ht="24" customHeight="1" x14ac:dyDescent="0.2">
      <c r="B105" s="110" t="s">
        <v>78</v>
      </c>
      <c r="C105" s="30">
        <f>0</f>
        <v>0</v>
      </c>
      <c r="D105" s="84">
        <f>0</f>
        <v>0</v>
      </c>
      <c r="E105" s="37"/>
      <c r="F105" s="37"/>
      <c r="G105" s="37"/>
      <c r="H105" s="37"/>
      <c r="I105" s="37"/>
    </row>
    <row r="106" spans="2:13" ht="24" customHeight="1" x14ac:dyDescent="0.2">
      <c r="B106" s="110" t="s">
        <v>92</v>
      </c>
      <c r="C106" s="30">
        <f>3641979</f>
        <v>3641979</v>
      </c>
      <c r="D106" s="84">
        <f>1814595.91</f>
        <v>1814595.91</v>
      </c>
      <c r="E106" s="37"/>
      <c r="F106" s="37"/>
      <c r="G106" s="37"/>
      <c r="H106" s="37"/>
      <c r="I106" s="37"/>
    </row>
    <row r="107" spans="2:13" ht="13.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2:13" x14ac:dyDescent="0.2">
      <c r="B108" s="116" t="s">
        <v>33</v>
      </c>
      <c r="C108" s="114">
        <f>4</f>
        <v>4</v>
      </c>
      <c r="D108" s="114" t="str">
        <f>IF(C108=1,"I Kwartał",IF(C108=2,"II Kwartały",IF(C108=3,"III Kwartały",IF(C108=4,"IV Kwartały",IF(C108="M1","Styczeń",IF(C108="M11","Listopad",IF(C108="M12","Grudzień","-")))))))</f>
        <v>IV Kwartały</v>
      </c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2:13" ht="11.25" customHeight="1" x14ac:dyDescent="0.2">
      <c r="B109" s="116" t="s">
        <v>34</v>
      </c>
      <c r="C109" s="115">
        <f>2025</f>
        <v>2025</v>
      </c>
      <c r="D109" s="36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2:13" ht="10.5" customHeight="1" x14ac:dyDescent="0.2">
      <c r="B110" s="116" t="s">
        <v>35</v>
      </c>
      <c r="C110" s="145" t="str">
        <f>"Mar 18 2026 12:00AM"</f>
        <v>Mar 18 2026 12:00AM</v>
      </c>
      <c r="D110" s="146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2:13" hidden="1" x14ac:dyDescent="0.2">
      <c r="B111" s="1" t="s">
        <v>88</v>
      </c>
      <c r="C111" s="118" t="s">
        <v>104</v>
      </c>
    </row>
  </sheetData>
  <mergeCells count="28">
    <mergeCell ref="C110:D110"/>
    <mergeCell ref="E74:I76"/>
    <mergeCell ref="K44:K46"/>
    <mergeCell ref="B44:B47"/>
    <mergeCell ref="I44:I46"/>
    <mergeCell ref="J44:J46"/>
    <mergeCell ref="D44:D46"/>
    <mergeCell ref="J75:K75"/>
    <mergeCell ref="B62:B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75:D75"/>
    <mergeCell ref="C96:D96"/>
    <mergeCell ref="C47:I47"/>
    <mergeCell ref="E4:I5"/>
    <mergeCell ref="C4:D4"/>
    <mergeCell ref="E62:F62"/>
    <mergeCell ref="B67:B68"/>
    <mergeCell ref="C67:D67"/>
    <mergeCell ref="C62:D62"/>
    <mergeCell ref="E67:F67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6383" man="1"/>
    <brk id="40" max="16383" man="1"/>
    <brk id="7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2025-02-07T10:59:12Z</cp:lastPrinted>
  <dcterms:created xsi:type="dcterms:W3CDTF">2001-05-17T08:58:03Z</dcterms:created>
  <dcterms:modified xsi:type="dcterms:W3CDTF">2026-03-25T10:13:24Z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2025-01-31T14:24:24.5667389+01:00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GRN-59a8bf38-d3d9-4808-a058-52611e7ed5a3</vt:lpwstr>
  </property>
  <property fmtid="{D5CDD505-2E9C-101B-9397-08002B2CF9AE}" pid="7" name="MFHash">
    <vt:lpwstr>wgvoo3FO2SjwtL5qdrgz+xzm7m5PrsTfiGGb6v7vF2c=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