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220" windowHeight="8835" activeTab="0"/>
  </bookViews>
  <sheets>
    <sheet name="doch_wyd" sheetId="1" r:id="rId1"/>
  </sheets>
  <definedNames/>
  <calcPr fullCalcOnLoad="1"/>
</workbook>
</file>

<file path=xl/comments1.xml><?xml version="1.0" encoding="utf-8"?>
<comments xmlns="http://schemas.openxmlformats.org/spreadsheetml/2006/main">
  <authors>
    <author>Michał Chmielewski</author>
  </authors>
  <commentList>
    <comment ref="J44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45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46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48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49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50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51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</commentList>
</comments>
</file>

<file path=xl/sharedStrings.xml><?xml version="1.0" encoding="utf-8"?>
<sst xmlns="http://schemas.openxmlformats.org/spreadsheetml/2006/main" count="119" uniqueCount="97">
  <si>
    <t xml:space="preserve">Wyszczególnienie </t>
  </si>
  <si>
    <t xml:space="preserve">Wykonanie </t>
  </si>
  <si>
    <t xml:space="preserve">Struktura </t>
  </si>
  <si>
    <t>Struktura dochodów  własnych</t>
  </si>
  <si>
    <t>w %%</t>
  </si>
  <si>
    <t>DOCHODY OGÓŁEM</t>
  </si>
  <si>
    <t>w tym:   inwestycyjne</t>
  </si>
  <si>
    <t xml:space="preserve">na zadania własne </t>
  </si>
  <si>
    <t>otrzymane z funduszy celowych</t>
  </si>
  <si>
    <t>na zadania z zakresu adm. rządowej</t>
  </si>
  <si>
    <t xml:space="preserve">na zadania realizowane na podstawie porozumień  z org. adm. rządowej </t>
  </si>
  <si>
    <t>na zadania realizowane na podstawie porozumień między jst</t>
  </si>
  <si>
    <t>Zobowiązania wg stanu na koniec 
okresu sprawozdawczego</t>
  </si>
  <si>
    <t>w tym:   wydatki na inwestycje</t>
  </si>
  <si>
    <t xml:space="preserve">wydatki majątkowe      </t>
  </si>
  <si>
    <t xml:space="preserve">WYNIK  </t>
  </si>
  <si>
    <t>Wyszczególnienie</t>
  </si>
  <si>
    <t>Plan (po zmianach)</t>
  </si>
  <si>
    <t>Wskaźnik 
(3:2)</t>
  </si>
  <si>
    <t xml:space="preserve">podatek dochodowy od osób fizycznych </t>
  </si>
  <si>
    <t>dochody z majątku</t>
  </si>
  <si>
    <t xml:space="preserve">pozostałe dochody </t>
  </si>
  <si>
    <t>Struktura</t>
  </si>
  <si>
    <t>Wskaźnik</t>
  </si>
  <si>
    <t>inne cele</t>
  </si>
  <si>
    <t>w tym wymagalne:</t>
  </si>
  <si>
    <t xml:space="preserve">podatek dochodowy od osób prawnych </t>
  </si>
  <si>
    <t>Wskaźnik 
(4:2)</t>
  </si>
  <si>
    <r>
      <t xml:space="preserve">Plan 
(po zmianach)
</t>
    </r>
    <r>
      <rPr>
        <b/>
        <sz val="10"/>
        <color indexed="8"/>
        <rFont val="Arial"/>
        <family val="2"/>
      </rPr>
      <t>R1</t>
    </r>
  </si>
  <si>
    <r>
      <t xml:space="preserve">Dochody 
wykonane
(wpływy minus zwroty) 
</t>
    </r>
    <r>
      <rPr>
        <b/>
        <sz val="10"/>
        <color indexed="8"/>
        <rFont val="Arial"/>
        <family val="2"/>
      </rPr>
      <t>R4</t>
    </r>
  </si>
  <si>
    <r>
      <t xml:space="preserve">Dochody 
otrzymane
</t>
    </r>
    <r>
      <rPr>
        <b/>
        <sz val="10"/>
        <color indexed="8"/>
        <rFont val="Arial"/>
        <family val="2"/>
      </rPr>
      <t>R9</t>
    </r>
  </si>
  <si>
    <t>uzupełnienie subwencji ogólnej</t>
  </si>
  <si>
    <t>część oświatowa</t>
  </si>
  <si>
    <t>część wyrównawcza</t>
  </si>
  <si>
    <t>pozostałe wydatki</t>
  </si>
  <si>
    <t>wydatki na obsługę długu</t>
  </si>
  <si>
    <t>dotacje</t>
  </si>
  <si>
    <r>
      <t xml:space="preserve">powstałe w latach ubiegłych
</t>
    </r>
    <r>
      <rPr>
        <b/>
        <sz val="10"/>
        <rFont val="Arial"/>
        <family val="2"/>
      </rPr>
      <t>R12U</t>
    </r>
  </si>
  <si>
    <r>
      <t xml:space="preserve">powstałe w roku bieżącym
</t>
    </r>
    <r>
      <rPr>
        <b/>
        <sz val="10"/>
        <rFont val="Arial"/>
        <family val="2"/>
      </rPr>
      <t>R12B</t>
    </r>
  </si>
  <si>
    <r>
      <t xml:space="preserve">Plan 
(po zmianach)
</t>
    </r>
    <r>
      <rPr>
        <b/>
        <sz val="10"/>
        <rFont val="Arial"/>
        <family val="2"/>
      </rPr>
      <t>R1</t>
    </r>
  </si>
  <si>
    <r>
      <t xml:space="preserve">Zaangażowanie
</t>
    </r>
    <r>
      <rPr>
        <b/>
        <sz val="10"/>
        <rFont val="Arial"/>
        <family val="2"/>
      </rPr>
      <t>R10</t>
    </r>
  </si>
  <si>
    <r>
      <t xml:space="preserve">Wydatki
 wykonane
</t>
    </r>
    <r>
      <rPr>
        <b/>
        <sz val="10"/>
        <rFont val="Arial"/>
        <family val="2"/>
      </rPr>
      <t>R4</t>
    </r>
  </si>
  <si>
    <r>
      <t xml:space="preserve">ogółem
</t>
    </r>
    <r>
      <rPr>
        <b/>
        <sz val="10"/>
        <rFont val="Arial"/>
        <family val="2"/>
      </rPr>
      <t>R11</t>
    </r>
  </si>
  <si>
    <t>część regionalna</t>
  </si>
  <si>
    <t>Razem dochody własne 
z tego:</t>
  </si>
  <si>
    <t>Subwencja ogólna 
z tego:</t>
  </si>
  <si>
    <t>WYDATKI OGÓŁEM 
z tego:</t>
  </si>
  <si>
    <t>wydatki bieżące 
z tego:</t>
  </si>
  <si>
    <t>Przychody ogółem 
z tego:</t>
  </si>
  <si>
    <t>Rozchody ogółem 
z tego:</t>
  </si>
  <si>
    <t>wydatki z tytułu udzielania poręczeń i gwarancji</t>
  </si>
  <si>
    <t>świadczenia na rzecz osób fizycznych</t>
  </si>
  <si>
    <t>Dotacje §§ 200 i 620</t>
  </si>
  <si>
    <t>w tym: inwestycyjne § 620</t>
  </si>
  <si>
    <t>majątkowe</t>
  </si>
  <si>
    <t>bieżace</t>
  </si>
  <si>
    <t>UE</t>
  </si>
  <si>
    <t>wydatki majątkowe</t>
  </si>
  <si>
    <t>wydatki bieżące</t>
  </si>
  <si>
    <t>w złotych</t>
  </si>
  <si>
    <t xml:space="preserve">Dochody Ogółem </t>
  </si>
  <si>
    <t>z tytułu pomocy finansowej udzielanej między jst na dofinansowanie własnych zadań</t>
  </si>
  <si>
    <t>inne źródła</t>
  </si>
  <si>
    <t>FINANSOWANIE DEFICYTU (E1+E2+E3+E4+E5)  z tego:</t>
  </si>
  <si>
    <t>sprzedaż papierów wartościowych wyemitowanych przez jednostkę samorządu terytorialnego</t>
  </si>
  <si>
    <t>kredyty i pożyczki</t>
  </si>
  <si>
    <t>prywatyzacja majątku jednostki samorządu terytorialnego</t>
  </si>
  <si>
    <t>nadwyżka budżetu jednostki samorządu terytorialnego z lat ubiegłych</t>
  </si>
  <si>
    <t>wolne środki jako nadwyżka środków pieniężnych na rachunku  bieżącym budżetu jednostki samorządu terytorialnego, wynikających  z rozliczeń wyemitowanych papierów wartościowych, kredytów i  pożyczek z lat ubiegłych</t>
  </si>
  <si>
    <t>Łączna kwota wyłączeń z relacji, o której mowa w art. 243 ust. 1 ustawy o finansach publicznych w okresie sprawozdawczym   w tym:</t>
  </si>
  <si>
    <t>kwota wyłączeń, o których mowa w art. 243 ust. 3 ustawy o finansach publicznych</t>
  </si>
  <si>
    <t>kwota wyłączeń, o których mowa w art. 243 ust. 3a ustawy o finansach publicznych</t>
  </si>
  <si>
    <t>wykup papierów wartościowych, spłata kredytów i pożyczek zaciągniętych na spłatę przejętych zobowiązań samodzielnego publicznego zakładu opieki zdrowotnej</t>
  </si>
  <si>
    <t>wykup obligacji nominowanych w walutach obcych wyemitowanych na zagraniczne rynki przed 1 stycznia 2010 r.</t>
  </si>
  <si>
    <t>Zobowiązania związku współtworzonego przez jednostkę samorządu terytorialnego przypadające do spłaty w roku budżetowym</t>
  </si>
  <si>
    <t>Kwota związana z realizacją wydatków bieżących, o których mowa w art. 242 ustawy o finansach publicznych</t>
  </si>
  <si>
    <t>Dotacje §§ 205 i 625</t>
  </si>
  <si>
    <t>w tym: inwestycyjne § 625</t>
  </si>
  <si>
    <r>
      <t xml:space="preserve">Wydatki, które nie wygasły 
z upływem roku budżetowego) 
(art.263 ust. 2 ustawy 
o finansach publicznych) 
</t>
    </r>
    <r>
      <rPr>
        <b/>
        <sz val="10"/>
        <rFont val="Arial"/>
        <family val="2"/>
      </rPr>
      <t>R9</t>
    </r>
  </si>
  <si>
    <t>Dochody bieżace            minus                                                  wydatki bieżące</t>
  </si>
  <si>
    <t>Wydatki Ogółem UE                                         z tego:</t>
  </si>
  <si>
    <t>Dotacje ogółem       z tego:</t>
  </si>
  <si>
    <t>Dotacje celowe        z tego:</t>
  </si>
  <si>
    <t>kredyty, pożyczki, emisja papierów wartościowych w tym:</t>
  </si>
  <si>
    <t>ze sprzedaży papierów wartościowych</t>
  </si>
  <si>
    <t>spłata  udzielonych pożyczek</t>
  </si>
  <si>
    <t>nadwyżka z lat ubiegłych</t>
  </si>
  <si>
    <t>prywatyzacja majątku JST</t>
  </si>
  <si>
    <t>spłaty kredytów i pożyczek, wykup papierów wartościowych w tym:</t>
  </si>
  <si>
    <t>wykup papierów wartościowych</t>
  </si>
  <si>
    <t xml:space="preserve"> udzielone pożyczki</t>
  </si>
  <si>
    <t>wolne środki, o których mowa w art. 217 ust. 2 pkt 6 ustawy o finansach publicznych</t>
  </si>
  <si>
    <t>Kwota planowanych wydatków bieżących ponoszonych na spłatę przejętych zobowiązań samodzielnego publicznego zakładu opieki zdrowotnej przekształconego na zasadach określonych w ustawie o działalności leczniczej</t>
  </si>
  <si>
    <t>Kwota wykonanych wydatków bieżących ponoszonych na spłatę przejętych zobowiązań samodzielnego publicznego zakładu opieki zdrowotnej przekształconego na zasadach określonych w ustawie o działalności leczniczej</t>
  </si>
  <si>
    <t>Stan na koniec okresu sprawozdawczego</t>
  </si>
  <si>
    <t>wydatki na wynagrodzenia i pochodne od wynagrodzeń</t>
  </si>
  <si>
    <t xml:space="preserve">Informacja z wykonania budżetów województw za I Kwartał 2019 rok   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</si>
</sst>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dd/mm/yy\ h:mm;@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5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9.5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CE"/>
      <family val="0"/>
    </font>
    <font>
      <b/>
      <sz val="12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8"/>
      <color theme="1"/>
      <name val="Arial"/>
      <family val="2"/>
    </font>
    <font>
      <b/>
      <sz val="8"/>
      <name val="Arial CE"/>
      <family val="2"/>
    </font>
  </fonts>
  <fills count="52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3" borderId="0" applyNumberFormat="0" applyBorder="0" applyAlignment="0" applyProtection="0"/>
    <xf numFmtId="0" fontId="15" fillId="14" borderId="0" applyNumberFormat="0" applyBorder="0" applyAlignment="0" applyProtection="0"/>
    <xf numFmtId="0" fontId="15" fillId="13" borderId="0" applyNumberFormat="0" applyBorder="0" applyAlignment="0" applyProtection="0"/>
    <xf numFmtId="0" fontId="15" fillId="15" borderId="0" applyNumberFormat="0" applyBorder="0" applyAlignment="0" applyProtection="0"/>
    <xf numFmtId="0" fontId="15" fillId="6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3" borderId="0" applyNumberFormat="0" applyBorder="0" applyAlignment="0" applyProtection="0"/>
    <xf numFmtId="0" fontId="16" fillId="14" borderId="0" applyNumberFormat="0" applyBorder="0" applyAlignment="0" applyProtection="0"/>
    <xf numFmtId="0" fontId="16" fillId="13" borderId="0" applyNumberFormat="0" applyBorder="0" applyAlignment="0" applyProtection="0"/>
    <xf numFmtId="0" fontId="16" fillId="22" borderId="0" applyNumberFormat="0" applyBorder="0" applyAlignment="0" applyProtection="0"/>
    <xf numFmtId="0" fontId="16" fillId="6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16" fillId="22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22" borderId="0" applyNumberFormat="0" applyBorder="0" applyAlignment="0" applyProtection="0"/>
    <xf numFmtId="0" fontId="16" fillId="32" borderId="0" applyNumberFormat="0" applyBorder="0" applyAlignment="0" applyProtection="0"/>
    <xf numFmtId="0" fontId="39" fillId="33" borderId="0" applyNumberFormat="0" applyBorder="0" applyAlignment="0" applyProtection="0"/>
    <xf numFmtId="0" fontId="39" fillId="34" borderId="0" applyNumberFormat="0" applyBorder="0" applyAlignment="0" applyProtection="0"/>
    <xf numFmtId="0" fontId="39" fillId="35" borderId="0" applyNumberFormat="0" applyBorder="0" applyAlignment="0" applyProtection="0"/>
    <xf numFmtId="0" fontId="39" fillId="36" borderId="0" applyNumberFormat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17" fillId="39" borderId="0" applyNumberFormat="0" applyBorder="0" applyAlignment="0" applyProtection="0"/>
    <xf numFmtId="0" fontId="18" fillId="40" borderId="1" applyNumberFormat="0" applyAlignment="0" applyProtection="0"/>
    <xf numFmtId="0" fontId="19" fillId="41" borderId="2" applyNumberFormat="0" applyAlignment="0" applyProtection="0"/>
    <xf numFmtId="0" fontId="40" fillId="42" borderId="3" applyNumberFormat="0" applyAlignment="0" applyProtection="0"/>
    <xf numFmtId="0" fontId="41" fillId="43" borderId="4" applyNumberFormat="0" applyAlignment="0" applyProtection="0"/>
    <xf numFmtId="0" fontId="42" fillId="4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45" borderId="0" applyNumberFormat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6" borderId="1" applyNumberFormat="0" applyAlignment="0" applyProtection="0"/>
    <xf numFmtId="0" fontId="43" fillId="0" borderId="8" applyNumberFormat="0" applyFill="0" applyAlignment="0" applyProtection="0"/>
    <xf numFmtId="0" fontId="44" fillId="46" borderId="9" applyNumberFormat="0" applyAlignment="0" applyProtection="0"/>
    <xf numFmtId="0" fontId="26" fillId="0" borderId="10" applyNumberFormat="0" applyFill="0" applyAlignment="0" applyProtection="0"/>
    <xf numFmtId="0" fontId="45" fillId="0" borderId="11" applyNumberFormat="0" applyFill="0" applyAlignment="0" applyProtection="0"/>
    <xf numFmtId="0" fontId="46" fillId="0" borderId="12" applyNumberFormat="0" applyFill="0" applyAlignment="0" applyProtection="0"/>
    <xf numFmtId="0" fontId="47" fillId="0" borderId="13" applyNumberFormat="0" applyFill="0" applyAlignment="0" applyProtection="0"/>
    <xf numFmtId="0" fontId="47" fillId="0" borderId="0" applyNumberFormat="0" applyFill="0" applyBorder="0" applyAlignment="0" applyProtection="0"/>
    <xf numFmtId="0" fontId="27" fillId="14" borderId="0" applyNumberFormat="0" applyBorder="0" applyAlignment="0" applyProtection="0"/>
    <xf numFmtId="0" fontId="48" fillId="47" borderId="0" applyNumberFormat="0" applyBorder="0" applyAlignment="0" applyProtection="0"/>
    <xf numFmtId="0" fontId="38" fillId="0" borderId="0">
      <alignment/>
      <protection/>
    </xf>
    <xf numFmtId="0" fontId="0" fillId="4" borderId="14" applyNumberFormat="0" applyFont="0" applyAlignment="0" applyProtection="0"/>
    <xf numFmtId="0" fontId="49" fillId="43" borderId="3" applyNumberFormat="0" applyAlignment="0" applyProtection="0"/>
    <xf numFmtId="0" fontId="2" fillId="0" borderId="0" applyNumberFormat="0" applyFill="0" applyBorder="0" applyAlignment="0" applyProtection="0"/>
    <xf numFmtId="0" fontId="28" fillId="40" borderId="15" applyNumberFormat="0" applyAlignment="0" applyProtection="0"/>
    <xf numFmtId="9" fontId="0" fillId="0" borderId="0" applyFont="0" applyFill="0" applyBorder="0" applyAlignment="0" applyProtection="0"/>
    <xf numFmtId="0" fontId="50" fillId="0" borderId="16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7" applyNumberFormat="0" applyFill="0" applyAlignment="0" applyProtection="0"/>
    <xf numFmtId="0" fontId="53" fillId="0" borderId="0" applyNumberFormat="0" applyFill="0" applyBorder="0" applyAlignment="0" applyProtection="0"/>
    <xf numFmtId="0" fontId="0" fillId="48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4" fillId="49" borderId="0" applyNumberFormat="0" applyBorder="0" applyAlignment="0" applyProtection="0"/>
  </cellStyleXfs>
  <cellXfs count="127">
    <xf numFmtId="0" fontId="0" fillId="0" borderId="0" xfId="0" applyAlignment="1">
      <alignment/>
    </xf>
    <xf numFmtId="0" fontId="3" fillId="0" borderId="0" xfId="0" applyFont="1" applyAlignment="1">
      <alignment/>
    </xf>
    <xf numFmtId="0" fontId="7" fillId="0" borderId="0" xfId="0" applyFont="1" applyFill="1" applyAlignment="1">
      <alignment horizontal="left" vertical="center"/>
    </xf>
    <xf numFmtId="164" fontId="3" fillId="0" borderId="0" xfId="0" applyNumberFormat="1" applyFont="1" applyFill="1" applyAlignment="1">
      <alignment/>
    </xf>
    <xf numFmtId="0" fontId="9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6" fillId="0" borderId="0" xfId="0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right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left" vertical="center" wrapText="1" indent="1"/>
    </xf>
    <xf numFmtId="164" fontId="7" fillId="0" borderId="0" xfId="0" applyNumberFormat="1" applyFont="1" applyAlignment="1">
      <alignment/>
    </xf>
    <xf numFmtId="164" fontId="7" fillId="0" borderId="0" xfId="0" applyNumberFormat="1" applyFont="1" applyFill="1" applyAlignment="1">
      <alignment/>
    </xf>
    <xf numFmtId="4" fontId="5" fillId="0" borderId="19" xfId="0" applyNumberFormat="1" applyFont="1" applyBorder="1" applyAlignment="1">
      <alignment horizontal="right" vertical="center"/>
    </xf>
    <xf numFmtId="4" fontId="5" fillId="0" borderId="19" xfId="0" applyNumberFormat="1" applyFont="1" applyFill="1" applyBorder="1" applyAlignment="1">
      <alignment horizontal="right" vertical="center"/>
    </xf>
    <xf numFmtId="4" fontId="13" fillId="40" borderId="19" xfId="0" applyNumberFormat="1" applyFont="1" applyFill="1" applyBorder="1" applyAlignment="1">
      <alignment horizontal="right" vertical="center"/>
    </xf>
    <xf numFmtId="4" fontId="5" fillId="40" borderId="19" xfId="0" applyNumberFormat="1" applyFont="1" applyFill="1" applyBorder="1" applyAlignment="1">
      <alignment horizontal="right" vertical="center" wrapText="1"/>
    </xf>
    <xf numFmtId="4" fontId="13" fillId="40" borderId="19" xfId="0" applyNumberFormat="1" applyFont="1" applyFill="1" applyBorder="1" applyAlignment="1">
      <alignment horizontal="right" vertical="center" wrapText="1"/>
    </xf>
    <xf numFmtId="4" fontId="7" fillId="0" borderId="0" xfId="0" applyNumberFormat="1" applyFont="1" applyBorder="1" applyAlignment="1">
      <alignment horizontal="right" vertical="center"/>
    </xf>
    <xf numFmtId="164" fontId="7" fillId="0" borderId="0" xfId="0" applyNumberFormat="1" applyFont="1" applyAlignment="1">
      <alignment horizontal="right" vertical="center"/>
    </xf>
    <xf numFmtId="164" fontId="7" fillId="0" borderId="0" xfId="0" applyNumberFormat="1" applyFont="1" applyFill="1" applyAlignment="1">
      <alignment horizontal="right" vertical="center"/>
    </xf>
    <xf numFmtId="0" fontId="5" fillId="0" borderId="19" xfId="0" applyFont="1" applyBorder="1" applyAlignment="1">
      <alignment horizontal="left" vertical="center" wrapText="1" indent="2"/>
    </xf>
    <xf numFmtId="0" fontId="5" fillId="0" borderId="19" xfId="0" applyFont="1" applyFill="1" applyBorder="1" applyAlignment="1">
      <alignment horizontal="left" vertical="center" wrapText="1" indent="1"/>
    </xf>
    <xf numFmtId="164" fontId="13" fillId="40" borderId="19" xfId="0" applyNumberFormat="1" applyFont="1" applyFill="1" applyBorder="1" applyAlignment="1">
      <alignment horizontal="right" vertical="center"/>
    </xf>
    <xf numFmtId="164" fontId="5" fillId="0" borderId="19" xfId="0" applyNumberFormat="1" applyFont="1" applyFill="1" applyBorder="1" applyAlignment="1">
      <alignment horizontal="right" vertical="center"/>
    </xf>
    <xf numFmtId="164" fontId="12" fillId="40" borderId="19" xfId="0" applyNumberFormat="1" applyFont="1" applyFill="1" applyBorder="1" applyAlignment="1">
      <alignment horizontal="right" vertical="center"/>
    </xf>
    <xf numFmtId="164" fontId="7" fillId="0" borderId="19" xfId="0" applyNumberFormat="1" applyFont="1" applyBorder="1" applyAlignment="1">
      <alignment horizontal="right" vertical="center"/>
    </xf>
    <xf numFmtId="0" fontId="7" fillId="0" borderId="0" xfId="0" applyFont="1" applyAlignment="1">
      <alignment/>
    </xf>
    <xf numFmtId="0" fontId="7" fillId="2" borderId="19" xfId="0" applyNumberFormat="1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/>
    </xf>
    <xf numFmtId="0" fontId="11" fillId="2" borderId="19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 wrapText="1"/>
    </xf>
    <xf numFmtId="164" fontId="12" fillId="40" borderId="19" xfId="71" applyNumberFormat="1" applyFont="1" applyFill="1" applyBorder="1" applyAlignment="1">
      <alignment horizontal="right" vertical="center"/>
    </xf>
    <xf numFmtId="4" fontId="12" fillId="40" borderId="20" xfId="0" applyNumberFormat="1" applyFont="1" applyFill="1" applyBorder="1" applyAlignment="1">
      <alignment horizontal="right" vertical="center"/>
    </xf>
    <xf numFmtId="4" fontId="12" fillId="40" borderId="21" xfId="0" applyNumberFormat="1" applyFont="1" applyFill="1" applyBorder="1" applyAlignment="1">
      <alignment horizontal="right" vertical="center"/>
    </xf>
    <xf numFmtId="4" fontId="7" fillId="0" borderId="20" xfId="0" applyNumberFormat="1" applyFont="1" applyBorder="1" applyAlignment="1">
      <alignment horizontal="right" vertical="center"/>
    </xf>
    <xf numFmtId="4" fontId="7" fillId="0" borderId="21" xfId="0" applyNumberFormat="1" applyFont="1" applyBorder="1" applyAlignment="1">
      <alignment horizontal="right" vertical="center"/>
    </xf>
    <xf numFmtId="4" fontId="7" fillId="40" borderId="21" xfId="0" applyNumberFormat="1" applyFont="1" applyFill="1" applyBorder="1" applyAlignment="1">
      <alignment horizontal="right" vertical="center"/>
    </xf>
    <xf numFmtId="0" fontId="55" fillId="0" borderId="19" xfId="89" applyFont="1" applyBorder="1" applyAlignment="1">
      <alignment horizontal="left" vertical="center" wrapText="1"/>
      <protection/>
    </xf>
    <xf numFmtId="4" fontId="7" fillId="40" borderId="20" xfId="0" applyNumberFormat="1" applyFont="1" applyFill="1" applyBorder="1" applyAlignment="1">
      <alignment horizontal="right" vertical="center"/>
    </xf>
    <xf numFmtId="4" fontId="7" fillId="50" borderId="21" xfId="0" applyNumberFormat="1" applyFont="1" applyFill="1" applyBorder="1" applyAlignment="1">
      <alignment horizontal="right" vertical="center"/>
    </xf>
    <xf numFmtId="4" fontId="7" fillId="50" borderId="20" xfId="0" applyNumberFormat="1" applyFont="1" applyFill="1" applyBorder="1" applyAlignment="1">
      <alignment horizontal="right" vertical="center"/>
    </xf>
    <xf numFmtId="4" fontId="12" fillId="51" borderId="20" xfId="0" applyNumberFormat="1" applyFont="1" applyFill="1" applyBorder="1" applyAlignment="1">
      <alignment horizontal="right" vertical="center"/>
    </xf>
    <xf numFmtId="4" fontId="12" fillId="51" borderId="21" xfId="0" applyNumberFormat="1" applyFont="1" applyFill="1" applyBorder="1" applyAlignment="1">
      <alignment horizontal="right" vertical="center"/>
    </xf>
    <xf numFmtId="0" fontId="55" fillId="51" borderId="19" xfId="89" applyFont="1" applyFill="1" applyBorder="1" applyAlignment="1">
      <alignment horizontal="left" vertical="center" wrapText="1"/>
      <protection/>
    </xf>
    <xf numFmtId="164" fontId="12" fillId="50" borderId="19" xfId="71" applyNumberFormat="1" applyFont="1" applyFill="1" applyBorder="1" applyAlignment="1">
      <alignment horizontal="right" vertical="center"/>
    </xf>
    <xf numFmtId="164" fontId="12" fillId="50" borderId="19" xfId="0" applyNumberFormat="1" applyFont="1" applyFill="1" applyBorder="1" applyAlignment="1">
      <alignment horizontal="right" vertical="center"/>
    </xf>
    <xf numFmtId="164" fontId="12" fillId="51" borderId="19" xfId="0" applyNumberFormat="1" applyFont="1" applyFill="1" applyBorder="1" applyAlignment="1">
      <alignment horizontal="right" vertical="center"/>
    </xf>
    <xf numFmtId="0" fontId="13" fillId="40" borderId="19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top" wrapText="1"/>
    </xf>
    <xf numFmtId="3" fontId="5" fillId="0" borderId="19" xfId="0" applyNumberFormat="1" applyFont="1" applyBorder="1" applyAlignment="1">
      <alignment horizontal="right" vertical="center"/>
    </xf>
    <xf numFmtId="164" fontId="7" fillId="0" borderId="19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13" fillId="0" borderId="0" xfId="0" applyFont="1" applyBorder="1" applyAlignment="1">
      <alignment horizontal="left" vertical="center"/>
    </xf>
    <xf numFmtId="3" fontId="13" fillId="0" borderId="0" xfId="0" applyNumberFormat="1" applyFont="1" applyBorder="1" applyAlignment="1">
      <alignment horizontal="right" vertical="center"/>
    </xf>
    <xf numFmtId="0" fontId="13" fillId="0" borderId="22" xfId="0" applyFont="1" applyBorder="1" applyAlignment="1">
      <alignment horizontal="center" vertical="center"/>
    </xf>
    <xf numFmtId="0" fontId="7" fillId="2" borderId="20" xfId="0" applyFont="1" applyFill="1" applyBorder="1" applyAlignment="1">
      <alignment/>
    </xf>
    <xf numFmtId="0" fontId="7" fillId="2" borderId="21" xfId="0" applyFont="1" applyFill="1" applyBorder="1" applyAlignment="1">
      <alignment/>
    </xf>
    <xf numFmtId="0" fontId="12" fillId="40" borderId="19" xfId="0" applyFont="1" applyFill="1" applyBorder="1" applyAlignment="1">
      <alignment horizontal="left" vertical="center" wrapText="1"/>
    </xf>
    <xf numFmtId="0" fontId="12" fillId="2" borderId="19" xfId="0" applyFont="1" applyFill="1" applyBorder="1" applyAlignment="1">
      <alignment horizontal="center" vertical="center" wrapText="1"/>
    </xf>
    <xf numFmtId="0" fontId="13" fillId="51" borderId="19" xfId="0" applyFont="1" applyFill="1" applyBorder="1" applyAlignment="1">
      <alignment horizontal="left" vertical="center" wrapText="1"/>
    </xf>
    <xf numFmtId="4" fontId="13" fillId="51" borderId="19" xfId="0" applyNumberFormat="1" applyFont="1" applyFill="1" applyBorder="1" applyAlignment="1">
      <alignment horizontal="right" vertical="center"/>
    </xf>
    <xf numFmtId="164" fontId="13" fillId="51" borderId="19" xfId="0" applyNumberFormat="1" applyFont="1" applyFill="1" applyBorder="1" applyAlignment="1">
      <alignment horizontal="right" vertical="center"/>
    </xf>
    <xf numFmtId="4" fontId="7" fillId="0" borderId="19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Border="1" applyAlignment="1">
      <alignment horizontal="right" vertical="center"/>
    </xf>
    <xf numFmtId="4" fontId="5" fillId="51" borderId="19" xfId="0" applyNumberFormat="1" applyFont="1" applyFill="1" applyBorder="1" applyAlignment="1">
      <alignment horizontal="right" vertical="center"/>
    </xf>
    <xf numFmtId="164" fontId="5" fillId="51" borderId="19" xfId="0" applyNumberFormat="1" applyFont="1" applyFill="1" applyBorder="1" applyAlignment="1">
      <alignment horizontal="right" vertical="center"/>
    </xf>
    <xf numFmtId="0" fontId="5" fillId="0" borderId="19" xfId="0" applyFont="1" applyFill="1" applyBorder="1" applyAlignment="1">
      <alignment horizontal="left" vertical="center" wrapText="1" indent="2"/>
    </xf>
    <xf numFmtId="0" fontId="13" fillId="51" borderId="19" xfId="0" applyFont="1" applyFill="1" applyBorder="1" applyAlignment="1">
      <alignment horizontal="left" vertical="center" wrapText="1" indent="1"/>
    </xf>
    <xf numFmtId="4" fontId="12" fillId="51" borderId="19" xfId="0" applyNumberFormat="1" applyFont="1" applyFill="1" applyBorder="1" applyAlignment="1">
      <alignment horizontal="right" vertical="center"/>
    </xf>
    <xf numFmtId="4" fontId="5" fillId="0" borderId="19" xfId="0" applyNumberFormat="1" applyFont="1" applyFill="1" applyBorder="1" applyAlignment="1">
      <alignment horizontal="right" vertical="center" wrapText="1"/>
    </xf>
    <xf numFmtId="164" fontId="7" fillId="0" borderId="19" xfId="0" applyNumberFormat="1" applyFont="1" applyFill="1" applyBorder="1" applyAlignment="1">
      <alignment horizontal="right" vertical="center"/>
    </xf>
    <xf numFmtId="0" fontId="7" fillId="0" borderId="19" xfId="0" applyFont="1" applyFill="1" applyBorder="1" applyAlignment="1">
      <alignment/>
    </xf>
    <xf numFmtId="0" fontId="13" fillId="51" borderId="23" xfId="0" applyFont="1" applyFill="1" applyBorder="1" applyAlignment="1">
      <alignment horizontal="left" vertical="top" wrapText="1"/>
    </xf>
    <xf numFmtId="0" fontId="7" fillId="0" borderId="19" xfId="0" applyFont="1" applyFill="1" applyBorder="1" applyAlignment="1">
      <alignment horizontal="left" vertical="center" wrapText="1" indent="1"/>
    </xf>
    <xf numFmtId="4" fontId="7" fillId="0" borderId="20" xfId="0" applyNumberFormat="1" applyFont="1" applyFill="1" applyBorder="1" applyAlignment="1">
      <alignment horizontal="right" vertical="center"/>
    </xf>
    <xf numFmtId="4" fontId="7" fillId="0" borderId="21" xfId="0" applyNumberFormat="1" applyFont="1" applyFill="1" applyBorder="1" applyAlignment="1">
      <alignment horizontal="right" vertical="center"/>
    </xf>
    <xf numFmtId="164" fontId="12" fillId="0" borderId="19" xfId="71" applyNumberFormat="1" applyFont="1" applyFill="1" applyBorder="1" applyAlignment="1">
      <alignment horizontal="right" vertical="center"/>
    </xf>
    <xf numFmtId="164" fontId="12" fillId="0" borderId="19" xfId="0" applyNumberFormat="1" applyFont="1" applyFill="1" applyBorder="1" applyAlignment="1">
      <alignment horizontal="right" vertical="center"/>
    </xf>
    <xf numFmtId="0" fontId="7" fillId="0" borderId="19" xfId="0" applyFont="1" applyFill="1" applyBorder="1" applyAlignment="1">
      <alignment horizontal="left" vertical="center" wrapText="1"/>
    </xf>
    <xf numFmtId="0" fontId="55" fillId="0" borderId="19" xfId="89" applyFont="1" applyFill="1" applyBorder="1" applyAlignment="1">
      <alignment horizontal="left" vertical="center" wrapText="1"/>
      <protection/>
    </xf>
    <xf numFmtId="0" fontId="5" fillId="2" borderId="19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5" fillId="2" borderId="19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/>
    </xf>
    <xf numFmtId="4" fontId="5" fillId="0" borderId="19" xfId="0" applyNumberFormat="1" applyFont="1" applyBorder="1" applyAlignment="1">
      <alignment horizontal="right" vertical="center"/>
    </xf>
    <xf numFmtId="4" fontId="5" fillId="29" borderId="19" xfId="0" applyNumberFormat="1" applyFont="1" applyFill="1" applyBorder="1" applyAlignment="1">
      <alignment horizontal="right" vertical="center"/>
    </xf>
    <xf numFmtId="4" fontId="5" fillId="40" borderId="19" xfId="0" applyNumberFormat="1" applyFont="1" applyFill="1" applyBorder="1" applyAlignment="1">
      <alignment horizontal="right" vertical="center" wrapText="1"/>
    </xf>
    <xf numFmtId="4" fontId="12" fillId="51" borderId="19" xfId="0" applyNumberFormat="1" applyFont="1" applyFill="1" applyBorder="1" applyAlignment="1">
      <alignment horizontal="right" vertical="center"/>
    </xf>
    <xf numFmtId="4" fontId="5" fillId="29" borderId="19" xfId="0" applyNumberFormat="1" applyFont="1" applyFill="1" applyBorder="1" applyAlignment="1">
      <alignment horizontal="right" vertical="center" wrapText="1"/>
    </xf>
    <xf numFmtId="0" fontId="33" fillId="0" borderId="0" xfId="0" applyFont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4" fontId="5" fillId="0" borderId="19" xfId="0" applyNumberFormat="1" applyFont="1" applyFill="1" applyBorder="1" applyAlignment="1">
      <alignment horizontal="right" vertical="center" wrapText="1"/>
    </xf>
    <xf numFmtId="4" fontId="5" fillId="0" borderId="19" xfId="0" applyNumberFormat="1" applyFont="1" applyFill="1" applyBorder="1" applyAlignment="1">
      <alignment horizontal="right" vertical="center"/>
    </xf>
    <xf numFmtId="4" fontId="5" fillId="0" borderId="20" xfId="0" applyNumberFormat="1" applyFont="1" applyFill="1" applyBorder="1" applyAlignment="1">
      <alignment horizontal="right" vertical="center" wrapText="1"/>
    </xf>
    <xf numFmtId="0" fontId="32" fillId="0" borderId="21" xfId="0" applyFont="1" applyFill="1" applyBorder="1" applyAlignment="1">
      <alignment horizontal="right" vertical="center" wrapText="1"/>
    </xf>
    <xf numFmtId="4" fontId="13" fillId="40" borderId="19" xfId="0" applyNumberFormat="1" applyFont="1" applyFill="1" applyBorder="1" applyAlignment="1">
      <alignment horizontal="right" vertical="center" wrapText="1"/>
    </xf>
    <xf numFmtId="0" fontId="7" fillId="2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64" fontId="7" fillId="0" borderId="20" xfId="0" applyNumberFormat="1" applyFont="1" applyBorder="1" applyAlignment="1">
      <alignment vertical="center" wrapText="1"/>
    </xf>
    <xf numFmtId="0" fontId="32" fillId="0" borderId="21" xfId="0" applyFont="1" applyBorder="1" applyAlignment="1">
      <alignment vertical="center" wrapText="1"/>
    </xf>
    <xf numFmtId="4" fontId="5" fillId="40" borderId="20" xfId="0" applyNumberFormat="1" applyFont="1" applyFill="1" applyBorder="1" applyAlignment="1">
      <alignment horizontal="right" vertical="center" wrapText="1"/>
    </xf>
    <xf numFmtId="0" fontId="32" fillId="0" borderId="21" xfId="0" applyFont="1" applyBorder="1" applyAlignment="1">
      <alignment horizontal="right" vertical="center" wrapText="1"/>
    </xf>
    <xf numFmtId="4" fontId="7" fillId="0" borderId="20" xfId="0" applyNumberFormat="1" applyFont="1" applyFill="1" applyBorder="1" applyAlignment="1">
      <alignment vertical="center" wrapText="1"/>
    </xf>
    <xf numFmtId="4" fontId="7" fillId="0" borderId="21" xfId="0" applyNumberFormat="1" applyFont="1" applyFill="1" applyBorder="1" applyAlignment="1">
      <alignment vertical="center" wrapText="1"/>
    </xf>
    <xf numFmtId="4" fontId="7" fillId="40" borderId="20" xfId="0" applyNumberFormat="1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Dziesiętny 2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Input" xfId="79"/>
    <cellStyle name="Komórka połączona" xfId="80"/>
    <cellStyle name="Komórka zaznaczona" xfId="81"/>
    <cellStyle name="Linked Cell" xfId="82"/>
    <cellStyle name="Nagłówek 1" xfId="83"/>
    <cellStyle name="Nagłówek 2" xfId="84"/>
    <cellStyle name="Nagłówek 3" xfId="85"/>
    <cellStyle name="Nagłówek 4" xfId="86"/>
    <cellStyle name="Neutral" xfId="87"/>
    <cellStyle name="Neutralny" xfId="88"/>
    <cellStyle name="Normalny 2" xfId="89"/>
    <cellStyle name="Note" xfId="90"/>
    <cellStyle name="Obliczenia" xfId="91"/>
    <cellStyle name="Followed Hyperlink" xfId="92"/>
    <cellStyle name="Output" xfId="93"/>
    <cellStyle name="Percent" xfId="94"/>
    <cellStyle name="Suma" xfId="95"/>
    <cellStyle name="Tekst objaśnienia" xfId="96"/>
    <cellStyle name="Tekst ostrzeżenia" xfId="97"/>
    <cellStyle name="Title" xfId="98"/>
    <cellStyle name="Total" xfId="99"/>
    <cellStyle name="Tytuł" xfId="100"/>
    <cellStyle name="Uwaga" xfId="101"/>
    <cellStyle name="Currency" xfId="102"/>
    <cellStyle name="Currency [0]" xfId="103"/>
    <cellStyle name="Warning Text" xfId="104"/>
    <cellStyle name="Zły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5F5F5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CDCD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AA101"/>
  <sheetViews>
    <sheetView tabSelected="1" workbookViewId="0" topLeftCell="B1">
      <selection activeCell="B5" sqref="B5"/>
    </sheetView>
  </sheetViews>
  <sheetFormatPr defaultColWidth="9.00390625" defaultRowHeight="12.75"/>
  <cols>
    <col min="1" max="1" width="5.75390625" style="1" hidden="1" customWidth="1"/>
    <col min="2" max="2" width="23.875" style="1" customWidth="1"/>
    <col min="3" max="5" width="14.625" style="1" customWidth="1"/>
    <col min="6" max="6" width="13.875" style="1" customWidth="1"/>
    <col min="7" max="10" width="13.00390625" style="1" customWidth="1"/>
    <col min="11" max="11" width="7.375" style="1" customWidth="1"/>
    <col min="12" max="12" width="7.25390625" style="1" customWidth="1"/>
    <col min="13" max="13" width="8.125" style="1" hidden="1" customWidth="1"/>
    <col min="14" max="16384" width="9.125" style="1" customWidth="1"/>
  </cols>
  <sheetData>
    <row r="1" spans="2:13" ht="18" customHeight="1">
      <c r="B1" s="107" t="s">
        <v>96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</row>
    <row r="2" spans="2:8" ht="60" customHeight="1">
      <c r="B2" s="99" t="s">
        <v>0</v>
      </c>
      <c r="C2" s="13" t="s">
        <v>28</v>
      </c>
      <c r="D2" s="13" t="s">
        <v>29</v>
      </c>
      <c r="E2" s="13" t="s">
        <v>30</v>
      </c>
      <c r="F2" s="14" t="s">
        <v>2</v>
      </c>
      <c r="G2" s="13" t="s">
        <v>18</v>
      </c>
      <c r="H2" s="13" t="s">
        <v>3</v>
      </c>
    </row>
    <row r="3" spans="2:8" ht="9.75" customHeight="1">
      <c r="B3" s="99"/>
      <c r="C3" s="92" t="s">
        <v>59</v>
      </c>
      <c r="D3" s="92"/>
      <c r="E3" s="92"/>
      <c r="F3" s="92" t="s">
        <v>4</v>
      </c>
      <c r="G3" s="92"/>
      <c r="H3" s="92"/>
    </row>
    <row r="4" spans="2:8" ht="9" customHeight="1">
      <c r="B4" s="14">
        <v>1</v>
      </c>
      <c r="C4" s="16">
        <v>2</v>
      </c>
      <c r="D4" s="16">
        <v>3</v>
      </c>
      <c r="E4" s="16">
        <v>4</v>
      </c>
      <c r="F4" s="16">
        <v>5</v>
      </c>
      <c r="G4" s="16">
        <v>6</v>
      </c>
      <c r="H4" s="16">
        <v>7</v>
      </c>
    </row>
    <row r="5" spans="2:13" ht="12.75">
      <c r="B5" s="71" t="s">
        <v>5</v>
      </c>
      <c r="C5" s="72">
        <f>19591073558.62</f>
        <v>19591073558.62</v>
      </c>
      <c r="D5" s="72">
        <f>4540298328.15</f>
        <v>4540298328.15</v>
      </c>
      <c r="E5" s="72">
        <f>4013477017.75</f>
        <v>4013477017.75</v>
      </c>
      <c r="F5" s="73">
        <f aca="true" t="shared" si="0" ref="F5:F33">IF($D$5=0,"",100*$D5/$D$5)</f>
        <v>100</v>
      </c>
      <c r="G5" s="73">
        <f>IF(C5=0,"",100*D5/C5)</f>
        <v>23.17534215041669</v>
      </c>
      <c r="H5" s="73"/>
      <c r="I5" s="34"/>
      <c r="J5" s="34"/>
      <c r="K5" s="34"/>
      <c r="L5" s="34"/>
      <c r="M5" s="34"/>
    </row>
    <row r="6" spans="2:13" ht="25.5" customHeight="1">
      <c r="B6" s="55" t="s">
        <v>44</v>
      </c>
      <c r="C6" s="22">
        <f>C5-C11-C29</f>
        <v>8941868183.749998</v>
      </c>
      <c r="D6" s="22">
        <f>D5-D11-D29</f>
        <v>2506541710.6099997</v>
      </c>
      <c r="E6" s="22">
        <f>E5-E11-E29</f>
        <v>2135049681.3600001</v>
      </c>
      <c r="F6" s="30">
        <f t="shared" si="0"/>
        <v>55.20654215757934</v>
      </c>
      <c r="G6" s="30">
        <f aca="true" t="shared" si="1" ref="G6:G36">IF(C6=0,"",100*D6/C6)</f>
        <v>28.031521591484903</v>
      </c>
      <c r="H6" s="30">
        <f>IF($D$6=0,"",100*$D6/$D$6)</f>
        <v>100</v>
      </c>
      <c r="I6" s="34"/>
      <c r="J6" s="34"/>
      <c r="K6" s="34"/>
      <c r="L6" s="34"/>
      <c r="M6" s="34"/>
    </row>
    <row r="7" spans="2:13" ht="22.5" customHeight="1">
      <c r="B7" s="17" t="s">
        <v>26</v>
      </c>
      <c r="C7" s="20">
        <f>6202506790</f>
        <v>6202506790</v>
      </c>
      <c r="D7" s="20">
        <f>1867553968.52</f>
        <v>1867553968.52</v>
      </c>
      <c r="E7" s="20">
        <f>1540457055.09</f>
        <v>1540457055.09</v>
      </c>
      <c r="F7" s="31">
        <f t="shared" si="0"/>
        <v>41.13284708498346</v>
      </c>
      <c r="G7" s="31">
        <f t="shared" si="1"/>
        <v>30.10966423335427</v>
      </c>
      <c r="H7" s="31">
        <f>IF($D$6=0,"",100*$D7/$D$6)</f>
        <v>74.50719693252208</v>
      </c>
      <c r="I7" s="34"/>
      <c r="J7" s="34"/>
      <c r="K7" s="34"/>
      <c r="L7" s="34"/>
      <c r="M7" s="34"/>
    </row>
    <row r="8" spans="2:13" ht="22.5" customHeight="1">
      <c r="B8" s="29" t="s">
        <v>19</v>
      </c>
      <c r="C8" s="21">
        <f>1758298657</f>
        <v>1758298657</v>
      </c>
      <c r="D8" s="21">
        <f>381487814</f>
        <v>381487814</v>
      </c>
      <c r="E8" s="21">
        <f>337107792</f>
        <v>337107792</v>
      </c>
      <c r="F8" s="31">
        <f t="shared" si="0"/>
        <v>8.402263164840138</v>
      </c>
      <c r="G8" s="31">
        <f t="shared" si="1"/>
        <v>21.69641729982849</v>
      </c>
      <c r="H8" s="31">
        <f>IF($D$6=0,"",100*$D8/$D$6)</f>
        <v>15.219687443667553</v>
      </c>
      <c r="I8" s="34"/>
      <c r="J8" s="34"/>
      <c r="K8" s="34"/>
      <c r="L8" s="34"/>
      <c r="M8" s="34"/>
    </row>
    <row r="9" spans="2:13" ht="12.75">
      <c r="B9" s="29" t="s">
        <v>20</v>
      </c>
      <c r="C9" s="21">
        <f>224376264.49</f>
        <v>224376264.49</v>
      </c>
      <c r="D9" s="74">
        <f>38095185.76</f>
        <v>38095185.76</v>
      </c>
      <c r="E9" s="21">
        <f>38095185.76</f>
        <v>38095185.76</v>
      </c>
      <c r="F9" s="31">
        <f t="shared" si="0"/>
        <v>0.8390458733473215</v>
      </c>
      <c r="G9" s="31">
        <f t="shared" si="1"/>
        <v>16.978260087620733</v>
      </c>
      <c r="H9" s="31">
        <f>IF($D$6=0,"",100*$D9/$D$6)</f>
        <v>1.5198305138408823</v>
      </c>
      <c r="I9" s="34"/>
      <c r="J9" s="34"/>
      <c r="K9" s="34"/>
      <c r="L9" s="34"/>
      <c r="M9" s="34"/>
    </row>
    <row r="10" spans="2:13" ht="12.75">
      <c r="B10" s="29" t="s">
        <v>21</v>
      </c>
      <c r="C10" s="21">
        <f>C6-C7-C8-C9</f>
        <v>756686472.2599981</v>
      </c>
      <c r="D10" s="21">
        <f>D6-D7-D8-D9</f>
        <v>219404742.3299997</v>
      </c>
      <c r="E10" s="21">
        <f>E6-E7-E8-E9</f>
        <v>219389648.51000023</v>
      </c>
      <c r="F10" s="31">
        <f t="shared" si="0"/>
        <v>4.832386034408423</v>
      </c>
      <c r="G10" s="31">
        <f t="shared" si="1"/>
        <v>28.995462503076446</v>
      </c>
      <c r="H10" s="31">
        <f>IF($D$6=0,"",100*$D10/$D$6)</f>
        <v>8.753285109969491</v>
      </c>
      <c r="I10" s="34"/>
      <c r="J10" s="34"/>
      <c r="K10" s="34"/>
      <c r="L10" s="34"/>
      <c r="M10" s="34"/>
    </row>
    <row r="11" spans="2:13" ht="12.75">
      <c r="B11" s="71" t="s">
        <v>81</v>
      </c>
      <c r="C11" s="72">
        <f>C12+C25+C27</f>
        <v>8196965213.870001</v>
      </c>
      <c r="D11" s="72">
        <f>D12+D25+D27</f>
        <v>1339688065.54</v>
      </c>
      <c r="E11" s="72">
        <f>E12+E25+E27</f>
        <v>1229491336.3899999</v>
      </c>
      <c r="F11" s="73">
        <f t="shared" si="0"/>
        <v>29.506608788983968</v>
      </c>
      <c r="G11" s="73">
        <f t="shared" si="1"/>
        <v>16.34370807470462</v>
      </c>
      <c r="H11" s="75"/>
      <c r="I11" s="34"/>
      <c r="J11" s="34"/>
      <c r="K11" s="34"/>
      <c r="L11" s="34"/>
      <c r="M11" s="34"/>
    </row>
    <row r="12" spans="2:13" ht="12.75">
      <c r="B12" s="71" t="s">
        <v>82</v>
      </c>
      <c r="C12" s="72">
        <f>C13+C15+C17+C19+C21+C23</f>
        <v>1429134804.81</v>
      </c>
      <c r="D12" s="72">
        <f>D13+D15+D17+D19+D21+D23</f>
        <v>262216921.35</v>
      </c>
      <c r="E12" s="72">
        <f>E13+E15+E17+E19+E21+E23</f>
        <v>261398286.74999997</v>
      </c>
      <c r="F12" s="73">
        <f t="shared" si="0"/>
        <v>5.775323610879189</v>
      </c>
      <c r="G12" s="73">
        <f t="shared" si="1"/>
        <v>18.347948735659063</v>
      </c>
      <c r="H12" s="26"/>
      <c r="I12" s="34"/>
      <c r="J12" s="34"/>
      <c r="K12" s="34"/>
      <c r="L12" s="34"/>
      <c r="M12" s="34"/>
    </row>
    <row r="13" spans="2:13" ht="22.5" customHeight="1">
      <c r="B13" s="29" t="s">
        <v>9</v>
      </c>
      <c r="C13" s="21">
        <f>710539132</f>
        <v>710539132</v>
      </c>
      <c r="D13" s="21">
        <f>191243075.11</f>
        <v>191243075.11</v>
      </c>
      <c r="E13" s="21">
        <f>190424441.51</f>
        <v>190424441.51</v>
      </c>
      <c r="F13" s="31">
        <f t="shared" si="0"/>
        <v>4.212125752272414</v>
      </c>
      <c r="G13" s="31">
        <f t="shared" si="1"/>
        <v>26.915206565991078</v>
      </c>
      <c r="H13" s="26"/>
      <c r="I13" s="34"/>
      <c r="J13" s="34"/>
      <c r="K13" s="34"/>
      <c r="L13" s="34"/>
      <c r="M13" s="34"/>
    </row>
    <row r="14" spans="2:13" ht="11.25" customHeight="1">
      <c r="B14" s="78" t="s">
        <v>6</v>
      </c>
      <c r="C14" s="21">
        <f>50000</f>
        <v>50000</v>
      </c>
      <c r="D14" s="21">
        <f>0</f>
        <v>0</v>
      </c>
      <c r="E14" s="21">
        <f>0</f>
        <v>0</v>
      </c>
      <c r="F14" s="31">
        <f t="shared" si="0"/>
        <v>0</v>
      </c>
      <c r="G14" s="31">
        <f t="shared" si="1"/>
        <v>0</v>
      </c>
      <c r="H14" s="26"/>
      <c r="I14" s="34"/>
      <c r="J14" s="34"/>
      <c r="K14" s="34"/>
      <c r="L14" s="34"/>
      <c r="M14" s="34"/>
    </row>
    <row r="15" spans="2:13" ht="11.25" customHeight="1">
      <c r="B15" s="29" t="s">
        <v>7</v>
      </c>
      <c r="C15" s="21">
        <f>341396276</f>
        <v>341396276</v>
      </c>
      <c r="D15" s="21">
        <f>6384103.72</f>
        <v>6384103.72</v>
      </c>
      <c r="E15" s="21">
        <f>6384103.72</f>
        <v>6384103.72</v>
      </c>
      <c r="F15" s="31">
        <f t="shared" si="0"/>
        <v>0.1406097850535139</v>
      </c>
      <c r="G15" s="31">
        <f t="shared" si="1"/>
        <v>1.8699980546946564</v>
      </c>
      <c r="H15" s="26"/>
      <c r="I15" s="34"/>
      <c r="J15" s="34"/>
      <c r="K15" s="34"/>
      <c r="L15" s="34"/>
      <c r="M15" s="34"/>
    </row>
    <row r="16" spans="2:13" ht="10.5" customHeight="1">
      <c r="B16" s="78" t="s">
        <v>6</v>
      </c>
      <c r="C16" s="21">
        <f>53580943</f>
        <v>53580943</v>
      </c>
      <c r="D16" s="21">
        <f>135000</f>
        <v>135000</v>
      </c>
      <c r="E16" s="21">
        <f>135000</f>
        <v>135000</v>
      </c>
      <c r="F16" s="31">
        <f t="shared" si="0"/>
        <v>0.0029733728984942583</v>
      </c>
      <c r="G16" s="31">
        <f t="shared" si="1"/>
        <v>0.25195525207535074</v>
      </c>
      <c r="H16" s="26"/>
      <c r="I16" s="34"/>
      <c r="J16" s="34"/>
      <c r="K16" s="34"/>
      <c r="L16" s="34"/>
      <c r="M16" s="34"/>
    </row>
    <row r="17" spans="2:13" ht="35.25" customHeight="1">
      <c r="B17" s="29" t="s">
        <v>10</v>
      </c>
      <c r="C17" s="21">
        <f>91397954</f>
        <v>91397954</v>
      </c>
      <c r="D17" s="21">
        <f>31954</f>
        <v>31954</v>
      </c>
      <c r="E17" s="21">
        <f>31954</f>
        <v>31954</v>
      </c>
      <c r="F17" s="31">
        <f t="shared" si="0"/>
        <v>0.0007037863525813743</v>
      </c>
      <c r="G17" s="31">
        <f t="shared" si="1"/>
        <v>0.034961395306507624</v>
      </c>
      <c r="H17" s="26"/>
      <c r="I17" s="34"/>
      <c r="J17" s="34"/>
      <c r="K17" s="34"/>
      <c r="L17" s="34"/>
      <c r="M17" s="34"/>
    </row>
    <row r="18" spans="2:13" ht="9.75" customHeight="1">
      <c r="B18" s="78" t="s">
        <v>6</v>
      </c>
      <c r="C18" s="21">
        <f>41136840</f>
        <v>41136840</v>
      </c>
      <c r="D18" s="21">
        <f>0</f>
        <v>0</v>
      </c>
      <c r="E18" s="21">
        <f>0</f>
        <v>0</v>
      </c>
      <c r="F18" s="31">
        <f t="shared" si="0"/>
        <v>0</v>
      </c>
      <c r="G18" s="31">
        <f t="shared" si="1"/>
        <v>0</v>
      </c>
      <c r="H18" s="26"/>
      <c r="I18" s="34"/>
      <c r="J18" s="34"/>
      <c r="K18" s="34"/>
      <c r="L18" s="34"/>
      <c r="M18" s="34"/>
    </row>
    <row r="19" spans="2:13" ht="33.75" customHeight="1">
      <c r="B19" s="29" t="s">
        <v>11</v>
      </c>
      <c r="C19" s="21">
        <f>72110719.46</f>
        <v>72110719.46</v>
      </c>
      <c r="D19" s="21">
        <f>20772717.61</f>
        <v>20772717.61</v>
      </c>
      <c r="E19" s="21">
        <f>20772717.61</f>
        <v>20772717.61</v>
      </c>
      <c r="F19" s="31">
        <f t="shared" si="0"/>
        <v>0.45751878199739576</v>
      </c>
      <c r="G19" s="31">
        <f t="shared" si="1"/>
        <v>28.806698595654257</v>
      </c>
      <c r="H19" s="26"/>
      <c r="I19" s="34"/>
      <c r="J19" s="34"/>
      <c r="K19" s="34"/>
      <c r="L19" s="34"/>
      <c r="M19" s="34"/>
    </row>
    <row r="20" spans="2:13" ht="11.25" customHeight="1">
      <c r="B20" s="78" t="s">
        <v>6</v>
      </c>
      <c r="C20" s="21">
        <f>26403734.46</f>
        <v>26403734.46</v>
      </c>
      <c r="D20" s="21">
        <f>9603092.22</f>
        <v>9603092.22</v>
      </c>
      <c r="E20" s="21">
        <f>9603092.22</f>
        <v>9603092.22</v>
      </c>
      <c r="F20" s="31">
        <f t="shared" si="0"/>
        <v>0.21150795665695604</v>
      </c>
      <c r="G20" s="31">
        <f t="shared" si="1"/>
        <v>36.370204504775955</v>
      </c>
      <c r="H20" s="26"/>
      <c r="I20" s="34"/>
      <c r="J20" s="34"/>
      <c r="K20" s="34"/>
      <c r="L20" s="34"/>
      <c r="M20" s="34"/>
    </row>
    <row r="21" spans="2:13" ht="45" customHeight="1">
      <c r="B21" s="29" t="s">
        <v>61</v>
      </c>
      <c r="C21" s="21">
        <f>126327701.3</f>
        <v>126327701.3</v>
      </c>
      <c r="D21" s="21">
        <f>10130721.84</f>
        <v>10130721.84</v>
      </c>
      <c r="E21" s="21">
        <f>10130721.84</f>
        <v>10130721.84</v>
      </c>
      <c r="F21" s="31">
        <f t="shared" si="0"/>
        <v>0.22312899082399917</v>
      </c>
      <c r="G21" s="31">
        <f t="shared" si="1"/>
        <v>8.01939854501255</v>
      </c>
      <c r="H21" s="26"/>
      <c r="I21" s="34"/>
      <c r="J21" s="34"/>
      <c r="K21" s="34"/>
      <c r="L21" s="34"/>
      <c r="M21" s="34"/>
    </row>
    <row r="22" spans="2:13" ht="12.75">
      <c r="B22" s="78" t="s">
        <v>6</v>
      </c>
      <c r="C22" s="21">
        <f>105477333</f>
        <v>105477333</v>
      </c>
      <c r="D22" s="21">
        <f>7125026.16</f>
        <v>7125026.16</v>
      </c>
      <c r="E22" s="21">
        <f>7125026.16</f>
        <v>7125026.16</v>
      </c>
      <c r="F22" s="31">
        <f t="shared" si="0"/>
        <v>0.15692859026078976</v>
      </c>
      <c r="G22" s="31">
        <f t="shared" si="1"/>
        <v>6.755030637720049</v>
      </c>
      <c r="H22" s="26"/>
      <c r="I22" s="34"/>
      <c r="J22" s="34"/>
      <c r="K22" s="34"/>
      <c r="L22" s="34"/>
      <c r="M22" s="34"/>
    </row>
    <row r="23" spans="2:13" ht="21.75" customHeight="1">
      <c r="B23" s="29" t="s">
        <v>8</v>
      </c>
      <c r="C23" s="21">
        <f>87363022.05</f>
        <v>87363022.05</v>
      </c>
      <c r="D23" s="21">
        <f>33654349.07</f>
        <v>33654349.07</v>
      </c>
      <c r="E23" s="21">
        <f>33654348.07</f>
        <v>33654348.07</v>
      </c>
      <c r="F23" s="31">
        <f t="shared" si="0"/>
        <v>0.7412365143792848</v>
      </c>
      <c r="G23" s="31">
        <f t="shared" si="1"/>
        <v>38.522418616355544</v>
      </c>
      <c r="H23" s="26"/>
      <c r="I23" s="34"/>
      <c r="J23" s="34"/>
      <c r="K23" s="34"/>
      <c r="L23" s="34"/>
      <c r="M23" s="34"/>
    </row>
    <row r="24" spans="2:13" ht="12.75">
      <c r="B24" s="78" t="s">
        <v>6</v>
      </c>
      <c r="C24" s="21">
        <f>4913577</f>
        <v>4913577</v>
      </c>
      <c r="D24" s="21">
        <f>3388577.95</f>
        <v>3388577.95</v>
      </c>
      <c r="E24" s="21">
        <f>3388577.95</f>
        <v>3388577.95</v>
      </c>
      <c r="F24" s="31">
        <f t="shared" si="0"/>
        <v>0.07463337659974247</v>
      </c>
      <c r="G24" s="31">
        <f t="shared" si="1"/>
        <v>68.96356666436692</v>
      </c>
      <c r="H24" s="26"/>
      <c r="I24" s="34"/>
      <c r="J24" s="34"/>
      <c r="K24" s="34"/>
      <c r="L24" s="34"/>
      <c r="M24" s="34"/>
    </row>
    <row r="25" spans="2:13" ht="13.5" customHeight="1">
      <c r="B25" s="71" t="s">
        <v>52</v>
      </c>
      <c r="C25" s="72">
        <f>1121051116.21</f>
        <v>1121051116.21</v>
      </c>
      <c r="D25" s="72">
        <f>273743623.15</f>
        <v>273743623.15</v>
      </c>
      <c r="E25" s="72">
        <f>268338155.88</f>
        <v>268338155.88</v>
      </c>
      <c r="F25" s="73">
        <f t="shared" si="0"/>
        <v>6.029199038591373</v>
      </c>
      <c r="G25" s="73">
        <f t="shared" si="1"/>
        <v>24.41847826488593</v>
      </c>
      <c r="H25" s="26"/>
      <c r="I25" s="34"/>
      <c r="J25" s="34"/>
      <c r="K25" s="34"/>
      <c r="L25" s="34"/>
      <c r="M25" s="34"/>
    </row>
    <row r="26" spans="2:13" ht="14.25" customHeight="1">
      <c r="B26" s="28" t="s">
        <v>53</v>
      </c>
      <c r="C26" s="20">
        <f>453202619</f>
        <v>453202619</v>
      </c>
      <c r="D26" s="20">
        <f>74945065.61</f>
        <v>74945065.61</v>
      </c>
      <c r="E26" s="20">
        <f>74800886</f>
        <v>74800886</v>
      </c>
      <c r="F26" s="31">
        <f t="shared" si="0"/>
        <v>1.650663903412208</v>
      </c>
      <c r="G26" s="31">
        <f t="shared" si="1"/>
        <v>16.53676798588845</v>
      </c>
      <c r="H26" s="26"/>
      <c r="I26" s="34"/>
      <c r="J26" s="34"/>
      <c r="K26" s="34"/>
      <c r="L26" s="34"/>
      <c r="M26" s="34"/>
    </row>
    <row r="27" spans="2:13" ht="14.25" customHeight="1">
      <c r="B27" s="71" t="s">
        <v>76</v>
      </c>
      <c r="C27" s="72">
        <f>5646779292.85</f>
        <v>5646779292.85</v>
      </c>
      <c r="D27" s="72">
        <f>803727521.04</f>
        <v>803727521.04</v>
      </c>
      <c r="E27" s="72">
        <f>699754893.76</f>
        <v>699754893.76</v>
      </c>
      <c r="F27" s="77">
        <f t="shared" si="0"/>
        <v>17.702086139513405</v>
      </c>
      <c r="G27" s="77">
        <f t="shared" si="1"/>
        <v>14.233379407225755</v>
      </c>
      <c r="H27" s="26"/>
      <c r="I27" s="34"/>
      <c r="J27" s="34"/>
      <c r="K27" s="34"/>
      <c r="L27" s="34"/>
      <c r="M27" s="34"/>
    </row>
    <row r="28" spans="2:13" ht="14.25" customHeight="1">
      <c r="B28" s="28" t="s">
        <v>77</v>
      </c>
      <c r="C28" s="20">
        <f>4290941345.19</f>
        <v>4290941345.19</v>
      </c>
      <c r="D28" s="20">
        <f>476533104.39</f>
        <v>476533104.39</v>
      </c>
      <c r="E28" s="20">
        <f>373401655.37</f>
        <v>373401655.37</v>
      </c>
      <c r="F28" s="31">
        <f t="shared" si="0"/>
        <v>10.495634206137492</v>
      </c>
      <c r="G28" s="31">
        <f>IF(C27=0,"",100*D28/C28)</f>
        <v>11.105560902718409</v>
      </c>
      <c r="H28" s="26"/>
      <c r="I28" s="34"/>
      <c r="J28" s="34"/>
      <c r="K28" s="34"/>
      <c r="L28" s="34"/>
      <c r="M28" s="34"/>
    </row>
    <row r="29" spans="2:13" s="5" customFormat="1" ht="22.5" customHeight="1">
      <c r="B29" s="55" t="s">
        <v>45</v>
      </c>
      <c r="C29" s="22">
        <f>C30+C31+C32+C33</f>
        <v>2452240161</v>
      </c>
      <c r="D29" s="22">
        <f>D30+D31+D32+D33</f>
        <v>694068552</v>
      </c>
      <c r="E29" s="22">
        <f>E30+E31+E32+E33</f>
        <v>648936000</v>
      </c>
      <c r="F29" s="30">
        <f t="shared" si="0"/>
        <v>15.286849053436688</v>
      </c>
      <c r="G29" s="30">
        <f t="shared" si="1"/>
        <v>28.30344935371116</v>
      </c>
      <c r="H29" s="27"/>
      <c r="I29" s="56"/>
      <c r="J29" s="56"/>
      <c r="K29" s="56"/>
      <c r="L29" s="56"/>
      <c r="M29" s="56"/>
    </row>
    <row r="30" spans="2:13" ht="12.75">
      <c r="B30" s="29" t="s">
        <v>32</v>
      </c>
      <c r="C30" s="21">
        <f>598886146</f>
        <v>598886146</v>
      </c>
      <c r="D30" s="21">
        <f>229533690</f>
        <v>229533690</v>
      </c>
      <c r="E30" s="21">
        <f>184401138</f>
        <v>184401138</v>
      </c>
      <c r="F30" s="31">
        <f t="shared" si="0"/>
        <v>5.055475949165797</v>
      </c>
      <c r="G30" s="31">
        <f t="shared" si="1"/>
        <v>38.326765702140655</v>
      </c>
      <c r="H30" s="27"/>
      <c r="I30" s="34"/>
      <c r="J30" s="34"/>
      <c r="K30" s="34"/>
      <c r="L30" s="34"/>
      <c r="M30" s="34"/>
    </row>
    <row r="31" spans="2:13" ht="12.75">
      <c r="B31" s="29" t="s">
        <v>43</v>
      </c>
      <c r="C31" s="21">
        <f>460622467</f>
        <v>460622467</v>
      </c>
      <c r="D31" s="21">
        <f>116351967</f>
        <v>116351967</v>
      </c>
      <c r="E31" s="21">
        <f>116351967</f>
        <v>116351967</v>
      </c>
      <c r="F31" s="31">
        <f t="shared" si="0"/>
        <v>2.5626502619577654</v>
      </c>
      <c r="G31" s="31">
        <f t="shared" si="1"/>
        <v>25.259724684684127</v>
      </c>
      <c r="H31" s="27"/>
      <c r="I31" s="34"/>
      <c r="J31" s="34"/>
      <c r="K31" s="34"/>
      <c r="L31" s="34"/>
      <c r="M31" s="34"/>
    </row>
    <row r="32" spans="2:13" ht="12.75">
      <c r="B32" s="29" t="s">
        <v>33</v>
      </c>
      <c r="C32" s="21">
        <f>1392731548</f>
        <v>1392731548</v>
      </c>
      <c r="D32" s="21">
        <f>348182895</f>
        <v>348182895</v>
      </c>
      <c r="E32" s="21">
        <f>348182895</f>
        <v>348182895</v>
      </c>
      <c r="F32" s="31">
        <f t="shared" si="0"/>
        <v>7.668722842313127</v>
      </c>
      <c r="G32" s="31">
        <f t="shared" si="1"/>
        <v>25.00000057441077</v>
      </c>
      <c r="H32" s="27"/>
      <c r="I32" s="34"/>
      <c r="J32" s="34"/>
      <c r="K32" s="34"/>
      <c r="L32" s="34"/>
      <c r="M32" s="34"/>
    </row>
    <row r="33" spans="2:13" s="5" customFormat="1" ht="14.25" customHeight="1">
      <c r="B33" s="29" t="s">
        <v>31</v>
      </c>
      <c r="C33" s="21">
        <f>0</f>
        <v>0</v>
      </c>
      <c r="D33" s="21">
        <f>0</f>
        <v>0</v>
      </c>
      <c r="E33" s="21">
        <f>0</f>
        <v>0</v>
      </c>
      <c r="F33" s="31">
        <f t="shared" si="0"/>
        <v>0</v>
      </c>
      <c r="G33" s="31">
        <f t="shared" si="1"/>
      </c>
      <c r="H33" s="27"/>
      <c r="I33" s="56"/>
      <c r="J33" s="56"/>
      <c r="K33" s="56"/>
      <c r="L33" s="56"/>
      <c r="M33" s="56"/>
    </row>
    <row r="34" spans="2:13" s="5" customFormat="1" ht="12.75">
      <c r="B34" s="79" t="s">
        <v>60</v>
      </c>
      <c r="C34" s="76">
        <f>+C5</f>
        <v>19591073558.62</v>
      </c>
      <c r="D34" s="76">
        <f>+D5</f>
        <v>4540298328.15</v>
      </c>
      <c r="E34" s="76">
        <f>+E5</f>
        <v>4013477017.75</v>
      </c>
      <c r="F34" s="77">
        <f>IF($D$5=0,"",100*$D34/$D$34)</f>
        <v>100</v>
      </c>
      <c r="G34" s="77">
        <f t="shared" si="1"/>
        <v>23.17534215041669</v>
      </c>
      <c r="H34" s="77"/>
      <c r="I34" s="56"/>
      <c r="J34" s="56"/>
      <c r="K34" s="56"/>
      <c r="L34" s="56"/>
      <c r="M34" s="56"/>
    </row>
    <row r="35" spans="2:13" s="5" customFormat="1" ht="12.75">
      <c r="B35" s="29" t="s">
        <v>54</v>
      </c>
      <c r="C35" s="21">
        <f>5177171996.65</f>
        <v>5177171996.65</v>
      </c>
      <c r="D35" s="21">
        <f>610893123.55</f>
        <v>610893123.55</v>
      </c>
      <c r="E35" s="21">
        <f>507617494.92</f>
        <v>507617494.92</v>
      </c>
      <c r="F35" s="31">
        <f>IF($D$5=0,"",100*$D35/$D$34)</f>
        <v>13.454911536593144</v>
      </c>
      <c r="G35" s="31">
        <f t="shared" si="1"/>
        <v>11.7997455743269</v>
      </c>
      <c r="H35" s="31">
        <f>IF($D$6=0,"",100*$D35/$D$6)</f>
        <v>24.37195124119164</v>
      </c>
      <c r="I35" s="56"/>
      <c r="J35" s="56"/>
      <c r="K35" s="56"/>
      <c r="L35" s="56"/>
      <c r="M35" s="56"/>
    </row>
    <row r="36" spans="1:13" s="5" customFormat="1" ht="12.75">
      <c r="A36" s="2"/>
      <c r="B36" s="29" t="s">
        <v>55</v>
      </c>
      <c r="C36" s="21">
        <f>C34-C35</f>
        <v>14413901561.97</v>
      </c>
      <c r="D36" s="21">
        <f>D34-D35</f>
        <v>3929405204.5999994</v>
      </c>
      <c r="E36" s="21">
        <f>E34-E35</f>
        <v>3505859522.83</v>
      </c>
      <c r="F36" s="31">
        <f>IF($D$5=0,"",100*$D36/$D$34)</f>
        <v>86.54508846340686</v>
      </c>
      <c r="G36" s="31">
        <f t="shared" si="1"/>
        <v>27.261218537577925</v>
      </c>
      <c r="H36" s="31">
        <f>IF($D$6=0,"",100*$D36/$D$6)</f>
        <v>156.76600105903393</v>
      </c>
      <c r="I36" s="57"/>
      <c r="J36" s="57"/>
      <c r="K36" s="58"/>
      <c r="L36" s="58"/>
      <c r="M36" s="19"/>
    </row>
    <row r="37" spans="2:13" ht="21.75" customHeight="1">
      <c r="B37" s="107" t="s">
        <v>96</v>
      </c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</row>
    <row r="38" spans="2:13" s="5" customFormat="1" ht="4.5" customHeight="1">
      <c r="B38" s="6"/>
      <c r="C38" s="7"/>
      <c r="D38" s="8"/>
      <c r="E38" s="8"/>
      <c r="F38" s="4"/>
      <c r="G38" s="4"/>
      <c r="H38" s="4"/>
      <c r="I38" s="4"/>
      <c r="J38" s="4"/>
      <c r="K38" s="9"/>
      <c r="L38" s="9"/>
      <c r="M38" s="3"/>
    </row>
    <row r="39" spans="2:27" ht="29.25" customHeight="1">
      <c r="B39" s="99" t="s">
        <v>0</v>
      </c>
      <c r="C39" s="100" t="s">
        <v>39</v>
      </c>
      <c r="D39" s="100" t="s">
        <v>40</v>
      </c>
      <c r="E39" s="100" t="s">
        <v>41</v>
      </c>
      <c r="F39" s="100" t="s">
        <v>12</v>
      </c>
      <c r="G39" s="100"/>
      <c r="H39" s="100"/>
      <c r="I39" s="100" t="s">
        <v>78</v>
      </c>
      <c r="J39" s="100"/>
      <c r="K39" s="100" t="s">
        <v>2</v>
      </c>
      <c r="L39" s="98" t="s">
        <v>27</v>
      </c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</row>
    <row r="40" spans="2:27" ht="18" customHeight="1">
      <c r="B40" s="99"/>
      <c r="C40" s="100"/>
      <c r="D40" s="101"/>
      <c r="E40" s="100"/>
      <c r="F40" s="93" t="s">
        <v>42</v>
      </c>
      <c r="G40" s="108" t="s">
        <v>25</v>
      </c>
      <c r="H40" s="101"/>
      <c r="I40" s="100"/>
      <c r="J40" s="100"/>
      <c r="K40" s="100"/>
      <c r="L40" s="98"/>
      <c r="M40" s="11"/>
      <c r="N40" s="12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</row>
    <row r="41" spans="2:27" ht="36" customHeight="1">
      <c r="B41" s="99"/>
      <c r="C41" s="100"/>
      <c r="D41" s="101"/>
      <c r="E41" s="100"/>
      <c r="F41" s="101"/>
      <c r="G41" s="15" t="s">
        <v>37</v>
      </c>
      <c r="H41" s="15" t="s">
        <v>38</v>
      </c>
      <c r="I41" s="100"/>
      <c r="J41" s="100"/>
      <c r="K41" s="100"/>
      <c r="L41" s="98"/>
      <c r="M41" s="11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</row>
    <row r="42" spans="2:27" ht="13.5" customHeight="1">
      <c r="B42" s="99"/>
      <c r="C42" s="92" t="s">
        <v>59</v>
      </c>
      <c r="D42" s="92"/>
      <c r="E42" s="92"/>
      <c r="F42" s="92"/>
      <c r="G42" s="92"/>
      <c r="H42" s="92"/>
      <c r="I42" s="92"/>
      <c r="J42" s="92"/>
      <c r="K42" s="92" t="s">
        <v>4</v>
      </c>
      <c r="L42" s="92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</row>
    <row r="43" spans="2:27" ht="11.25" customHeight="1">
      <c r="B43" s="14">
        <v>1</v>
      </c>
      <c r="C43" s="16">
        <v>2</v>
      </c>
      <c r="D43" s="16">
        <v>3</v>
      </c>
      <c r="E43" s="16">
        <v>4</v>
      </c>
      <c r="F43" s="14">
        <v>5</v>
      </c>
      <c r="G43" s="14">
        <v>6</v>
      </c>
      <c r="H43" s="16">
        <v>7</v>
      </c>
      <c r="I43" s="101">
        <v>8</v>
      </c>
      <c r="J43" s="101"/>
      <c r="K43" s="14">
        <v>9</v>
      </c>
      <c r="L43" s="16">
        <v>10</v>
      </c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</row>
    <row r="44" spans="2:13" ht="25.5" customHeight="1">
      <c r="B44" s="71" t="s">
        <v>46</v>
      </c>
      <c r="C44" s="80">
        <f>21389182557.74</f>
        <v>21389182557.74</v>
      </c>
      <c r="D44" s="80">
        <f>13056501913.66</f>
        <v>13056501913.66</v>
      </c>
      <c r="E44" s="80">
        <f>3140239835.22</f>
        <v>3140239835.22</v>
      </c>
      <c r="F44" s="80">
        <f>365989024.75</f>
        <v>365989024.75</v>
      </c>
      <c r="G44" s="80">
        <f>51085.76</f>
        <v>51085.76</v>
      </c>
      <c r="H44" s="80">
        <f>800</f>
        <v>800</v>
      </c>
      <c r="I44" s="105">
        <f>0</f>
        <v>0</v>
      </c>
      <c r="J44" s="105"/>
      <c r="K44" s="54">
        <f aca="true" t="shared" si="2" ref="K44:K53">IF($E$44=0,"",100*$E44/$E$44)</f>
        <v>100</v>
      </c>
      <c r="L44" s="54">
        <f aca="true" t="shared" si="3" ref="L44:L53">IF(C44=0,"",100*E44/C44)</f>
        <v>14.68143921228844</v>
      </c>
      <c r="M44" s="34"/>
    </row>
    <row r="45" spans="2:13" ht="12.75">
      <c r="B45" s="55" t="s">
        <v>14</v>
      </c>
      <c r="C45" s="23">
        <f>9352530267.88</f>
        <v>9352530267.88</v>
      </c>
      <c r="D45" s="23">
        <f>5466685864.95</f>
        <v>5466685864.95</v>
      </c>
      <c r="E45" s="23">
        <f>611066500.32</f>
        <v>611066500.32</v>
      </c>
      <c r="F45" s="23">
        <f>108836687.31</f>
        <v>108836687.31</v>
      </c>
      <c r="G45" s="23">
        <f>39557.66</f>
        <v>39557.66</v>
      </c>
      <c r="H45" s="23">
        <f>0</f>
        <v>0</v>
      </c>
      <c r="I45" s="104">
        <f>0</f>
        <v>0</v>
      </c>
      <c r="J45" s="106"/>
      <c r="K45" s="32">
        <f t="shared" si="2"/>
        <v>19.459230262174856</v>
      </c>
      <c r="L45" s="32">
        <f t="shared" si="3"/>
        <v>6.533702461446453</v>
      </c>
      <c r="M45" s="34"/>
    </row>
    <row r="46" spans="2:13" ht="22.5" customHeight="1">
      <c r="B46" s="17" t="s">
        <v>13</v>
      </c>
      <c r="C46" s="20">
        <f>9100852974.88</f>
        <v>9100852974.88</v>
      </c>
      <c r="D46" s="20">
        <f>5394749833.95</f>
        <v>5394749833.95</v>
      </c>
      <c r="E46" s="20">
        <f>589902500.32</f>
        <v>589902500.32</v>
      </c>
      <c r="F46" s="20">
        <f>108836687.31</f>
        <v>108836687.31</v>
      </c>
      <c r="G46" s="20">
        <f>39557.66</f>
        <v>39557.66</v>
      </c>
      <c r="H46" s="20">
        <f>0</f>
        <v>0</v>
      </c>
      <c r="I46" s="102">
        <f>0</f>
        <v>0</v>
      </c>
      <c r="J46" s="103"/>
      <c r="K46" s="33">
        <f t="shared" si="2"/>
        <v>18.785269000916056</v>
      </c>
      <c r="L46" s="33">
        <f t="shared" si="3"/>
        <v>6.481837493125509</v>
      </c>
      <c r="M46" s="34"/>
    </row>
    <row r="47" spans="2:13" ht="25.5" customHeight="1">
      <c r="B47" s="55" t="s">
        <v>47</v>
      </c>
      <c r="C47" s="23">
        <f aca="true" t="shared" si="4" ref="C47:I47">C44-C45</f>
        <v>12036652289.860003</v>
      </c>
      <c r="D47" s="23">
        <f t="shared" si="4"/>
        <v>7589816048.71</v>
      </c>
      <c r="E47" s="23">
        <f t="shared" si="4"/>
        <v>2529173334.8999996</v>
      </c>
      <c r="F47" s="23">
        <f t="shared" si="4"/>
        <v>257152337.44</v>
      </c>
      <c r="G47" s="23">
        <f t="shared" si="4"/>
        <v>11528.099999999999</v>
      </c>
      <c r="H47" s="23">
        <f t="shared" si="4"/>
        <v>800</v>
      </c>
      <c r="I47" s="104">
        <f t="shared" si="4"/>
        <v>0</v>
      </c>
      <c r="J47" s="104"/>
      <c r="K47" s="32">
        <f t="shared" si="2"/>
        <v>80.54076973782514</v>
      </c>
      <c r="L47" s="32">
        <f t="shared" si="3"/>
        <v>21.012265487062734</v>
      </c>
      <c r="M47" s="34"/>
    </row>
    <row r="48" spans="2:13" ht="22.5">
      <c r="B48" s="17" t="s">
        <v>95</v>
      </c>
      <c r="C48" s="20">
        <f>3110460335.96</f>
        <v>3110460335.96</v>
      </c>
      <c r="D48" s="20">
        <f>2530942907</f>
        <v>2530942907</v>
      </c>
      <c r="E48" s="20">
        <f>789539928.68</f>
        <v>789539928.68</v>
      </c>
      <c r="F48" s="20">
        <f>43795309.57</f>
        <v>43795309.57</v>
      </c>
      <c r="G48" s="20">
        <f>0</f>
        <v>0</v>
      </c>
      <c r="H48" s="20">
        <f>0</f>
        <v>0</v>
      </c>
      <c r="I48" s="102">
        <f>0</f>
        <v>0</v>
      </c>
      <c r="J48" s="103"/>
      <c r="K48" s="33">
        <f t="shared" si="2"/>
        <v>25.142663303125897</v>
      </c>
      <c r="L48" s="33">
        <f t="shared" si="3"/>
        <v>25.383378773621928</v>
      </c>
      <c r="M48" s="34"/>
    </row>
    <row r="49" spans="2:13" ht="12.75">
      <c r="B49" s="29" t="s">
        <v>36</v>
      </c>
      <c r="C49" s="81">
        <f>5007504120.78</f>
        <v>5007504120.78</v>
      </c>
      <c r="D49" s="81">
        <f>3578450765.48</f>
        <v>3578450765.48</v>
      </c>
      <c r="E49" s="81">
        <f>1157743670.12</f>
        <v>1157743670.12</v>
      </c>
      <c r="F49" s="81">
        <f>11159557.09</f>
        <v>11159557.09</v>
      </c>
      <c r="G49" s="81">
        <f>0</f>
        <v>0</v>
      </c>
      <c r="H49" s="81">
        <f>0</f>
        <v>0</v>
      </c>
      <c r="I49" s="109">
        <f>0</f>
        <v>0</v>
      </c>
      <c r="J49" s="109"/>
      <c r="K49" s="82">
        <f t="shared" si="2"/>
        <v>36.86800151807164</v>
      </c>
      <c r="L49" s="82">
        <f t="shared" si="3"/>
        <v>23.120174086639842</v>
      </c>
      <c r="M49" s="34"/>
    </row>
    <row r="50" spans="2:13" ht="12.75">
      <c r="B50" s="29" t="s">
        <v>35</v>
      </c>
      <c r="C50" s="21">
        <f>178767998.47</f>
        <v>178767998.47</v>
      </c>
      <c r="D50" s="21">
        <f>58845269.05</f>
        <v>58845269.05</v>
      </c>
      <c r="E50" s="21">
        <f>23234412.03</f>
        <v>23234412.03</v>
      </c>
      <c r="F50" s="21">
        <f>1914226.53</f>
        <v>1914226.53</v>
      </c>
      <c r="G50" s="21">
        <f>0</f>
        <v>0</v>
      </c>
      <c r="H50" s="21">
        <f>0</f>
        <v>0</v>
      </c>
      <c r="I50" s="110">
        <f>0</f>
        <v>0</v>
      </c>
      <c r="J50" s="110"/>
      <c r="K50" s="82">
        <f t="shared" si="2"/>
        <v>0.739892914210237</v>
      </c>
      <c r="L50" s="82">
        <f t="shared" si="3"/>
        <v>12.996963790417494</v>
      </c>
      <c r="M50" s="34"/>
    </row>
    <row r="51" spans="2:13" ht="22.5" customHeight="1">
      <c r="B51" s="29" t="s">
        <v>50</v>
      </c>
      <c r="C51" s="81">
        <f>132877640.76</f>
        <v>132877640.76</v>
      </c>
      <c r="D51" s="81">
        <f>30657855.4</f>
        <v>30657855.4</v>
      </c>
      <c r="E51" s="81">
        <f>2341709.24</f>
        <v>2341709.24</v>
      </c>
      <c r="F51" s="81">
        <f>0</f>
        <v>0</v>
      </c>
      <c r="G51" s="81">
        <f>0</f>
        <v>0</v>
      </c>
      <c r="H51" s="81">
        <f>0</f>
        <v>0</v>
      </c>
      <c r="I51" s="109">
        <f>0</f>
        <v>0</v>
      </c>
      <c r="J51" s="109"/>
      <c r="K51" s="82">
        <f t="shared" si="2"/>
        <v>0.07457103160516859</v>
      </c>
      <c r="L51" s="82">
        <f t="shared" si="3"/>
        <v>1.762304949581045</v>
      </c>
      <c r="M51" s="34"/>
    </row>
    <row r="52" spans="2:13" ht="22.5">
      <c r="B52" s="29" t="s">
        <v>51</v>
      </c>
      <c r="C52" s="81">
        <f>136586850.45</f>
        <v>136586850.45</v>
      </c>
      <c r="D52" s="81">
        <f>72609782.27</f>
        <v>72609782.27</v>
      </c>
      <c r="E52" s="81">
        <f>31847041.27</f>
        <v>31847041.27</v>
      </c>
      <c r="F52" s="81">
        <f>782979.79</f>
        <v>782979.79</v>
      </c>
      <c r="G52" s="81">
        <f>0</f>
        <v>0</v>
      </c>
      <c r="H52" s="81">
        <f>0</f>
        <v>0</v>
      </c>
      <c r="I52" s="111">
        <f>0</f>
        <v>0</v>
      </c>
      <c r="J52" s="112"/>
      <c r="K52" s="82">
        <f t="shared" si="2"/>
        <v>1.0141595209643868</v>
      </c>
      <c r="L52" s="82">
        <f t="shared" si="3"/>
        <v>23.316330353234235</v>
      </c>
      <c r="M52" s="34"/>
    </row>
    <row r="53" spans="2:13" ht="12.75">
      <c r="B53" s="29" t="s">
        <v>34</v>
      </c>
      <c r="C53" s="21">
        <f aca="true" t="shared" si="5" ref="C53:I53">C47-C48-C49-C50-C51-C52</f>
        <v>3470455343.440002</v>
      </c>
      <c r="D53" s="21">
        <f t="shared" si="5"/>
        <v>1318309469.51</v>
      </c>
      <c r="E53" s="21">
        <f t="shared" si="5"/>
        <v>524466573.55999994</v>
      </c>
      <c r="F53" s="21">
        <f t="shared" si="5"/>
        <v>199500264.46</v>
      </c>
      <c r="G53" s="21">
        <f t="shared" si="5"/>
        <v>11528.099999999999</v>
      </c>
      <c r="H53" s="21">
        <f t="shared" si="5"/>
        <v>800</v>
      </c>
      <c r="I53" s="111">
        <f t="shared" si="5"/>
        <v>0</v>
      </c>
      <c r="J53" s="112"/>
      <c r="K53" s="82">
        <f t="shared" si="2"/>
        <v>16.70148144984782</v>
      </c>
      <c r="L53" s="82">
        <f t="shared" si="3"/>
        <v>15.11232739390721</v>
      </c>
      <c r="M53" s="34"/>
    </row>
    <row r="54" spans="2:13" ht="12.75">
      <c r="B54" s="55" t="s">
        <v>15</v>
      </c>
      <c r="C54" s="23">
        <f>C5-C44</f>
        <v>-1798108999.1200027</v>
      </c>
      <c r="D54" s="23"/>
      <c r="E54" s="23">
        <f>D5-E44</f>
        <v>1400058492.9299998</v>
      </c>
      <c r="F54" s="24"/>
      <c r="G54" s="24"/>
      <c r="H54" s="24"/>
      <c r="I54" s="113"/>
      <c r="J54" s="113"/>
      <c r="K54" s="25"/>
      <c r="L54" s="25"/>
      <c r="M54" s="59"/>
    </row>
    <row r="55" spans="2:13" ht="33.75">
      <c r="B55" s="60" t="s">
        <v>79</v>
      </c>
      <c r="C55" s="23">
        <f>+C36-C47</f>
        <v>2377249272.109997</v>
      </c>
      <c r="D55" s="61"/>
      <c r="E55" s="23">
        <f>+D36-E47</f>
        <v>1400231869.6999998</v>
      </c>
      <c r="F55" s="62"/>
      <c r="G55" s="62"/>
      <c r="H55" s="62"/>
      <c r="I55" s="117"/>
      <c r="J55" s="118"/>
      <c r="K55" s="34"/>
      <c r="L55" s="63"/>
      <c r="M55" s="63"/>
    </row>
    <row r="56" spans="2:13" ht="6.75" customHeight="1" thickBot="1">
      <c r="B56" s="64"/>
      <c r="C56" s="65"/>
      <c r="D56" s="65"/>
      <c r="E56" s="65"/>
      <c r="F56" s="18"/>
      <c r="G56" s="18"/>
      <c r="H56" s="18"/>
      <c r="I56" s="18"/>
      <c r="J56" s="34"/>
      <c r="K56" s="34"/>
      <c r="L56" s="63"/>
      <c r="M56" s="63"/>
    </row>
    <row r="57" spans="2:13" ht="12" customHeight="1" thickBot="1">
      <c r="B57" s="66" t="s">
        <v>56</v>
      </c>
      <c r="C57" s="65"/>
      <c r="D57" s="65"/>
      <c r="E57" s="65"/>
      <c r="F57" s="18"/>
      <c r="G57" s="18"/>
      <c r="H57" s="18"/>
      <c r="I57" s="18"/>
      <c r="J57" s="34"/>
      <c r="K57" s="34"/>
      <c r="L57" s="63"/>
      <c r="M57" s="63"/>
    </row>
    <row r="58" spans="2:13" ht="23.25" customHeight="1">
      <c r="B58" s="84" t="s">
        <v>80</v>
      </c>
      <c r="C58" s="23">
        <f>8722978983.04</f>
        <v>8722978983.04</v>
      </c>
      <c r="D58" s="23">
        <f>5468843310.28</f>
        <v>5468843310.28</v>
      </c>
      <c r="E58" s="23">
        <f>910284348.25</f>
        <v>910284348.25</v>
      </c>
      <c r="F58" s="23">
        <f>104134601.9</f>
        <v>104134601.9</v>
      </c>
      <c r="G58" s="23">
        <f>8116.66</f>
        <v>8116.66</v>
      </c>
      <c r="H58" s="23">
        <f>0</f>
        <v>0</v>
      </c>
      <c r="I58" s="119">
        <f>0</f>
        <v>0</v>
      </c>
      <c r="J58" s="120"/>
      <c r="K58" s="33">
        <f>IF($E$44=0,"",100*$E58/$E$58)</f>
        <v>100</v>
      </c>
      <c r="L58" s="33">
        <f>IF(C58=0,"",100*E58/C58)</f>
        <v>10.435475655964053</v>
      </c>
      <c r="M58" s="63"/>
    </row>
    <row r="59" spans="2:13" ht="12.75">
      <c r="B59" s="83" t="s">
        <v>57</v>
      </c>
      <c r="C59" s="81">
        <f>6387418661.81</f>
        <v>6387418661.81</v>
      </c>
      <c r="D59" s="81">
        <f>4086703995.7</f>
        <v>4086703995.7</v>
      </c>
      <c r="E59" s="81">
        <f>450446218.33</f>
        <v>450446218.33</v>
      </c>
      <c r="F59" s="81">
        <f>91754746.33</f>
        <v>91754746.33</v>
      </c>
      <c r="G59" s="81">
        <f>8116.66</f>
        <v>8116.66</v>
      </c>
      <c r="H59" s="81">
        <f>0</f>
        <v>0</v>
      </c>
      <c r="I59" s="111">
        <f>0</f>
        <v>0</v>
      </c>
      <c r="J59" s="112"/>
      <c r="K59" s="82">
        <f>IF($E$44=0,"",100*$E59/$E$58)</f>
        <v>49.48412209832808</v>
      </c>
      <c r="L59" s="82">
        <f>IF(C59=0,"",100*E59/C59)</f>
        <v>7.052085391289464</v>
      </c>
      <c r="M59" s="34"/>
    </row>
    <row r="60" spans="2:13" ht="12.75" customHeight="1">
      <c r="B60" s="83" t="s">
        <v>58</v>
      </c>
      <c r="C60" s="81">
        <f aca="true" t="shared" si="6" ref="C60:I60">C58-C59</f>
        <v>2335560321.2300005</v>
      </c>
      <c r="D60" s="81">
        <f t="shared" si="6"/>
        <v>1382139314.58</v>
      </c>
      <c r="E60" s="81">
        <f t="shared" si="6"/>
        <v>459838129.92</v>
      </c>
      <c r="F60" s="81">
        <f t="shared" si="6"/>
        <v>12379855.570000008</v>
      </c>
      <c r="G60" s="81">
        <f t="shared" si="6"/>
        <v>0</v>
      </c>
      <c r="H60" s="81">
        <f t="shared" si="6"/>
        <v>0</v>
      </c>
      <c r="I60" s="121">
        <f t="shared" si="6"/>
        <v>0</v>
      </c>
      <c r="J60" s="122"/>
      <c r="K60" s="82">
        <f>IF($E$44=0,"",100*$E60/$E$58)</f>
        <v>50.51587790167192</v>
      </c>
      <c r="L60" s="82">
        <f>IF(C60=0,"",100*E60/C60)</f>
        <v>19.688557205742846</v>
      </c>
      <c r="M60" s="34"/>
    </row>
    <row r="61" spans="2:13" ht="23.25" customHeight="1">
      <c r="B61" s="107" t="s">
        <v>96</v>
      </c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</row>
    <row r="62" ht="6" customHeight="1"/>
    <row r="63" spans="2:8" ht="12.75">
      <c r="B63" s="37" t="s">
        <v>16</v>
      </c>
      <c r="C63" s="114" t="s">
        <v>17</v>
      </c>
      <c r="D63" s="115"/>
      <c r="E63" s="114" t="s">
        <v>1</v>
      </c>
      <c r="F63" s="115"/>
      <c r="G63" s="16" t="s">
        <v>22</v>
      </c>
      <c r="H63" s="16" t="s">
        <v>23</v>
      </c>
    </row>
    <row r="64" spans="2:8" ht="12.75">
      <c r="B64" s="37"/>
      <c r="C64" s="93" t="s">
        <v>59</v>
      </c>
      <c r="D64" s="94"/>
      <c r="E64" s="94"/>
      <c r="F64" s="95"/>
      <c r="G64" s="96" t="s">
        <v>4</v>
      </c>
      <c r="H64" s="97"/>
    </row>
    <row r="65" spans="2:8" ht="12.75">
      <c r="B65" s="35">
        <v>1</v>
      </c>
      <c r="C65" s="67">
        <v>2</v>
      </c>
      <c r="D65" s="68"/>
      <c r="E65" s="67">
        <v>3</v>
      </c>
      <c r="F65" s="68"/>
      <c r="G65" s="36">
        <v>4</v>
      </c>
      <c r="H65" s="36">
        <v>5</v>
      </c>
    </row>
    <row r="66" spans="2:8" ht="22.5">
      <c r="B66" s="69" t="s">
        <v>48</v>
      </c>
      <c r="C66" s="40">
        <f>2977121518.12</f>
        <v>2977121518.12</v>
      </c>
      <c r="D66" s="41"/>
      <c r="E66" s="40">
        <f>1590477390.53</f>
        <v>1590477390.53</v>
      </c>
      <c r="F66" s="41"/>
      <c r="G66" s="39">
        <f>IF($E$66=0,"",100*$E66/$E$66)</f>
        <v>100</v>
      </c>
      <c r="H66" s="32">
        <f>IF(C66=0,"",100*E66/C66)</f>
        <v>53.423327897423505</v>
      </c>
    </row>
    <row r="67" spans="2:8" ht="33.75">
      <c r="B67" s="38" t="s">
        <v>83</v>
      </c>
      <c r="C67" s="42">
        <f>1815942302</f>
        <v>1815942302</v>
      </c>
      <c r="D67" s="43"/>
      <c r="E67" s="42">
        <f>108584971.09</f>
        <v>108584971.09</v>
      </c>
      <c r="F67" s="43"/>
      <c r="G67" s="52">
        <f aca="true" t="shared" si="7" ref="G67:G73">IF($E$66=0,"",100*$E67/$E$66)</f>
        <v>6.827193629820533</v>
      </c>
      <c r="H67" s="53">
        <f aca="true" t="shared" si="8" ref="H67:H78">IF(C67=0,"",100*E67/C67)</f>
        <v>5.979538610362742</v>
      </c>
    </row>
    <row r="68" spans="2:8" ht="22.5">
      <c r="B68" s="85" t="s">
        <v>84</v>
      </c>
      <c r="C68" s="86">
        <f>0</f>
        <v>0</v>
      </c>
      <c r="D68" s="87"/>
      <c r="E68" s="86">
        <f>0</f>
        <v>0</v>
      </c>
      <c r="F68" s="87"/>
      <c r="G68" s="88">
        <f t="shared" si="7"/>
        <v>0</v>
      </c>
      <c r="H68" s="89">
        <f t="shared" si="8"/>
      </c>
    </row>
    <row r="69" spans="2:8" ht="12.75">
      <c r="B69" s="90" t="s">
        <v>85</v>
      </c>
      <c r="C69" s="86">
        <f>53805842</f>
        <v>53805842</v>
      </c>
      <c r="D69" s="87"/>
      <c r="E69" s="86">
        <f>3707011.07</f>
        <v>3707011.07</v>
      </c>
      <c r="F69" s="87"/>
      <c r="G69" s="88">
        <f t="shared" si="7"/>
        <v>0.23307537045620627</v>
      </c>
      <c r="H69" s="89">
        <f t="shared" si="8"/>
        <v>6.889607024456564</v>
      </c>
    </row>
    <row r="70" spans="2:8" ht="12.75">
      <c r="B70" s="90" t="s">
        <v>86</v>
      </c>
      <c r="C70" s="86">
        <f>41328255</f>
        <v>41328255</v>
      </c>
      <c r="D70" s="87"/>
      <c r="E70" s="86">
        <f>66293282.8</f>
        <v>66293282.8</v>
      </c>
      <c r="F70" s="87"/>
      <c r="G70" s="88">
        <f t="shared" si="7"/>
        <v>4.168137390366101</v>
      </c>
      <c r="H70" s="89">
        <f t="shared" si="8"/>
        <v>160.40668254684357</v>
      </c>
    </row>
    <row r="71" spans="2:8" ht="12.75">
      <c r="B71" s="90" t="s">
        <v>87</v>
      </c>
      <c r="C71" s="86">
        <f>0</f>
        <v>0</v>
      </c>
      <c r="D71" s="87"/>
      <c r="E71" s="86">
        <f>0</f>
        <v>0</v>
      </c>
      <c r="F71" s="87"/>
      <c r="G71" s="88">
        <f t="shared" si="7"/>
        <v>0</v>
      </c>
      <c r="H71" s="89">
        <f t="shared" si="8"/>
      </c>
    </row>
    <row r="72" spans="2:8" ht="33.75">
      <c r="B72" s="90" t="s">
        <v>91</v>
      </c>
      <c r="C72" s="86">
        <f>766045119.12</f>
        <v>766045119.12</v>
      </c>
      <c r="D72" s="87"/>
      <c r="E72" s="86">
        <f>1411892125.57</f>
        <v>1411892125.57</v>
      </c>
      <c r="F72" s="87"/>
      <c r="G72" s="88">
        <f t="shared" si="7"/>
        <v>88.77159360935717</v>
      </c>
      <c r="H72" s="89">
        <f t="shared" si="8"/>
        <v>184.30926460205393</v>
      </c>
    </row>
    <row r="73" spans="2:8" ht="12.75">
      <c r="B73" s="85" t="s">
        <v>62</v>
      </c>
      <c r="C73" s="86">
        <f>300000000</f>
        <v>300000000</v>
      </c>
      <c r="D73" s="87"/>
      <c r="E73" s="86">
        <f>0</f>
        <v>0</v>
      </c>
      <c r="F73" s="87"/>
      <c r="G73" s="88">
        <f t="shared" si="7"/>
        <v>0</v>
      </c>
      <c r="H73" s="89">
        <f t="shared" si="8"/>
        <v>0</v>
      </c>
    </row>
    <row r="74" spans="2:8" ht="22.5">
      <c r="B74" s="69" t="s">
        <v>49</v>
      </c>
      <c r="C74" s="49">
        <f>1179012519</f>
        <v>1179012519</v>
      </c>
      <c r="D74" s="50"/>
      <c r="E74" s="49">
        <f>132700730.84</f>
        <v>132700730.84</v>
      </c>
      <c r="F74" s="50"/>
      <c r="G74" s="39">
        <f>IF($E$74=0,"",100*$E74/$E$74)</f>
        <v>100</v>
      </c>
      <c r="H74" s="32">
        <f t="shared" si="8"/>
        <v>11.255243578970004</v>
      </c>
    </row>
    <row r="75" spans="2:8" ht="33.75">
      <c r="B75" s="38" t="s">
        <v>88</v>
      </c>
      <c r="C75" s="42">
        <f>843166233</f>
        <v>843166233</v>
      </c>
      <c r="D75" s="47"/>
      <c r="E75" s="48">
        <f>117208739.1</f>
        <v>117208739.1</v>
      </c>
      <c r="F75" s="47"/>
      <c r="G75" s="52">
        <f>IF($E$74=0,"",100*$E75/$E$74)</f>
        <v>88.32561686590934</v>
      </c>
      <c r="H75" s="53">
        <f t="shared" si="8"/>
        <v>13.901023844725053</v>
      </c>
    </row>
    <row r="76" spans="2:8" ht="22.5">
      <c r="B76" s="90" t="s">
        <v>89</v>
      </c>
      <c r="C76" s="86">
        <f>132390760</f>
        <v>132390760</v>
      </c>
      <c r="D76" s="87"/>
      <c r="E76" s="86">
        <f>0</f>
        <v>0</v>
      </c>
      <c r="F76" s="87"/>
      <c r="G76" s="88">
        <f>IF($E$74=0,"",100*$E76/$E$74)</f>
        <v>0</v>
      </c>
      <c r="H76" s="89">
        <f t="shared" si="8"/>
        <v>0</v>
      </c>
    </row>
    <row r="77" spans="2:8" ht="12.75">
      <c r="B77" s="90" t="s">
        <v>90</v>
      </c>
      <c r="C77" s="86">
        <f>35846286</f>
        <v>35846286</v>
      </c>
      <c r="D77" s="87"/>
      <c r="E77" s="86">
        <f>15491991.74</f>
        <v>15491991.74</v>
      </c>
      <c r="F77" s="87"/>
      <c r="G77" s="88">
        <f>IF($E$74=0,"",100*$E77/$E$74)</f>
        <v>11.674383134090657</v>
      </c>
      <c r="H77" s="89">
        <f t="shared" si="8"/>
        <v>43.21784337713536</v>
      </c>
    </row>
    <row r="78" spans="2:8" ht="12.75">
      <c r="B78" s="90" t="s">
        <v>24</v>
      </c>
      <c r="C78" s="86">
        <f>300000000</f>
        <v>300000000</v>
      </c>
      <c r="D78" s="87"/>
      <c r="E78" s="86">
        <f>0</f>
        <v>0</v>
      </c>
      <c r="F78" s="87"/>
      <c r="G78" s="88">
        <f>IF($E$74=0,"",100*$E78/$E$74)</f>
        <v>0</v>
      </c>
      <c r="H78" s="89">
        <f t="shared" si="8"/>
        <v>0</v>
      </c>
    </row>
    <row r="80" spans="2:8" ht="12.75">
      <c r="B80" s="37" t="s">
        <v>16</v>
      </c>
      <c r="C80" s="114" t="s">
        <v>17</v>
      </c>
      <c r="D80" s="115"/>
      <c r="E80" s="114" t="s">
        <v>1</v>
      </c>
      <c r="F80" s="115"/>
      <c r="G80" s="16" t="s">
        <v>22</v>
      </c>
      <c r="H80" s="16" t="s">
        <v>23</v>
      </c>
    </row>
    <row r="81" spans="2:8" ht="12.75">
      <c r="B81" s="37"/>
      <c r="C81" s="93" t="s">
        <v>59</v>
      </c>
      <c r="D81" s="94"/>
      <c r="E81" s="94"/>
      <c r="F81" s="95"/>
      <c r="G81" s="96" t="s">
        <v>4</v>
      </c>
      <c r="H81" s="97"/>
    </row>
    <row r="82" spans="2:8" ht="12.75">
      <c r="B82" s="35">
        <v>1</v>
      </c>
      <c r="C82" s="67">
        <v>2</v>
      </c>
      <c r="D82" s="68"/>
      <c r="E82" s="67">
        <v>3</v>
      </c>
      <c r="F82" s="68"/>
      <c r="G82" s="36">
        <v>4</v>
      </c>
      <c r="H82" s="36">
        <v>5</v>
      </c>
    </row>
    <row r="83" spans="2:8" ht="22.5">
      <c r="B83" s="51" t="s">
        <v>63</v>
      </c>
      <c r="C83" s="46">
        <f>1798108999.12</f>
        <v>1798108999.12</v>
      </c>
      <c r="D83" s="44"/>
      <c r="E83" s="46">
        <f>0</f>
        <v>0</v>
      </c>
      <c r="F83" s="41"/>
      <c r="G83" s="39"/>
      <c r="H83" s="32"/>
    </row>
    <row r="84" spans="2:8" ht="56.25">
      <c r="B84" s="91" t="s">
        <v>64</v>
      </c>
      <c r="C84" s="86">
        <f>0</f>
        <v>0</v>
      </c>
      <c r="D84" s="87"/>
      <c r="E84" s="86">
        <f>0</f>
        <v>0</v>
      </c>
      <c r="F84" s="87"/>
      <c r="G84" s="88"/>
      <c r="H84" s="89"/>
    </row>
    <row r="85" spans="2:8" ht="12.75">
      <c r="B85" s="91" t="s">
        <v>65</v>
      </c>
      <c r="C85" s="86">
        <f>1138828676.12</f>
        <v>1138828676.12</v>
      </c>
      <c r="D85" s="87"/>
      <c r="E85" s="86">
        <f>0</f>
        <v>0</v>
      </c>
      <c r="F85" s="87"/>
      <c r="G85" s="88"/>
      <c r="H85" s="89"/>
    </row>
    <row r="86" spans="2:8" ht="22.5">
      <c r="B86" s="91" t="s">
        <v>66</v>
      </c>
      <c r="C86" s="86">
        <f>0</f>
        <v>0</v>
      </c>
      <c r="D86" s="87"/>
      <c r="E86" s="86">
        <f>0</f>
        <v>0</v>
      </c>
      <c r="F86" s="87"/>
      <c r="G86" s="88"/>
      <c r="H86" s="89"/>
    </row>
    <row r="87" spans="2:8" ht="33.75">
      <c r="B87" s="91" t="s">
        <v>67</v>
      </c>
      <c r="C87" s="86">
        <f>19229489</f>
        <v>19229489</v>
      </c>
      <c r="D87" s="87"/>
      <c r="E87" s="86">
        <f>0</f>
        <v>0</v>
      </c>
      <c r="F87" s="87"/>
      <c r="G87" s="88"/>
      <c r="H87" s="89"/>
    </row>
    <row r="88" spans="2:8" ht="101.25">
      <c r="B88" s="91" t="s">
        <v>68</v>
      </c>
      <c r="C88" s="86">
        <f>640050834</f>
        <v>640050834</v>
      </c>
      <c r="D88" s="87"/>
      <c r="E88" s="86">
        <f>0</f>
        <v>0</v>
      </c>
      <c r="F88" s="87"/>
      <c r="G88" s="88"/>
      <c r="H88" s="89"/>
    </row>
    <row r="90" spans="2:6" ht="12.75">
      <c r="B90" s="70" t="s">
        <v>16</v>
      </c>
      <c r="C90" s="114" t="s">
        <v>94</v>
      </c>
      <c r="D90" s="116"/>
      <c r="E90" s="116"/>
      <c r="F90" s="115"/>
    </row>
    <row r="91" spans="2:6" ht="12.75">
      <c r="B91" s="37"/>
      <c r="C91" s="93" t="s">
        <v>59</v>
      </c>
      <c r="D91" s="94"/>
      <c r="E91" s="94"/>
      <c r="F91" s="95"/>
    </row>
    <row r="92" spans="2:6" ht="12.75">
      <c r="B92" s="35">
        <v>1</v>
      </c>
      <c r="C92" s="124">
        <v>2</v>
      </c>
      <c r="D92" s="125"/>
      <c r="E92" s="125"/>
      <c r="F92" s="126"/>
    </row>
    <row r="93" spans="2:6" ht="56.25">
      <c r="B93" s="51" t="s">
        <v>69</v>
      </c>
      <c r="C93" s="123">
        <f>146471211.21</f>
        <v>146471211.21</v>
      </c>
      <c r="D93" s="116"/>
      <c r="E93" s="116"/>
      <c r="F93" s="115"/>
    </row>
    <row r="94" spans="2:6" ht="41.25" customHeight="1">
      <c r="B94" s="45" t="s">
        <v>70</v>
      </c>
      <c r="C94" s="123">
        <f>422617.59</f>
        <v>422617.59</v>
      </c>
      <c r="D94" s="116"/>
      <c r="E94" s="116"/>
      <c r="F94" s="115"/>
    </row>
    <row r="95" spans="2:6" ht="45">
      <c r="B95" s="45" t="s">
        <v>71</v>
      </c>
      <c r="C95" s="123">
        <f>15407833.62</f>
        <v>15407833.62</v>
      </c>
      <c r="D95" s="116"/>
      <c r="E95" s="116"/>
      <c r="F95" s="115"/>
    </row>
    <row r="96" spans="2:6" ht="69" customHeight="1">
      <c r="B96" s="45" t="s">
        <v>72</v>
      </c>
      <c r="C96" s="123">
        <f>0</f>
        <v>0</v>
      </c>
      <c r="D96" s="116"/>
      <c r="E96" s="116"/>
      <c r="F96" s="115"/>
    </row>
    <row r="97" spans="2:6" ht="56.25">
      <c r="B97" s="45" t="s">
        <v>73</v>
      </c>
      <c r="C97" s="123">
        <f>130640760</f>
        <v>130640760</v>
      </c>
      <c r="D97" s="116"/>
      <c r="E97" s="116"/>
      <c r="F97" s="115"/>
    </row>
    <row r="98" spans="2:6" ht="56.25">
      <c r="B98" s="91" t="s">
        <v>74</v>
      </c>
      <c r="C98" s="123">
        <f>0</f>
        <v>0</v>
      </c>
      <c r="D98" s="116"/>
      <c r="E98" s="116"/>
      <c r="F98" s="115"/>
    </row>
    <row r="99" spans="2:6" ht="45">
      <c r="B99" s="91" t="s">
        <v>75</v>
      </c>
      <c r="C99" s="123">
        <f>0</f>
        <v>0</v>
      </c>
      <c r="D99" s="116"/>
      <c r="E99" s="116"/>
      <c r="F99" s="115"/>
    </row>
    <row r="100" spans="2:6" ht="90">
      <c r="B100" s="91" t="s">
        <v>92</v>
      </c>
      <c r="C100" s="123">
        <f>0</f>
        <v>0</v>
      </c>
      <c r="D100" s="116"/>
      <c r="E100" s="116"/>
      <c r="F100" s="115"/>
    </row>
    <row r="101" spans="2:6" ht="90">
      <c r="B101" s="91" t="s">
        <v>93</v>
      </c>
      <c r="C101" s="123">
        <f>0</f>
        <v>0</v>
      </c>
      <c r="D101" s="116"/>
      <c r="E101" s="116"/>
      <c r="F101" s="115"/>
    </row>
  </sheetData>
  <sheetProtection/>
  <mergeCells count="54">
    <mergeCell ref="C98:F98"/>
    <mergeCell ref="C99:F99"/>
    <mergeCell ref="C100:F100"/>
    <mergeCell ref="C101:F101"/>
    <mergeCell ref="C92:F92"/>
    <mergeCell ref="C93:F93"/>
    <mergeCell ref="C94:F94"/>
    <mergeCell ref="C95:F95"/>
    <mergeCell ref="C96:F96"/>
    <mergeCell ref="C97:F97"/>
    <mergeCell ref="I55:J55"/>
    <mergeCell ref="I58:J58"/>
    <mergeCell ref="I59:J59"/>
    <mergeCell ref="I60:J60"/>
    <mergeCell ref="C63:D63"/>
    <mergeCell ref="E63:F63"/>
    <mergeCell ref="C91:F91"/>
    <mergeCell ref="C80:D80"/>
    <mergeCell ref="E80:F80"/>
    <mergeCell ref="C81:F81"/>
    <mergeCell ref="G81:H81"/>
    <mergeCell ref="C90:F90"/>
    <mergeCell ref="I49:J49"/>
    <mergeCell ref="I50:J50"/>
    <mergeCell ref="I51:J51"/>
    <mergeCell ref="I53:J53"/>
    <mergeCell ref="I54:J54"/>
    <mergeCell ref="I52:J52"/>
    <mergeCell ref="B1:M1"/>
    <mergeCell ref="B61:M61"/>
    <mergeCell ref="I39:J41"/>
    <mergeCell ref="D39:D41"/>
    <mergeCell ref="E39:E41"/>
    <mergeCell ref="F40:F41"/>
    <mergeCell ref="F39:H39"/>
    <mergeCell ref="G40:H40"/>
    <mergeCell ref="F3:H3"/>
    <mergeCell ref="B37:M37"/>
    <mergeCell ref="I43:J43"/>
    <mergeCell ref="I46:J46"/>
    <mergeCell ref="I47:J47"/>
    <mergeCell ref="I44:J44"/>
    <mergeCell ref="I45:J45"/>
    <mergeCell ref="I48:J48"/>
    <mergeCell ref="C42:J42"/>
    <mergeCell ref="C3:E3"/>
    <mergeCell ref="C64:F64"/>
    <mergeCell ref="G64:H64"/>
    <mergeCell ref="L39:L41"/>
    <mergeCell ref="B2:B3"/>
    <mergeCell ref="C39:C41"/>
    <mergeCell ref="B39:B42"/>
    <mergeCell ref="K39:K41"/>
    <mergeCell ref="K42:L42"/>
  </mergeCells>
  <printOptions/>
  <pageMargins left="0.1968503937007874" right="0.1968503937007874" top="0.35433070866141736" bottom="0.3937007874015748" header="0.31496062992125984" footer="0.1968503937007874"/>
  <pageSetup horizontalDpi="600" verticalDpi="600" orientation="landscape" paperSize="9" scale="85" r:id="rId3"/>
  <headerFooter alignWithMargins="0">
    <oddFooter>&amp;RStrona &amp;P z &amp;N</oddFooter>
  </headerFooter>
  <rowBreaks count="3" manualBreakCount="3">
    <brk id="36" max="255" man="1"/>
    <brk id="60" max="255" man="1"/>
    <brk id="8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2015-04-29T09:53:24Z</cp:lastPrinted>
  <dcterms:created xsi:type="dcterms:W3CDTF">2001-05-17T08:58:03Z</dcterms:created>
  <dcterms:modified xsi:type="dcterms:W3CDTF">2019-05-21T12:00:48Z</dcterms:modified>
  <cp:category/>
  <cp:version/>
  <cp:contentType/>
  <cp:contentStatus/>
</cp:coreProperties>
</file>