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4\I kwartał\2024.05.21 dane ostateczne\BIP MF\Zbiorówki\"/>
    </mc:Choice>
  </mc:AlternateContent>
  <xr:revisionPtr revIDLastSave="0" documentId="13_ncr:1_{36A8C446-AD72-4BD5-B1AD-417AA8B9C8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3" i="7" l="1"/>
  <c r="B92" i="7"/>
  <c r="B91" i="7"/>
  <c r="B90" i="7"/>
  <c r="I87" i="7"/>
  <c r="G87" i="7"/>
  <c r="I86" i="7"/>
  <c r="G86" i="7"/>
  <c r="I85" i="7"/>
  <c r="G85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L76" i="7"/>
  <c r="K76" i="7"/>
  <c r="J76" i="7"/>
  <c r="I76" i="7"/>
  <c r="H76" i="7"/>
  <c r="G76" i="7"/>
  <c r="F76" i="7"/>
  <c r="L75" i="7"/>
  <c r="K75" i="7"/>
  <c r="J75" i="7"/>
  <c r="I75" i="7"/>
  <c r="H75" i="7"/>
  <c r="G75" i="7"/>
  <c r="F75" i="7"/>
  <c r="L74" i="7"/>
  <c r="K74" i="7"/>
  <c r="J74" i="7"/>
  <c r="I74" i="7"/>
  <c r="H74" i="7"/>
  <c r="G74" i="7"/>
  <c r="F74" i="7"/>
  <c r="L73" i="7"/>
  <c r="K73" i="7"/>
  <c r="J73" i="7"/>
  <c r="I73" i="7"/>
  <c r="H73" i="7"/>
  <c r="G73" i="7"/>
  <c r="F73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B39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B38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0" i="7" l="1"/>
  <c r="A1" i="7" l="1"/>
  <c r="A82" i="7"/>
  <c r="A63" i="7"/>
  <c r="A27" i="7"/>
</calcChain>
</file>

<file path=xl/sharedStrings.xml><?xml version="1.0" encoding="utf-8"?>
<sst xmlns="http://schemas.openxmlformats.org/spreadsheetml/2006/main" count="97" uniqueCount="81">
  <si>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</si>
  <si>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</si>
  <si>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</si>
  <si>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</si>
  <si>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</si>
  <si>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</si>
  <si>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</si>
  <si>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</si>
  <si>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</si>
  <si>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</si>
  <si>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</si>
  <si>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</si>
  <si>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</si>
  <si>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</si>
  <si>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</si>
  <si>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</si>
  <si>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</si>
  <si>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</si>
  <si>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</si>
  <si>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</si>
  <si>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</si>
  <si>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</si>
  <si>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</si>
  <si>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</si>
  <si>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</si>
  <si>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</si>
  <si>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</si>
  <si>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</si>
  <si>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</si>
  <si>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</si>
  <si>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</si>
  <si>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</si>
  <si>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</si>
  <si>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</si>
  <si>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</si>
  <si>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</si>
  <si>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</si>
  <si>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</si>
  <si>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</si>
  <si>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</si>
  <si>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</si>
  <si>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</si>
  <si>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</si>
  <si>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</si>
  <si>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</si>
  <si>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  ZOBOWIĄZANIA WG TYTUŁÓW 
    DŁUŻNYCH (E1+E2+E3+E4)</t>
  </si>
  <si>
    <t>E1.1 krótkotermionowe</t>
  </si>
  <si>
    <t>E1.2 długoterminowe</t>
  </si>
  <si>
    <t>E2.1 krótkotermionowe</t>
  </si>
  <si>
    <t>E2.2 długoterminowe</t>
  </si>
  <si>
    <t>E3 przyjęte depozyty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</si>
  <si>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</si>
  <si>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</si>
  <si>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</si>
  <si>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</si>
  <si>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</si>
  <si>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</si>
  <si>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</si>
  <si>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</si>
  <si>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</si>
  <si>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</si>
  <si>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</si>
  <si>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</si>
  <si>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</si>
  <si>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</si>
  <si>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</si>
  <si>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</si>
  <si>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</si>
  <si>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</si>
  <si>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</si>
  <si>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</si>
  <si>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</si>
  <si>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</si>
  <si>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</si>
  <si>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</si>
  <si>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tytul</t>
  </si>
  <si>
    <t>w złotych</t>
  </si>
  <si>
    <t>E1 papiery wartościowe  (E1.1+E1.2)</t>
  </si>
  <si>
    <t>E2 kredyty i pożyczki (E2.1+E2.2)</t>
  </si>
  <si>
    <t>E4  wymagalne zobowiązania (E4.1+E4.2)</t>
  </si>
  <si>
    <t>N5.2 z tytułu podatków i składek na ubezpieczenia społ.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</si>
</sst>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33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6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  <font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86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7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" fillId="0" borderId="10" xfId="37" applyFont="1" applyBorder="1" applyAlignment="1">
      <alignment horizontal="left" vertical="center" wrapText="1"/>
    </xf>
    <xf numFmtId="0" fontId="31" fillId="0" borderId="17" xfId="0" applyFont="1" applyFill="1" applyBorder="1" applyAlignment="1">
      <alignment vertical="center" wrapText="1"/>
    </xf>
    <xf numFmtId="0" fontId="2" fillId="20" borderId="10" xfId="37" applyFont="1" applyFill="1" applyBorder="1" applyAlignment="1">
      <alignment horizontal="left" vertical="center" wrapText="1"/>
    </xf>
    <xf numFmtId="0" fontId="8" fillId="20" borderId="10" xfId="37" applyFont="1" applyFill="1" applyBorder="1" applyAlignment="1">
      <alignment horizontal="left" vertical="center" wrapText="1"/>
    </xf>
    <xf numFmtId="4" fontId="7" fillId="20" borderId="10" xfId="37" applyNumberFormat="1" applyFont="1" applyFill="1" applyBorder="1" applyAlignment="1">
      <alignment horizontal="right" vertical="center" wrapText="1"/>
    </xf>
    <xf numFmtId="4" fontId="7" fillId="0" borderId="10" xfId="37" applyNumberFormat="1" applyFont="1" applyBorder="1" applyAlignment="1">
      <alignment horizontal="right" vertical="center" wrapText="1"/>
    </xf>
    <xf numFmtId="4" fontId="7" fillId="20" borderId="10" xfId="37" applyNumberFormat="1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vertical="center" wrapText="1"/>
    </xf>
    <xf numFmtId="0" fontId="30" fillId="21" borderId="17" xfId="0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horizontal="right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32" fillId="0" borderId="0" xfId="37" applyFont="1" applyAlignment="1">
      <alignment horizontal="center" vertical="center" wrapText="1"/>
    </xf>
    <xf numFmtId="0" fontId="7" fillId="19" borderId="19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29" fillId="19" borderId="10" xfId="37" applyNumberFormat="1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0" fontId="6" fillId="0" borderId="0" xfId="37" applyFont="1" applyAlignment="1">
      <alignment horizontal="left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0" fontId="2" fillId="20" borderId="15" xfId="37" applyFont="1" applyFill="1" applyBorder="1" applyAlignment="1">
      <alignment horizontal="left" vertical="center" wrapText="1"/>
    </xf>
    <xf numFmtId="0" fontId="2" fillId="20" borderId="14" xfId="37" applyFont="1" applyFill="1" applyBorder="1" applyAlignment="1">
      <alignment horizontal="left" vertical="center" wrapText="1"/>
    </xf>
    <xf numFmtId="0" fontId="2" fillId="20" borderId="11" xfId="37" applyFont="1" applyFill="1" applyBorder="1" applyAlignment="1">
      <alignment horizontal="left" vertical="center" wrapText="1"/>
    </xf>
    <xf numFmtId="3" fontId="7" fillId="20" borderId="15" xfId="37" applyNumberFormat="1" applyFont="1" applyFill="1" applyBorder="1" applyAlignment="1">
      <alignment horizontal="right" vertical="center" wrapText="1"/>
    </xf>
    <xf numFmtId="3" fontId="7" fillId="20" borderId="11" xfId="37" applyNumberFormat="1" applyFont="1" applyFill="1" applyBorder="1" applyAlignment="1">
      <alignment horizontal="right" vertical="center" wrapText="1"/>
    </xf>
    <xf numFmtId="4" fontId="7" fillId="20" borderId="15" xfId="37" applyNumberFormat="1" applyFont="1" applyFill="1" applyBorder="1" applyAlignment="1">
      <alignment horizontal="right" vertical="center" wrapText="1"/>
    </xf>
    <xf numFmtId="4" fontId="7" fillId="20" borderId="11" xfId="37" applyNumberFormat="1" applyFont="1" applyFill="1" applyBorder="1" applyAlignment="1">
      <alignment horizontal="right" vertical="center" wrapText="1"/>
    </xf>
    <xf numFmtId="0" fontId="5" fillId="19" borderId="22" xfId="37" applyFont="1" applyFill="1" applyBorder="1" applyAlignment="1">
      <alignment horizontal="center" vertical="center" wrapText="1"/>
    </xf>
    <xf numFmtId="0" fontId="5" fillId="19" borderId="21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29" fillId="19" borderId="10" xfId="37" applyFont="1" applyFill="1" applyBorder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28" fillId="19" borderId="19" xfId="37" applyFont="1" applyFill="1" applyBorder="1" applyAlignment="1">
      <alignment horizontal="center" vertical="center" wrapText="1"/>
    </xf>
    <xf numFmtId="0" fontId="28" fillId="19" borderId="20" xfId="37" applyFont="1" applyFill="1" applyBorder="1" applyAlignment="1">
      <alignment horizontal="center" vertical="center" wrapText="1"/>
    </xf>
    <xf numFmtId="0" fontId="28" fillId="19" borderId="12" xfId="37" applyFont="1" applyFill="1" applyBorder="1" applyAlignment="1">
      <alignment horizontal="center" vertical="center" wrapText="1"/>
    </xf>
    <xf numFmtId="0" fontId="28" fillId="19" borderId="15" xfId="37" applyFont="1" applyFill="1" applyBorder="1" applyAlignment="1">
      <alignment horizontal="center" vertical="center" wrapText="1"/>
    </xf>
    <xf numFmtId="0" fontId="28" fillId="19" borderId="14" xfId="37" applyFont="1" applyFill="1" applyBorder="1" applyAlignment="1">
      <alignment horizontal="center" vertical="center" wrapText="1"/>
    </xf>
    <xf numFmtId="0" fontId="28" fillId="19" borderId="11" xfId="37" applyFont="1" applyFill="1" applyBorder="1" applyAlignment="1">
      <alignment horizontal="center" vertical="center" wrapText="1"/>
    </xf>
    <xf numFmtId="0" fontId="7" fillId="19" borderId="21" xfId="37" applyFont="1" applyFill="1" applyBorder="1" applyAlignment="1">
      <alignment horizontal="center" vertical="center" wrapText="1"/>
    </xf>
    <xf numFmtId="0" fontId="7" fillId="19" borderId="13" xfId="37" applyFont="1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y" xfId="0" builtinId="0"/>
    <cellStyle name="Normalny_Zeszyt1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Q93"/>
  <sheetViews>
    <sheetView tabSelected="1" zoomScaleNormal="100" zoomScaleSheetLayoutView="75" workbookViewId="0">
      <selection sqref="A1:M1"/>
    </sheetView>
  </sheetViews>
  <sheetFormatPr defaultRowHeight="13.5" customHeight="1" x14ac:dyDescent="0.2"/>
  <cols>
    <col min="1" max="1" width="22.5703125" style="2" customWidth="1"/>
    <col min="2" max="3" width="13.7109375" style="2" customWidth="1"/>
    <col min="4" max="6" width="11.42578125" style="2" customWidth="1"/>
    <col min="7" max="7" width="12.140625" style="2" customWidth="1"/>
    <col min="8" max="8" width="12" style="2" customWidth="1"/>
    <col min="9" max="9" width="12.5703125" style="2" customWidth="1"/>
    <col min="10" max="10" width="12.85546875" style="2" customWidth="1"/>
    <col min="11" max="11" width="12.140625" style="2" customWidth="1"/>
    <col min="12" max="12" width="11.42578125" style="2" customWidth="1"/>
    <col min="13" max="13" width="10" style="2" customWidth="1"/>
    <col min="14" max="14" width="10.28515625" style="2" customWidth="1"/>
    <col min="15" max="15" width="9.140625" style="2"/>
    <col min="16" max="16" width="10.28515625" style="2" customWidth="1"/>
    <col min="17" max="16384" width="9.140625" style="2"/>
  </cols>
  <sheetData>
    <row r="1" spans="1:17" ht="39.75" customHeight="1" x14ac:dyDescent="0.2">
      <c r="A1" s="31" t="str">
        <f>CONCATENATE("Informacja z wykonania budżetów powiatów za   ",$C$90," ",$B$91," roku    ",$B$93,"")</f>
        <v xml:space="preserve">Informacja z wykonania budżetów powiatów za   I Kwartał 2024 roku    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41" t="s">
        <v>60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5" spans="1:17" ht="13.5" customHeight="1" x14ac:dyDescent="0.2">
      <c r="B5" s="12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11"/>
      <c r="O5" s="11"/>
      <c r="P5" s="11"/>
      <c r="Q5" s="11"/>
    </row>
    <row r="6" spans="1:17" ht="13.5" customHeight="1" x14ac:dyDescent="0.2">
      <c r="A6" s="72" t="s">
        <v>0</v>
      </c>
      <c r="B6" s="32" t="s">
        <v>61</v>
      </c>
      <c r="C6" s="27" t="s">
        <v>65</v>
      </c>
      <c r="D6" s="28"/>
      <c r="E6" s="28"/>
      <c r="F6" s="28"/>
      <c r="G6" s="28"/>
      <c r="H6" s="28"/>
      <c r="I6" s="28"/>
      <c r="J6" s="28"/>
      <c r="K6" s="28"/>
      <c r="L6" s="28"/>
      <c r="M6" s="28"/>
      <c r="N6" s="29"/>
      <c r="O6" s="27" t="s">
        <v>64</v>
      </c>
      <c r="P6" s="28"/>
      <c r="Q6" s="29"/>
    </row>
    <row r="7" spans="1:17" ht="13.5" customHeight="1" x14ac:dyDescent="0.2">
      <c r="A7" s="73"/>
      <c r="B7" s="33"/>
      <c r="C7" s="34" t="s">
        <v>62</v>
      </c>
      <c r="D7" s="34" t="s">
        <v>73</v>
      </c>
      <c r="E7" s="34" t="s">
        <v>66</v>
      </c>
      <c r="F7" s="34" t="s">
        <v>67</v>
      </c>
      <c r="G7" s="34" t="s">
        <v>27</v>
      </c>
      <c r="H7" s="34" t="s">
        <v>28</v>
      </c>
      <c r="I7" s="78" t="s">
        <v>63</v>
      </c>
      <c r="J7" s="34" t="s">
        <v>16</v>
      </c>
      <c r="K7" s="34" t="s">
        <v>17</v>
      </c>
      <c r="L7" s="34" t="s">
        <v>18</v>
      </c>
      <c r="M7" s="34" t="s">
        <v>19</v>
      </c>
      <c r="N7" s="33" t="s">
        <v>20</v>
      </c>
      <c r="O7" s="30" t="s">
        <v>21</v>
      </c>
      <c r="P7" s="30" t="s">
        <v>22</v>
      </c>
      <c r="Q7" s="30" t="s">
        <v>23</v>
      </c>
    </row>
    <row r="8" spans="1:17" ht="13.5" customHeight="1" x14ac:dyDescent="0.2">
      <c r="A8" s="73"/>
      <c r="B8" s="33"/>
      <c r="C8" s="30"/>
      <c r="D8" s="30"/>
      <c r="E8" s="30"/>
      <c r="F8" s="30"/>
      <c r="G8" s="30"/>
      <c r="H8" s="30"/>
      <c r="I8" s="78"/>
      <c r="J8" s="30"/>
      <c r="K8" s="30"/>
      <c r="L8" s="30"/>
      <c r="M8" s="30"/>
      <c r="N8" s="33"/>
      <c r="O8" s="30"/>
      <c r="P8" s="30"/>
      <c r="Q8" s="30"/>
    </row>
    <row r="9" spans="1:17" ht="11.25" customHeight="1" x14ac:dyDescent="0.2">
      <c r="A9" s="73"/>
      <c r="B9" s="33"/>
      <c r="C9" s="30"/>
      <c r="D9" s="30"/>
      <c r="E9" s="30"/>
      <c r="F9" s="30"/>
      <c r="G9" s="30"/>
      <c r="H9" s="30"/>
      <c r="I9" s="78"/>
      <c r="J9" s="30"/>
      <c r="K9" s="30"/>
      <c r="L9" s="30"/>
      <c r="M9" s="30"/>
      <c r="N9" s="33"/>
      <c r="O9" s="30"/>
      <c r="P9" s="30"/>
      <c r="Q9" s="30"/>
    </row>
    <row r="10" spans="1:17" ht="33.75" customHeight="1" x14ac:dyDescent="0.2">
      <c r="A10" s="74"/>
      <c r="B10" s="34"/>
      <c r="C10" s="30"/>
      <c r="D10" s="30"/>
      <c r="E10" s="30"/>
      <c r="F10" s="30"/>
      <c r="G10" s="30"/>
      <c r="H10" s="30"/>
      <c r="I10" s="79"/>
      <c r="J10" s="30"/>
      <c r="K10" s="30"/>
      <c r="L10" s="30"/>
      <c r="M10" s="30"/>
      <c r="N10" s="34"/>
      <c r="O10" s="30"/>
      <c r="P10" s="30"/>
      <c r="Q10" s="30"/>
    </row>
    <row r="11" spans="1:17" ht="15.75" customHeight="1" x14ac:dyDescent="0.2">
      <c r="A11" s="13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13">
        <v>11</v>
      </c>
      <c r="L11" s="13">
        <v>12</v>
      </c>
      <c r="M11" s="13">
        <v>13</v>
      </c>
      <c r="N11" s="13">
        <v>14</v>
      </c>
      <c r="O11" s="13">
        <v>15</v>
      </c>
      <c r="P11" s="13">
        <v>16</v>
      </c>
      <c r="Q11" s="13">
        <v>17</v>
      </c>
    </row>
    <row r="12" spans="1:17" ht="12" customHeight="1" x14ac:dyDescent="0.2">
      <c r="A12" s="13"/>
      <c r="B12" s="80" t="s">
        <v>76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2"/>
    </row>
    <row r="13" spans="1:17" ht="39.75" customHeight="1" x14ac:dyDescent="0.2">
      <c r="A13" s="20" t="s">
        <v>45</v>
      </c>
      <c r="B13" s="21">
        <f>6670945589.69</f>
        <v>6670945589.6899996</v>
      </c>
      <c r="C13" s="21">
        <f>6670945589.69</f>
        <v>6670945589.6899996</v>
      </c>
      <c r="D13" s="21">
        <f>242226732.3</f>
        <v>242226732.30000001</v>
      </c>
      <c r="E13" s="21">
        <f>201826862.71</f>
        <v>201826862.71000001</v>
      </c>
      <c r="F13" s="21">
        <f>9033403.35</f>
        <v>9033403.3499999996</v>
      </c>
      <c r="G13" s="21">
        <f>31366466.24</f>
        <v>31366466.239999998</v>
      </c>
      <c r="H13" s="21">
        <f>0</f>
        <v>0</v>
      </c>
      <c r="I13" s="21">
        <f>0</f>
        <v>0</v>
      </c>
      <c r="J13" s="21">
        <f>6129636709.41</f>
        <v>6129636709.4099998</v>
      </c>
      <c r="K13" s="21">
        <f>293046427.22</f>
        <v>293046427.22000003</v>
      </c>
      <c r="L13" s="21">
        <f>3645739.06</f>
        <v>3645739.06</v>
      </c>
      <c r="M13" s="21">
        <f>249974.6</f>
        <v>249974.6</v>
      </c>
      <c r="N13" s="21">
        <f>2140007.1</f>
        <v>2140007.1</v>
      </c>
      <c r="O13" s="21">
        <f>0</f>
        <v>0</v>
      </c>
      <c r="P13" s="21">
        <f>0</f>
        <v>0</v>
      </c>
      <c r="Q13" s="21">
        <f>0</f>
        <v>0</v>
      </c>
    </row>
    <row r="14" spans="1:17" ht="24.75" customHeight="1" x14ac:dyDescent="0.2">
      <c r="A14" s="19" t="s">
        <v>77</v>
      </c>
      <c r="B14" s="21">
        <f>14000000</f>
        <v>14000000</v>
      </c>
      <c r="C14" s="21">
        <f>14000000</f>
        <v>14000000</v>
      </c>
      <c r="D14" s="21">
        <f>0</f>
        <v>0</v>
      </c>
      <c r="E14" s="21">
        <f>0</f>
        <v>0</v>
      </c>
      <c r="F14" s="21">
        <f>0</f>
        <v>0</v>
      </c>
      <c r="G14" s="21">
        <f>0</f>
        <v>0</v>
      </c>
      <c r="H14" s="21">
        <f>0</f>
        <v>0</v>
      </c>
      <c r="I14" s="21">
        <f>0</f>
        <v>0</v>
      </c>
      <c r="J14" s="21">
        <f>14000000</f>
        <v>14000000</v>
      </c>
      <c r="K14" s="21">
        <f>0</f>
        <v>0</v>
      </c>
      <c r="L14" s="21">
        <f>0</f>
        <v>0</v>
      </c>
      <c r="M14" s="21">
        <f>0</f>
        <v>0</v>
      </c>
      <c r="N14" s="21">
        <f>0</f>
        <v>0</v>
      </c>
      <c r="O14" s="21">
        <f>0</f>
        <v>0</v>
      </c>
      <c r="P14" s="21">
        <f>0</f>
        <v>0</v>
      </c>
      <c r="Q14" s="21">
        <f>0</f>
        <v>0</v>
      </c>
    </row>
    <row r="15" spans="1:17" ht="21" customHeight="1" x14ac:dyDescent="0.2">
      <c r="A15" s="17" t="s">
        <v>46</v>
      </c>
      <c r="B15" s="22">
        <f>0</f>
        <v>0</v>
      </c>
      <c r="C15" s="22">
        <f>0</f>
        <v>0</v>
      </c>
      <c r="D15" s="22">
        <f>0</f>
        <v>0</v>
      </c>
      <c r="E15" s="22">
        <f>0</f>
        <v>0</v>
      </c>
      <c r="F15" s="22">
        <f>0</f>
        <v>0</v>
      </c>
      <c r="G15" s="22">
        <f>0</f>
        <v>0</v>
      </c>
      <c r="H15" s="22">
        <f>0</f>
        <v>0</v>
      </c>
      <c r="I15" s="22">
        <f>0</f>
        <v>0</v>
      </c>
      <c r="J15" s="22">
        <f>0</f>
        <v>0</v>
      </c>
      <c r="K15" s="22">
        <f>0</f>
        <v>0</v>
      </c>
      <c r="L15" s="22">
        <f>0</f>
        <v>0</v>
      </c>
      <c r="M15" s="22">
        <f>0</f>
        <v>0</v>
      </c>
      <c r="N15" s="22">
        <f>0</f>
        <v>0</v>
      </c>
      <c r="O15" s="22">
        <f>0</f>
        <v>0</v>
      </c>
      <c r="P15" s="22">
        <f>0</f>
        <v>0</v>
      </c>
      <c r="Q15" s="22">
        <f>0</f>
        <v>0</v>
      </c>
    </row>
    <row r="16" spans="1:17" ht="20.25" customHeight="1" x14ac:dyDescent="0.2">
      <c r="A16" s="17" t="s">
        <v>47</v>
      </c>
      <c r="B16" s="22">
        <f>14000000</f>
        <v>14000000</v>
      </c>
      <c r="C16" s="22">
        <f>14000000</f>
        <v>14000000</v>
      </c>
      <c r="D16" s="22">
        <f>0</f>
        <v>0</v>
      </c>
      <c r="E16" s="22">
        <f>0</f>
        <v>0</v>
      </c>
      <c r="F16" s="22">
        <f>0</f>
        <v>0</v>
      </c>
      <c r="G16" s="22">
        <f>0</f>
        <v>0</v>
      </c>
      <c r="H16" s="22">
        <f>0</f>
        <v>0</v>
      </c>
      <c r="I16" s="22">
        <f>0</f>
        <v>0</v>
      </c>
      <c r="J16" s="22">
        <f>14000000</f>
        <v>14000000</v>
      </c>
      <c r="K16" s="22">
        <f>0</f>
        <v>0</v>
      </c>
      <c r="L16" s="22">
        <f>0</f>
        <v>0</v>
      </c>
      <c r="M16" s="22">
        <f>0</f>
        <v>0</v>
      </c>
      <c r="N16" s="22">
        <f>0</f>
        <v>0</v>
      </c>
      <c r="O16" s="22">
        <f>0</f>
        <v>0</v>
      </c>
      <c r="P16" s="22">
        <f>0</f>
        <v>0</v>
      </c>
      <c r="Q16" s="22">
        <f>0</f>
        <v>0</v>
      </c>
    </row>
    <row r="17" spans="1:17" ht="24" customHeight="1" x14ac:dyDescent="0.2">
      <c r="A17" s="20" t="s">
        <v>78</v>
      </c>
      <c r="B17" s="21">
        <f>6651554218.46</f>
        <v>6651554218.46</v>
      </c>
      <c r="C17" s="21">
        <f>6651554218.46</f>
        <v>6651554218.46</v>
      </c>
      <c r="D17" s="21">
        <f>237588417.95</f>
        <v>237588417.94999999</v>
      </c>
      <c r="E17" s="21">
        <f>197206361.85</f>
        <v>197206361.84999999</v>
      </c>
      <c r="F17" s="21">
        <f>9033314.35</f>
        <v>9033314.3499999996</v>
      </c>
      <c r="G17" s="21">
        <f>31348741.75</f>
        <v>31348741.75</v>
      </c>
      <c r="H17" s="21">
        <f>0</f>
        <v>0</v>
      </c>
      <c r="I17" s="21">
        <f>0</f>
        <v>0</v>
      </c>
      <c r="J17" s="21">
        <f>6115636709.41</f>
        <v>6115636709.4099998</v>
      </c>
      <c r="K17" s="21">
        <f>293046427.22</f>
        <v>293046427.22000003</v>
      </c>
      <c r="L17" s="21">
        <f>3142656.78</f>
        <v>3142656.78</v>
      </c>
      <c r="M17" s="21">
        <f>0</f>
        <v>0</v>
      </c>
      <c r="N17" s="21">
        <f>2140007.1</f>
        <v>2140007.1</v>
      </c>
      <c r="O17" s="21">
        <f>0</f>
        <v>0</v>
      </c>
      <c r="P17" s="21">
        <f>0</f>
        <v>0</v>
      </c>
      <c r="Q17" s="21">
        <f>0</f>
        <v>0</v>
      </c>
    </row>
    <row r="18" spans="1:17" ht="23.25" customHeight="1" x14ac:dyDescent="0.2">
      <c r="A18" s="17" t="s">
        <v>48</v>
      </c>
      <c r="B18" s="22">
        <f>30066741.7</f>
        <v>30066741.699999999</v>
      </c>
      <c r="C18" s="22">
        <f>30066741.7</f>
        <v>30066741.699999999</v>
      </c>
      <c r="D18" s="22">
        <f>165888</f>
        <v>165888</v>
      </c>
      <c r="E18" s="22">
        <f>0</f>
        <v>0</v>
      </c>
      <c r="F18" s="22">
        <f>165888</f>
        <v>165888</v>
      </c>
      <c r="G18" s="22">
        <f>0</f>
        <v>0</v>
      </c>
      <c r="H18" s="22">
        <f>0</f>
        <v>0</v>
      </c>
      <c r="I18" s="22">
        <f>0</f>
        <v>0</v>
      </c>
      <c r="J18" s="22">
        <f>29401046.98</f>
        <v>29401046.98</v>
      </c>
      <c r="K18" s="22">
        <f>499806.72</f>
        <v>499806.71999999997</v>
      </c>
      <c r="L18" s="22">
        <f>0</f>
        <v>0</v>
      </c>
      <c r="M18" s="22">
        <f>0</f>
        <v>0</v>
      </c>
      <c r="N18" s="22">
        <f>0</f>
        <v>0</v>
      </c>
      <c r="O18" s="22">
        <f>0</f>
        <v>0</v>
      </c>
      <c r="P18" s="22">
        <f>0</f>
        <v>0</v>
      </c>
      <c r="Q18" s="22">
        <f>0</f>
        <v>0</v>
      </c>
    </row>
    <row r="19" spans="1:17" ht="21.75" customHeight="1" x14ac:dyDescent="0.2">
      <c r="A19" s="17" t="s">
        <v>49</v>
      </c>
      <c r="B19" s="22">
        <f>6621487476.76</f>
        <v>6621487476.7600002</v>
      </c>
      <c r="C19" s="22">
        <f>6621487476.76</f>
        <v>6621487476.7600002</v>
      </c>
      <c r="D19" s="22">
        <f>237422529.95</f>
        <v>237422529.94999999</v>
      </c>
      <c r="E19" s="22">
        <f>197206361.85</f>
        <v>197206361.84999999</v>
      </c>
      <c r="F19" s="22">
        <f>8867426.35</f>
        <v>8867426.3499999996</v>
      </c>
      <c r="G19" s="22">
        <f>31348741.75</f>
        <v>31348741.75</v>
      </c>
      <c r="H19" s="22">
        <f>0</f>
        <v>0</v>
      </c>
      <c r="I19" s="22">
        <f>0</f>
        <v>0</v>
      </c>
      <c r="J19" s="22">
        <f>6086235662.43</f>
        <v>6086235662.4300003</v>
      </c>
      <c r="K19" s="22">
        <f>292546620.5</f>
        <v>292546620.5</v>
      </c>
      <c r="L19" s="22">
        <f>3142656.78</f>
        <v>3142656.78</v>
      </c>
      <c r="M19" s="22">
        <f>0</f>
        <v>0</v>
      </c>
      <c r="N19" s="22">
        <f>2140007.1</f>
        <v>2140007.1</v>
      </c>
      <c r="O19" s="22">
        <f>0</f>
        <v>0</v>
      </c>
      <c r="P19" s="22">
        <f>0</f>
        <v>0</v>
      </c>
      <c r="Q19" s="22">
        <f>0</f>
        <v>0</v>
      </c>
    </row>
    <row r="20" spans="1:17" ht="21.75" customHeight="1" x14ac:dyDescent="0.2">
      <c r="A20" s="17" t="s">
        <v>50</v>
      </c>
      <c r="B20" s="22">
        <f>0</f>
        <v>0</v>
      </c>
      <c r="C20" s="22">
        <f>0</f>
        <v>0</v>
      </c>
      <c r="D20" s="22">
        <f>0</f>
        <v>0</v>
      </c>
      <c r="E20" s="22">
        <f>0</f>
        <v>0</v>
      </c>
      <c r="F20" s="22">
        <f>0</f>
        <v>0</v>
      </c>
      <c r="G20" s="22">
        <f>0</f>
        <v>0</v>
      </c>
      <c r="H20" s="22">
        <f>0</f>
        <v>0</v>
      </c>
      <c r="I20" s="22">
        <f>0</f>
        <v>0</v>
      </c>
      <c r="J20" s="22">
        <f>0</f>
        <v>0</v>
      </c>
      <c r="K20" s="22">
        <f>0</f>
        <v>0</v>
      </c>
      <c r="L20" s="22">
        <f>0</f>
        <v>0</v>
      </c>
      <c r="M20" s="22">
        <f>0</f>
        <v>0</v>
      </c>
      <c r="N20" s="22">
        <f>0</f>
        <v>0</v>
      </c>
      <c r="O20" s="22">
        <f>0</f>
        <v>0</v>
      </c>
      <c r="P20" s="22">
        <f>0</f>
        <v>0</v>
      </c>
      <c r="Q20" s="22">
        <f>0</f>
        <v>0</v>
      </c>
    </row>
    <row r="21" spans="1:17" ht="24.75" customHeight="1" x14ac:dyDescent="0.2">
      <c r="A21" s="20" t="s">
        <v>79</v>
      </c>
      <c r="B21" s="21">
        <f>5391371.23</f>
        <v>5391371.2300000004</v>
      </c>
      <c r="C21" s="21">
        <f>5391371.23</f>
        <v>5391371.2300000004</v>
      </c>
      <c r="D21" s="21">
        <f>4638314.35</f>
        <v>4638314.3499999996</v>
      </c>
      <c r="E21" s="21">
        <f>4620500.86</f>
        <v>4620500.8600000003</v>
      </c>
      <c r="F21" s="21">
        <f>89</f>
        <v>89</v>
      </c>
      <c r="G21" s="21">
        <f>17724.49</f>
        <v>17724.490000000002</v>
      </c>
      <c r="H21" s="21">
        <f>0</f>
        <v>0</v>
      </c>
      <c r="I21" s="21">
        <f>0</f>
        <v>0</v>
      </c>
      <c r="J21" s="21">
        <f>0</f>
        <v>0</v>
      </c>
      <c r="K21" s="21">
        <f>0</f>
        <v>0</v>
      </c>
      <c r="L21" s="21">
        <f>503082.28</f>
        <v>503082.28</v>
      </c>
      <c r="M21" s="21">
        <f>249974.6</f>
        <v>249974.6</v>
      </c>
      <c r="N21" s="21">
        <f>0</f>
        <v>0</v>
      </c>
      <c r="O21" s="21">
        <f>0</f>
        <v>0</v>
      </c>
      <c r="P21" s="21">
        <f>0</f>
        <v>0</v>
      </c>
      <c r="Q21" s="21">
        <f>0</f>
        <v>0</v>
      </c>
    </row>
    <row r="22" spans="1:17" ht="22.5" x14ac:dyDescent="0.2">
      <c r="A22" s="17" t="s">
        <v>51</v>
      </c>
      <c r="B22" s="22">
        <f>565428.41</f>
        <v>565428.41</v>
      </c>
      <c r="C22" s="22">
        <f>565428.41</f>
        <v>565428.41</v>
      </c>
      <c r="D22" s="22">
        <f>0</f>
        <v>0</v>
      </c>
      <c r="E22" s="22">
        <f>0</f>
        <v>0</v>
      </c>
      <c r="F22" s="22">
        <f>0</f>
        <v>0</v>
      </c>
      <c r="G22" s="22">
        <f>0</f>
        <v>0</v>
      </c>
      <c r="H22" s="22">
        <f>0</f>
        <v>0</v>
      </c>
      <c r="I22" s="22">
        <f>0</f>
        <v>0</v>
      </c>
      <c r="J22" s="22">
        <f>0</f>
        <v>0</v>
      </c>
      <c r="K22" s="22">
        <f>0</f>
        <v>0</v>
      </c>
      <c r="L22" s="22">
        <f>375528.26</f>
        <v>375528.26</v>
      </c>
      <c r="M22" s="22">
        <f>189900.15</f>
        <v>189900.15</v>
      </c>
      <c r="N22" s="22">
        <f>0</f>
        <v>0</v>
      </c>
      <c r="O22" s="22">
        <f>0</f>
        <v>0</v>
      </c>
      <c r="P22" s="22">
        <f>0</f>
        <v>0</v>
      </c>
      <c r="Q22" s="22">
        <f>0</f>
        <v>0</v>
      </c>
    </row>
    <row r="23" spans="1:17" ht="23.25" customHeight="1" x14ac:dyDescent="0.2">
      <c r="A23" s="17" t="s">
        <v>52</v>
      </c>
      <c r="B23" s="22">
        <f>4825942.82</f>
        <v>4825942.82</v>
      </c>
      <c r="C23" s="22">
        <f>4825942.82</f>
        <v>4825942.82</v>
      </c>
      <c r="D23" s="22">
        <f>4638314.35</f>
        <v>4638314.3499999996</v>
      </c>
      <c r="E23" s="22">
        <f>4620500.86</f>
        <v>4620500.8600000003</v>
      </c>
      <c r="F23" s="22">
        <f>89</f>
        <v>89</v>
      </c>
      <c r="G23" s="22">
        <f>17724.49</f>
        <v>17724.490000000002</v>
      </c>
      <c r="H23" s="22">
        <f>0</f>
        <v>0</v>
      </c>
      <c r="I23" s="22">
        <f>0</f>
        <v>0</v>
      </c>
      <c r="J23" s="22">
        <f>0</f>
        <v>0</v>
      </c>
      <c r="K23" s="22">
        <f>0</f>
        <v>0</v>
      </c>
      <c r="L23" s="22">
        <f>127554.02</f>
        <v>127554.02</v>
      </c>
      <c r="M23" s="22">
        <f>60074.45</f>
        <v>60074.45</v>
      </c>
      <c r="N23" s="22">
        <f>0</f>
        <v>0</v>
      </c>
      <c r="O23" s="22">
        <f>0</f>
        <v>0</v>
      </c>
      <c r="P23" s="22">
        <f>0</f>
        <v>0</v>
      </c>
      <c r="Q23" s="22">
        <f>0</f>
        <v>0</v>
      </c>
    </row>
    <row r="24" spans="1:17" ht="19.5" customHeight="1" x14ac:dyDescent="0.2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 ht="19.5" customHeight="1" x14ac:dyDescent="0.2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9.5" customHeight="1" x14ac:dyDescent="0.2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ht="45.75" customHeight="1" x14ac:dyDescent="0.2">
      <c r="A27" s="31" t="str">
        <f>CONCATENATE("Informacja z wykonania budżetów powiatów za   ",$C$90," ",$B$91," roku    ",$B$93,"")</f>
        <v xml:space="preserve">Informacja z wykonania budżetów powiatów za   I Kwartał 2024 roku    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</row>
    <row r="29" spans="1:17" ht="13.5" customHeight="1" x14ac:dyDescent="0.2">
      <c r="A29" s="41" t="s">
        <v>11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</row>
    <row r="31" spans="1:17" ht="13.5" customHeight="1" x14ac:dyDescent="0.2">
      <c r="A31" s="72" t="s">
        <v>0</v>
      </c>
      <c r="B31" s="32" t="s">
        <v>12</v>
      </c>
      <c r="C31" s="75" t="s">
        <v>14</v>
      </c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7"/>
      <c r="O31" s="75" t="s">
        <v>24</v>
      </c>
      <c r="P31" s="76"/>
      <c r="Q31" s="77"/>
    </row>
    <row r="32" spans="1:17" ht="13.5" customHeight="1" x14ac:dyDescent="0.2">
      <c r="A32" s="73"/>
      <c r="B32" s="33"/>
      <c r="C32" s="33" t="s">
        <v>13</v>
      </c>
      <c r="D32" s="30" t="s">
        <v>15</v>
      </c>
      <c r="E32" s="30" t="s">
        <v>25</v>
      </c>
      <c r="F32" s="30" t="s">
        <v>26</v>
      </c>
      <c r="G32" s="30" t="s">
        <v>70</v>
      </c>
      <c r="H32" s="30" t="s">
        <v>28</v>
      </c>
      <c r="I32" s="30" t="s">
        <v>1</v>
      </c>
      <c r="J32" s="30" t="s">
        <v>16</v>
      </c>
      <c r="K32" s="30" t="s">
        <v>17</v>
      </c>
      <c r="L32" s="30" t="s">
        <v>18</v>
      </c>
      <c r="M32" s="30" t="s">
        <v>19</v>
      </c>
      <c r="N32" s="35" t="s">
        <v>20</v>
      </c>
      <c r="O32" s="30" t="s">
        <v>21</v>
      </c>
      <c r="P32" s="30" t="s">
        <v>22</v>
      </c>
      <c r="Q32" s="32" t="s">
        <v>23</v>
      </c>
    </row>
    <row r="33" spans="1:17" ht="13.5" customHeight="1" x14ac:dyDescent="0.2">
      <c r="A33" s="73"/>
      <c r="B33" s="33"/>
      <c r="C33" s="33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5"/>
      <c r="O33" s="30"/>
      <c r="P33" s="30"/>
      <c r="Q33" s="33"/>
    </row>
    <row r="34" spans="1:17" ht="11.25" customHeight="1" x14ac:dyDescent="0.2">
      <c r="A34" s="73"/>
      <c r="B34" s="33"/>
      <c r="C34" s="33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5"/>
      <c r="O34" s="30"/>
      <c r="P34" s="30"/>
      <c r="Q34" s="33"/>
    </row>
    <row r="35" spans="1:17" ht="41.25" customHeight="1" x14ac:dyDescent="0.2">
      <c r="A35" s="74"/>
      <c r="B35" s="34"/>
      <c r="C35" s="34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5"/>
      <c r="O35" s="30"/>
      <c r="P35" s="30"/>
      <c r="Q35" s="34"/>
    </row>
    <row r="36" spans="1:17" ht="15.75" customHeight="1" x14ac:dyDescent="0.2">
      <c r="A36" s="13">
        <v>1</v>
      </c>
      <c r="B36" s="13">
        <v>2</v>
      </c>
      <c r="C36" s="13">
        <v>3</v>
      </c>
      <c r="D36" s="13">
        <v>4</v>
      </c>
      <c r="E36" s="13">
        <v>5</v>
      </c>
      <c r="F36" s="13">
        <v>6</v>
      </c>
      <c r="G36" s="13">
        <v>7</v>
      </c>
      <c r="H36" s="13">
        <v>8</v>
      </c>
      <c r="I36" s="13">
        <v>9</v>
      </c>
      <c r="J36" s="13">
        <v>10</v>
      </c>
      <c r="K36" s="13">
        <v>11</v>
      </c>
      <c r="L36" s="13">
        <v>12</v>
      </c>
      <c r="M36" s="13">
        <v>13</v>
      </c>
      <c r="N36" s="13">
        <v>14</v>
      </c>
      <c r="O36" s="13">
        <v>15</v>
      </c>
      <c r="P36" s="13">
        <v>16</v>
      </c>
      <c r="Q36" s="13">
        <v>17</v>
      </c>
    </row>
    <row r="37" spans="1:17" ht="12" customHeight="1" x14ac:dyDescent="0.2">
      <c r="A37" s="13"/>
      <c r="B37" s="80" t="s">
        <v>76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9"/>
    </row>
    <row r="38" spans="1:17" ht="30" customHeight="1" x14ac:dyDescent="0.2">
      <c r="A38" s="25" t="s">
        <v>40</v>
      </c>
      <c r="B38" s="23">
        <f>1706659.94</f>
        <v>1706659.94</v>
      </c>
      <c r="C38" s="23">
        <f>1706659.94</f>
        <v>1706659.94</v>
      </c>
      <c r="D38" s="23">
        <f>50000</f>
        <v>50000</v>
      </c>
      <c r="E38" s="23">
        <f>50000</f>
        <v>50000</v>
      </c>
      <c r="F38" s="23">
        <f>0</f>
        <v>0</v>
      </c>
      <c r="G38" s="23">
        <f>0</f>
        <v>0</v>
      </c>
      <c r="H38" s="23">
        <f>0</f>
        <v>0</v>
      </c>
      <c r="I38" s="23">
        <f>0</f>
        <v>0</v>
      </c>
      <c r="J38" s="23">
        <f>0</f>
        <v>0</v>
      </c>
      <c r="K38" s="23">
        <f>0</f>
        <v>0</v>
      </c>
      <c r="L38" s="23">
        <f>1462186.61</f>
        <v>1462186.61</v>
      </c>
      <c r="M38" s="23">
        <f>194473.33</f>
        <v>194473.33</v>
      </c>
      <c r="N38" s="23">
        <f>0</f>
        <v>0</v>
      </c>
      <c r="O38" s="23">
        <f>0</f>
        <v>0</v>
      </c>
      <c r="P38" s="23">
        <f>0</f>
        <v>0</v>
      </c>
      <c r="Q38" s="23">
        <f>0</f>
        <v>0</v>
      </c>
    </row>
    <row r="39" spans="1:17" ht="25.5" customHeight="1" x14ac:dyDescent="0.2">
      <c r="A39" s="18" t="s">
        <v>29</v>
      </c>
      <c r="B39" s="24">
        <f>1495261.87</f>
        <v>1495261.87</v>
      </c>
      <c r="C39" s="24">
        <f>1495261.87</f>
        <v>1495261.87</v>
      </c>
      <c r="D39" s="24">
        <f>0</f>
        <v>0</v>
      </c>
      <c r="E39" s="24">
        <f>0</f>
        <v>0</v>
      </c>
      <c r="F39" s="24">
        <f>0</f>
        <v>0</v>
      </c>
      <c r="G39" s="24">
        <f>0</f>
        <v>0</v>
      </c>
      <c r="H39" s="24">
        <f>0</f>
        <v>0</v>
      </c>
      <c r="I39" s="24">
        <f>0</f>
        <v>0</v>
      </c>
      <c r="J39" s="24">
        <f>0</f>
        <v>0</v>
      </c>
      <c r="K39" s="24">
        <f>0</f>
        <v>0</v>
      </c>
      <c r="L39" s="24">
        <f>1454506.61</f>
        <v>1454506.61</v>
      </c>
      <c r="M39" s="24">
        <f>40755.26</f>
        <v>40755.26</v>
      </c>
      <c r="N39" s="24">
        <f>0</f>
        <v>0</v>
      </c>
      <c r="O39" s="24">
        <f>0</f>
        <v>0</v>
      </c>
      <c r="P39" s="24">
        <f>0</f>
        <v>0</v>
      </c>
      <c r="Q39" s="24">
        <f>0</f>
        <v>0</v>
      </c>
    </row>
    <row r="40" spans="1:17" ht="25.5" customHeight="1" x14ac:dyDescent="0.2">
      <c r="A40" s="18" t="s">
        <v>30</v>
      </c>
      <c r="B40" s="24">
        <f>211398.07</f>
        <v>211398.07</v>
      </c>
      <c r="C40" s="24">
        <f>211398.07</f>
        <v>211398.07</v>
      </c>
      <c r="D40" s="24">
        <f>50000</f>
        <v>50000</v>
      </c>
      <c r="E40" s="24">
        <f>50000</f>
        <v>50000</v>
      </c>
      <c r="F40" s="24">
        <f>0</f>
        <v>0</v>
      </c>
      <c r="G40" s="24">
        <f>0</f>
        <v>0</v>
      </c>
      <c r="H40" s="24">
        <f>0</f>
        <v>0</v>
      </c>
      <c r="I40" s="24">
        <f>0</f>
        <v>0</v>
      </c>
      <c r="J40" s="24">
        <f>0</f>
        <v>0</v>
      </c>
      <c r="K40" s="24">
        <f>0</f>
        <v>0</v>
      </c>
      <c r="L40" s="24">
        <f>7680</f>
        <v>7680</v>
      </c>
      <c r="M40" s="24">
        <f>153718.07</f>
        <v>153718.07</v>
      </c>
      <c r="N40" s="24">
        <f>0</f>
        <v>0</v>
      </c>
      <c r="O40" s="24">
        <f>0</f>
        <v>0</v>
      </c>
      <c r="P40" s="24">
        <f>0</f>
        <v>0</v>
      </c>
      <c r="Q40" s="24">
        <f>0</f>
        <v>0</v>
      </c>
    </row>
    <row r="41" spans="1:17" ht="30" customHeight="1" x14ac:dyDescent="0.2">
      <c r="A41" s="25" t="s">
        <v>41</v>
      </c>
      <c r="B41" s="23">
        <f>200193490.34</f>
        <v>200193490.34</v>
      </c>
      <c r="C41" s="23">
        <f>200193490.34</f>
        <v>200193490.34</v>
      </c>
      <c r="D41" s="23">
        <f>147105122.93</f>
        <v>147105122.93000001</v>
      </c>
      <c r="E41" s="23">
        <f>57945.4</f>
        <v>57945.4</v>
      </c>
      <c r="F41" s="23">
        <f>5092470.4</f>
        <v>5092470.4000000004</v>
      </c>
      <c r="G41" s="23">
        <f>141954707.13</f>
        <v>141954707.13</v>
      </c>
      <c r="H41" s="23">
        <f>0</f>
        <v>0</v>
      </c>
      <c r="I41" s="23">
        <f>0</f>
        <v>0</v>
      </c>
      <c r="J41" s="23">
        <f>30124.86</f>
        <v>30124.86</v>
      </c>
      <c r="K41" s="23">
        <f>0</f>
        <v>0</v>
      </c>
      <c r="L41" s="23">
        <f>40808408.16</f>
        <v>40808408.159999996</v>
      </c>
      <c r="M41" s="23">
        <f>11309925.88</f>
        <v>11309925.880000001</v>
      </c>
      <c r="N41" s="23">
        <f>939908.51</f>
        <v>939908.51</v>
      </c>
      <c r="O41" s="23">
        <f>0</f>
        <v>0</v>
      </c>
      <c r="P41" s="23">
        <f>0</f>
        <v>0</v>
      </c>
      <c r="Q41" s="23">
        <f>0</f>
        <v>0</v>
      </c>
    </row>
    <row r="42" spans="1:17" ht="25.5" customHeight="1" x14ac:dyDescent="0.2">
      <c r="A42" s="18" t="s">
        <v>31</v>
      </c>
      <c r="B42" s="24">
        <f>40229156.89</f>
        <v>40229156.890000001</v>
      </c>
      <c r="C42" s="24">
        <f>40229156.89</f>
        <v>40229156.890000001</v>
      </c>
      <c r="D42" s="24">
        <f>32625468.98</f>
        <v>32625468.98</v>
      </c>
      <c r="E42" s="24">
        <f>0</f>
        <v>0</v>
      </c>
      <c r="F42" s="24">
        <f>3240000</f>
        <v>3240000</v>
      </c>
      <c r="G42" s="24">
        <f>29385468.98</f>
        <v>29385468.98</v>
      </c>
      <c r="H42" s="24">
        <f>0</f>
        <v>0</v>
      </c>
      <c r="I42" s="24">
        <f>0</f>
        <v>0</v>
      </c>
      <c r="J42" s="24">
        <f>0</f>
        <v>0</v>
      </c>
      <c r="K42" s="24">
        <f>0</f>
        <v>0</v>
      </c>
      <c r="L42" s="24">
        <f>6206581.01</f>
        <v>6206581.0099999998</v>
      </c>
      <c r="M42" s="24">
        <f>1397106.9</f>
        <v>1397106.9</v>
      </c>
      <c r="N42" s="24">
        <f>0</f>
        <v>0</v>
      </c>
      <c r="O42" s="24">
        <f>0</f>
        <v>0</v>
      </c>
      <c r="P42" s="24">
        <f>0</f>
        <v>0</v>
      </c>
      <c r="Q42" s="24">
        <f>0</f>
        <v>0</v>
      </c>
    </row>
    <row r="43" spans="1:17" ht="25.5" customHeight="1" x14ac:dyDescent="0.2">
      <c r="A43" s="18" t="s">
        <v>32</v>
      </c>
      <c r="B43" s="24">
        <f>159964333.45</f>
        <v>159964333.44999999</v>
      </c>
      <c r="C43" s="24">
        <f>159964333.45</f>
        <v>159964333.44999999</v>
      </c>
      <c r="D43" s="24">
        <f>114479653.95</f>
        <v>114479653.95</v>
      </c>
      <c r="E43" s="24">
        <f>57945.4</f>
        <v>57945.4</v>
      </c>
      <c r="F43" s="24">
        <f>1852470.4</f>
        <v>1852470.4</v>
      </c>
      <c r="G43" s="24">
        <f>112569238.15</f>
        <v>112569238.15000001</v>
      </c>
      <c r="H43" s="24">
        <f>0</f>
        <v>0</v>
      </c>
      <c r="I43" s="24">
        <f>0</f>
        <v>0</v>
      </c>
      <c r="J43" s="24">
        <f>30124.86</f>
        <v>30124.86</v>
      </c>
      <c r="K43" s="24">
        <f>0</f>
        <v>0</v>
      </c>
      <c r="L43" s="24">
        <f>34601827.15</f>
        <v>34601827.149999999</v>
      </c>
      <c r="M43" s="24">
        <f>9912818.98</f>
        <v>9912818.9800000004</v>
      </c>
      <c r="N43" s="24">
        <f>939908.51</f>
        <v>939908.51</v>
      </c>
      <c r="O43" s="24">
        <f>0</f>
        <v>0</v>
      </c>
      <c r="P43" s="24">
        <f>0</f>
        <v>0</v>
      </c>
      <c r="Q43" s="24">
        <f>0</f>
        <v>0</v>
      </c>
    </row>
    <row r="44" spans="1:17" ht="30" customHeight="1" x14ac:dyDescent="0.2">
      <c r="A44" s="25" t="s">
        <v>42</v>
      </c>
      <c r="B44" s="23">
        <f>9975323188.89</f>
        <v>9975323188.8899994</v>
      </c>
      <c r="C44" s="23">
        <f>9975323188.89</f>
        <v>9975323188.8899994</v>
      </c>
      <c r="D44" s="23">
        <f>2506402.25</f>
        <v>2506402.25</v>
      </c>
      <c r="E44" s="23">
        <f>22729.72</f>
        <v>22729.72</v>
      </c>
      <c r="F44" s="23">
        <f>2903</f>
        <v>2903</v>
      </c>
      <c r="G44" s="23">
        <f>2480769.53</f>
        <v>2480769.5299999998</v>
      </c>
      <c r="H44" s="23">
        <f>0</f>
        <v>0</v>
      </c>
      <c r="I44" s="23">
        <f>6934512.97</f>
        <v>6934512.9699999997</v>
      </c>
      <c r="J44" s="23">
        <f>9965673194.39</f>
        <v>9965673194.3899994</v>
      </c>
      <c r="K44" s="23">
        <f>63232.18</f>
        <v>63232.18</v>
      </c>
      <c r="L44" s="23">
        <f>49563.98</f>
        <v>49563.98</v>
      </c>
      <c r="M44" s="23">
        <f>2000</f>
        <v>2000</v>
      </c>
      <c r="N44" s="23">
        <f>94283.12</f>
        <v>94283.12</v>
      </c>
      <c r="O44" s="23">
        <f>0</f>
        <v>0</v>
      </c>
      <c r="P44" s="23">
        <f>0</f>
        <v>0</v>
      </c>
      <c r="Q44" s="23">
        <f>0</f>
        <v>0</v>
      </c>
    </row>
    <row r="45" spans="1:17" ht="25.5" customHeight="1" x14ac:dyDescent="0.2">
      <c r="A45" s="18" t="s">
        <v>33</v>
      </c>
      <c r="B45" s="24">
        <f>2458012.13</f>
        <v>2458012.13</v>
      </c>
      <c r="C45" s="24">
        <f>2458012.13</f>
        <v>2458012.13</v>
      </c>
      <c r="D45" s="24">
        <f>2458012.13</f>
        <v>2458012.13</v>
      </c>
      <c r="E45" s="24">
        <f>0</f>
        <v>0</v>
      </c>
      <c r="F45" s="24">
        <f>0</f>
        <v>0</v>
      </c>
      <c r="G45" s="24">
        <f>2458012.13</f>
        <v>2458012.13</v>
      </c>
      <c r="H45" s="24">
        <f>0</f>
        <v>0</v>
      </c>
      <c r="I45" s="24">
        <f>0</f>
        <v>0</v>
      </c>
      <c r="J45" s="24">
        <f>0</f>
        <v>0</v>
      </c>
      <c r="K45" s="24">
        <f>0</f>
        <v>0</v>
      </c>
      <c r="L45" s="24">
        <f>0</f>
        <v>0</v>
      </c>
      <c r="M45" s="24">
        <f>0</f>
        <v>0</v>
      </c>
      <c r="N45" s="24">
        <f>0</f>
        <v>0</v>
      </c>
      <c r="O45" s="24">
        <f>0</f>
        <v>0</v>
      </c>
      <c r="P45" s="24">
        <f>0</f>
        <v>0</v>
      </c>
      <c r="Q45" s="24">
        <f>0</f>
        <v>0</v>
      </c>
    </row>
    <row r="46" spans="1:17" ht="25.5" customHeight="1" x14ac:dyDescent="0.2">
      <c r="A46" s="18" t="s">
        <v>34</v>
      </c>
      <c r="B46" s="24">
        <f>8721246688.1</f>
        <v>8721246688.1000004</v>
      </c>
      <c r="C46" s="24">
        <f>8721246688.1</f>
        <v>8721246688.1000004</v>
      </c>
      <c r="D46" s="24">
        <f>22473.72</f>
        <v>22473.72</v>
      </c>
      <c r="E46" s="24">
        <f>891.19</f>
        <v>891.19</v>
      </c>
      <c r="F46" s="24">
        <f>263</f>
        <v>263</v>
      </c>
      <c r="G46" s="24">
        <f>21319.53</f>
        <v>21319.53</v>
      </c>
      <c r="H46" s="24">
        <f>0</f>
        <v>0</v>
      </c>
      <c r="I46" s="24">
        <f>6934512.97</f>
        <v>6934512.9699999997</v>
      </c>
      <c r="J46" s="24">
        <f>8714122454.75</f>
        <v>8714122454.75</v>
      </c>
      <c r="K46" s="24">
        <f>56145.18</f>
        <v>56145.18</v>
      </c>
      <c r="L46" s="24">
        <f>16818.36</f>
        <v>16818.36</v>
      </c>
      <c r="M46" s="24">
        <f>0</f>
        <v>0</v>
      </c>
      <c r="N46" s="24">
        <f>94283.12</f>
        <v>94283.12</v>
      </c>
      <c r="O46" s="24">
        <f>0</f>
        <v>0</v>
      </c>
      <c r="P46" s="24">
        <f>0</f>
        <v>0</v>
      </c>
      <c r="Q46" s="24">
        <f>0</f>
        <v>0</v>
      </c>
    </row>
    <row r="47" spans="1:17" ht="25.5" customHeight="1" x14ac:dyDescent="0.2">
      <c r="A47" s="18" t="s">
        <v>35</v>
      </c>
      <c r="B47" s="24">
        <f>1251618488.66</f>
        <v>1251618488.6600001</v>
      </c>
      <c r="C47" s="24">
        <f>1251618488.66</f>
        <v>1251618488.6600001</v>
      </c>
      <c r="D47" s="24">
        <f>25916.4</f>
        <v>25916.400000000001</v>
      </c>
      <c r="E47" s="24">
        <f>21838.53</f>
        <v>21838.53</v>
      </c>
      <c r="F47" s="24">
        <f>2640</f>
        <v>2640</v>
      </c>
      <c r="G47" s="24">
        <f>1437.87</f>
        <v>1437.87</v>
      </c>
      <c r="H47" s="24">
        <f>0</f>
        <v>0</v>
      </c>
      <c r="I47" s="24">
        <f>0</f>
        <v>0</v>
      </c>
      <c r="J47" s="24">
        <f>1251550739.64</f>
        <v>1251550739.6400001</v>
      </c>
      <c r="K47" s="24">
        <f>7087</f>
        <v>7087</v>
      </c>
      <c r="L47" s="24">
        <f>32745.62</f>
        <v>32745.62</v>
      </c>
      <c r="M47" s="24">
        <f>2000</f>
        <v>2000</v>
      </c>
      <c r="N47" s="24">
        <f>0</f>
        <v>0</v>
      </c>
      <c r="O47" s="24">
        <f>0</f>
        <v>0</v>
      </c>
      <c r="P47" s="24">
        <f>0</f>
        <v>0</v>
      </c>
      <c r="Q47" s="24">
        <f>0</f>
        <v>0</v>
      </c>
    </row>
    <row r="48" spans="1:17" ht="30" customHeight="1" x14ac:dyDescent="0.2">
      <c r="A48" s="25" t="s">
        <v>43</v>
      </c>
      <c r="B48" s="23">
        <f>849696178.41</f>
        <v>849696178.40999997</v>
      </c>
      <c r="C48" s="23">
        <f>848835490.4</f>
        <v>848835490.39999998</v>
      </c>
      <c r="D48" s="23">
        <f>32601883.53</f>
        <v>32601883.530000001</v>
      </c>
      <c r="E48" s="23">
        <f>9270295.66</f>
        <v>9270295.6600000001</v>
      </c>
      <c r="F48" s="23">
        <f>1346802.63</f>
        <v>1346802.63</v>
      </c>
      <c r="G48" s="23">
        <f>21963097.74</f>
        <v>21963097.739999998</v>
      </c>
      <c r="H48" s="23">
        <f>21687.5</f>
        <v>21687.5</v>
      </c>
      <c r="I48" s="23">
        <f>0</f>
        <v>0</v>
      </c>
      <c r="J48" s="23">
        <f>3607603.12</f>
        <v>3607603.12</v>
      </c>
      <c r="K48" s="23">
        <f>197620.98</f>
        <v>197620.98</v>
      </c>
      <c r="L48" s="23">
        <f>242867402.61</f>
        <v>242867402.61000001</v>
      </c>
      <c r="M48" s="23">
        <f>559666940.33</f>
        <v>559666940.33000004</v>
      </c>
      <c r="N48" s="23">
        <f>9894039.83</f>
        <v>9894039.8300000001</v>
      </c>
      <c r="O48" s="23">
        <f>860688.01</f>
        <v>860688.01</v>
      </c>
      <c r="P48" s="23">
        <f>267115.7</f>
        <v>267115.7</v>
      </c>
      <c r="Q48" s="23">
        <f>593572.31</f>
        <v>593572.31000000006</v>
      </c>
    </row>
    <row r="49" spans="1:17" ht="25.5" customHeight="1" x14ac:dyDescent="0.2">
      <c r="A49" s="18" t="s">
        <v>36</v>
      </c>
      <c r="B49" s="24">
        <f>159361322.2</f>
        <v>159361322.19999999</v>
      </c>
      <c r="C49" s="24">
        <f>159337941.59</f>
        <v>159337941.59</v>
      </c>
      <c r="D49" s="24">
        <f>3438596.94</f>
        <v>3438596.94</v>
      </c>
      <c r="E49" s="24">
        <f>28698.54</f>
        <v>28698.54</v>
      </c>
      <c r="F49" s="24">
        <f>503814.95</f>
        <v>503814.95</v>
      </c>
      <c r="G49" s="24">
        <f>2886912.56</f>
        <v>2886912.56</v>
      </c>
      <c r="H49" s="24">
        <f>19170.89</f>
        <v>19170.89</v>
      </c>
      <c r="I49" s="24">
        <f>0</f>
        <v>0</v>
      </c>
      <c r="J49" s="24">
        <f>605225.06</f>
        <v>605225.06000000006</v>
      </c>
      <c r="K49" s="24">
        <f>113383.97</f>
        <v>113383.97</v>
      </c>
      <c r="L49" s="24">
        <f>55248924.53</f>
        <v>55248924.530000001</v>
      </c>
      <c r="M49" s="24">
        <f>96886231.61</f>
        <v>96886231.609999999</v>
      </c>
      <c r="N49" s="24">
        <f>3045579.48</f>
        <v>3045579.48</v>
      </c>
      <c r="O49" s="24">
        <f>23380.61</f>
        <v>23380.61</v>
      </c>
      <c r="P49" s="24">
        <f>23380.61</f>
        <v>23380.61</v>
      </c>
      <c r="Q49" s="24">
        <f>0</f>
        <v>0</v>
      </c>
    </row>
    <row r="50" spans="1:17" ht="25.5" customHeight="1" x14ac:dyDescent="0.2">
      <c r="A50" s="18" t="s">
        <v>37</v>
      </c>
      <c r="B50" s="24">
        <f>690334856.21</f>
        <v>690334856.21000004</v>
      </c>
      <c r="C50" s="24">
        <f>689497548.81</f>
        <v>689497548.80999994</v>
      </c>
      <c r="D50" s="24">
        <f>29163286.59</f>
        <v>29163286.59</v>
      </c>
      <c r="E50" s="24">
        <f>9241597.12</f>
        <v>9241597.1199999992</v>
      </c>
      <c r="F50" s="24">
        <f>842987.68</f>
        <v>842987.68</v>
      </c>
      <c r="G50" s="24">
        <f>19076185.18</f>
        <v>19076185.18</v>
      </c>
      <c r="H50" s="24">
        <f>2516.61</f>
        <v>2516.61</v>
      </c>
      <c r="I50" s="24">
        <f>0</f>
        <v>0</v>
      </c>
      <c r="J50" s="24">
        <f>3002378.06</f>
        <v>3002378.06</v>
      </c>
      <c r="K50" s="24">
        <f>84237.01</f>
        <v>84237.01</v>
      </c>
      <c r="L50" s="24">
        <f>187618478.08</f>
        <v>187618478.08000001</v>
      </c>
      <c r="M50" s="24">
        <f>462780708.72</f>
        <v>462780708.72000003</v>
      </c>
      <c r="N50" s="24">
        <f>6848460.35</f>
        <v>6848460.3499999996</v>
      </c>
      <c r="O50" s="24">
        <f>837307.4</f>
        <v>837307.4</v>
      </c>
      <c r="P50" s="24">
        <f>243735.09</f>
        <v>243735.09</v>
      </c>
      <c r="Q50" s="24">
        <f>593572.31</f>
        <v>593572.31000000006</v>
      </c>
    </row>
    <row r="51" spans="1:17" ht="30" customHeight="1" x14ac:dyDescent="0.2">
      <c r="A51" s="25" t="s">
        <v>44</v>
      </c>
      <c r="B51" s="23">
        <f>819575852.76</f>
        <v>819575852.75999999</v>
      </c>
      <c r="C51" s="23">
        <f>819394876.51</f>
        <v>819394876.50999999</v>
      </c>
      <c r="D51" s="23">
        <f>265605287.77</f>
        <v>265605287.77000001</v>
      </c>
      <c r="E51" s="23">
        <f>34315234.5</f>
        <v>34315234.5</v>
      </c>
      <c r="F51" s="23">
        <f>9783341.49</f>
        <v>9783341.4900000002</v>
      </c>
      <c r="G51" s="23">
        <f>210261425.61</f>
        <v>210261425.61000001</v>
      </c>
      <c r="H51" s="23">
        <f>11245286.17</f>
        <v>11245286.17</v>
      </c>
      <c r="I51" s="23">
        <f>0</f>
        <v>0</v>
      </c>
      <c r="J51" s="23">
        <f>539294.25</f>
        <v>539294.25</v>
      </c>
      <c r="K51" s="23">
        <f>1637138.47</f>
        <v>1637138.47</v>
      </c>
      <c r="L51" s="23">
        <f>434201696.09</f>
        <v>434201696.08999997</v>
      </c>
      <c r="M51" s="23">
        <f>113406614.34</f>
        <v>113406614.34</v>
      </c>
      <c r="N51" s="23">
        <f>4004845.59</f>
        <v>4004845.59</v>
      </c>
      <c r="O51" s="23">
        <f>180976.25</f>
        <v>180976.25</v>
      </c>
      <c r="P51" s="23">
        <f>176148.16</f>
        <v>176148.16</v>
      </c>
      <c r="Q51" s="23">
        <f>4828.09</f>
        <v>4828.09</v>
      </c>
    </row>
    <row r="52" spans="1:17" ht="31.5" customHeight="1" x14ac:dyDescent="0.2">
      <c r="A52" s="18" t="s">
        <v>38</v>
      </c>
      <c r="B52" s="24">
        <f>117144308.59</f>
        <v>117144308.59</v>
      </c>
      <c r="C52" s="24">
        <f>117023076.67</f>
        <v>117023076.67</v>
      </c>
      <c r="D52" s="24">
        <f>49181971.56</f>
        <v>49181971.560000002</v>
      </c>
      <c r="E52" s="24">
        <f>499493.6</f>
        <v>499493.6</v>
      </c>
      <c r="F52" s="24">
        <f>486345.35</f>
        <v>486345.35</v>
      </c>
      <c r="G52" s="24">
        <f>43094400.15</f>
        <v>43094400.149999999</v>
      </c>
      <c r="H52" s="24">
        <f>5101732.46</f>
        <v>5101732.46</v>
      </c>
      <c r="I52" s="24">
        <f>0</f>
        <v>0</v>
      </c>
      <c r="J52" s="24">
        <f>173324.03</f>
        <v>173324.03</v>
      </c>
      <c r="K52" s="24">
        <f>310981.42</f>
        <v>310981.42</v>
      </c>
      <c r="L52" s="24">
        <f>30944002.22</f>
        <v>30944002.219999999</v>
      </c>
      <c r="M52" s="24">
        <f>34661329.69</f>
        <v>34661329.689999998</v>
      </c>
      <c r="N52" s="24">
        <f>1751467.75</f>
        <v>1751467.75</v>
      </c>
      <c r="O52" s="24">
        <f>121231.92</f>
        <v>121231.92</v>
      </c>
      <c r="P52" s="24">
        <f>117114.37</f>
        <v>117114.37</v>
      </c>
      <c r="Q52" s="24">
        <f>4117.55</f>
        <v>4117.55</v>
      </c>
    </row>
    <row r="53" spans="1:17" ht="35.25" customHeight="1" x14ac:dyDescent="0.2">
      <c r="A53" s="18" t="s">
        <v>80</v>
      </c>
      <c r="B53" s="24">
        <f>1311634.21</f>
        <v>1311634.21</v>
      </c>
      <c r="C53" s="24">
        <f>1311634.21</f>
        <v>1311634.21</v>
      </c>
      <c r="D53" s="24">
        <f>972446.39</f>
        <v>972446.39</v>
      </c>
      <c r="E53" s="24">
        <f>637941.05</f>
        <v>637941.05000000005</v>
      </c>
      <c r="F53" s="24">
        <f>0</f>
        <v>0</v>
      </c>
      <c r="G53" s="24">
        <f>229381.68</f>
        <v>229381.68</v>
      </c>
      <c r="H53" s="24">
        <f>105123.66</f>
        <v>105123.66</v>
      </c>
      <c r="I53" s="24">
        <f>0</f>
        <v>0</v>
      </c>
      <c r="J53" s="24">
        <f>0</f>
        <v>0</v>
      </c>
      <c r="K53" s="24">
        <f>368.33</f>
        <v>368.33</v>
      </c>
      <c r="L53" s="24">
        <f>300262.04</f>
        <v>300262.03999999998</v>
      </c>
      <c r="M53" s="24">
        <f>37538.77</f>
        <v>37538.769999999997</v>
      </c>
      <c r="N53" s="24">
        <f>1018.68</f>
        <v>1018.68</v>
      </c>
      <c r="O53" s="24">
        <f>0</f>
        <v>0</v>
      </c>
      <c r="P53" s="24">
        <f>0</f>
        <v>0</v>
      </c>
      <c r="Q53" s="24">
        <f>0</f>
        <v>0</v>
      </c>
    </row>
    <row r="54" spans="1:17" ht="31.5" customHeight="1" x14ac:dyDescent="0.2">
      <c r="A54" s="18" t="s">
        <v>39</v>
      </c>
      <c r="B54" s="24">
        <f>701119909.96</f>
        <v>701119909.96000004</v>
      </c>
      <c r="C54" s="24">
        <f>701060165.63</f>
        <v>701060165.63</v>
      </c>
      <c r="D54" s="24">
        <f>215450869.82</f>
        <v>215450869.81999999</v>
      </c>
      <c r="E54" s="24">
        <f>33177799.85</f>
        <v>33177799.850000001</v>
      </c>
      <c r="F54" s="24">
        <f>9296996.14</f>
        <v>9296996.1400000006</v>
      </c>
      <c r="G54" s="24">
        <f>166937643.78</f>
        <v>166937643.78</v>
      </c>
      <c r="H54" s="24">
        <f>6038430.05</f>
        <v>6038430.0499999998</v>
      </c>
      <c r="I54" s="24">
        <f>0</f>
        <v>0</v>
      </c>
      <c r="J54" s="24">
        <f>365970.22</f>
        <v>365970.22</v>
      </c>
      <c r="K54" s="24">
        <f>1325788.72</f>
        <v>1325788.72</v>
      </c>
      <c r="L54" s="24">
        <f>402957431.83</f>
        <v>402957431.82999998</v>
      </c>
      <c r="M54" s="24">
        <f>78707745.88</f>
        <v>78707745.879999995</v>
      </c>
      <c r="N54" s="24">
        <f>2252359.16</f>
        <v>2252359.16</v>
      </c>
      <c r="O54" s="24">
        <f>59744.33</f>
        <v>59744.33</v>
      </c>
      <c r="P54" s="24">
        <f>59033.79</f>
        <v>59033.79</v>
      </c>
      <c r="Q54" s="24">
        <f>710.54</f>
        <v>710.54</v>
      </c>
    </row>
    <row r="63" spans="1:17" ht="66" customHeight="1" x14ac:dyDescent="0.2">
      <c r="A63" s="31" t="str">
        <f>CONCATENATE("Informacja z wykonania budżetów powiatów za   ",$C$90," ",$B$91," roku    ",$B$93,"")</f>
        <v xml:space="preserve">Informacja z wykonania budżetów powiatów za   I Kwartał 2024 roku    </v>
      </c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</row>
    <row r="64" spans="1:17" ht="13.5" customHeight="1" x14ac:dyDescent="0.2">
      <c r="B64" s="41" t="s">
        <v>2</v>
      </c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</row>
    <row r="66" spans="2:12" ht="13.5" customHeight="1" x14ac:dyDescent="0.2">
      <c r="B66" s="45" t="s">
        <v>0</v>
      </c>
      <c r="C66" s="46"/>
      <c r="D66" s="46"/>
      <c r="E66" s="47"/>
      <c r="F66" s="67" t="s">
        <v>68</v>
      </c>
      <c r="G66" s="42" t="s">
        <v>74</v>
      </c>
      <c r="H66" s="56"/>
      <c r="I66" s="56"/>
      <c r="J66" s="56"/>
      <c r="K66" s="56"/>
      <c r="L66" s="43"/>
    </row>
    <row r="67" spans="2:12" ht="13.5" customHeight="1" x14ac:dyDescent="0.2">
      <c r="B67" s="48"/>
      <c r="C67" s="49"/>
      <c r="D67" s="49"/>
      <c r="E67" s="50"/>
      <c r="F67" s="68"/>
      <c r="G67" s="70" t="s">
        <v>69</v>
      </c>
      <c r="H67" s="44" t="s">
        <v>66</v>
      </c>
      <c r="I67" s="44" t="s">
        <v>67</v>
      </c>
      <c r="J67" s="44" t="s">
        <v>70</v>
      </c>
      <c r="K67" s="44" t="s">
        <v>71</v>
      </c>
      <c r="L67" s="85" t="s">
        <v>72</v>
      </c>
    </row>
    <row r="68" spans="2:12" ht="13.5" customHeight="1" x14ac:dyDescent="0.2">
      <c r="B68" s="48"/>
      <c r="C68" s="49"/>
      <c r="D68" s="49"/>
      <c r="E68" s="50"/>
      <c r="F68" s="68"/>
      <c r="G68" s="70"/>
      <c r="H68" s="44"/>
      <c r="I68" s="44"/>
      <c r="J68" s="44"/>
      <c r="K68" s="44"/>
      <c r="L68" s="85"/>
    </row>
    <row r="69" spans="2:12" ht="11.25" customHeight="1" x14ac:dyDescent="0.2">
      <c r="B69" s="48"/>
      <c r="C69" s="49"/>
      <c r="D69" s="49"/>
      <c r="E69" s="50"/>
      <c r="F69" s="68"/>
      <c r="G69" s="70"/>
      <c r="H69" s="44"/>
      <c r="I69" s="44"/>
      <c r="J69" s="44"/>
      <c r="K69" s="44"/>
      <c r="L69" s="85"/>
    </row>
    <row r="70" spans="2:12" ht="11.25" customHeight="1" x14ac:dyDescent="0.2">
      <c r="B70" s="51"/>
      <c r="C70" s="52"/>
      <c r="D70" s="52"/>
      <c r="E70" s="53"/>
      <c r="F70" s="69"/>
      <c r="G70" s="70"/>
      <c r="H70" s="44"/>
      <c r="I70" s="44"/>
      <c r="J70" s="44"/>
      <c r="K70" s="44"/>
      <c r="L70" s="85"/>
    </row>
    <row r="71" spans="2:12" ht="11.25" customHeight="1" x14ac:dyDescent="0.2">
      <c r="B71" s="44">
        <v>1</v>
      </c>
      <c r="C71" s="44"/>
      <c r="D71" s="44"/>
      <c r="E71" s="44"/>
      <c r="F71" s="3">
        <v>2</v>
      </c>
      <c r="G71" s="3">
        <v>3</v>
      </c>
      <c r="H71" s="3">
        <v>4</v>
      </c>
      <c r="I71" s="3">
        <v>5</v>
      </c>
      <c r="J71" s="3">
        <v>6</v>
      </c>
      <c r="K71" s="3">
        <v>7</v>
      </c>
      <c r="L71" s="3">
        <v>8</v>
      </c>
    </row>
    <row r="72" spans="2:12" ht="12.75" customHeight="1" x14ac:dyDescent="0.2">
      <c r="B72" s="44"/>
      <c r="C72" s="44"/>
      <c r="D72" s="44"/>
      <c r="E72" s="44"/>
      <c r="F72" s="42" t="s">
        <v>76</v>
      </c>
      <c r="G72" s="83"/>
      <c r="H72" s="83"/>
      <c r="I72" s="83"/>
      <c r="J72" s="83"/>
      <c r="K72" s="83"/>
      <c r="L72" s="84"/>
    </row>
    <row r="73" spans="2:12" ht="33.75" customHeight="1" x14ac:dyDescent="0.2">
      <c r="B73" s="36" t="s">
        <v>53</v>
      </c>
      <c r="C73" s="37"/>
      <c r="D73" s="37"/>
      <c r="E73" s="38"/>
      <c r="F73" s="26">
        <f>500868724.89</f>
        <v>500868724.88999999</v>
      </c>
      <c r="G73" s="26">
        <f>240796010.51</f>
        <v>240796010.50999999</v>
      </c>
      <c r="H73" s="26">
        <f>30968652.28</f>
        <v>30968652.280000001</v>
      </c>
      <c r="I73" s="26">
        <f>14274072.1</f>
        <v>14274072.1</v>
      </c>
      <c r="J73" s="26">
        <f>187800559.53</f>
        <v>187800559.53</v>
      </c>
      <c r="K73" s="26">
        <f>7752726.6</f>
        <v>7752726.5999999996</v>
      </c>
      <c r="L73" s="26">
        <f>260072714.38</f>
        <v>260072714.38</v>
      </c>
    </row>
    <row r="74" spans="2:12" ht="33.75" customHeight="1" x14ac:dyDescent="0.2">
      <c r="B74" s="36" t="s">
        <v>54</v>
      </c>
      <c r="C74" s="37"/>
      <c r="D74" s="37"/>
      <c r="E74" s="38"/>
      <c r="F74" s="26">
        <f>640000</f>
        <v>640000</v>
      </c>
      <c r="G74" s="26">
        <f>0</f>
        <v>0</v>
      </c>
      <c r="H74" s="26">
        <f>0</f>
        <v>0</v>
      </c>
      <c r="I74" s="26">
        <f>0</f>
        <v>0</v>
      </c>
      <c r="J74" s="26">
        <f>0</f>
        <v>0</v>
      </c>
      <c r="K74" s="26">
        <f>0</f>
        <v>0</v>
      </c>
      <c r="L74" s="26">
        <f>640000</f>
        <v>640000</v>
      </c>
    </row>
    <row r="75" spans="2:12" ht="33.75" customHeight="1" x14ac:dyDescent="0.2">
      <c r="B75" s="36" t="s">
        <v>55</v>
      </c>
      <c r="C75" s="37"/>
      <c r="D75" s="37"/>
      <c r="E75" s="38"/>
      <c r="F75" s="26">
        <f>18828727.3</f>
        <v>18828727.300000001</v>
      </c>
      <c r="G75" s="26">
        <f>4000000</f>
        <v>4000000</v>
      </c>
      <c r="H75" s="26">
        <f>0</f>
        <v>0</v>
      </c>
      <c r="I75" s="26">
        <f>0</f>
        <v>0</v>
      </c>
      <c r="J75" s="26">
        <f>4000000</f>
        <v>4000000</v>
      </c>
      <c r="K75" s="26">
        <f>0</f>
        <v>0</v>
      </c>
      <c r="L75" s="26">
        <f>14828727.3</f>
        <v>14828727.300000001</v>
      </c>
    </row>
    <row r="76" spans="2:12" ht="22.5" customHeight="1" x14ac:dyDescent="0.2">
      <c r="B76" s="36" t="s">
        <v>56</v>
      </c>
      <c r="C76" s="37"/>
      <c r="D76" s="37"/>
      <c r="E76" s="38"/>
      <c r="F76" s="26">
        <f>44719764.4</f>
        <v>44719764.399999999</v>
      </c>
      <c r="G76" s="26">
        <f>14983503.86</f>
        <v>14983503.859999999</v>
      </c>
      <c r="H76" s="26">
        <f>0</f>
        <v>0</v>
      </c>
      <c r="I76" s="26">
        <f>0</f>
        <v>0</v>
      </c>
      <c r="J76" s="26">
        <f>14983503.86</f>
        <v>14983503.859999999</v>
      </c>
      <c r="K76" s="26">
        <f>0</f>
        <v>0</v>
      </c>
      <c r="L76" s="26">
        <f>29736260.54</f>
        <v>29736260.539999999</v>
      </c>
    </row>
    <row r="77" spans="2:12" ht="33.75" customHeight="1" x14ac:dyDescent="0.2">
      <c r="B77" s="36" t="s">
        <v>57</v>
      </c>
      <c r="C77" s="37"/>
      <c r="D77" s="37"/>
      <c r="E77" s="38"/>
      <c r="F77" s="26">
        <f>11637811.88</f>
        <v>11637811.880000001</v>
      </c>
      <c r="G77" s="26">
        <f>11637811.88</f>
        <v>11637811.880000001</v>
      </c>
      <c r="H77" s="26">
        <f>0</f>
        <v>0</v>
      </c>
      <c r="I77" s="26">
        <f>0</f>
        <v>0</v>
      </c>
      <c r="J77" s="26">
        <f>11637811.88</f>
        <v>11637811.880000001</v>
      </c>
      <c r="K77" s="26">
        <f>0</f>
        <v>0</v>
      </c>
      <c r="L77" s="26">
        <f>0</f>
        <v>0</v>
      </c>
    </row>
    <row r="78" spans="2:12" ht="33.75" customHeight="1" x14ac:dyDescent="0.2">
      <c r="B78" s="36" t="s">
        <v>58</v>
      </c>
      <c r="C78" s="37"/>
      <c r="D78" s="37"/>
      <c r="E78" s="38"/>
      <c r="F78" s="26">
        <f>500000</f>
        <v>500000</v>
      </c>
      <c r="G78" s="26">
        <f>0</f>
        <v>0</v>
      </c>
      <c r="H78" s="26">
        <f>0</f>
        <v>0</v>
      </c>
      <c r="I78" s="26">
        <f>0</f>
        <v>0</v>
      </c>
      <c r="J78" s="26">
        <f>0</f>
        <v>0</v>
      </c>
      <c r="K78" s="26">
        <f>0</f>
        <v>0</v>
      </c>
      <c r="L78" s="26">
        <f>500000</f>
        <v>500000</v>
      </c>
    </row>
    <row r="79" spans="2:12" ht="22.5" customHeight="1" x14ac:dyDescent="0.2">
      <c r="B79" s="36" t="s">
        <v>59</v>
      </c>
      <c r="C79" s="37"/>
      <c r="D79" s="37"/>
      <c r="E79" s="38"/>
      <c r="F79" s="26">
        <f>0</f>
        <v>0</v>
      </c>
      <c r="G79" s="26">
        <f>0</f>
        <v>0</v>
      </c>
      <c r="H79" s="26">
        <f>0</f>
        <v>0</v>
      </c>
      <c r="I79" s="26">
        <f>0</f>
        <v>0</v>
      </c>
      <c r="J79" s="26">
        <f>0</f>
        <v>0</v>
      </c>
      <c r="K79" s="26">
        <f>0</f>
        <v>0</v>
      </c>
      <c r="L79" s="26">
        <f>0</f>
        <v>0</v>
      </c>
    </row>
    <row r="82" spans="1:13" ht="75" customHeight="1" x14ac:dyDescent="0.2">
      <c r="A82" s="31" t="str">
        <f>CONCATENATE("Informacja z wykonania budżetów powiatów za   ",$C$90," ",$B$91," roku    ",$B$93,"")</f>
        <v xml:space="preserve">Informacja z wykonania budżetów powiatów za   I Kwartał 2024 roku    </v>
      </c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</row>
    <row r="83" spans="1:13" ht="13.5" customHeight="1" x14ac:dyDescent="0.2">
      <c r="B83" s="4"/>
    </row>
    <row r="84" spans="1:13" ht="13.5" customHeight="1" x14ac:dyDescent="0.2">
      <c r="B84" s="5"/>
      <c r="C84" s="42"/>
      <c r="D84" s="56"/>
      <c r="E84" s="56"/>
      <c r="F84" s="43"/>
      <c r="G84" s="42" t="s">
        <v>3</v>
      </c>
      <c r="H84" s="43"/>
      <c r="I84" s="42" t="s">
        <v>4</v>
      </c>
      <c r="J84" s="43"/>
      <c r="K84" s="5"/>
    </row>
    <row r="85" spans="1:13" ht="13.5" customHeight="1" x14ac:dyDescent="0.2">
      <c r="B85" s="6"/>
      <c r="C85" s="57" t="s">
        <v>5</v>
      </c>
      <c r="D85" s="58"/>
      <c r="E85" s="58"/>
      <c r="F85" s="59"/>
      <c r="G85" s="54">
        <f>311</f>
        <v>311</v>
      </c>
      <c r="H85" s="55"/>
      <c r="I85" s="39">
        <f>3461300832.4</f>
        <v>3461300832.4000001</v>
      </c>
      <c r="J85" s="40"/>
      <c r="K85" s="7"/>
    </row>
    <row r="86" spans="1:13" ht="13.5" customHeight="1" x14ac:dyDescent="0.2">
      <c r="B86" s="6"/>
      <c r="C86" s="60" t="s">
        <v>6</v>
      </c>
      <c r="D86" s="61"/>
      <c r="E86" s="61"/>
      <c r="F86" s="62"/>
      <c r="G86" s="63">
        <f>3</f>
        <v>3</v>
      </c>
      <c r="H86" s="64"/>
      <c r="I86" s="65">
        <f>-13633717.25</f>
        <v>-13633717.25</v>
      </c>
      <c r="J86" s="66"/>
      <c r="K86" s="7"/>
    </row>
    <row r="87" spans="1:13" ht="13.5" customHeight="1" x14ac:dyDescent="0.2">
      <c r="B87" s="6"/>
      <c r="C87" s="57" t="s">
        <v>7</v>
      </c>
      <c r="D87" s="58"/>
      <c r="E87" s="58"/>
      <c r="F87" s="59"/>
      <c r="G87" s="54">
        <f>0</f>
        <v>0</v>
      </c>
      <c r="H87" s="55"/>
      <c r="I87" s="39">
        <f>0</f>
        <v>0</v>
      </c>
      <c r="J87" s="40"/>
      <c r="K87" s="7"/>
    </row>
    <row r="90" spans="1:13" ht="13.5" customHeight="1" x14ac:dyDescent="0.2">
      <c r="A90" s="8" t="s">
        <v>8</v>
      </c>
      <c r="B90" s="8">
        <f>1</f>
        <v>1</v>
      </c>
      <c r="C90" s="8" t="str">
        <f>IF(B90=1,"I Kwartał",IF(B90=2,"II Kwartały",IF(B90=3,"III Kwartały",IF(B90=4,"IV Kwartały","-"))))</f>
        <v>I Kwartał</v>
      </c>
    </row>
    <row r="91" spans="1:13" ht="13.5" customHeight="1" x14ac:dyDescent="0.2">
      <c r="A91" s="8" t="s">
        <v>9</v>
      </c>
      <c r="B91" s="8">
        <f>2024</f>
        <v>2024</v>
      </c>
      <c r="C91" s="9"/>
    </row>
    <row r="92" spans="1:13" ht="13.5" customHeight="1" x14ac:dyDescent="0.2">
      <c r="A92" s="8" t="s">
        <v>10</v>
      </c>
      <c r="B92" s="10" t="str">
        <f>"May 21 2024 12:00AM"</f>
        <v>May 21 2024 12:00AM</v>
      </c>
      <c r="C92" s="9"/>
    </row>
    <row r="93" spans="1:13" ht="13.5" customHeight="1" x14ac:dyDescent="0.2">
      <c r="A93" s="14" t="s">
        <v>75</v>
      </c>
      <c r="B93" s="10" t="str">
        <f>""</f>
        <v/>
      </c>
    </row>
  </sheetData>
  <mergeCells count="79">
    <mergeCell ref="B71:E71"/>
    <mergeCell ref="F72:L72"/>
    <mergeCell ref="L67:L70"/>
    <mergeCell ref="F32:F35"/>
    <mergeCell ref="G32:G35"/>
    <mergeCell ref="H32:H35"/>
    <mergeCell ref="K32:K35"/>
    <mergeCell ref="I32:I35"/>
    <mergeCell ref="J32:J35"/>
    <mergeCell ref="A31:A35"/>
    <mergeCell ref="C32:C35"/>
    <mergeCell ref="E32:E35"/>
    <mergeCell ref="B31:B35"/>
    <mergeCell ref="K67:K70"/>
    <mergeCell ref="H67:H70"/>
    <mergeCell ref="I67:I70"/>
    <mergeCell ref="J67:J70"/>
    <mergeCell ref="B37:Q37"/>
    <mergeCell ref="A29:M29"/>
    <mergeCell ref="G7:G10"/>
    <mergeCell ref="F7:F10"/>
    <mergeCell ref="I7:I10"/>
    <mergeCell ref="J7:J10"/>
    <mergeCell ref="B12:Q12"/>
    <mergeCell ref="A1:M1"/>
    <mergeCell ref="C5:M5"/>
    <mergeCell ref="A3:M3"/>
    <mergeCell ref="K7:K10"/>
    <mergeCell ref="C7:C10"/>
    <mergeCell ref="B6:B10"/>
    <mergeCell ref="A6:A10"/>
    <mergeCell ref="C6:N6"/>
    <mergeCell ref="D7:D10"/>
    <mergeCell ref="E7:E10"/>
    <mergeCell ref="L7:L10"/>
    <mergeCell ref="M7:M10"/>
    <mergeCell ref="N7:N10"/>
    <mergeCell ref="G87:H87"/>
    <mergeCell ref="I87:J87"/>
    <mergeCell ref="C84:F84"/>
    <mergeCell ref="C85:F85"/>
    <mergeCell ref="C86:F86"/>
    <mergeCell ref="C87:F87"/>
    <mergeCell ref="G85:H85"/>
    <mergeCell ref="G84:H84"/>
    <mergeCell ref="G86:H86"/>
    <mergeCell ref="I86:J86"/>
    <mergeCell ref="B78:E78"/>
    <mergeCell ref="I85:J85"/>
    <mergeCell ref="B64:M64"/>
    <mergeCell ref="I84:J84"/>
    <mergeCell ref="B72:E72"/>
    <mergeCell ref="B66:E70"/>
    <mergeCell ref="B79:E79"/>
    <mergeCell ref="A82:M82"/>
    <mergeCell ref="B75:E75"/>
    <mergeCell ref="B76:E76"/>
    <mergeCell ref="B77:E77"/>
    <mergeCell ref="B74:E74"/>
    <mergeCell ref="B73:E73"/>
    <mergeCell ref="F66:F70"/>
    <mergeCell ref="G67:G70"/>
    <mergeCell ref="G66:L66"/>
    <mergeCell ref="O6:Q6"/>
    <mergeCell ref="O7:O10"/>
    <mergeCell ref="A63:M63"/>
    <mergeCell ref="L32:L35"/>
    <mergeCell ref="P32:P35"/>
    <mergeCell ref="Q32:Q35"/>
    <mergeCell ref="N32:N35"/>
    <mergeCell ref="O32:O35"/>
    <mergeCell ref="D32:D35"/>
    <mergeCell ref="H7:H10"/>
    <mergeCell ref="M32:M35"/>
    <mergeCell ref="Q7:Q10"/>
    <mergeCell ref="C31:N31"/>
    <mergeCell ref="P7:P10"/>
    <mergeCell ref="A27:M27"/>
    <mergeCell ref="O31:Q31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6" max="16383" man="1"/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2009-11-20T13:10:55Z</cp:lastPrinted>
  <dcterms:created xsi:type="dcterms:W3CDTF">2001-05-17T08:58:03Z</dcterms:created>
  <dcterms:modified xsi:type="dcterms:W3CDTF">2024-05-27T12:29:48Z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2024-05-23T09:40:04.3405981+02:00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GRN-f2fe2afa-6bc2-4eb3-bc54-127bfd1ea45e</vt:lpwstr>
  </property>
  <property fmtid="{D5CDD505-2E9C-101B-9397-08002B2CF9AE}" pid="7" name="MFHash">
    <vt:lpwstr>XDZOFnFl8+GNyhOH+m1i1FTJORZM2Km6wTIqZomD/yM=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