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571DD57B-B4E2-43E4-B04A-40AE3810DC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l="1"/>
  <c r="A30" i="7"/>
  <c r="A85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<sst xmlns="http://schemas.openxmlformats.org/spreadsheetml/2006/main" count="97" uniqueCount="81">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</sst>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6" t="str">
        <f>CONCATENATE("Informacja z wykonania budżetów miast na prawach powiatu za  ",$C$93," ",$B$94," roku     ",$B$96,"")</f>
        <v xml:space="preserve">Informacja z wykonania budżetów miast na prawach powiatu za  III Kwartały 2024 roku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7" ht="13.5" customHeight="1" x14ac:dyDescent="0.2">
      <c r="B5" s="1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11"/>
      <c r="O5" s="11"/>
      <c r="P5" s="11"/>
      <c r="Q5" s="11"/>
    </row>
    <row r="6" spans="1:17" ht="13.5" customHeight="1" x14ac:dyDescent="0.2">
      <c r="A6" s="26" t="s">
        <v>0</v>
      </c>
      <c r="B6" s="38" t="s">
        <v>65</v>
      </c>
      <c r="C6" s="50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68</v>
      </c>
      <c r="P6" s="51"/>
      <c r="Q6" s="52"/>
    </row>
    <row r="7" spans="1:17" ht="13.5" customHeight="1" x14ac:dyDescent="0.2">
      <c r="A7" s="27"/>
      <c r="B7" s="29"/>
      <c r="C7" s="30" t="s">
        <v>66</v>
      </c>
      <c r="D7" s="30" t="s">
        <v>1</v>
      </c>
      <c r="E7" s="30" t="s">
        <v>70</v>
      </c>
      <c r="F7" s="30" t="s">
        <v>71</v>
      </c>
      <c r="G7" s="30" t="s">
        <v>28</v>
      </c>
      <c r="H7" s="30" t="s">
        <v>29</v>
      </c>
      <c r="I7" s="44" t="s">
        <v>67</v>
      </c>
      <c r="J7" s="30" t="s">
        <v>17</v>
      </c>
      <c r="K7" s="30" t="s">
        <v>18</v>
      </c>
      <c r="L7" s="30" t="s">
        <v>19</v>
      </c>
      <c r="M7" s="30" t="s">
        <v>20</v>
      </c>
      <c r="N7" s="29" t="s">
        <v>21</v>
      </c>
      <c r="O7" s="31" t="s">
        <v>22</v>
      </c>
      <c r="P7" s="31" t="s">
        <v>23</v>
      </c>
      <c r="Q7" s="31" t="s">
        <v>24</v>
      </c>
    </row>
    <row r="8" spans="1:17" ht="13.5" customHeight="1" x14ac:dyDescent="0.2">
      <c r="A8" s="27"/>
      <c r="B8" s="29"/>
      <c r="C8" s="31"/>
      <c r="D8" s="31"/>
      <c r="E8" s="31"/>
      <c r="F8" s="31"/>
      <c r="G8" s="31"/>
      <c r="H8" s="31"/>
      <c r="I8" s="44"/>
      <c r="J8" s="31"/>
      <c r="K8" s="31"/>
      <c r="L8" s="31"/>
      <c r="M8" s="31"/>
      <c r="N8" s="29"/>
      <c r="O8" s="31"/>
      <c r="P8" s="31"/>
      <c r="Q8" s="31"/>
    </row>
    <row r="9" spans="1:17" ht="11.25" customHeight="1" x14ac:dyDescent="0.2">
      <c r="A9" s="27"/>
      <c r="B9" s="29"/>
      <c r="C9" s="31"/>
      <c r="D9" s="31"/>
      <c r="E9" s="31"/>
      <c r="F9" s="31"/>
      <c r="G9" s="31"/>
      <c r="H9" s="31"/>
      <c r="I9" s="44"/>
      <c r="J9" s="31"/>
      <c r="K9" s="31"/>
      <c r="L9" s="31"/>
      <c r="M9" s="31"/>
      <c r="N9" s="29"/>
      <c r="O9" s="31"/>
      <c r="P9" s="31"/>
      <c r="Q9" s="31"/>
    </row>
    <row r="10" spans="1:17" ht="11.25" customHeight="1" x14ac:dyDescent="0.2">
      <c r="A10" s="28"/>
      <c r="B10" s="30"/>
      <c r="C10" s="31"/>
      <c r="D10" s="31"/>
      <c r="E10" s="31"/>
      <c r="F10" s="31"/>
      <c r="G10" s="31"/>
      <c r="H10" s="31"/>
      <c r="I10" s="45"/>
      <c r="J10" s="31"/>
      <c r="K10" s="31"/>
      <c r="L10" s="31"/>
      <c r="M10" s="31"/>
      <c r="N10" s="30"/>
      <c r="O10" s="31"/>
      <c r="P10" s="31"/>
      <c r="Q10" s="31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77" t="s">
        <v>79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ht="38.25" customHeight="1" x14ac:dyDescent="0.2">
      <c r="A13" s="20" t="s">
        <v>47</v>
      </c>
      <c r="B13" s="21">
        <f>51653653331.55</f>
        <v>51653653331.550003</v>
      </c>
      <c r="C13" s="21">
        <f>28471340126.69</f>
        <v>28471340126.689999</v>
      </c>
      <c r="D13" s="21">
        <f>342634311.16</f>
        <v>342634311.16000003</v>
      </c>
      <c r="E13" s="21">
        <f>155.48</f>
        <v>155.47999999999999</v>
      </c>
      <c r="F13" s="21">
        <f>189141575.31</f>
        <v>189141575.31</v>
      </c>
      <c r="G13" s="21">
        <f>152156622.13</f>
        <v>152156622.13</v>
      </c>
      <c r="H13" s="21">
        <f>1335958.24</f>
        <v>1335958.24</v>
      </c>
      <c r="I13" s="21">
        <f>0</f>
        <v>0</v>
      </c>
      <c r="J13" s="21">
        <f>26016172082.99</f>
        <v>26016172082.990002</v>
      </c>
      <c r="K13" s="21">
        <f>1185234532.15</f>
        <v>1185234532.1500001</v>
      </c>
      <c r="L13" s="21">
        <f>912292008.91</f>
        <v>912292008.90999997</v>
      </c>
      <c r="M13" s="21">
        <f>13139655.44</f>
        <v>13139655.439999999</v>
      </c>
      <c r="N13" s="21">
        <f>1867536.04</f>
        <v>1867536.04</v>
      </c>
      <c r="O13" s="21">
        <f>23182313204.86</f>
        <v>23182313204.860001</v>
      </c>
      <c r="P13" s="21">
        <f>21024806603.54</f>
        <v>21024806603.540001</v>
      </c>
      <c r="Q13" s="21">
        <f>2157506601.32</f>
        <v>2157506601.3200002</v>
      </c>
    </row>
    <row r="14" spans="1:17" ht="38.25" customHeight="1" x14ac:dyDescent="0.2">
      <c r="A14" s="20" t="s">
        <v>48</v>
      </c>
      <c r="B14" s="21">
        <f>6296839000</f>
        <v>6296839000</v>
      </c>
      <c r="C14" s="21">
        <f>6296839000</f>
        <v>6296839000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6135339000</f>
        <v>6135339000</v>
      </c>
      <c r="K14" s="21">
        <f>161500000</f>
        <v>161500000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6296839000</f>
        <v>6296839000</v>
      </c>
      <c r="C16" s="22">
        <f>6296839000</f>
        <v>6296839000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6135339000</f>
        <v>6135339000</v>
      </c>
      <c r="K16" s="22">
        <f>161500000</f>
        <v>161500000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45312374138.51</f>
        <v>45312374138.510002</v>
      </c>
      <c r="C17" s="21">
        <f>22130060933.65</f>
        <v>22130060933.650002</v>
      </c>
      <c r="D17" s="21">
        <f>334140755.82</f>
        <v>334140755.81999999</v>
      </c>
      <c r="E17" s="21">
        <f>0</f>
        <v>0</v>
      </c>
      <c r="F17" s="21">
        <f>189141575.31</f>
        <v>189141575.31</v>
      </c>
      <c r="G17" s="21">
        <f>144999180.51</f>
        <v>144999180.50999999</v>
      </c>
      <c r="H17" s="21">
        <f>0</f>
        <v>0</v>
      </c>
      <c r="I17" s="21">
        <f>0</f>
        <v>0</v>
      </c>
      <c r="J17" s="21">
        <f>19880833082.99</f>
        <v>19880833082.990002</v>
      </c>
      <c r="K17" s="21">
        <f>1023734482.15</f>
        <v>1023734482.15</v>
      </c>
      <c r="L17" s="21">
        <f>891352612.69</f>
        <v>891352612.69000006</v>
      </c>
      <c r="M17" s="21">
        <f>0</f>
        <v>0</v>
      </c>
      <c r="N17" s="21">
        <f>0</f>
        <v>0</v>
      </c>
      <c r="O17" s="21">
        <f>23182313204.86</f>
        <v>23182313204.860001</v>
      </c>
      <c r="P17" s="21">
        <f>21024806603.54</f>
        <v>21024806603.540001</v>
      </c>
      <c r="Q17" s="21">
        <f>2157506601.32</f>
        <v>2157506601.3200002</v>
      </c>
    </row>
    <row r="18" spans="1:17" ht="38.25" customHeight="1" x14ac:dyDescent="0.2">
      <c r="A18" s="18" t="s">
        <v>52</v>
      </c>
      <c r="B18" s="22">
        <f>249417564.33</f>
        <v>249417564.33000001</v>
      </c>
      <c r="C18" s="22">
        <f>249417564.33</f>
        <v>249417564.33000001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173725004.33</f>
        <v>173725004.33000001</v>
      </c>
      <c r="K18" s="22">
        <f>75000000</f>
        <v>75000000</v>
      </c>
      <c r="L18" s="22">
        <f>692560</f>
        <v>692560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45062956574.18</f>
        <v>45062956574.18</v>
      </c>
      <c r="C19" s="22">
        <f>21880643369.32</f>
        <v>21880643369.32</v>
      </c>
      <c r="D19" s="22">
        <f>334140755.82</f>
        <v>334140755.81999999</v>
      </c>
      <c r="E19" s="22">
        <f>0</f>
        <v>0</v>
      </c>
      <c r="F19" s="22">
        <f>189141575.31</f>
        <v>189141575.31</v>
      </c>
      <c r="G19" s="22">
        <f>144999180.51</f>
        <v>144999180.50999999</v>
      </c>
      <c r="H19" s="22">
        <f>0</f>
        <v>0</v>
      </c>
      <c r="I19" s="22">
        <f>0</f>
        <v>0</v>
      </c>
      <c r="J19" s="22">
        <f>19707108078.66</f>
        <v>19707108078.66</v>
      </c>
      <c r="K19" s="22">
        <f>948734482.15</f>
        <v>948734482.14999998</v>
      </c>
      <c r="L19" s="22">
        <f>890660052.69</f>
        <v>890660052.69000006</v>
      </c>
      <c r="M19" s="22">
        <f>0</f>
        <v>0</v>
      </c>
      <c r="N19" s="22">
        <f>0</f>
        <v>0</v>
      </c>
      <c r="O19" s="22">
        <f>23182313204.86</f>
        <v>23182313204.860001</v>
      </c>
      <c r="P19" s="22">
        <f>21024806603.54</f>
        <v>21024806603.540001</v>
      </c>
      <c r="Q19" s="22">
        <f>2157506601.32</f>
        <v>2157506601.3200002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44440193.04</f>
        <v>44440193.039999999</v>
      </c>
      <c r="C21" s="21">
        <f>44440193.04</f>
        <v>44440193.039999999</v>
      </c>
      <c r="D21" s="21">
        <f>8493555.34</f>
        <v>8493555.3399999999</v>
      </c>
      <c r="E21" s="21">
        <f>155.48</f>
        <v>155.47999999999999</v>
      </c>
      <c r="F21" s="21">
        <f>0</f>
        <v>0</v>
      </c>
      <c r="G21" s="21">
        <f>7157441.62</f>
        <v>7157441.6200000001</v>
      </c>
      <c r="H21" s="21">
        <f>1335958.24</f>
        <v>1335958.24</v>
      </c>
      <c r="I21" s="21">
        <f>0</f>
        <v>0</v>
      </c>
      <c r="J21" s="21">
        <f>0</f>
        <v>0</v>
      </c>
      <c r="K21" s="21">
        <f>50</f>
        <v>50</v>
      </c>
      <c r="L21" s="21">
        <f>20939396.22</f>
        <v>20939396.219999999</v>
      </c>
      <c r="M21" s="21">
        <f>13139655.44</f>
        <v>13139655.439999999</v>
      </c>
      <c r="N21" s="21">
        <f>1867536.04</f>
        <v>1867536.04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28444555.37</f>
        <v>28444555.370000001</v>
      </c>
      <c r="C22" s="22">
        <f>28444555.37</f>
        <v>28444555.370000001</v>
      </c>
      <c r="D22" s="22">
        <f>2293847.04</f>
        <v>2293847.04</v>
      </c>
      <c r="E22" s="22">
        <f>155.48</f>
        <v>155.47999999999999</v>
      </c>
      <c r="F22" s="22">
        <f>0</f>
        <v>0</v>
      </c>
      <c r="G22" s="22">
        <f>2293691.56</f>
        <v>2293691.56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11850895.76</f>
        <v>11850895.76</v>
      </c>
      <c r="M22" s="22">
        <f>12432659.57</f>
        <v>12432659.57</v>
      </c>
      <c r="N22" s="22">
        <f>1867153</f>
        <v>1867153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15995637.67</f>
        <v>15995637.67</v>
      </c>
      <c r="C23" s="22">
        <f>15995637.67</f>
        <v>15995637.67</v>
      </c>
      <c r="D23" s="22">
        <f>6199708.3</f>
        <v>6199708.2999999998</v>
      </c>
      <c r="E23" s="22">
        <f>0</f>
        <v>0</v>
      </c>
      <c r="F23" s="22">
        <f>0</f>
        <v>0</v>
      </c>
      <c r="G23" s="22">
        <f>4863750.06</f>
        <v>4863750.0599999996</v>
      </c>
      <c r="H23" s="22">
        <f>1335958.24</f>
        <v>1335958.24</v>
      </c>
      <c r="I23" s="22">
        <f>0</f>
        <v>0</v>
      </c>
      <c r="J23" s="22">
        <f>0</f>
        <v>0</v>
      </c>
      <c r="K23" s="22">
        <f>50</f>
        <v>50</v>
      </c>
      <c r="L23" s="22">
        <f>9088500.46</f>
        <v>9088500.4600000009</v>
      </c>
      <c r="M23" s="22">
        <f>706995.87</f>
        <v>706995.87</v>
      </c>
      <c r="N23" s="22">
        <f>383.04</f>
        <v>383.04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6" t="str">
        <f>CONCATENATE("Informacja z wykonania budżetów miast na prawach powiatu za  ",$C$93," ",$B$94," roku     ",$B$96,"")</f>
        <v xml:space="preserve">Informacja z wykonania budżetów miast na prawach powiatu za  III Kwartały 2024 roku     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2" spans="1:17" ht="13.5" customHeight="1" x14ac:dyDescent="0.2">
      <c r="A32" s="37" t="s">
        <v>12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4" spans="1:17" ht="13.5" customHeight="1" x14ac:dyDescent="0.2">
      <c r="A34" s="26" t="s">
        <v>0</v>
      </c>
      <c r="B34" s="38" t="s">
        <v>13</v>
      </c>
      <c r="C34" s="33" t="s">
        <v>15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  <c r="O34" s="33" t="s">
        <v>25</v>
      </c>
      <c r="P34" s="34"/>
      <c r="Q34" s="35"/>
    </row>
    <row r="35" spans="1:17" ht="13.5" customHeight="1" x14ac:dyDescent="0.2">
      <c r="A35" s="27"/>
      <c r="B35" s="29"/>
      <c r="C35" s="29" t="s">
        <v>14</v>
      </c>
      <c r="D35" s="31" t="s">
        <v>16</v>
      </c>
      <c r="E35" s="31" t="s">
        <v>26</v>
      </c>
      <c r="F35" s="31" t="s">
        <v>27</v>
      </c>
      <c r="G35" s="31" t="s">
        <v>75</v>
      </c>
      <c r="H35" s="31" t="s">
        <v>29</v>
      </c>
      <c r="I35" s="31" t="s">
        <v>2</v>
      </c>
      <c r="J35" s="31" t="s">
        <v>17</v>
      </c>
      <c r="K35" s="31" t="s">
        <v>18</v>
      </c>
      <c r="L35" s="31" t="s">
        <v>19</v>
      </c>
      <c r="M35" s="31" t="s">
        <v>20</v>
      </c>
      <c r="N35" s="75" t="s">
        <v>21</v>
      </c>
      <c r="O35" s="31" t="s">
        <v>22</v>
      </c>
      <c r="P35" s="31" t="s">
        <v>23</v>
      </c>
      <c r="Q35" s="38" t="s">
        <v>24</v>
      </c>
    </row>
    <row r="36" spans="1:17" ht="11.25" customHeight="1" x14ac:dyDescent="0.2">
      <c r="A36" s="27"/>
      <c r="B36" s="29"/>
      <c r="C36" s="2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5"/>
      <c r="O36" s="31"/>
      <c r="P36" s="31"/>
      <c r="Q36" s="29"/>
    </row>
    <row r="37" spans="1:17" ht="24.75" customHeight="1" x14ac:dyDescent="0.2">
      <c r="A37" s="28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5"/>
      <c r="O37" s="31"/>
      <c r="P37" s="31"/>
      <c r="Q37" s="30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61" t="s">
        <v>79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62"/>
    </row>
    <row r="40" spans="1:17" ht="26.25" customHeight="1" x14ac:dyDescent="0.2">
      <c r="A40" s="25" t="s">
        <v>42</v>
      </c>
      <c r="B40" s="23">
        <f>105339.5</f>
        <v>105339.5</v>
      </c>
      <c r="C40" s="23">
        <f>105339.5</f>
        <v>105339.5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105339.5</f>
        <v>105339.5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105339.5</f>
        <v>105339.5</v>
      </c>
      <c r="C42" s="24">
        <f>105339.5</f>
        <v>105339.5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105339.5</f>
        <v>105339.5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327029191.69</f>
        <v>327029191.69</v>
      </c>
      <c r="C43" s="23">
        <f>327029191.69</f>
        <v>327029191.69</v>
      </c>
      <c r="D43" s="23">
        <f>114764555.39</f>
        <v>114764555.39</v>
      </c>
      <c r="E43" s="23">
        <f>28880</f>
        <v>28880</v>
      </c>
      <c r="F43" s="23">
        <f>0</f>
        <v>0</v>
      </c>
      <c r="G43" s="23">
        <f>114735675.39</f>
        <v>114735675.39</v>
      </c>
      <c r="H43" s="23">
        <f>0</f>
        <v>0</v>
      </c>
      <c r="I43" s="23">
        <f>0</f>
        <v>0</v>
      </c>
      <c r="J43" s="23">
        <f>0</f>
        <v>0</v>
      </c>
      <c r="K43" s="23">
        <f>4560</f>
        <v>4560</v>
      </c>
      <c r="L43" s="23">
        <f>121917558.14</f>
        <v>121917558.14</v>
      </c>
      <c r="M43" s="23">
        <f>76412946.83</f>
        <v>76412946.829999998</v>
      </c>
      <c r="N43" s="23">
        <f>13929571.33</f>
        <v>13929571.33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52892023.46</f>
        <v>52892023.460000001</v>
      </c>
      <c r="C44" s="24">
        <f>52892023.46</f>
        <v>52892023.460000001</v>
      </c>
      <c r="D44" s="24">
        <f>5667846.31</f>
        <v>5667846.3099999996</v>
      </c>
      <c r="E44" s="24">
        <f>28880</f>
        <v>28880</v>
      </c>
      <c r="F44" s="24">
        <f>0</f>
        <v>0</v>
      </c>
      <c r="G44" s="24">
        <f>5638966.31</f>
        <v>5638966.3099999996</v>
      </c>
      <c r="H44" s="24">
        <f>0</f>
        <v>0</v>
      </c>
      <c r="I44" s="24">
        <f>0</f>
        <v>0</v>
      </c>
      <c r="J44" s="24">
        <f>0</f>
        <v>0</v>
      </c>
      <c r="K44" s="24">
        <f>4560</f>
        <v>4560</v>
      </c>
      <c r="L44" s="24">
        <f>23448618.36</f>
        <v>23448618.359999999</v>
      </c>
      <c r="M44" s="24">
        <f>19920805.37</f>
        <v>19920805.370000001</v>
      </c>
      <c r="N44" s="24">
        <f>3850193.42</f>
        <v>3850193.42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274137168.23</f>
        <v>274137168.23000002</v>
      </c>
      <c r="C45" s="24">
        <f>274137168.23</f>
        <v>274137168.23000002</v>
      </c>
      <c r="D45" s="24">
        <f>109096709.08</f>
        <v>109096709.08</v>
      </c>
      <c r="E45" s="24">
        <f>0</f>
        <v>0</v>
      </c>
      <c r="F45" s="24">
        <f>0</f>
        <v>0</v>
      </c>
      <c r="G45" s="24">
        <f>109096709.08</f>
        <v>109096709.08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98468939.78</f>
        <v>98468939.780000001</v>
      </c>
      <c r="M45" s="24">
        <f>56492141.46</f>
        <v>56492141.460000001</v>
      </c>
      <c r="N45" s="24">
        <f>10079377.91</f>
        <v>10079377.91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11707913196.29</f>
        <v>11707913196.290001</v>
      </c>
      <c r="C46" s="23">
        <f>11707913196.29</f>
        <v>11707913196.290001</v>
      </c>
      <c r="D46" s="23">
        <f>14274142.04</f>
        <v>14274142.039999999</v>
      </c>
      <c r="E46" s="23">
        <f>99183.55</f>
        <v>99183.55</v>
      </c>
      <c r="F46" s="23">
        <f>25779.68</f>
        <v>25779.68</v>
      </c>
      <c r="G46" s="23">
        <f>14149178.81</f>
        <v>14149178.810000001</v>
      </c>
      <c r="H46" s="23">
        <f>0</f>
        <v>0</v>
      </c>
      <c r="I46" s="23">
        <f>3793940.18</f>
        <v>3793940.18</v>
      </c>
      <c r="J46" s="23">
        <f>11687528741.83</f>
        <v>11687528741.83</v>
      </c>
      <c r="K46" s="23">
        <f>112077.86</f>
        <v>112077.86</v>
      </c>
      <c r="L46" s="23">
        <f>2161889.81</f>
        <v>2161889.81</v>
      </c>
      <c r="M46" s="23">
        <f>41755.66</f>
        <v>41755.660000000003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8836406.81</f>
        <v>8836406.8100000005</v>
      </c>
      <c r="C47" s="24">
        <f>8836406.81</f>
        <v>8836406.8100000005</v>
      </c>
      <c r="D47" s="24">
        <f>8836406.81</f>
        <v>8836406.8100000005</v>
      </c>
      <c r="E47" s="24">
        <f>0</f>
        <v>0</v>
      </c>
      <c r="F47" s="24">
        <f>0</f>
        <v>0</v>
      </c>
      <c r="G47" s="24">
        <f>8836406.81</f>
        <v>8836406.8100000005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5865192428.5</f>
        <v>5865192428.5</v>
      </c>
      <c r="C48" s="24">
        <f>5865192428.5</f>
        <v>5865192428.5</v>
      </c>
      <c r="D48" s="24">
        <f>5253460.76</f>
        <v>5253460.76</v>
      </c>
      <c r="E48" s="24">
        <f>14000</f>
        <v>14000</v>
      </c>
      <c r="F48" s="24">
        <f>0</f>
        <v>0</v>
      </c>
      <c r="G48" s="24">
        <f>5239460.76</f>
        <v>5239460.76</v>
      </c>
      <c r="H48" s="24">
        <f>0</f>
        <v>0</v>
      </c>
      <c r="I48" s="24">
        <f>3710155.65</f>
        <v>3710155.65</v>
      </c>
      <c r="J48" s="24">
        <f>5855249919.02</f>
        <v>5855249919.0200005</v>
      </c>
      <c r="K48" s="24">
        <f>112077.86</f>
        <v>112077.86</v>
      </c>
      <c r="L48" s="24">
        <f>866815.21</f>
        <v>866815.21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5833884360.98</f>
        <v>5833884360.9799995</v>
      </c>
      <c r="C49" s="24">
        <f>5833884360.98</f>
        <v>5833884360.9799995</v>
      </c>
      <c r="D49" s="24">
        <f>184274.47</f>
        <v>184274.47</v>
      </c>
      <c r="E49" s="24">
        <f>85183.55</f>
        <v>85183.55</v>
      </c>
      <c r="F49" s="24">
        <f>25779.68</f>
        <v>25779.68</v>
      </c>
      <c r="G49" s="24">
        <f>73311.24</f>
        <v>73311.240000000005</v>
      </c>
      <c r="H49" s="24">
        <f>0</f>
        <v>0</v>
      </c>
      <c r="I49" s="24">
        <f>83784.53</f>
        <v>83784.53</v>
      </c>
      <c r="J49" s="24">
        <f>5832278822.81</f>
        <v>5832278822.8100004</v>
      </c>
      <c r="K49" s="24">
        <f>0</f>
        <v>0</v>
      </c>
      <c r="L49" s="24">
        <f>1295074.6</f>
        <v>1295074.6000000001</v>
      </c>
      <c r="M49" s="24">
        <f>41755.66</f>
        <v>41755.660000000003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12959237473.51</f>
        <v>12959237473.51</v>
      </c>
      <c r="C50" s="23">
        <f>12906531742.6</f>
        <v>12906531742.6</v>
      </c>
      <c r="D50" s="23">
        <f>330930671.69</f>
        <v>330930671.69</v>
      </c>
      <c r="E50" s="23">
        <f>66332480.36</f>
        <v>66332480.359999999</v>
      </c>
      <c r="F50" s="23">
        <f>10649152.49</f>
        <v>10649152.49</v>
      </c>
      <c r="G50" s="23">
        <f>253605848.49</f>
        <v>253605848.49000001</v>
      </c>
      <c r="H50" s="23">
        <f>343190.35</f>
        <v>343190.35</v>
      </c>
      <c r="I50" s="23">
        <f>0</f>
        <v>0</v>
      </c>
      <c r="J50" s="23">
        <f>225900.43</f>
        <v>225900.43</v>
      </c>
      <c r="K50" s="23">
        <f>8438122.72</f>
        <v>8438122.7200000007</v>
      </c>
      <c r="L50" s="23">
        <f>2762505496.67</f>
        <v>2762505496.6700001</v>
      </c>
      <c r="M50" s="23">
        <f>9674851252.33</f>
        <v>9674851252.3299999</v>
      </c>
      <c r="N50" s="23">
        <f>129580298.76</f>
        <v>129580298.76000001</v>
      </c>
      <c r="O50" s="23">
        <f>52705730.91</f>
        <v>52705730.909999996</v>
      </c>
      <c r="P50" s="23">
        <f>11257985.85</f>
        <v>11257985.85</v>
      </c>
      <c r="Q50" s="23">
        <f>41447745.06</f>
        <v>41447745.060000002</v>
      </c>
    </row>
    <row r="51" spans="1:17" ht="26.25" customHeight="1" x14ac:dyDescent="0.2">
      <c r="A51" s="19" t="s">
        <v>37</v>
      </c>
      <c r="B51" s="24">
        <f>5320662271.94</f>
        <v>5320662271.9399996</v>
      </c>
      <c r="C51" s="24">
        <f>5290125527.83</f>
        <v>5290125527.8299999</v>
      </c>
      <c r="D51" s="24">
        <f>71411732.01</f>
        <v>71411732.010000005</v>
      </c>
      <c r="E51" s="24">
        <f>1086022.7</f>
        <v>1086022.7</v>
      </c>
      <c r="F51" s="24">
        <f>4110986.78</f>
        <v>4110986.78</v>
      </c>
      <c r="G51" s="24">
        <f>66143651.71</f>
        <v>66143651.710000001</v>
      </c>
      <c r="H51" s="24">
        <f>71070.82</f>
        <v>71070.820000000007</v>
      </c>
      <c r="I51" s="24">
        <f>0</f>
        <v>0</v>
      </c>
      <c r="J51" s="24">
        <f>32279.91</f>
        <v>32279.91</v>
      </c>
      <c r="K51" s="24">
        <f>517818.73</f>
        <v>517818.73</v>
      </c>
      <c r="L51" s="24">
        <f>722806645.32</f>
        <v>722806645.32000005</v>
      </c>
      <c r="M51" s="24">
        <f>4407683355.59</f>
        <v>4407683355.5900002</v>
      </c>
      <c r="N51" s="24">
        <f>87673696.27</f>
        <v>87673696.269999996</v>
      </c>
      <c r="O51" s="24">
        <f>30536744.11</f>
        <v>30536744.109999999</v>
      </c>
      <c r="P51" s="24">
        <f>707946.84</f>
        <v>707946.84</v>
      </c>
      <c r="Q51" s="24">
        <f>29828797.27</f>
        <v>29828797.27</v>
      </c>
    </row>
    <row r="52" spans="1:17" ht="26.25" customHeight="1" x14ac:dyDescent="0.2">
      <c r="A52" s="19" t="s">
        <v>38</v>
      </c>
      <c r="B52" s="24">
        <f>7638575201.57</f>
        <v>7638575201.5699997</v>
      </c>
      <c r="C52" s="24">
        <f>7616406214.77</f>
        <v>7616406214.7700005</v>
      </c>
      <c r="D52" s="24">
        <f>259518939.68</f>
        <v>259518939.68000001</v>
      </c>
      <c r="E52" s="24">
        <f>65246457.66</f>
        <v>65246457.659999996</v>
      </c>
      <c r="F52" s="24">
        <f>6538165.71</f>
        <v>6538165.71</v>
      </c>
      <c r="G52" s="24">
        <f>187462196.78</f>
        <v>187462196.78</v>
      </c>
      <c r="H52" s="24">
        <f>272119.53</f>
        <v>272119.53000000003</v>
      </c>
      <c r="I52" s="24">
        <f>0</f>
        <v>0</v>
      </c>
      <c r="J52" s="24">
        <f>193620.52</f>
        <v>193620.52</v>
      </c>
      <c r="K52" s="24">
        <f>7920303.99</f>
        <v>7920303.9900000002</v>
      </c>
      <c r="L52" s="24">
        <f>2039698851.35</f>
        <v>2039698851.3499999</v>
      </c>
      <c r="M52" s="24">
        <f>5267167896.74</f>
        <v>5267167896.7399998</v>
      </c>
      <c r="N52" s="24">
        <f>41906602.49</f>
        <v>41906602.490000002</v>
      </c>
      <c r="O52" s="24">
        <f>22168986.8</f>
        <v>22168986.800000001</v>
      </c>
      <c r="P52" s="24">
        <f>10550039.01</f>
        <v>10550039.01</v>
      </c>
      <c r="Q52" s="24">
        <f>11618947.79</f>
        <v>11618947.789999999</v>
      </c>
    </row>
    <row r="53" spans="1:17" ht="26.25" customHeight="1" x14ac:dyDescent="0.2">
      <c r="A53" s="25" t="s">
        <v>46</v>
      </c>
      <c r="B53" s="23">
        <f>6894506329.89</f>
        <v>6894506329.8900003</v>
      </c>
      <c r="C53" s="23">
        <f>6882161927.87</f>
        <v>6882161927.8699999</v>
      </c>
      <c r="D53" s="23">
        <f>609281667.56</f>
        <v>609281667.55999994</v>
      </c>
      <c r="E53" s="23">
        <f>289538269.14</f>
        <v>289538269.13999999</v>
      </c>
      <c r="F53" s="23">
        <f>41338238.78</f>
        <v>41338238.780000001</v>
      </c>
      <c r="G53" s="23">
        <f>271190724.24</f>
        <v>271190724.24000001</v>
      </c>
      <c r="H53" s="23">
        <f>7214435.4</f>
        <v>7214435.4000000004</v>
      </c>
      <c r="I53" s="23">
        <f>1392386.86</f>
        <v>1392386.86</v>
      </c>
      <c r="J53" s="23">
        <f>6846085.82</f>
        <v>6846085.8200000003</v>
      </c>
      <c r="K53" s="23">
        <f>26064392.57</f>
        <v>26064392.57</v>
      </c>
      <c r="L53" s="23">
        <f>4203619963.25</f>
        <v>4203619963.25</v>
      </c>
      <c r="M53" s="23">
        <f>1879116096.19</f>
        <v>1879116096.1900001</v>
      </c>
      <c r="N53" s="23">
        <f>155841335.62</f>
        <v>155841335.62</v>
      </c>
      <c r="O53" s="23">
        <f>12344402.02</f>
        <v>12344402.02</v>
      </c>
      <c r="P53" s="23">
        <f>9675679.17</f>
        <v>9675679.1699999999</v>
      </c>
      <c r="Q53" s="23">
        <f>2668722.85</f>
        <v>2668722.85</v>
      </c>
    </row>
    <row r="54" spans="1:17" ht="26.25" customHeight="1" x14ac:dyDescent="0.2">
      <c r="A54" s="19" t="s">
        <v>39</v>
      </c>
      <c r="B54" s="24">
        <f>656295339.02</f>
        <v>656295339.01999998</v>
      </c>
      <c r="C54" s="24">
        <f>655061896.89</f>
        <v>655061896.88999999</v>
      </c>
      <c r="D54" s="24">
        <f>57769316.59</f>
        <v>57769316.590000004</v>
      </c>
      <c r="E54" s="24">
        <f>3556760.42</f>
        <v>3556760.42</v>
      </c>
      <c r="F54" s="24">
        <f>426923.02</f>
        <v>426923.02</v>
      </c>
      <c r="G54" s="24">
        <f>52047832.29</f>
        <v>52047832.289999999</v>
      </c>
      <c r="H54" s="24">
        <f>1737800.86</f>
        <v>1737800.86</v>
      </c>
      <c r="I54" s="24">
        <f>2783.49</f>
        <v>2783.49</v>
      </c>
      <c r="J54" s="24">
        <f>189341.08</f>
        <v>189341.08</v>
      </c>
      <c r="K54" s="24">
        <f>392247</f>
        <v>392247</v>
      </c>
      <c r="L54" s="24">
        <f>251483811.15</f>
        <v>251483811.15000001</v>
      </c>
      <c r="M54" s="24">
        <f>329681986.96</f>
        <v>329681986.95999998</v>
      </c>
      <c r="N54" s="24">
        <f>15542410.62</f>
        <v>15542410.619999999</v>
      </c>
      <c r="O54" s="24">
        <f>1233442.13</f>
        <v>1233442.1299999999</v>
      </c>
      <c r="P54" s="24">
        <f>73768.79</f>
        <v>73768.789999999994</v>
      </c>
      <c r="Q54" s="24">
        <f>1159673.34</f>
        <v>1159673.3400000001</v>
      </c>
    </row>
    <row r="55" spans="1:17" ht="36.75" customHeight="1" x14ac:dyDescent="0.2">
      <c r="A55" s="19" t="s">
        <v>40</v>
      </c>
      <c r="B55" s="24">
        <f>3274673701.78</f>
        <v>3274673701.7800002</v>
      </c>
      <c r="C55" s="24">
        <f>3265197489.84</f>
        <v>3265197489.8400002</v>
      </c>
      <c r="D55" s="24">
        <f>200195876.39</f>
        <v>200195876.38999999</v>
      </c>
      <c r="E55" s="24">
        <f>57379600.27</f>
        <v>57379600.270000003</v>
      </c>
      <c r="F55" s="24">
        <f>31981265.9</f>
        <v>31981265.899999999</v>
      </c>
      <c r="G55" s="24">
        <f>109111274.02</f>
        <v>109111274.02</v>
      </c>
      <c r="H55" s="24">
        <f>1723736.2</f>
        <v>1723736.2</v>
      </c>
      <c r="I55" s="24">
        <f>1361511.47</f>
        <v>1361511.47</v>
      </c>
      <c r="J55" s="24">
        <f>5401418.15</f>
        <v>5401418.1500000004</v>
      </c>
      <c r="K55" s="24">
        <f>5628749.6</f>
        <v>5628749.5999999996</v>
      </c>
      <c r="L55" s="24">
        <f>2554851065.92</f>
        <v>2554851065.9200001</v>
      </c>
      <c r="M55" s="24">
        <f>473960828.55</f>
        <v>473960828.55000001</v>
      </c>
      <c r="N55" s="24">
        <f>23798039.76</f>
        <v>23798039.760000002</v>
      </c>
      <c r="O55" s="24">
        <f>9476211.94</f>
        <v>9476211.9399999995</v>
      </c>
      <c r="P55" s="24">
        <f>8532544.87</f>
        <v>8532544.8699999992</v>
      </c>
      <c r="Q55" s="24">
        <f>943667.07</f>
        <v>943667.07</v>
      </c>
    </row>
    <row r="56" spans="1:17" ht="26.25" customHeight="1" x14ac:dyDescent="0.2">
      <c r="A56" s="19" t="s">
        <v>41</v>
      </c>
      <c r="B56" s="24">
        <f>2963537289.09</f>
        <v>2963537289.0900002</v>
      </c>
      <c r="C56" s="24">
        <f>2961902541.14</f>
        <v>2961902541.1399999</v>
      </c>
      <c r="D56" s="24">
        <f>351316474.58</f>
        <v>351316474.57999998</v>
      </c>
      <c r="E56" s="24">
        <f>228601908.45</f>
        <v>228601908.44999999</v>
      </c>
      <c r="F56" s="24">
        <f>8930049.86</f>
        <v>8930049.8599999994</v>
      </c>
      <c r="G56" s="24">
        <f>110031617.93</f>
        <v>110031617.93000001</v>
      </c>
      <c r="H56" s="24">
        <f>3752898.34</f>
        <v>3752898.34</v>
      </c>
      <c r="I56" s="24">
        <f>28091.9</f>
        <v>28091.9</v>
      </c>
      <c r="J56" s="24">
        <f>1255326.59</f>
        <v>1255326.5900000001</v>
      </c>
      <c r="K56" s="24">
        <f>20043395.97</f>
        <v>20043395.969999999</v>
      </c>
      <c r="L56" s="24">
        <f>1397285086.18</f>
        <v>1397285086.1800001</v>
      </c>
      <c r="M56" s="24">
        <f>1075473280.68</f>
        <v>1075473280.6800001</v>
      </c>
      <c r="N56" s="24">
        <f>116500885.24</f>
        <v>116500885.23999999</v>
      </c>
      <c r="O56" s="24">
        <f>1634747.95</f>
        <v>1634747.95</v>
      </c>
      <c r="P56" s="24">
        <f>1069365.51</f>
        <v>1069365.51</v>
      </c>
      <c r="Q56" s="24">
        <f>565382.44</f>
        <v>565382.43999999994</v>
      </c>
    </row>
    <row r="66" spans="1:13" ht="75" customHeight="1" x14ac:dyDescent="0.2">
      <c r="A66" s="36" t="str">
        <f>CONCATENATE("Informacja z wykonania budżetów miast na prawach powiatu za  ",$C$93," ",$B$94," roku     ",$B$96,"")</f>
        <v xml:space="preserve">Informacja z wykonania budżetów miast na prawach powiatu za  III Kwartały 2024 roku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B67" s="37" t="s">
        <v>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9" spans="1:13" ht="13.5" customHeight="1" x14ac:dyDescent="0.2">
      <c r="B69" s="65" t="s">
        <v>0</v>
      </c>
      <c r="C69" s="66"/>
      <c r="D69" s="66"/>
      <c r="E69" s="67"/>
      <c r="F69" s="40" t="s">
        <v>73</v>
      </c>
      <c r="G69" s="61" t="s">
        <v>72</v>
      </c>
      <c r="H69" s="74"/>
      <c r="I69" s="74"/>
      <c r="J69" s="74"/>
      <c r="K69" s="74"/>
      <c r="L69" s="62"/>
    </row>
    <row r="70" spans="1:13" ht="13.5" customHeight="1" x14ac:dyDescent="0.2">
      <c r="B70" s="68"/>
      <c r="C70" s="69"/>
      <c r="D70" s="69"/>
      <c r="E70" s="70"/>
      <c r="F70" s="41"/>
      <c r="G70" s="43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80" t="s">
        <v>77</v>
      </c>
    </row>
    <row r="71" spans="1:13" ht="13.5" customHeight="1" x14ac:dyDescent="0.2">
      <c r="B71" s="68"/>
      <c r="C71" s="69"/>
      <c r="D71" s="69"/>
      <c r="E71" s="70"/>
      <c r="F71" s="41"/>
      <c r="G71" s="43"/>
      <c r="H71" s="32"/>
      <c r="I71" s="32"/>
      <c r="J71" s="32"/>
      <c r="K71" s="32"/>
      <c r="L71" s="80"/>
    </row>
    <row r="72" spans="1:13" ht="11.25" customHeight="1" x14ac:dyDescent="0.2">
      <c r="B72" s="68"/>
      <c r="C72" s="69"/>
      <c r="D72" s="69"/>
      <c r="E72" s="70"/>
      <c r="F72" s="41"/>
      <c r="G72" s="43"/>
      <c r="H72" s="32"/>
      <c r="I72" s="32"/>
      <c r="J72" s="32"/>
      <c r="K72" s="32"/>
      <c r="L72" s="80"/>
    </row>
    <row r="73" spans="1:13" ht="11.25" customHeight="1" x14ac:dyDescent="0.2">
      <c r="B73" s="71"/>
      <c r="C73" s="72"/>
      <c r="D73" s="72"/>
      <c r="E73" s="73"/>
      <c r="F73" s="42"/>
      <c r="G73" s="43"/>
      <c r="H73" s="32"/>
      <c r="I73" s="32"/>
      <c r="J73" s="32"/>
      <c r="K73" s="32"/>
      <c r="L73" s="80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76"/>
      <c r="C75" s="76"/>
      <c r="D75" s="76"/>
      <c r="E75" s="76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3" t="s">
        <v>57</v>
      </c>
      <c r="C76" s="54"/>
      <c r="D76" s="54"/>
      <c r="E76" s="55"/>
      <c r="F76" s="22">
        <f>1632689262.88</f>
        <v>1632689262.8800001</v>
      </c>
      <c r="G76" s="22">
        <f>199420576.78</f>
        <v>199420576.78</v>
      </c>
      <c r="H76" s="22">
        <f>18697381</f>
        <v>18697381</v>
      </c>
      <c r="I76" s="22">
        <f>64126751</f>
        <v>64126751</v>
      </c>
      <c r="J76" s="22">
        <f>116596444.78</f>
        <v>116596444.78</v>
      </c>
      <c r="K76" s="22">
        <f>0</f>
        <v>0</v>
      </c>
      <c r="L76" s="22">
        <f>1433268686.1</f>
        <v>1433268686.0999999</v>
      </c>
    </row>
    <row r="77" spans="1:13" ht="47.25" customHeight="1" x14ac:dyDescent="0.2">
      <c r="B77" s="53" t="s">
        <v>58</v>
      </c>
      <c r="C77" s="54"/>
      <c r="D77" s="54"/>
      <c r="E77" s="55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3" t="s">
        <v>59</v>
      </c>
      <c r="C78" s="54"/>
      <c r="D78" s="54"/>
      <c r="E78" s="55"/>
      <c r="F78" s="22">
        <f>150741729.51</f>
        <v>150741729.50999999</v>
      </c>
      <c r="G78" s="22">
        <f>4622026</f>
        <v>4622026</v>
      </c>
      <c r="H78" s="22">
        <f>0</f>
        <v>0</v>
      </c>
      <c r="I78" s="22">
        <f>0</f>
        <v>0</v>
      </c>
      <c r="J78" s="22">
        <f>4622026</f>
        <v>4622026</v>
      </c>
      <c r="K78" s="22">
        <f>0</f>
        <v>0</v>
      </c>
      <c r="L78" s="22">
        <f>146119703.51</f>
        <v>146119703.50999999</v>
      </c>
    </row>
    <row r="79" spans="1:13" ht="47.25" customHeight="1" x14ac:dyDescent="0.2">
      <c r="B79" s="53" t="s">
        <v>60</v>
      </c>
      <c r="C79" s="54"/>
      <c r="D79" s="54"/>
      <c r="E79" s="55"/>
      <c r="F79" s="22">
        <f>33270699.92</f>
        <v>33270699.920000002</v>
      </c>
      <c r="G79" s="22">
        <f>32001238.79</f>
        <v>32001238.789999999</v>
      </c>
      <c r="H79" s="22">
        <f>0</f>
        <v>0</v>
      </c>
      <c r="I79" s="22">
        <f>0</f>
        <v>0</v>
      </c>
      <c r="J79" s="22">
        <f>32000023.08</f>
        <v>32000023.079999998</v>
      </c>
      <c r="K79" s="22">
        <f>1215.71</f>
        <v>1215.71</v>
      </c>
      <c r="L79" s="22">
        <f>1269461.13</f>
        <v>1269461.1299999999</v>
      </c>
    </row>
    <row r="80" spans="1:13" ht="47.25" customHeight="1" x14ac:dyDescent="0.2">
      <c r="B80" s="53" t="s">
        <v>61</v>
      </c>
      <c r="C80" s="54"/>
      <c r="D80" s="54"/>
      <c r="E80" s="55"/>
      <c r="F80" s="22">
        <f>7299693</f>
        <v>7299693</v>
      </c>
      <c r="G80" s="22">
        <f>7299693</f>
        <v>7299693</v>
      </c>
      <c r="H80" s="22">
        <f>0</f>
        <v>0</v>
      </c>
      <c r="I80" s="22">
        <f>0</f>
        <v>0</v>
      </c>
      <c r="J80" s="22">
        <f>7299693</f>
        <v>7299693</v>
      </c>
      <c r="K80" s="22">
        <f>0</f>
        <v>0</v>
      </c>
      <c r="L80" s="22">
        <f>0</f>
        <v>0</v>
      </c>
    </row>
    <row r="81" spans="1:13" ht="47.25" customHeight="1" x14ac:dyDescent="0.2">
      <c r="B81" s="53" t="s">
        <v>62</v>
      </c>
      <c r="C81" s="54"/>
      <c r="D81" s="54"/>
      <c r="E81" s="55"/>
      <c r="F81" s="22">
        <f>17240241.75</f>
        <v>17240241.75</v>
      </c>
      <c r="G81" s="22">
        <f>16221996.33</f>
        <v>16221996.33</v>
      </c>
      <c r="H81" s="22">
        <f>0</f>
        <v>0</v>
      </c>
      <c r="I81" s="22">
        <f>0</f>
        <v>0</v>
      </c>
      <c r="J81" s="22">
        <f>16221996.33</f>
        <v>16221996.33</v>
      </c>
      <c r="K81" s="22">
        <f>0</f>
        <v>0</v>
      </c>
      <c r="L81" s="22">
        <f>1018245.42</f>
        <v>1018245.42</v>
      </c>
    </row>
    <row r="82" spans="1:13" ht="47.25" customHeight="1" x14ac:dyDescent="0.2">
      <c r="B82" s="53" t="s">
        <v>63</v>
      </c>
      <c r="C82" s="54"/>
      <c r="D82" s="54"/>
      <c r="E82" s="55"/>
      <c r="F82" s="22">
        <f>791147.26</f>
        <v>791147.26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791147.26</f>
        <v>791147.26</v>
      </c>
    </row>
    <row r="85" spans="1:13" ht="75" customHeight="1" x14ac:dyDescent="0.2">
      <c r="A85" s="36" t="str">
        <f>CONCATENATE("Informacja z wykonania budżetów miast na prawach powiatu za  ",$C$93," ",$B$94," roku     ",$B$96,"")</f>
        <v xml:space="preserve">Informacja z wykonania budżetów miast na prawach powiatu za  III Kwartały 2024 roku     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ht="13.5" customHeight="1" x14ac:dyDescent="0.2">
      <c r="B86" s="4"/>
    </row>
    <row r="87" spans="1:13" ht="13.5" customHeight="1" x14ac:dyDescent="0.2">
      <c r="B87" s="5"/>
      <c r="C87" s="61"/>
      <c r="D87" s="74"/>
      <c r="E87" s="74"/>
      <c r="F87" s="62"/>
      <c r="G87" s="61" t="s">
        <v>4</v>
      </c>
      <c r="H87" s="62"/>
      <c r="I87" s="61" t="s">
        <v>5</v>
      </c>
      <c r="J87" s="62"/>
      <c r="K87" s="5"/>
    </row>
    <row r="88" spans="1:13" ht="13.5" customHeight="1" x14ac:dyDescent="0.2">
      <c r="B88" s="6"/>
      <c r="C88" s="53" t="s">
        <v>6</v>
      </c>
      <c r="D88" s="54"/>
      <c r="E88" s="54"/>
      <c r="F88" s="55"/>
      <c r="G88" s="59">
        <f>51</f>
        <v>51</v>
      </c>
      <c r="H88" s="60"/>
      <c r="I88" s="46">
        <f>6210038235.66</f>
        <v>6210038235.6599998</v>
      </c>
      <c r="J88" s="47"/>
      <c r="K88" s="7"/>
    </row>
    <row r="89" spans="1:13" ht="13.5" customHeight="1" x14ac:dyDescent="0.2">
      <c r="B89" s="6"/>
      <c r="C89" s="56" t="s">
        <v>7</v>
      </c>
      <c r="D89" s="57"/>
      <c r="E89" s="57"/>
      <c r="F89" s="58"/>
      <c r="G89" s="63">
        <f>15</f>
        <v>15</v>
      </c>
      <c r="H89" s="64"/>
      <c r="I89" s="48">
        <f>-687352329.95</f>
        <v>-687352329.95000005</v>
      </c>
      <c r="J89" s="49"/>
      <c r="K89" s="7"/>
    </row>
    <row r="90" spans="1:13" ht="13.5" customHeight="1" x14ac:dyDescent="0.2">
      <c r="B90" s="6"/>
      <c r="C90" s="53" t="s">
        <v>8</v>
      </c>
      <c r="D90" s="54"/>
      <c r="E90" s="54"/>
      <c r="F90" s="55"/>
      <c r="G90" s="59">
        <f>0</f>
        <v>0</v>
      </c>
      <c r="H90" s="60"/>
      <c r="I90" s="46">
        <f>0</f>
        <v>0</v>
      </c>
      <c r="J90" s="47"/>
      <c r="K90" s="7"/>
    </row>
    <row r="93" spans="1:13" ht="13.5" customHeight="1" x14ac:dyDescent="0.2">
      <c r="A93" s="8" t="s">
        <v>9</v>
      </c>
      <c r="B93" s="8">
        <f>3</f>
        <v>3</v>
      </c>
      <c r="C93" s="8" t="str">
        <f>IF(B93=1,"I Kwartał",IF(B93=2,"II Kwartały",IF(B93=3,"III Kwartały",IF(B93=4,"IV Kwartały","-"))))</f>
        <v>III Kwartały</v>
      </c>
    </row>
    <row r="94" spans="1:13" ht="13.5" customHeight="1" x14ac:dyDescent="0.2">
      <c r="A94" s="8" t="s">
        <v>10</v>
      </c>
      <c r="B94" s="8">
        <f>2024</f>
        <v>2024</v>
      </c>
      <c r="C94" s="9"/>
    </row>
    <row r="95" spans="1:13" ht="13.5" customHeight="1" x14ac:dyDescent="0.2">
      <c r="A95" s="8" t="s">
        <v>11</v>
      </c>
      <c r="B95" s="10" t="str">
        <f>"Nov 14 2024 12:00AM"</f>
        <v>Nov 14 2024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O6:Q6"/>
    <mergeCell ref="O7:O10"/>
    <mergeCell ref="A66:M66"/>
    <mergeCell ref="L35:L37"/>
    <mergeCell ref="P35:P37"/>
    <mergeCell ref="B75:E75"/>
    <mergeCell ref="F75:L75"/>
    <mergeCell ref="B12:Q12"/>
    <mergeCell ref="B39:Q39"/>
    <mergeCell ref="L70:L73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Q7:Q10"/>
    <mergeCell ref="C34:N34"/>
    <mergeCell ref="L7:L10"/>
    <mergeCell ref="M7:M10"/>
    <mergeCell ref="N7:N10"/>
    <mergeCell ref="P7:P10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E35:E37"/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2024-12-09T09:12:24Z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2024-12-09T10:12:23.1525145+01:00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GRN-4e3add0e-e64c-44b2-91d0-09018ac853d0</vt:lpwstr>
  </property>
  <property fmtid="{D5CDD505-2E9C-101B-9397-08002B2CF9AE}" pid="7" name="MFHash">
    <vt:lpwstr>3ChqdorqtjCPsuEw7VsHTJpFNL/dO7oEtau5ZWJh63I=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