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```ST7\Besti@\2023\II kwartał\Dane ostateczne 2023.08.14\Zbiorówki_2023_k2_20230814\"/>
    </mc:Choice>
  </mc:AlternateContent>
  <bookViews>
    <workbookView xWindow="240" yWindow="120" windowWidth="14220" windowHeight="8835"/>
  </bookViews>
  <sheets>
    <sheet name="zob_nal" sheetId="7" r:id="rId1"/>
    <sheet name="definicja" sheetId="6" r:id="rId2"/>
  </sheets>
  <calcPr calcId="152511"/>
</workbook>
</file>

<file path=xl/calcChain.xml><?xml version="1.0" encoding="utf-8"?>
<calcChain xmlns="http://schemas.openxmlformats.org/spreadsheetml/2006/main">
  <c r="C106" i="6" l="1"/>
  <c r="C105" i="6"/>
  <c r="C104" i="6"/>
  <c r="B96" i="7"/>
  <c r="B95" i="7"/>
  <c r="B94" i="7"/>
  <c r="I91" i="7"/>
  <c r="G91" i="7"/>
  <c r="I90" i="7"/>
  <c r="G90" i="7"/>
  <c r="I89" i="7"/>
  <c r="G89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D104" i="6"/>
  <c r="A1" i="6" s="1"/>
  <c r="C94" i="7"/>
  <c r="A30" i="7" s="1"/>
  <c r="A32" i="6" l="1"/>
  <c r="A94" i="6"/>
  <c r="A65" i="6"/>
  <c r="A86" i="7"/>
  <c r="A1" i="7"/>
  <c r="A67" i="7"/>
</calcChain>
</file>

<file path=xl/sharedStrings.xml><?xml version="1.0" encoding="utf-8"?>
<sst xmlns="http://schemas.openxmlformats.org/spreadsheetml/2006/main" count="267" uniqueCount="155">
  <si>
    <t>Wyszczególnienie</t>
  </si>
  <si>
    <t>ZO</t>
  </si>
  <si>
    <t>ogółem</t>
  </si>
  <si>
    <t>sektora finansów publicznych (kol.5+7+8)</t>
  </si>
  <si>
    <t>banku centralnego</t>
  </si>
  <si>
    <t>Poręczenia i gwarancje</t>
  </si>
  <si>
    <t>sektora finansów publicznych (kol.4+6+7)</t>
  </si>
  <si>
    <t>Liczba jednostek</t>
  </si>
  <si>
    <t>Wykonanie</t>
  </si>
  <si>
    <t>KO</t>
  </si>
  <si>
    <t>KFP</t>
  </si>
  <si>
    <t>KG1</t>
  </si>
  <si>
    <t>KG2</t>
  </si>
  <si>
    <t>KG3</t>
  </si>
  <si>
    <t>KBC</t>
  </si>
  <si>
    <t>KBK</t>
  </si>
  <si>
    <t>FP</t>
  </si>
  <si>
    <t>G1</t>
  </si>
  <si>
    <t>G2</t>
  </si>
  <si>
    <t>G3</t>
  </si>
  <si>
    <t>O</t>
  </si>
  <si>
    <t>Z</t>
  </si>
  <si>
    <t>N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</si>
  <si>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</si>
  <si>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</si>
  <si>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</si>
  <si>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</si>
  <si>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</si>
  <si>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</si>
  <si>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[w]&gt;0</t>
  </si>
  <si>
    <t>[w]&lt;0</t>
  </si>
  <si>
    <t>[w]=0</t>
  </si>
  <si>
    <t>w</t>
  </si>
  <si>
    <t>kodGus</t>
  </si>
  <si>
    <t>Symbol=E</t>
  </si>
  <si>
    <t>Symbol=E1</t>
  </si>
  <si>
    <t>Symbol=E11</t>
  </si>
  <si>
    <t>Symbol=E2</t>
  </si>
  <si>
    <t>Symbol=E21</t>
  </si>
  <si>
    <t>Symbol=E3</t>
  </si>
  <si>
    <t>Symbol=E4</t>
  </si>
  <si>
    <t>Symbol=E41</t>
  </si>
  <si>
    <t>Symbol=N</t>
  </si>
  <si>
    <t>Symbol=N1</t>
  </si>
  <si>
    <t>Symbol=N11</t>
  </si>
  <si>
    <t>Symbol=N21</t>
  </si>
  <si>
    <t>Symbol=N3</t>
  </si>
  <si>
    <t>Symbol=N4</t>
  </si>
  <si>
    <t>Symbol=N41</t>
  </si>
  <si>
    <t>Symbol=F1</t>
  </si>
  <si>
    <t>Symbol=F2</t>
  </si>
  <si>
    <t>Symbol=F3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</si>
  <si>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</si>
  <si>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</si>
  <si>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</si>
  <si>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</si>
  <si>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5+6+7+8))</t>
  </si>
  <si>
    <t>sektor 
finansów 
publicznych 
ogółem 
(kol 5+6+7+8)</t>
  </si>
  <si>
    <t>KG4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</si>
  <si>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</si>
  <si>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</si>
  <si>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</si>
  <si>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</si>
  <si>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</si>
  <si>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</si>
  <si>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</si>
  <si>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</si>
  <si>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>KIF</t>
  </si>
  <si>
    <t>KPN</t>
  </si>
  <si>
    <t>KGD</t>
  </si>
  <si>
    <t>KIN</t>
  </si>
  <si>
    <t>ZSE</t>
  </si>
  <si>
    <t>ZPZ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</si>
  <si>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</si>
  <si>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</si>
  <si>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</si>
  <si>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</si>
  <si>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</si>
  <si>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bank centralny</t>
  </si>
  <si>
    <t>N. NALEŻNOŚCI ORAZ WYBRANE AKTYWA FINANSOWE  (N1+N2+N3+N4+N5)   z tego: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</si>
  <si>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</si>
  <si>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</si>
  <si>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</si>
  <si>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</si>
  <si>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</si>
  <si>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</si>
  <si>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</si>
  <si>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</si>
  <si>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</si>
  <si>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</si>
  <si>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</si>
  <si>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</si>
  <si>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</si>
  <si>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</si>
  <si>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</si>
  <si>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</si>
  <si>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</si>
  <si>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Symbol=N12</t>
  </si>
  <si>
    <t>Symbol=N22</t>
  </si>
  <si>
    <t>Symbol=N31</t>
  </si>
  <si>
    <t>Symbol=N32</t>
  </si>
  <si>
    <t>Symbol=N33</t>
  </si>
  <si>
    <t>Symbol=N42</t>
  </si>
  <si>
    <t>Symbol=N5</t>
  </si>
  <si>
    <t>Symbol=N51</t>
  </si>
  <si>
    <t>Symbol=N52</t>
  </si>
  <si>
    <t>Symbol=N53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</si>
  <si>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</si>
  <si>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</si>
  <si>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</si>
  <si>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</si>
  <si>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</si>
  <si>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</si>
  <si>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</si>
  <si>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</si>
  <si>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</si>
  <si>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</si>
  <si>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</si>
  <si>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Symbol=E12</t>
  </si>
  <si>
    <t>Symbol=E22</t>
  </si>
  <si>
    <t>Symbol=E42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</si>
  <si>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</si>
  <si>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</si>
  <si>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</si>
  <si>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</si>
  <si>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</si>
  <si>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</si>
  <si>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</si>
  <si>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Symbol=B1</t>
  </si>
  <si>
    <t>Symbol=B2</t>
  </si>
  <si>
    <t>Symbol=B3</t>
  </si>
  <si>
    <t>Symbol=B4</t>
  </si>
  <si>
    <t>G4</t>
  </si>
  <si>
    <t>PP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</si>
  <si>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</si>
  <si>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</si>
  <si>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</si>
  <si>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</si>
  <si>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</si>
  <si>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</si>
  <si>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</si>
  <si>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</si>
  <si>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wierzyciele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</si>
  <si>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</si>
  <si>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</si>
  <si>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</si>
  <si>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</si>
  <si>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</si>
  <si>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Symbol=N2</t>
  </si>
  <si>
    <t>sektora finansów publicznych (kol.5+6+7+8)</t>
  </si>
  <si>
    <t>wierzyciele i dłużnicy</t>
  </si>
  <si>
    <t>E1 papiery wartościowe (E1.1+E1.2)</t>
  </si>
  <si>
    <t>E2 kredyty i pożyczki (E2.1+E2.2)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</si>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</sst>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dd/mm/yy\ h:mm;@"/>
  </numFmts>
  <fonts count="34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sz val="9"/>
      <name val="Arial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1" applyNumberFormat="0" applyAlignment="0" applyProtection="0"/>
    <xf numFmtId="0" fontId="22" fillId="0" borderId="7" applyNumberFormat="0" applyFill="0" applyAlignment="0" applyProtection="0"/>
    <xf numFmtId="0" fontId="23" fillId="8" borderId="0" applyNumberFormat="0" applyBorder="0" applyAlignment="0" applyProtection="0"/>
    <xf numFmtId="0" fontId="5" fillId="0" borderId="0"/>
    <xf numFmtId="0" fontId="1" fillId="4" borderId="8" applyNumberFormat="0" applyFont="0" applyAlignment="0" applyProtection="0"/>
    <xf numFmtId="0" fontId="24" fillId="16" borderId="3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154">
    <xf numFmtId="0" fontId="0" fillId="0" borderId="0" xfId="0"/>
    <xf numFmtId="0" fontId="4" fillId="0" borderId="0" xfId="37" applyFont="1" applyAlignment="1">
      <alignment horizontal="center" vertical="center" wrapText="1"/>
    </xf>
    <xf numFmtId="0" fontId="5" fillId="0" borderId="0" xfId="37" applyAlignment="1">
      <alignment horizontal="center" vertical="center" wrapText="1"/>
    </xf>
    <xf numFmtId="0" fontId="6" fillId="19" borderId="10" xfId="37" applyFont="1" applyFill="1" applyBorder="1" applyAlignment="1">
      <alignment horizontal="center" vertical="center" wrapText="1"/>
    </xf>
    <xf numFmtId="0" fontId="6" fillId="19" borderId="11" xfId="37" applyFont="1" applyFill="1" applyBorder="1" applyAlignment="1">
      <alignment horizontal="center" vertical="center" wrapText="1"/>
    </xf>
    <xf numFmtId="0" fontId="6" fillId="19" borderId="12" xfId="37" applyFont="1" applyFill="1" applyBorder="1" applyAlignment="1">
      <alignment horizontal="center" vertical="center" wrapText="1"/>
    </xf>
    <xf numFmtId="0" fontId="6" fillId="19" borderId="13" xfId="37" applyFont="1" applyFill="1" applyBorder="1" applyAlignment="1">
      <alignment horizontal="center" vertical="center" wrapText="1"/>
    </xf>
    <xf numFmtId="0" fontId="3" fillId="19" borderId="10" xfId="37" applyFont="1" applyFill="1" applyBorder="1" applyAlignment="1">
      <alignment horizontal="center" vertical="center" wrapText="1"/>
    </xf>
    <xf numFmtId="0" fontId="3" fillId="0" borderId="10" xfId="37" applyFont="1" applyBorder="1" applyAlignment="1">
      <alignment horizontal="left" vertical="center" wrapText="1"/>
    </xf>
    <xf numFmtId="0" fontId="5" fillId="0" borderId="0" xfId="37" applyFill="1" applyBorder="1" applyAlignment="1">
      <alignment horizontal="center" vertical="center" wrapText="1"/>
    </xf>
    <xf numFmtId="0" fontId="6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6" fillId="19" borderId="14" xfId="37" applyFont="1" applyFill="1" applyBorder="1" applyAlignment="1">
      <alignment horizontal="center" vertical="center" wrapText="1"/>
    </xf>
    <xf numFmtId="0" fontId="6" fillId="19" borderId="15" xfId="37" applyFont="1" applyFill="1" applyBorder="1" applyAlignment="1">
      <alignment horizontal="center" vertical="center" wrapText="1"/>
    </xf>
    <xf numFmtId="0" fontId="10" fillId="0" borderId="10" xfId="0" applyFont="1" applyBorder="1"/>
    <xf numFmtId="0" fontId="10" fillId="0" borderId="0" xfId="0" applyFont="1"/>
    <xf numFmtId="169" fontId="10" fillId="0" borderId="10" xfId="0" applyNumberFormat="1" applyFont="1" applyBorder="1"/>
    <xf numFmtId="0" fontId="6" fillId="19" borderId="16" xfId="37" applyFont="1" applyFill="1" applyBorder="1" applyAlignment="1">
      <alignment horizontal="center" vertical="center" wrapText="1"/>
    </xf>
    <xf numFmtId="0" fontId="6" fillId="19" borderId="17" xfId="37" applyFont="1" applyFill="1" applyBorder="1" applyAlignment="1">
      <alignment horizontal="center" vertical="center" wrapText="1"/>
    </xf>
    <xf numFmtId="0" fontId="5" fillId="19" borderId="18" xfId="37" applyFill="1" applyBorder="1" applyAlignment="1">
      <alignment horizontal="center" vertical="center" wrapText="1"/>
    </xf>
    <xf numFmtId="0" fontId="3" fillId="19" borderId="17" xfId="37" applyFont="1" applyFill="1" applyBorder="1" applyAlignment="1">
      <alignment horizontal="center" vertical="center" wrapText="1"/>
    </xf>
    <xf numFmtId="0" fontId="6" fillId="19" borderId="19" xfId="37" applyFont="1" applyFill="1" applyBorder="1" applyAlignment="1">
      <alignment horizontal="center" vertical="center" wrapText="1"/>
    </xf>
    <xf numFmtId="0" fontId="9" fillId="0" borderId="17" xfId="37" applyFont="1" applyBorder="1" applyAlignment="1">
      <alignment horizontal="left" vertical="center" wrapText="1"/>
    </xf>
    <xf numFmtId="0" fontId="28" fillId="0" borderId="20" xfId="0" applyFont="1" applyFill="1" applyBorder="1" applyAlignment="1">
      <alignment wrapText="1"/>
    </xf>
    <xf numFmtId="0" fontId="28" fillId="0" borderId="19" xfId="0" applyFont="1" applyFill="1" applyBorder="1" applyAlignment="1">
      <alignment horizontal="left" wrapText="1"/>
    </xf>
    <xf numFmtId="0" fontId="28" fillId="0" borderId="19" xfId="0" applyFont="1" applyFill="1" applyBorder="1" applyAlignment="1">
      <alignment wrapText="1"/>
    </xf>
    <xf numFmtId="0" fontId="28" fillId="0" borderId="21" xfId="0" applyFont="1" applyFill="1" applyBorder="1" applyAlignment="1">
      <alignment horizontal="left" wrapText="1"/>
    </xf>
    <xf numFmtId="0" fontId="30" fillId="0" borderId="22" xfId="0" applyFont="1" applyFill="1" applyBorder="1" applyAlignment="1">
      <alignment wrapText="1"/>
    </xf>
    <xf numFmtId="0" fontId="30" fillId="0" borderId="22" xfId="0" applyFont="1" applyFill="1" applyBorder="1" applyAlignment="1">
      <alignment horizontal="left" wrapText="1" indent="1"/>
    </xf>
    <xf numFmtId="0" fontId="30" fillId="0" borderId="23" xfId="0" applyFont="1" applyFill="1" applyBorder="1" applyAlignment="1">
      <alignment wrapText="1"/>
    </xf>
    <xf numFmtId="0" fontId="30" fillId="0" borderId="23" xfId="0" applyFont="1" applyFill="1" applyBorder="1" applyAlignment="1">
      <alignment horizontal="left" wrapText="1" indent="1"/>
    </xf>
    <xf numFmtId="0" fontId="30" fillId="0" borderId="22" xfId="0" applyFont="1" applyFill="1" applyBorder="1" applyAlignment="1">
      <alignment horizontal="left" indent="1"/>
    </xf>
    <xf numFmtId="0" fontId="30" fillId="0" borderId="23" xfId="0" applyFont="1" applyFill="1" applyBorder="1"/>
    <xf numFmtId="0" fontId="30" fillId="0" borderId="24" xfId="0" applyFont="1" applyFill="1" applyBorder="1" applyAlignment="1">
      <alignment horizontal="left" indent="1"/>
    </xf>
    <xf numFmtId="0" fontId="5" fillId="0" borderId="0" xfId="37" applyBorder="1" applyAlignment="1">
      <alignment horizontal="center" vertical="center" wrapText="1"/>
    </xf>
    <xf numFmtId="0" fontId="2" fillId="0" borderId="25" xfId="37" applyFont="1" applyBorder="1" applyAlignment="1">
      <alignment horizontal="left" vertical="center" wrapText="1"/>
    </xf>
    <xf numFmtId="0" fontId="5" fillId="19" borderId="0" xfId="37" applyFont="1" applyFill="1" applyAlignment="1">
      <alignment horizontal="center" vertical="center" wrapText="1"/>
    </xf>
    <xf numFmtId="0" fontId="29" fillId="0" borderId="0" xfId="37" applyFont="1" applyAlignment="1">
      <alignment horizontal="center" vertical="center" wrapText="1"/>
    </xf>
    <xf numFmtId="0" fontId="29" fillId="0" borderId="0" xfId="37" applyFont="1" applyFill="1" applyBorder="1" applyAlignment="1">
      <alignment horizontal="center" vertical="center" wrapText="1"/>
    </xf>
    <xf numFmtId="0" fontId="5" fillId="19" borderId="10" xfId="37" applyFill="1" applyBorder="1" applyAlignment="1">
      <alignment horizontal="center" vertical="center" wrapText="1"/>
    </xf>
    <xf numFmtId="0" fontId="8" fillId="19" borderId="10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indent="1"/>
    </xf>
    <xf numFmtId="4" fontId="8" fillId="0" borderId="0" xfId="37" applyNumberFormat="1" applyFont="1" applyBorder="1" applyAlignment="1">
      <alignment horizontal="right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2" fillId="0" borderId="10" xfId="37" applyFont="1" applyBorder="1" applyAlignment="1">
      <alignment horizontal="left" vertical="center" wrapText="1"/>
    </xf>
    <xf numFmtId="0" fontId="2" fillId="0" borderId="10" xfId="37" applyFont="1" applyBorder="1" applyAlignment="1">
      <alignment horizontal="left" vertical="top" wrapText="1"/>
    </xf>
    <xf numFmtId="0" fontId="32" fillId="0" borderId="22" xfId="0" applyFont="1" applyFill="1" applyBorder="1" applyAlignment="1">
      <alignment vertical="top" wrapText="1"/>
    </xf>
    <xf numFmtId="0" fontId="9" fillId="20" borderId="10" xfId="37" applyFont="1" applyFill="1" applyBorder="1" applyAlignment="1">
      <alignment horizontal="left" vertical="top" wrapText="1"/>
    </xf>
    <xf numFmtId="0" fontId="2" fillId="20" borderId="10" xfId="37" applyFont="1" applyFill="1" applyBorder="1" applyAlignment="1">
      <alignment horizontal="left" vertical="top" wrapText="1"/>
    </xf>
    <xf numFmtId="4" fontId="8" fillId="20" borderId="10" xfId="37" applyNumberFormat="1" applyFont="1" applyFill="1" applyBorder="1" applyAlignment="1">
      <alignment horizontal="right" vertical="center" wrapText="1"/>
    </xf>
    <xf numFmtId="4" fontId="8" fillId="0" borderId="10" xfId="37" applyNumberFormat="1" applyFont="1" applyBorder="1" applyAlignment="1">
      <alignment horizontal="right" vertical="center" wrapText="1"/>
    </xf>
    <xf numFmtId="4" fontId="8" fillId="20" borderId="10" xfId="37" applyNumberFormat="1" applyFont="1" applyFill="1" applyBorder="1" applyAlignment="1">
      <alignment vertical="center" wrapText="1"/>
    </xf>
    <xf numFmtId="4" fontId="8" fillId="0" borderId="10" xfId="37" applyNumberFormat="1" applyFont="1" applyFill="1" applyBorder="1" applyAlignment="1">
      <alignment vertical="center" wrapText="1"/>
    </xf>
    <xf numFmtId="4" fontId="8" fillId="0" borderId="10" xfId="37" applyNumberFormat="1" applyFont="1" applyFill="1" applyBorder="1" applyAlignment="1">
      <alignment horizontal="right" vertical="center" wrapText="1"/>
    </xf>
    <xf numFmtId="0" fontId="9" fillId="21" borderId="10" xfId="37" applyFont="1" applyFill="1" applyBorder="1" applyAlignment="1">
      <alignment horizontal="left" vertical="center" wrapText="1"/>
    </xf>
    <xf numFmtId="4" fontId="8" fillId="21" borderId="10" xfId="37" applyNumberFormat="1" applyFont="1" applyFill="1" applyBorder="1" applyAlignment="1">
      <alignment horizontal="right" vertical="center" wrapText="1"/>
    </xf>
    <xf numFmtId="0" fontId="31" fillId="21" borderId="22" xfId="0" applyFont="1" applyFill="1" applyBorder="1" applyAlignment="1">
      <alignment vertical="top" wrapText="1"/>
    </xf>
    <xf numFmtId="0" fontId="2" fillId="19" borderId="10" xfId="37" applyFont="1" applyFill="1" applyBorder="1" applyAlignment="1">
      <alignment horizontal="center" vertical="center" wrapText="1"/>
    </xf>
    <xf numFmtId="0" fontId="9" fillId="19" borderId="15" xfId="37" applyFont="1" applyFill="1" applyBorder="1" applyAlignment="1">
      <alignment horizontal="center" vertical="center" wrapText="1"/>
    </xf>
    <xf numFmtId="0" fontId="9" fillId="19" borderId="14" xfId="37" applyFont="1" applyFill="1" applyBorder="1" applyAlignment="1">
      <alignment horizontal="center" vertical="center" wrapText="1"/>
    </xf>
    <xf numFmtId="0" fontId="9" fillId="19" borderId="11" xfId="37" applyFont="1" applyFill="1" applyBorder="1" applyAlignment="1">
      <alignment horizontal="center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19" borderId="27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  <xf numFmtId="0" fontId="33" fillId="0" borderId="0" xfId="37" applyFont="1" applyAlignment="1">
      <alignment horizontal="center" vertical="center" wrapText="1"/>
    </xf>
    <xf numFmtId="0" fontId="7" fillId="0" borderId="0" xfId="37" applyFont="1" applyAlignment="1">
      <alignment horizontal="left" vertical="center" wrapText="1"/>
    </xf>
    <xf numFmtId="0" fontId="2" fillId="19" borderId="26" xfId="37" applyFont="1" applyFill="1" applyBorder="1" applyAlignment="1">
      <alignment horizontal="center" vertical="center" wrapText="1"/>
    </xf>
    <xf numFmtId="0" fontId="2" fillId="19" borderId="30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9" fillId="19" borderId="26" xfId="37" applyFont="1" applyFill="1" applyBorder="1" applyAlignment="1">
      <alignment horizontal="center" vertical="center" wrapText="1"/>
    </xf>
    <xf numFmtId="0" fontId="9" fillId="19" borderId="27" xfId="37" applyFont="1" applyFill="1" applyBorder="1" applyAlignment="1">
      <alignment horizontal="center" vertical="center" wrapText="1"/>
    </xf>
    <xf numFmtId="0" fontId="9" fillId="19" borderId="12" xfId="37" applyFont="1" applyFill="1" applyBorder="1" applyAlignment="1">
      <alignment horizontal="center" vertical="center" wrapText="1"/>
    </xf>
    <xf numFmtId="0" fontId="29" fillId="0" borderId="0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19" borderId="28" xfId="37" applyFont="1" applyFill="1" applyBorder="1" applyAlignment="1">
      <alignment horizontal="center" vertical="center" wrapText="1"/>
    </xf>
    <xf numFmtId="3" fontId="8" fillId="0" borderId="15" xfId="37" applyNumberFormat="1" applyFont="1" applyBorder="1" applyAlignment="1">
      <alignment horizontal="right" vertical="center" wrapText="1"/>
    </xf>
    <xf numFmtId="3" fontId="8" fillId="0" borderId="11" xfId="37" applyNumberFormat="1" applyFont="1" applyBorder="1" applyAlignment="1">
      <alignment horizontal="right" vertical="center" wrapText="1"/>
    </xf>
    <xf numFmtId="4" fontId="8" fillId="0" borderId="15" xfId="37" applyNumberFormat="1" applyFont="1" applyBorder="1" applyAlignment="1">
      <alignment horizontal="right" vertical="center" wrapText="1"/>
    </xf>
    <xf numFmtId="4" fontId="8" fillId="0" borderId="11" xfId="37" applyNumberFormat="1" applyFont="1" applyBorder="1" applyAlignment="1">
      <alignment horizontal="right" vertical="center" wrapText="1"/>
    </xf>
    <xf numFmtId="0" fontId="6" fillId="19" borderId="15" xfId="37" applyFont="1" applyFill="1" applyBorder="1" applyAlignment="1">
      <alignment horizontal="center" vertical="center" wrapText="1"/>
    </xf>
    <xf numFmtId="0" fontId="6" fillId="19" borderId="14" xfId="37" applyFont="1" applyFill="1" applyBorder="1" applyAlignment="1">
      <alignment horizontal="center" vertical="center" wrapText="1"/>
    </xf>
    <xf numFmtId="0" fontId="6" fillId="19" borderId="11" xfId="37" applyFont="1" applyFill="1" applyBorder="1" applyAlignment="1">
      <alignment horizontal="center" vertical="center" wrapText="1"/>
    </xf>
    <xf numFmtId="3" fontId="8" fillId="0" borderId="15" xfId="37" applyNumberFormat="1" applyFont="1" applyFill="1" applyBorder="1" applyAlignment="1">
      <alignment horizontal="right" vertical="center" wrapText="1"/>
    </xf>
    <xf numFmtId="3" fontId="8" fillId="0" borderId="11" xfId="37" applyNumberFormat="1" applyFont="1" applyFill="1" applyBorder="1" applyAlignment="1">
      <alignment horizontal="right" vertical="center" wrapText="1"/>
    </xf>
    <xf numFmtId="4" fontId="8" fillId="0" borderId="15" xfId="37" applyNumberFormat="1" applyFont="1" applyFill="1" applyBorder="1" applyAlignment="1">
      <alignment horizontal="right" vertical="center" wrapText="1"/>
    </xf>
    <xf numFmtId="4" fontId="8" fillId="0" borderId="11" xfId="37" applyNumberFormat="1" applyFont="1" applyFill="1" applyBorder="1" applyAlignment="1">
      <alignment horizontal="right" vertical="center" wrapText="1"/>
    </xf>
    <xf numFmtId="0" fontId="9" fillId="19" borderId="28" xfId="37" applyFont="1" applyFill="1" applyBorder="1" applyAlignment="1">
      <alignment horizontal="center" vertical="center" wrapText="1"/>
    </xf>
    <xf numFmtId="0" fontId="9" fillId="19" borderId="25" xfId="37" applyFont="1" applyFill="1" applyBorder="1" applyAlignment="1">
      <alignment horizontal="center" vertical="center" wrapText="1"/>
    </xf>
    <xf numFmtId="0" fontId="9" fillId="19" borderId="29" xfId="37" applyFont="1" applyFill="1" applyBorder="1" applyAlignment="1">
      <alignment horizontal="center" vertical="center" wrapText="1"/>
    </xf>
    <xf numFmtId="0" fontId="9" fillId="19" borderId="30" xfId="37" applyFont="1" applyFill="1" applyBorder="1" applyAlignment="1">
      <alignment horizontal="center" vertical="center" wrapText="1"/>
    </xf>
    <xf numFmtId="0" fontId="9" fillId="19" borderId="0" xfId="37" applyFont="1" applyFill="1" applyBorder="1" applyAlignment="1">
      <alignment horizontal="center" vertical="center" wrapText="1"/>
    </xf>
    <xf numFmtId="0" fontId="9" fillId="19" borderId="31" xfId="37" applyFont="1" applyFill="1" applyBorder="1" applyAlignment="1">
      <alignment horizontal="center" vertical="center" wrapText="1"/>
    </xf>
    <xf numFmtId="0" fontId="9" fillId="19" borderId="13" xfId="37" applyFont="1" applyFill="1" applyBorder="1" applyAlignment="1">
      <alignment horizontal="center" vertical="center" wrapText="1"/>
    </xf>
    <xf numFmtId="0" fontId="9" fillId="19" borderId="32" xfId="37" applyFont="1" applyFill="1" applyBorder="1" applyAlignment="1">
      <alignment horizontal="center" vertical="center" wrapText="1"/>
    </xf>
    <xf numFmtId="0" fontId="9" fillId="19" borderId="16" xfId="37" applyFont="1" applyFill="1" applyBorder="1" applyAlignment="1">
      <alignment horizontal="center" vertical="center" wrapText="1"/>
    </xf>
    <xf numFmtId="0" fontId="6" fillId="19" borderId="10" xfId="37" applyFont="1" applyFill="1" applyBorder="1" applyAlignment="1">
      <alignment horizontal="center" vertical="center" wrapText="1"/>
    </xf>
    <xf numFmtId="0" fontId="5" fillId="19" borderId="26" xfId="37" applyFont="1" applyFill="1" applyBorder="1" applyAlignment="1">
      <alignment horizontal="center" vertical="center" wrapText="1"/>
    </xf>
    <xf numFmtId="0" fontId="5" fillId="19" borderId="27" xfId="37" applyFont="1" applyFill="1" applyBorder="1" applyAlignment="1">
      <alignment horizontal="center" vertical="center" wrapText="1"/>
    </xf>
    <xf numFmtId="0" fontId="5" fillId="19" borderId="12" xfId="37" applyFont="1" applyFill="1" applyBorder="1" applyAlignment="1">
      <alignment horizontal="center" vertical="center" wrapText="1"/>
    </xf>
    <xf numFmtId="0" fontId="6" fillId="19" borderId="25" xfId="37" applyFont="1" applyFill="1" applyBorder="1" applyAlignment="1">
      <alignment horizontal="center" vertical="center" wrapText="1"/>
    </xf>
    <xf numFmtId="0" fontId="6" fillId="19" borderId="0" xfId="37" applyFont="1" applyFill="1" applyBorder="1" applyAlignment="1">
      <alignment horizontal="center" vertical="center" wrapText="1"/>
    </xf>
    <xf numFmtId="0" fontId="6" fillId="19" borderId="32" xfId="37" applyFont="1" applyFill="1" applyBorder="1" applyAlignment="1">
      <alignment horizontal="center" vertical="center" wrapText="1"/>
    </xf>
    <xf numFmtId="0" fontId="6" fillId="19" borderId="28" xfId="37" applyFont="1" applyFill="1" applyBorder="1" applyAlignment="1">
      <alignment horizontal="center" vertical="center" wrapText="1"/>
    </xf>
    <xf numFmtId="0" fontId="6" fillId="19" borderId="30" xfId="37" applyFont="1" applyFill="1" applyBorder="1" applyAlignment="1">
      <alignment horizontal="center" vertical="center" wrapText="1"/>
    </xf>
    <xf numFmtId="0" fontId="6" fillId="19" borderId="13" xfId="37" applyFont="1" applyFill="1" applyBorder="1" applyAlignment="1">
      <alignment horizontal="center" vertical="center" wrapText="1"/>
    </xf>
    <xf numFmtId="0" fontId="6" fillId="19" borderId="29" xfId="37" applyFont="1" applyFill="1" applyBorder="1" applyAlignment="1">
      <alignment horizontal="center" vertical="center" wrapText="1"/>
    </xf>
    <xf numFmtId="0" fontId="6" fillId="19" borderId="31" xfId="37" applyFont="1" applyFill="1" applyBorder="1" applyAlignment="1">
      <alignment horizontal="center" vertical="center" wrapText="1"/>
    </xf>
    <xf numFmtId="0" fontId="6" fillId="19" borderId="16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6" fillId="20" borderId="10" xfId="37" applyFont="1" applyFill="1" applyBorder="1" applyAlignment="1">
      <alignment horizontal="left" vertical="center" wrapText="1"/>
    </xf>
    <xf numFmtId="0" fontId="2" fillId="0" borderId="0" xfId="37" applyFont="1" applyBorder="1" applyAlignment="1">
      <alignment horizontal="left" vertical="center" wrapText="1"/>
    </xf>
    <xf numFmtId="1" fontId="2" fillId="0" borderId="10" xfId="37" applyNumberFormat="1" applyFont="1" applyBorder="1" applyAlignment="1">
      <alignment horizontal="left" vertical="center" wrapText="1"/>
    </xf>
    <xf numFmtId="0" fontId="2" fillId="20" borderId="10" xfId="37" applyFont="1" applyFill="1" applyBorder="1" applyAlignment="1">
      <alignment horizontal="left" vertical="center" wrapText="1"/>
    </xf>
    <xf numFmtId="0" fontId="2" fillId="0" borderId="10" xfId="37" applyFont="1" applyBorder="1" applyAlignment="1">
      <alignment horizontal="left" vertical="center" wrapText="1"/>
    </xf>
    <xf numFmtId="0" fontId="4" fillId="0" borderId="0" xfId="37" applyFont="1" applyAlignment="1">
      <alignment horizontal="center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0" fontId="2" fillId="0" borderId="15" xfId="37" applyFont="1" applyBorder="1" applyAlignment="1">
      <alignment horizontal="center" vertical="center" wrapText="1"/>
    </xf>
    <xf numFmtId="0" fontId="2" fillId="0" borderId="14" xfId="37" applyFont="1" applyBorder="1" applyAlignment="1">
      <alignment horizontal="center" vertical="center" wrapText="1"/>
    </xf>
    <xf numFmtId="0" fontId="2" fillId="0" borderId="11" xfId="37" applyFont="1" applyBorder="1" applyAlignment="1">
      <alignment horizontal="center" vertical="center" wrapText="1"/>
    </xf>
    <xf numFmtId="0" fontId="2" fillId="20" borderId="15" xfId="37" applyFont="1" applyFill="1" applyBorder="1" applyAlignment="1">
      <alignment horizontal="center" vertical="center" wrapText="1"/>
    </xf>
    <xf numFmtId="0" fontId="2" fillId="20" borderId="14" xfId="37" applyFont="1" applyFill="1" applyBorder="1" applyAlignment="1">
      <alignment horizontal="center" vertical="center" wrapText="1"/>
    </xf>
    <xf numFmtId="0" fontId="2" fillId="20" borderId="11" xfId="37" applyFont="1" applyFill="1" applyBorder="1" applyAlignment="1">
      <alignment horizontal="center" vertical="center" wrapText="1"/>
    </xf>
    <xf numFmtId="0" fontId="3" fillId="19" borderId="10" xfId="37" applyFont="1" applyFill="1" applyBorder="1" applyAlignment="1">
      <alignment horizontal="center" vertical="center" wrapText="1"/>
    </xf>
    <xf numFmtId="0" fontId="3" fillId="0" borderId="10" xfId="37" applyFont="1" applyBorder="1" applyAlignment="1">
      <alignment horizontal="left" vertical="center" wrapText="1"/>
    </xf>
    <xf numFmtId="0" fontId="6" fillId="0" borderId="10" xfId="37" applyFont="1" applyBorder="1" applyAlignment="1">
      <alignment horizontal="left" vertical="center" wrapText="1"/>
    </xf>
    <xf numFmtId="0" fontId="6" fillId="20" borderId="14" xfId="37" applyFont="1" applyFill="1" applyBorder="1" applyAlignment="1">
      <alignment horizontal="left" vertical="center" wrapText="1"/>
    </xf>
    <xf numFmtId="0" fontId="6" fillId="20" borderId="11" xfId="37" applyFont="1" applyFill="1" applyBorder="1" applyAlignment="1">
      <alignment horizontal="left" vertical="center" wrapText="1"/>
    </xf>
    <xf numFmtId="0" fontId="6" fillId="0" borderId="14" xfId="37" applyFont="1" applyBorder="1" applyAlignment="1">
      <alignment horizontal="left" vertical="center" wrapText="1"/>
    </xf>
    <xf numFmtId="0" fontId="6" fillId="0" borderId="11" xfId="37" applyFont="1" applyBorder="1" applyAlignment="1">
      <alignment horizontal="left" vertical="center" wrapText="1"/>
    </xf>
    <xf numFmtId="0" fontId="3" fillId="19" borderId="17" xfId="37" applyFont="1" applyFill="1" applyBorder="1" applyAlignment="1">
      <alignment horizontal="center" vertical="center" wrapText="1"/>
    </xf>
    <xf numFmtId="0" fontId="9" fillId="19" borderId="19" xfId="37" applyFont="1" applyFill="1" applyBorder="1" applyAlignment="1">
      <alignment horizontal="center" vertical="center" wrapText="1"/>
    </xf>
    <xf numFmtId="0" fontId="3" fillId="0" borderId="0" xfId="37" applyFont="1" applyBorder="1" applyAlignment="1">
      <alignment horizontal="left" vertical="center" wrapText="1"/>
    </xf>
    <xf numFmtId="0" fontId="3" fillId="0" borderId="31" xfId="37" applyFont="1" applyBorder="1" applyAlignment="1">
      <alignment horizontal="left" vertical="center" wrapText="1"/>
    </xf>
    <xf numFmtId="0" fontId="6" fillId="19" borderId="26" xfId="37" applyFont="1" applyFill="1" applyBorder="1" applyAlignment="1">
      <alignment horizontal="center" vertical="center" wrapText="1"/>
    </xf>
    <xf numFmtId="0" fontId="6" fillId="19" borderId="27" xfId="37" applyFont="1" applyFill="1" applyBorder="1" applyAlignment="1">
      <alignment horizontal="center" vertical="center" wrapText="1"/>
    </xf>
    <xf numFmtId="0" fontId="6" fillId="19" borderId="12" xfId="37" applyFont="1" applyFill="1" applyBorder="1" applyAlignment="1">
      <alignment horizontal="center" vertical="center" wrapText="1"/>
    </xf>
    <xf numFmtId="0" fontId="6" fillId="19" borderId="10" xfId="37" applyNumberFormat="1" applyFont="1" applyFill="1" applyBorder="1" applyAlignment="1">
      <alignment horizontal="center" vertical="center" wrapText="1"/>
    </xf>
    <xf numFmtId="0" fontId="9" fillId="19" borderId="33" xfId="37" applyFont="1" applyFill="1" applyBorder="1" applyAlignment="1">
      <alignment horizontal="center" vertical="center" wrapText="1"/>
    </xf>
    <xf numFmtId="0" fontId="6" fillId="19" borderId="34" xfId="37" applyFont="1" applyFill="1" applyBorder="1" applyAlignment="1">
      <alignment horizontal="center" vertical="center" wrapText="1"/>
    </xf>
    <xf numFmtId="0" fontId="6" fillId="19" borderId="35" xfId="37" applyFont="1" applyFill="1" applyBorder="1" applyAlignment="1">
      <alignment horizontal="center" vertical="center" wrapText="1"/>
    </xf>
    <xf numFmtId="0" fontId="6" fillId="19" borderId="18" xfId="37" applyFont="1" applyFill="1" applyBorder="1" applyAlignment="1">
      <alignment horizontal="center" vertical="center" wrapText="1"/>
    </xf>
    <xf numFmtId="0" fontId="6" fillId="20" borderId="23" xfId="37" applyFont="1" applyFill="1" applyBorder="1" applyAlignment="1">
      <alignment horizontal="left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96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16.42578125" style="2" customWidth="1"/>
    <col min="2" max="2" width="14.7109375" style="2" customWidth="1"/>
    <col min="3" max="3" width="15.140625" style="2" customWidth="1"/>
    <col min="4" max="4" width="12.5703125" style="2" customWidth="1"/>
    <col min="5" max="5" width="11.42578125" style="2" customWidth="1"/>
    <col min="6" max="7" width="12.5703125" style="2" customWidth="1"/>
    <col min="8" max="8" width="12" style="2" customWidth="1"/>
    <col min="9" max="9" width="11.7109375" style="2" customWidth="1"/>
    <col min="10" max="10" width="13" style="2" customWidth="1"/>
    <col min="11" max="11" width="12.140625" style="2" customWidth="1"/>
    <col min="12" max="12" width="13.28515625" style="2" customWidth="1"/>
    <col min="13" max="13" width="12.85546875" style="2" customWidth="1"/>
    <col min="14" max="14" width="12" style="2" customWidth="1"/>
    <col min="15" max="17" width="11.7109375" style="2" customWidth="1"/>
    <col min="18" max="16384" width="9.140625" style="2"/>
  </cols>
  <sheetData>
    <row r="1" spans="1:17" ht="75" customHeight="1" x14ac:dyDescent="0.2">
      <c r="A1" s="66" t="str">
        <f>CONCATENATE("Informacja z wykonania budżetów jednostek samorządu terytorialnego za ",$C$94," ",$B$95," roku")</f>
        <v>Informacja z wykonania budżetów jednostek samorządu terytorialnego za II Kwartały 2023 roku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67" t="s">
        <v>134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5" spans="1:17" ht="13.5" customHeight="1" x14ac:dyDescent="0.2">
      <c r="B5" s="39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38"/>
      <c r="O5" s="38"/>
      <c r="P5" s="38"/>
      <c r="Q5" s="38"/>
    </row>
    <row r="6" spans="1:17" ht="13.5" customHeight="1" x14ac:dyDescent="0.2">
      <c r="A6" s="71" t="s">
        <v>0</v>
      </c>
      <c r="B6" s="68" t="s">
        <v>135</v>
      </c>
      <c r="C6" s="75" t="s">
        <v>139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7"/>
      <c r="O6" s="75" t="s">
        <v>138</v>
      </c>
      <c r="P6" s="76"/>
      <c r="Q6" s="77"/>
    </row>
    <row r="7" spans="1:17" ht="13.5" customHeight="1" x14ac:dyDescent="0.2">
      <c r="A7" s="72"/>
      <c r="B7" s="64"/>
      <c r="C7" s="63" t="s">
        <v>136</v>
      </c>
      <c r="D7" s="63" t="s">
        <v>149</v>
      </c>
      <c r="E7" s="63" t="s">
        <v>140</v>
      </c>
      <c r="F7" s="63" t="s">
        <v>141</v>
      </c>
      <c r="G7" s="63" t="s">
        <v>76</v>
      </c>
      <c r="H7" s="63" t="s">
        <v>77</v>
      </c>
      <c r="I7" s="69" t="s">
        <v>137</v>
      </c>
      <c r="J7" s="63" t="s">
        <v>59</v>
      </c>
      <c r="K7" s="63" t="s">
        <v>60</v>
      </c>
      <c r="L7" s="63" t="s">
        <v>61</v>
      </c>
      <c r="M7" s="63" t="s">
        <v>62</v>
      </c>
      <c r="N7" s="64" t="s">
        <v>63</v>
      </c>
      <c r="O7" s="59" t="s">
        <v>64</v>
      </c>
      <c r="P7" s="59" t="s">
        <v>65</v>
      </c>
      <c r="Q7" s="59" t="s">
        <v>66</v>
      </c>
    </row>
    <row r="8" spans="1:17" ht="13.5" customHeight="1" x14ac:dyDescent="0.2">
      <c r="A8" s="72"/>
      <c r="B8" s="64"/>
      <c r="C8" s="59"/>
      <c r="D8" s="59"/>
      <c r="E8" s="59"/>
      <c r="F8" s="59"/>
      <c r="G8" s="59"/>
      <c r="H8" s="59"/>
      <c r="I8" s="69"/>
      <c r="J8" s="59"/>
      <c r="K8" s="59"/>
      <c r="L8" s="59"/>
      <c r="M8" s="59"/>
      <c r="N8" s="64"/>
      <c r="O8" s="59"/>
      <c r="P8" s="59"/>
      <c r="Q8" s="59"/>
    </row>
    <row r="9" spans="1:17" ht="13.5" customHeight="1" x14ac:dyDescent="0.2">
      <c r="A9" s="72"/>
      <c r="B9" s="64"/>
      <c r="C9" s="59"/>
      <c r="D9" s="59"/>
      <c r="E9" s="59"/>
      <c r="F9" s="59"/>
      <c r="G9" s="59"/>
      <c r="H9" s="59"/>
      <c r="I9" s="69"/>
      <c r="J9" s="59"/>
      <c r="K9" s="59"/>
      <c r="L9" s="59"/>
      <c r="M9" s="59"/>
      <c r="N9" s="64"/>
      <c r="O9" s="59"/>
      <c r="P9" s="59"/>
      <c r="Q9" s="59"/>
    </row>
    <row r="10" spans="1:17" ht="11.25" customHeight="1" x14ac:dyDescent="0.2">
      <c r="A10" s="72"/>
      <c r="B10" s="64"/>
      <c r="C10" s="59"/>
      <c r="D10" s="59"/>
      <c r="E10" s="59"/>
      <c r="F10" s="59"/>
      <c r="G10" s="59"/>
      <c r="H10" s="59"/>
      <c r="I10" s="69"/>
      <c r="J10" s="59"/>
      <c r="K10" s="59"/>
      <c r="L10" s="59"/>
      <c r="M10" s="59"/>
      <c r="N10" s="64"/>
      <c r="O10" s="59"/>
      <c r="P10" s="59"/>
      <c r="Q10" s="59"/>
    </row>
    <row r="11" spans="1:17" ht="27.75" customHeight="1" x14ac:dyDescent="0.2">
      <c r="A11" s="73"/>
      <c r="B11" s="63"/>
      <c r="C11" s="59"/>
      <c r="D11" s="59"/>
      <c r="E11" s="59"/>
      <c r="F11" s="59"/>
      <c r="G11" s="59"/>
      <c r="H11" s="59"/>
      <c r="I11" s="70"/>
      <c r="J11" s="59"/>
      <c r="K11" s="59"/>
      <c r="L11" s="59"/>
      <c r="M11" s="59"/>
      <c r="N11" s="63"/>
      <c r="O11" s="59"/>
      <c r="P11" s="59"/>
      <c r="Q11" s="59"/>
    </row>
    <row r="12" spans="1:17" ht="13.5" customHeight="1" x14ac:dyDescent="0.2">
      <c r="A12" s="41">
        <v>1</v>
      </c>
      <c r="B12" s="41">
        <v>2</v>
      </c>
      <c r="C12" s="41">
        <v>3</v>
      </c>
      <c r="D12" s="41">
        <v>4</v>
      </c>
      <c r="E12" s="41">
        <v>5</v>
      </c>
      <c r="F12" s="41">
        <v>6</v>
      </c>
      <c r="G12" s="41">
        <v>7</v>
      </c>
      <c r="H12" s="41">
        <v>8</v>
      </c>
      <c r="I12" s="41">
        <v>9</v>
      </c>
      <c r="J12" s="41">
        <v>10</v>
      </c>
      <c r="K12" s="41">
        <v>11</v>
      </c>
      <c r="L12" s="41">
        <v>12</v>
      </c>
      <c r="M12" s="41">
        <v>13</v>
      </c>
      <c r="N12" s="41">
        <v>14</v>
      </c>
      <c r="O12" s="41">
        <v>15</v>
      </c>
      <c r="P12" s="41">
        <v>16</v>
      </c>
      <c r="Q12" s="41">
        <v>17</v>
      </c>
    </row>
    <row r="13" spans="1:17" ht="52.5" customHeight="1" x14ac:dyDescent="0.2">
      <c r="A13" s="49" t="s">
        <v>107</v>
      </c>
      <c r="B13" s="51">
        <f>89580718519.73</f>
        <v>89580718519.729996</v>
      </c>
      <c r="C13" s="51">
        <f>66041763595.19</f>
        <v>66041763595.190002</v>
      </c>
      <c r="D13" s="51">
        <f>3207286938.47</f>
        <v>3207286938.4699998</v>
      </c>
      <c r="E13" s="51">
        <f>593254047.35</f>
        <v>593254047.35000002</v>
      </c>
      <c r="F13" s="51">
        <f>655524975.61</f>
        <v>655524975.61000001</v>
      </c>
      <c r="G13" s="51">
        <f>1957897210.22</f>
        <v>1957897210.22</v>
      </c>
      <c r="H13" s="51">
        <f>610705.29</f>
        <v>610705.29</v>
      </c>
      <c r="I13" s="51">
        <f>0</f>
        <v>0</v>
      </c>
      <c r="J13" s="51">
        <f>57972454062.38</f>
        <v>57972454062.379997</v>
      </c>
      <c r="K13" s="51">
        <f>2938178386.91</f>
        <v>2938178386.9099998</v>
      </c>
      <c r="L13" s="51">
        <f>1874736819.08</f>
        <v>1874736819.0799999</v>
      </c>
      <c r="M13" s="51">
        <f>32390971.25</f>
        <v>32390971.25</v>
      </c>
      <c r="N13" s="51">
        <f>16716417.1</f>
        <v>16716417.1</v>
      </c>
      <c r="O13" s="51">
        <f>23538954924.54</f>
        <v>23538954924.540001</v>
      </c>
      <c r="P13" s="51">
        <f>23517044502.35</f>
        <v>23517044502.349998</v>
      </c>
      <c r="Q13" s="51">
        <f>21910422.19</f>
        <v>21910422.190000001</v>
      </c>
    </row>
    <row r="14" spans="1:17" ht="41.25" customHeight="1" x14ac:dyDescent="0.2">
      <c r="A14" s="49" t="s">
        <v>151</v>
      </c>
      <c r="B14" s="51">
        <f>5235784000</f>
        <v>5235784000</v>
      </c>
      <c r="C14" s="51">
        <f>5235784000</f>
        <v>5235784000</v>
      </c>
      <c r="D14" s="51">
        <f>0</f>
        <v>0</v>
      </c>
      <c r="E14" s="51">
        <f>0</f>
        <v>0</v>
      </c>
      <c r="F14" s="51">
        <f>0</f>
        <v>0</v>
      </c>
      <c r="G14" s="51">
        <f>0</f>
        <v>0</v>
      </c>
      <c r="H14" s="51">
        <f>0</f>
        <v>0</v>
      </c>
      <c r="I14" s="51">
        <f>0</f>
        <v>0</v>
      </c>
      <c r="J14" s="51">
        <f>5022884000</f>
        <v>5022884000</v>
      </c>
      <c r="K14" s="51">
        <f>212900000</f>
        <v>212900000</v>
      </c>
      <c r="L14" s="51">
        <f>0</f>
        <v>0</v>
      </c>
      <c r="M14" s="51">
        <f>0</f>
        <v>0</v>
      </c>
      <c r="N14" s="51">
        <f>0</f>
        <v>0</v>
      </c>
      <c r="O14" s="51">
        <f>0</f>
        <v>0</v>
      </c>
      <c r="P14" s="51">
        <f>0</f>
        <v>0</v>
      </c>
      <c r="Q14" s="51">
        <f>0</f>
        <v>0</v>
      </c>
    </row>
    <row r="15" spans="1:17" ht="22.5" x14ac:dyDescent="0.2">
      <c r="A15" s="46" t="s">
        <v>109</v>
      </c>
      <c r="B15" s="52">
        <f>14100000</f>
        <v>14100000</v>
      </c>
      <c r="C15" s="52">
        <f>14100000</f>
        <v>14100000</v>
      </c>
      <c r="D15" s="52">
        <f>0</f>
        <v>0</v>
      </c>
      <c r="E15" s="52">
        <f>0</f>
        <v>0</v>
      </c>
      <c r="F15" s="52">
        <f>0</f>
        <v>0</v>
      </c>
      <c r="G15" s="52">
        <f>0</f>
        <v>0</v>
      </c>
      <c r="H15" s="52">
        <f>0</f>
        <v>0</v>
      </c>
      <c r="I15" s="52">
        <f>0</f>
        <v>0</v>
      </c>
      <c r="J15" s="52">
        <f>14000000</f>
        <v>14000000</v>
      </c>
      <c r="K15" s="52">
        <f>100000</f>
        <v>100000</v>
      </c>
      <c r="L15" s="52">
        <f>0</f>
        <v>0</v>
      </c>
      <c r="M15" s="52">
        <f>0</f>
        <v>0</v>
      </c>
      <c r="N15" s="52">
        <f>0</f>
        <v>0</v>
      </c>
      <c r="O15" s="52">
        <f>0</f>
        <v>0</v>
      </c>
      <c r="P15" s="52">
        <f>0</f>
        <v>0</v>
      </c>
      <c r="Q15" s="52">
        <f>0</f>
        <v>0</v>
      </c>
    </row>
    <row r="16" spans="1:17" ht="23.25" customHeight="1" x14ac:dyDescent="0.2">
      <c r="A16" s="46" t="s">
        <v>110</v>
      </c>
      <c r="B16" s="52">
        <f>5221684000</f>
        <v>5221684000</v>
      </c>
      <c r="C16" s="52">
        <f>5221684000</f>
        <v>5221684000</v>
      </c>
      <c r="D16" s="52">
        <f>0</f>
        <v>0</v>
      </c>
      <c r="E16" s="52">
        <f>0</f>
        <v>0</v>
      </c>
      <c r="F16" s="52">
        <f>0</f>
        <v>0</v>
      </c>
      <c r="G16" s="52">
        <f>0</f>
        <v>0</v>
      </c>
      <c r="H16" s="52">
        <f>0</f>
        <v>0</v>
      </c>
      <c r="I16" s="52">
        <f>0</f>
        <v>0</v>
      </c>
      <c r="J16" s="52">
        <f>5008884000</f>
        <v>5008884000</v>
      </c>
      <c r="K16" s="52">
        <f>212800000</f>
        <v>212800000</v>
      </c>
      <c r="L16" s="52">
        <f>0</f>
        <v>0</v>
      </c>
      <c r="M16" s="52">
        <f>0</f>
        <v>0</v>
      </c>
      <c r="N16" s="52">
        <f>0</f>
        <v>0</v>
      </c>
      <c r="O16" s="52">
        <f>0</f>
        <v>0</v>
      </c>
      <c r="P16" s="52">
        <f>0</f>
        <v>0</v>
      </c>
      <c r="Q16" s="52">
        <f>0</f>
        <v>0</v>
      </c>
    </row>
    <row r="17" spans="1:17" ht="33" customHeight="1" x14ac:dyDescent="0.2">
      <c r="A17" s="49" t="s">
        <v>152</v>
      </c>
      <c r="B17" s="51">
        <f>84242951361.93</f>
        <v>84242951361.929993</v>
      </c>
      <c r="C17" s="51">
        <f>60703998964.84</f>
        <v>60703998964.839996</v>
      </c>
      <c r="D17" s="51">
        <f>3183597218.74</f>
        <v>3183597218.7399998</v>
      </c>
      <c r="E17" s="51">
        <f>588570198.95</f>
        <v>588570198.95000005</v>
      </c>
      <c r="F17" s="51">
        <f>655234272.04</f>
        <v>655234272.03999996</v>
      </c>
      <c r="G17" s="51">
        <f>1939783037.81</f>
        <v>1939783037.8099999</v>
      </c>
      <c r="H17" s="51">
        <f>9709.94</f>
        <v>9709.94</v>
      </c>
      <c r="I17" s="51">
        <f>0</f>
        <v>0</v>
      </c>
      <c r="J17" s="51">
        <f>52949569592.45</f>
        <v>52949569592.449997</v>
      </c>
      <c r="K17" s="51">
        <f>2725149094.53</f>
        <v>2725149094.5300002</v>
      </c>
      <c r="L17" s="51">
        <f>1825890139.78</f>
        <v>1825890139.78</v>
      </c>
      <c r="M17" s="51">
        <f>9916014.13</f>
        <v>9916014.1300000008</v>
      </c>
      <c r="N17" s="51">
        <f>9876905.21</f>
        <v>9876905.2100000009</v>
      </c>
      <c r="O17" s="51">
        <f>23538952397.09</f>
        <v>23538952397.09</v>
      </c>
      <c r="P17" s="51">
        <f>23517044502.35</f>
        <v>23517044502.349998</v>
      </c>
      <c r="Q17" s="51">
        <f>21907894.74</f>
        <v>21907894.739999998</v>
      </c>
    </row>
    <row r="18" spans="1:17" ht="22.5" x14ac:dyDescent="0.2">
      <c r="A18" s="46" t="s">
        <v>112</v>
      </c>
      <c r="B18" s="52">
        <f>1092716637.48</f>
        <v>1092716637.48</v>
      </c>
      <c r="C18" s="52">
        <f>1092716637.48</f>
        <v>1092716637.48</v>
      </c>
      <c r="D18" s="52">
        <f>18854177.31</f>
        <v>18854177.309999999</v>
      </c>
      <c r="E18" s="52">
        <f>9783285.35</f>
        <v>9783285.3499999996</v>
      </c>
      <c r="F18" s="52">
        <f>1620848.87</f>
        <v>1620848.87</v>
      </c>
      <c r="G18" s="52">
        <f>7450043.09</f>
        <v>7450043.0899999999</v>
      </c>
      <c r="H18" s="52">
        <f>0</f>
        <v>0</v>
      </c>
      <c r="I18" s="52">
        <f>0</f>
        <v>0</v>
      </c>
      <c r="J18" s="52">
        <f>1066462803.62</f>
        <v>1066462803.62</v>
      </c>
      <c r="K18" s="52">
        <f>1406703.66</f>
        <v>1406703.66</v>
      </c>
      <c r="L18" s="52">
        <f>5962952.89</f>
        <v>5962952.8899999997</v>
      </c>
      <c r="M18" s="52">
        <f>30000</f>
        <v>30000</v>
      </c>
      <c r="N18" s="52">
        <f>0</f>
        <v>0</v>
      </c>
      <c r="O18" s="52">
        <f>0</f>
        <v>0</v>
      </c>
      <c r="P18" s="52">
        <f>0</f>
        <v>0</v>
      </c>
      <c r="Q18" s="52">
        <f>0</f>
        <v>0</v>
      </c>
    </row>
    <row r="19" spans="1:17" ht="24" customHeight="1" x14ac:dyDescent="0.2">
      <c r="A19" s="46" t="s">
        <v>113</v>
      </c>
      <c r="B19" s="52">
        <f>83150234724.45</f>
        <v>83150234724.449997</v>
      </c>
      <c r="C19" s="52">
        <f>59611282327.36</f>
        <v>59611282327.360001</v>
      </c>
      <c r="D19" s="52">
        <f>3164743041.43</f>
        <v>3164743041.4299998</v>
      </c>
      <c r="E19" s="52">
        <f>578786913.6</f>
        <v>578786913.60000002</v>
      </c>
      <c r="F19" s="52">
        <f>653613423.17</f>
        <v>653613423.16999996</v>
      </c>
      <c r="G19" s="52">
        <f>1932332994.72</f>
        <v>1932332994.72</v>
      </c>
      <c r="H19" s="52">
        <f>9709.94</f>
        <v>9709.94</v>
      </c>
      <c r="I19" s="52">
        <f>0</f>
        <v>0</v>
      </c>
      <c r="J19" s="52">
        <f>51883106788.83</f>
        <v>51883106788.830002</v>
      </c>
      <c r="K19" s="52">
        <f>2723742390.87</f>
        <v>2723742390.8699999</v>
      </c>
      <c r="L19" s="52">
        <f>1819927186.89</f>
        <v>1819927186.8900001</v>
      </c>
      <c r="M19" s="52">
        <f>9886014.13</f>
        <v>9886014.1300000008</v>
      </c>
      <c r="N19" s="52">
        <f>9876905.21</f>
        <v>9876905.2100000009</v>
      </c>
      <c r="O19" s="52">
        <f>23538952397.09</f>
        <v>23538952397.09</v>
      </c>
      <c r="P19" s="52">
        <f>23517044502.35</f>
        <v>23517044502.349998</v>
      </c>
      <c r="Q19" s="52">
        <f>21907894.74</f>
        <v>21907894.739999998</v>
      </c>
    </row>
    <row r="20" spans="1:17" ht="24.75" customHeight="1" x14ac:dyDescent="0.2">
      <c r="A20" s="56" t="s">
        <v>114</v>
      </c>
      <c r="B20" s="57">
        <f>0</f>
        <v>0</v>
      </c>
      <c r="C20" s="57">
        <f>0</f>
        <v>0</v>
      </c>
      <c r="D20" s="57">
        <f>0</f>
        <v>0</v>
      </c>
      <c r="E20" s="57">
        <f>0</f>
        <v>0</v>
      </c>
      <c r="F20" s="57">
        <f>0</f>
        <v>0</v>
      </c>
      <c r="G20" s="57">
        <f>0</f>
        <v>0</v>
      </c>
      <c r="H20" s="57">
        <f>0</f>
        <v>0</v>
      </c>
      <c r="I20" s="57">
        <f>0</f>
        <v>0</v>
      </c>
      <c r="J20" s="57">
        <f>0</f>
        <v>0</v>
      </c>
      <c r="K20" s="57">
        <f>0</f>
        <v>0</v>
      </c>
      <c r="L20" s="57">
        <f>0</f>
        <v>0</v>
      </c>
      <c r="M20" s="57">
        <f>0</f>
        <v>0</v>
      </c>
      <c r="N20" s="57">
        <f>0</f>
        <v>0</v>
      </c>
      <c r="O20" s="57">
        <f>0</f>
        <v>0</v>
      </c>
      <c r="P20" s="57">
        <f>0</f>
        <v>0</v>
      </c>
      <c r="Q20" s="57">
        <f>0</f>
        <v>0</v>
      </c>
    </row>
    <row r="21" spans="1:17" ht="38.25" customHeight="1" x14ac:dyDescent="0.2">
      <c r="A21" s="50" t="s">
        <v>153</v>
      </c>
      <c r="B21" s="51">
        <f>101983157.8</f>
        <v>101983157.8</v>
      </c>
      <c r="C21" s="51">
        <f>101980630.35</f>
        <v>101980630.34999999</v>
      </c>
      <c r="D21" s="51">
        <f>23689719.73</f>
        <v>23689719.73</v>
      </c>
      <c r="E21" s="51">
        <f>4683848.4</f>
        <v>4683848.4000000004</v>
      </c>
      <c r="F21" s="51">
        <f>290703.57</f>
        <v>290703.57</v>
      </c>
      <c r="G21" s="51">
        <f>18114172.41</f>
        <v>18114172.41</v>
      </c>
      <c r="H21" s="51">
        <f>600995.35</f>
        <v>600995.35</v>
      </c>
      <c r="I21" s="51">
        <f>0</f>
        <v>0</v>
      </c>
      <c r="J21" s="51">
        <f>469.93</f>
        <v>469.93</v>
      </c>
      <c r="K21" s="51">
        <f>129292.38</f>
        <v>129292.38</v>
      </c>
      <c r="L21" s="51">
        <f>48846679.3</f>
        <v>48846679.299999997</v>
      </c>
      <c r="M21" s="51">
        <f>22474957.12</f>
        <v>22474957.120000001</v>
      </c>
      <c r="N21" s="51">
        <f>6839511.89</f>
        <v>6839511.8899999997</v>
      </c>
      <c r="O21" s="51">
        <f>2527.45</f>
        <v>2527.4499999999998</v>
      </c>
      <c r="P21" s="51">
        <f>0</f>
        <v>0</v>
      </c>
      <c r="Q21" s="51">
        <f>2527.45</f>
        <v>2527.4499999999998</v>
      </c>
    </row>
    <row r="22" spans="1:17" ht="33" customHeight="1" x14ac:dyDescent="0.2">
      <c r="A22" s="47" t="s">
        <v>116</v>
      </c>
      <c r="B22" s="52">
        <f>59896581.9</f>
        <v>59896581.899999999</v>
      </c>
      <c r="C22" s="52">
        <f>59896581.9</f>
        <v>59896581.899999999</v>
      </c>
      <c r="D22" s="52">
        <f>3495338.47</f>
        <v>3495338.47</v>
      </c>
      <c r="E22" s="52">
        <f>155.48</f>
        <v>155.47999999999999</v>
      </c>
      <c r="F22" s="52">
        <f>7149.57</f>
        <v>7149.57</v>
      </c>
      <c r="G22" s="52">
        <f>3488033.42</f>
        <v>3488033.42</v>
      </c>
      <c r="H22" s="52">
        <f>0</f>
        <v>0</v>
      </c>
      <c r="I22" s="52">
        <f>0</f>
        <v>0</v>
      </c>
      <c r="J22" s="52">
        <f>0</f>
        <v>0</v>
      </c>
      <c r="K22" s="52">
        <f>10</f>
        <v>10</v>
      </c>
      <c r="L22" s="52">
        <f>33860753.11</f>
        <v>33860753.109999999</v>
      </c>
      <c r="M22" s="52">
        <f>16276253.69</f>
        <v>16276253.689999999</v>
      </c>
      <c r="N22" s="52">
        <f>6264226.63</f>
        <v>6264226.6299999999</v>
      </c>
      <c r="O22" s="52">
        <f>0</f>
        <v>0</v>
      </c>
      <c r="P22" s="52">
        <f>0</f>
        <v>0</v>
      </c>
      <c r="Q22" s="52">
        <f>0</f>
        <v>0</v>
      </c>
    </row>
    <row r="23" spans="1:17" ht="23.25" customHeight="1" x14ac:dyDescent="0.2">
      <c r="A23" s="47" t="s">
        <v>117</v>
      </c>
      <c r="B23" s="52">
        <f>42086575.9</f>
        <v>42086575.899999999</v>
      </c>
      <c r="C23" s="52">
        <f>42084048.45</f>
        <v>42084048.450000003</v>
      </c>
      <c r="D23" s="52">
        <f>20194381.26</f>
        <v>20194381.260000002</v>
      </c>
      <c r="E23" s="52">
        <f>4683692.92</f>
        <v>4683692.92</v>
      </c>
      <c r="F23" s="52">
        <f>283554</f>
        <v>283554</v>
      </c>
      <c r="G23" s="52">
        <f>14626138.99</f>
        <v>14626138.99</v>
      </c>
      <c r="H23" s="52">
        <f>600995.35</f>
        <v>600995.35</v>
      </c>
      <c r="I23" s="52">
        <f>0</f>
        <v>0</v>
      </c>
      <c r="J23" s="52">
        <f>469.93</f>
        <v>469.93</v>
      </c>
      <c r="K23" s="52">
        <f>129282.38</f>
        <v>129282.38</v>
      </c>
      <c r="L23" s="52">
        <f>14985926.19</f>
        <v>14985926.189999999</v>
      </c>
      <c r="M23" s="52">
        <f>6198703.43</f>
        <v>6198703.4299999997</v>
      </c>
      <c r="N23" s="52">
        <f>575285.26</f>
        <v>575285.26</v>
      </c>
      <c r="O23" s="52">
        <f>2527.45</f>
        <v>2527.4499999999998</v>
      </c>
      <c r="P23" s="52">
        <f>0</f>
        <v>0</v>
      </c>
      <c r="Q23" s="52">
        <f>2527.45</f>
        <v>2527.4499999999998</v>
      </c>
    </row>
    <row r="24" spans="1:17" ht="19.5" customHeight="1" x14ac:dyDescent="0.2">
      <c r="A24" s="43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</row>
    <row r="25" spans="1:17" ht="19.5" customHeight="1" x14ac:dyDescent="0.2">
      <c r="A25" s="43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</row>
    <row r="26" spans="1:17" ht="19.5" customHeight="1" x14ac:dyDescent="0.2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</row>
    <row r="27" spans="1:17" ht="19.5" customHeight="1" x14ac:dyDescent="0.2">
      <c r="A27" s="43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</row>
    <row r="28" spans="1:17" ht="19.5" customHeight="1" x14ac:dyDescent="0.2">
      <c r="A28" s="43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</row>
    <row r="29" spans="1:17" ht="19.5" customHeight="1" x14ac:dyDescent="0.2">
      <c r="A29" s="43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</row>
    <row r="30" spans="1:17" ht="45.75" customHeight="1" x14ac:dyDescent="0.2">
      <c r="A30" s="66" t="str">
        <f>CONCATENATE("Informacja z wykonania budżetów jednostek samorządu terytorialnego za ",$C$94," ",$B$95," roku")</f>
        <v>Informacja z wykonania budżetów jednostek samorządu terytorialnego za II Kwartały 2023 roku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</row>
    <row r="32" spans="1:17" ht="13.5" customHeight="1" x14ac:dyDescent="0.2">
      <c r="A32" s="67" t="s">
        <v>52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</row>
    <row r="34" spans="1:17" ht="13.5" customHeight="1" x14ac:dyDescent="0.2">
      <c r="A34" s="71" t="s">
        <v>0</v>
      </c>
      <c r="B34" s="68" t="s">
        <v>53</v>
      </c>
      <c r="C34" s="60" t="s">
        <v>55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2"/>
      <c r="O34" s="60" t="s">
        <v>73</v>
      </c>
      <c r="P34" s="61"/>
      <c r="Q34" s="62"/>
    </row>
    <row r="35" spans="1:17" ht="13.5" customHeight="1" x14ac:dyDescent="0.2">
      <c r="A35" s="72"/>
      <c r="B35" s="64"/>
      <c r="C35" s="64" t="s">
        <v>54</v>
      </c>
      <c r="D35" s="59" t="s">
        <v>57</v>
      </c>
      <c r="E35" s="59" t="s">
        <v>74</v>
      </c>
      <c r="F35" s="59" t="s">
        <v>75</v>
      </c>
      <c r="G35" s="59" t="s">
        <v>145</v>
      </c>
      <c r="H35" s="59" t="s">
        <v>77</v>
      </c>
      <c r="I35" s="59" t="s">
        <v>4</v>
      </c>
      <c r="J35" s="59" t="s">
        <v>59</v>
      </c>
      <c r="K35" s="59" t="s">
        <v>60</v>
      </c>
      <c r="L35" s="59" t="s">
        <v>61</v>
      </c>
      <c r="M35" s="59" t="s">
        <v>62</v>
      </c>
      <c r="N35" s="65" t="s">
        <v>63</v>
      </c>
      <c r="O35" s="59" t="s">
        <v>64</v>
      </c>
      <c r="P35" s="59" t="s">
        <v>65</v>
      </c>
      <c r="Q35" s="68" t="s">
        <v>66</v>
      </c>
    </row>
    <row r="36" spans="1:17" ht="13.5" customHeight="1" x14ac:dyDescent="0.2">
      <c r="A36" s="72"/>
      <c r="B36" s="64"/>
      <c r="C36" s="64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65"/>
      <c r="O36" s="59"/>
      <c r="P36" s="59"/>
      <c r="Q36" s="64"/>
    </row>
    <row r="37" spans="1:17" ht="11.25" customHeight="1" x14ac:dyDescent="0.2">
      <c r="A37" s="72"/>
      <c r="B37" s="64"/>
      <c r="C37" s="64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65"/>
      <c r="O37" s="59"/>
      <c r="P37" s="59"/>
      <c r="Q37" s="64"/>
    </row>
    <row r="38" spans="1:17" ht="32.25" customHeight="1" x14ac:dyDescent="0.2">
      <c r="A38" s="73"/>
      <c r="B38" s="63"/>
      <c r="C38" s="63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5"/>
      <c r="O38" s="59"/>
      <c r="P38" s="59"/>
      <c r="Q38" s="63"/>
    </row>
    <row r="39" spans="1:17" ht="13.5" customHeight="1" x14ac:dyDescent="0.2">
      <c r="A39" s="41">
        <v>1</v>
      </c>
      <c r="B39" s="41">
        <v>2</v>
      </c>
      <c r="C39" s="41">
        <v>3</v>
      </c>
      <c r="D39" s="41">
        <v>4</v>
      </c>
      <c r="E39" s="41">
        <v>5</v>
      </c>
      <c r="F39" s="41">
        <v>6</v>
      </c>
      <c r="G39" s="41">
        <v>7</v>
      </c>
      <c r="H39" s="41">
        <v>8</v>
      </c>
      <c r="I39" s="41">
        <v>9</v>
      </c>
      <c r="J39" s="41">
        <v>10</v>
      </c>
      <c r="K39" s="41">
        <v>11</v>
      </c>
      <c r="L39" s="41">
        <v>12</v>
      </c>
      <c r="M39" s="41">
        <v>13</v>
      </c>
      <c r="N39" s="41">
        <v>14</v>
      </c>
      <c r="O39" s="41">
        <v>15</v>
      </c>
      <c r="P39" s="41">
        <v>16</v>
      </c>
      <c r="Q39" s="41">
        <v>17</v>
      </c>
    </row>
    <row r="40" spans="1:17" ht="35.25" customHeight="1" x14ac:dyDescent="0.2">
      <c r="A40" s="58" t="s">
        <v>92</v>
      </c>
      <c r="B40" s="53">
        <f>5091469.82</f>
        <v>5091469.82</v>
      </c>
      <c r="C40" s="53">
        <f>5091469.82</f>
        <v>5091469.82</v>
      </c>
      <c r="D40" s="53">
        <f>61436.8</f>
        <v>61436.800000000003</v>
      </c>
      <c r="E40" s="53">
        <f>61436.8</f>
        <v>61436.800000000003</v>
      </c>
      <c r="F40" s="53">
        <f>0</f>
        <v>0</v>
      </c>
      <c r="G40" s="53">
        <f>0</f>
        <v>0</v>
      </c>
      <c r="H40" s="53">
        <f>0</f>
        <v>0</v>
      </c>
      <c r="I40" s="53">
        <f>0</f>
        <v>0</v>
      </c>
      <c r="J40" s="53">
        <f>128844.4</f>
        <v>128844.4</v>
      </c>
      <c r="K40" s="53">
        <f>25760</f>
        <v>25760</v>
      </c>
      <c r="L40" s="53">
        <f>1464176.14</f>
        <v>1464176.14</v>
      </c>
      <c r="M40" s="53">
        <f>3168010.95</f>
        <v>3168010.95</v>
      </c>
      <c r="N40" s="53">
        <f>243241.53</f>
        <v>243241.53</v>
      </c>
      <c r="O40" s="53">
        <f>0</f>
        <v>0</v>
      </c>
      <c r="P40" s="53">
        <f>0</f>
        <v>0</v>
      </c>
      <c r="Q40" s="53">
        <f>0</f>
        <v>0</v>
      </c>
    </row>
    <row r="41" spans="1:17" ht="28.5" customHeight="1" x14ac:dyDescent="0.2">
      <c r="A41" s="48" t="s">
        <v>80</v>
      </c>
      <c r="B41" s="54">
        <f>270621.59</f>
        <v>270621.59000000003</v>
      </c>
      <c r="C41" s="54">
        <f>270621.59</f>
        <v>270621.59000000003</v>
      </c>
      <c r="D41" s="54">
        <f>714.8</f>
        <v>714.8</v>
      </c>
      <c r="E41" s="54">
        <f>714.8</f>
        <v>714.8</v>
      </c>
      <c r="F41" s="54">
        <f>0</f>
        <v>0</v>
      </c>
      <c r="G41" s="54">
        <f>0</f>
        <v>0</v>
      </c>
      <c r="H41" s="54">
        <f>0</f>
        <v>0</v>
      </c>
      <c r="I41" s="54">
        <f>0</f>
        <v>0</v>
      </c>
      <c r="J41" s="54">
        <f>6000</f>
        <v>6000</v>
      </c>
      <c r="K41" s="54">
        <f>0</f>
        <v>0</v>
      </c>
      <c r="L41" s="54">
        <f>0</f>
        <v>0</v>
      </c>
      <c r="M41" s="54">
        <f>23906.79</f>
        <v>23906.79</v>
      </c>
      <c r="N41" s="54">
        <f>240000</f>
        <v>240000</v>
      </c>
      <c r="O41" s="54">
        <f>0</f>
        <v>0</v>
      </c>
      <c r="P41" s="54">
        <f>0</f>
        <v>0</v>
      </c>
      <c r="Q41" s="54">
        <f>0</f>
        <v>0</v>
      </c>
    </row>
    <row r="42" spans="1:17" ht="28.5" customHeight="1" x14ac:dyDescent="0.2">
      <c r="A42" s="48" t="s">
        <v>81</v>
      </c>
      <c r="B42" s="54">
        <f>4820848.23</f>
        <v>4820848.2300000004</v>
      </c>
      <c r="C42" s="54">
        <f>4820848.23</f>
        <v>4820848.2300000004</v>
      </c>
      <c r="D42" s="54">
        <f>60722</f>
        <v>60722</v>
      </c>
      <c r="E42" s="54">
        <f>60722</f>
        <v>60722</v>
      </c>
      <c r="F42" s="54">
        <f>0</f>
        <v>0</v>
      </c>
      <c r="G42" s="54">
        <f>0</f>
        <v>0</v>
      </c>
      <c r="H42" s="54">
        <f>0</f>
        <v>0</v>
      </c>
      <c r="I42" s="54">
        <f>0</f>
        <v>0</v>
      </c>
      <c r="J42" s="54">
        <f>122844.4</f>
        <v>122844.4</v>
      </c>
      <c r="K42" s="54">
        <f>25760</f>
        <v>25760</v>
      </c>
      <c r="L42" s="54">
        <f>1464176.14</f>
        <v>1464176.14</v>
      </c>
      <c r="M42" s="54">
        <f>3144104.16</f>
        <v>3144104.16</v>
      </c>
      <c r="N42" s="54">
        <f>3241.53</f>
        <v>3241.53</v>
      </c>
      <c r="O42" s="54">
        <f>0</f>
        <v>0</v>
      </c>
      <c r="P42" s="54">
        <f>0</f>
        <v>0</v>
      </c>
      <c r="Q42" s="54">
        <f>0</f>
        <v>0</v>
      </c>
    </row>
    <row r="43" spans="1:17" ht="28.5" customHeight="1" x14ac:dyDescent="0.2">
      <c r="A43" s="58" t="s">
        <v>93</v>
      </c>
      <c r="B43" s="53">
        <f>1504400715.59</f>
        <v>1504400715.5899999</v>
      </c>
      <c r="C43" s="53">
        <f>1504396831.93</f>
        <v>1504396831.9300001</v>
      </c>
      <c r="D43" s="53">
        <f>772256564.41</f>
        <v>772256564.40999997</v>
      </c>
      <c r="E43" s="53">
        <f>172545.91</f>
        <v>172545.91</v>
      </c>
      <c r="F43" s="53">
        <f>6097529.63</f>
        <v>6097529.6299999999</v>
      </c>
      <c r="G43" s="53">
        <f>760683600.87</f>
        <v>760683600.87</v>
      </c>
      <c r="H43" s="53">
        <f>5302888</f>
        <v>5302888</v>
      </c>
      <c r="I43" s="53">
        <f>0</f>
        <v>0</v>
      </c>
      <c r="J43" s="53">
        <f>183414.42</f>
        <v>183414.42</v>
      </c>
      <c r="K43" s="53">
        <f>4560</f>
        <v>4560</v>
      </c>
      <c r="L43" s="53">
        <f>404625007.4</f>
        <v>404625007.39999998</v>
      </c>
      <c r="M43" s="53">
        <f>281154215.36</f>
        <v>281154215.36000001</v>
      </c>
      <c r="N43" s="53">
        <f>46173070.34</f>
        <v>46173070.340000004</v>
      </c>
      <c r="O43" s="53">
        <f>3883.66</f>
        <v>3883.66</v>
      </c>
      <c r="P43" s="53">
        <f>3883.66</f>
        <v>3883.66</v>
      </c>
      <c r="Q43" s="53">
        <f>0</f>
        <v>0</v>
      </c>
    </row>
    <row r="44" spans="1:17" ht="32.25" customHeight="1" x14ac:dyDescent="0.2">
      <c r="A44" s="48" t="s">
        <v>82</v>
      </c>
      <c r="B44" s="54">
        <f>203009388.04</f>
        <v>203009388.03999999</v>
      </c>
      <c r="C44" s="54">
        <f>203009388.04</f>
        <v>203009388.03999999</v>
      </c>
      <c r="D44" s="54">
        <f>92039299.34</f>
        <v>92039299.340000004</v>
      </c>
      <c r="E44" s="54">
        <f>2125</f>
        <v>2125</v>
      </c>
      <c r="F44" s="54">
        <f>4530000</f>
        <v>4530000</v>
      </c>
      <c r="G44" s="54">
        <f>82207174.34</f>
        <v>82207174.340000004</v>
      </c>
      <c r="H44" s="54">
        <f>5300000</f>
        <v>5300000</v>
      </c>
      <c r="I44" s="54">
        <f>0</f>
        <v>0</v>
      </c>
      <c r="J44" s="54">
        <f>78337</f>
        <v>78337</v>
      </c>
      <c r="K44" s="54">
        <f>4560</f>
        <v>4560</v>
      </c>
      <c r="L44" s="54">
        <f>69504503.12</f>
        <v>69504503.120000005</v>
      </c>
      <c r="M44" s="54">
        <f>23413130.25</f>
        <v>23413130.25</v>
      </c>
      <c r="N44" s="54">
        <f>17969558.33</f>
        <v>17969558.329999998</v>
      </c>
      <c r="O44" s="54">
        <f>0</f>
        <v>0</v>
      </c>
      <c r="P44" s="54">
        <f>0</f>
        <v>0</v>
      </c>
      <c r="Q44" s="54">
        <f>0</f>
        <v>0</v>
      </c>
    </row>
    <row r="45" spans="1:17" ht="32.25" customHeight="1" x14ac:dyDescent="0.2">
      <c r="A45" s="48" t="s">
        <v>83</v>
      </c>
      <c r="B45" s="54">
        <f>1301391327.55</f>
        <v>1301391327.55</v>
      </c>
      <c r="C45" s="54">
        <f>1301387443.89</f>
        <v>1301387443.8900001</v>
      </c>
      <c r="D45" s="54">
        <f>680217265.07</f>
        <v>680217265.07000005</v>
      </c>
      <c r="E45" s="54">
        <f>170420.91</f>
        <v>170420.91</v>
      </c>
      <c r="F45" s="54">
        <f>1567529.63</f>
        <v>1567529.63</v>
      </c>
      <c r="G45" s="54">
        <f>678476426.53</f>
        <v>678476426.52999997</v>
      </c>
      <c r="H45" s="54">
        <f>2888</f>
        <v>2888</v>
      </c>
      <c r="I45" s="54">
        <f>0</f>
        <v>0</v>
      </c>
      <c r="J45" s="54">
        <f>105077.42</f>
        <v>105077.42</v>
      </c>
      <c r="K45" s="54">
        <f>0</f>
        <v>0</v>
      </c>
      <c r="L45" s="54">
        <f>335120504.28</f>
        <v>335120504.27999997</v>
      </c>
      <c r="M45" s="54">
        <f>257741085.11</f>
        <v>257741085.11000001</v>
      </c>
      <c r="N45" s="54">
        <f>28203512.01</f>
        <v>28203512.010000002</v>
      </c>
      <c r="O45" s="54">
        <f>3883.66</f>
        <v>3883.66</v>
      </c>
      <c r="P45" s="54">
        <f>3883.66</f>
        <v>3883.66</v>
      </c>
      <c r="Q45" s="54">
        <f>0</f>
        <v>0</v>
      </c>
    </row>
    <row r="46" spans="1:17" ht="35.25" customHeight="1" x14ac:dyDescent="0.2">
      <c r="A46" s="58" t="s">
        <v>94</v>
      </c>
      <c r="B46" s="53">
        <f>49660770049.76</f>
        <v>49660770049.760002</v>
      </c>
      <c r="C46" s="53">
        <f>49660596004.89</f>
        <v>49660596004.889999</v>
      </c>
      <c r="D46" s="53">
        <f>33207837.17</f>
        <v>33207837.170000002</v>
      </c>
      <c r="E46" s="53">
        <f>776563.06</f>
        <v>776563.06</v>
      </c>
      <c r="F46" s="53">
        <f>52794.1</f>
        <v>52794.1</v>
      </c>
      <c r="G46" s="53">
        <f>32377711.66</f>
        <v>32377711.66</v>
      </c>
      <c r="H46" s="53">
        <f>768.35</f>
        <v>768.35</v>
      </c>
      <c r="I46" s="53">
        <f>10072670.02</f>
        <v>10072670.02</v>
      </c>
      <c r="J46" s="53">
        <f>49600483953.96</f>
        <v>49600483953.959999</v>
      </c>
      <c r="K46" s="53">
        <f>300458.15</f>
        <v>300458.15000000002</v>
      </c>
      <c r="L46" s="53">
        <f>16250451.82</f>
        <v>16250451.82</v>
      </c>
      <c r="M46" s="53">
        <f>186350.65</f>
        <v>186350.65</v>
      </c>
      <c r="N46" s="53">
        <f>94283.12</f>
        <v>94283.12</v>
      </c>
      <c r="O46" s="53">
        <f>174044.87</f>
        <v>174044.87</v>
      </c>
      <c r="P46" s="53">
        <f>174044.87</f>
        <v>174044.87</v>
      </c>
      <c r="Q46" s="53">
        <f>0</f>
        <v>0</v>
      </c>
    </row>
    <row r="47" spans="1:17" ht="28.5" customHeight="1" x14ac:dyDescent="0.2">
      <c r="A47" s="48" t="s">
        <v>84</v>
      </c>
      <c r="B47" s="54">
        <f>19467158.07</f>
        <v>19467158.07</v>
      </c>
      <c r="C47" s="54">
        <f>19467158.07</f>
        <v>19467158.07</v>
      </c>
      <c r="D47" s="54">
        <f>19467126.07</f>
        <v>19467126.07</v>
      </c>
      <c r="E47" s="54">
        <f>0</f>
        <v>0</v>
      </c>
      <c r="F47" s="54">
        <f>0</f>
        <v>0</v>
      </c>
      <c r="G47" s="54">
        <f>19467126.07</f>
        <v>19467126.07</v>
      </c>
      <c r="H47" s="54">
        <f>0</f>
        <v>0</v>
      </c>
      <c r="I47" s="54">
        <f>0</f>
        <v>0</v>
      </c>
      <c r="J47" s="54">
        <f>32</f>
        <v>32</v>
      </c>
      <c r="K47" s="54">
        <f>0</f>
        <v>0</v>
      </c>
      <c r="L47" s="54">
        <f>0</f>
        <v>0</v>
      </c>
      <c r="M47" s="54">
        <f>0</f>
        <v>0</v>
      </c>
      <c r="N47" s="54">
        <f>0</f>
        <v>0</v>
      </c>
      <c r="O47" s="54">
        <f>0</f>
        <v>0</v>
      </c>
      <c r="P47" s="54">
        <f>0</f>
        <v>0</v>
      </c>
      <c r="Q47" s="54">
        <f>0</f>
        <v>0</v>
      </c>
    </row>
    <row r="48" spans="1:17" ht="28.5" customHeight="1" x14ac:dyDescent="0.2">
      <c r="A48" s="48" t="s">
        <v>85</v>
      </c>
      <c r="B48" s="54">
        <f>32121114520.38</f>
        <v>32121114520.380001</v>
      </c>
      <c r="C48" s="54">
        <f>32121114520.38</f>
        <v>32121114520.380001</v>
      </c>
      <c r="D48" s="54">
        <f>13038628.92</f>
        <v>13038628.92</v>
      </c>
      <c r="E48" s="54">
        <f>246373.1</f>
        <v>246373.1</v>
      </c>
      <c r="F48" s="54">
        <f>6743</f>
        <v>6743</v>
      </c>
      <c r="G48" s="54">
        <f>12784744.47</f>
        <v>12784744.470000001</v>
      </c>
      <c r="H48" s="54">
        <f>768.35</f>
        <v>768.35</v>
      </c>
      <c r="I48" s="54">
        <f>9988885.49</f>
        <v>9988885.4900000002</v>
      </c>
      <c r="J48" s="54">
        <f>32083054374.69</f>
        <v>32083054374.689999</v>
      </c>
      <c r="K48" s="54">
        <f>292046.43</f>
        <v>292046.43</v>
      </c>
      <c r="L48" s="54">
        <f>14637060.1</f>
        <v>14637060.1</v>
      </c>
      <c r="M48" s="54">
        <f>9241.63</f>
        <v>9241.6299999999992</v>
      </c>
      <c r="N48" s="54">
        <f>94283.12</f>
        <v>94283.12</v>
      </c>
      <c r="O48" s="54">
        <f>0</f>
        <v>0</v>
      </c>
      <c r="P48" s="54">
        <f>0</f>
        <v>0</v>
      </c>
      <c r="Q48" s="54">
        <f>0</f>
        <v>0</v>
      </c>
    </row>
    <row r="49" spans="1:17" ht="28.5" customHeight="1" x14ac:dyDescent="0.2">
      <c r="A49" s="48" t="s">
        <v>86</v>
      </c>
      <c r="B49" s="54">
        <f>17520188371.31</f>
        <v>17520188371.310001</v>
      </c>
      <c r="C49" s="54">
        <f>17520014326.44</f>
        <v>17520014326.439999</v>
      </c>
      <c r="D49" s="54">
        <f>702082.18</f>
        <v>702082.18</v>
      </c>
      <c r="E49" s="54">
        <f>530189.96</f>
        <v>530189.96</v>
      </c>
      <c r="F49" s="54">
        <f>46051.1</f>
        <v>46051.1</v>
      </c>
      <c r="G49" s="54">
        <f>125841.12</f>
        <v>125841.12</v>
      </c>
      <c r="H49" s="54">
        <f>0</f>
        <v>0</v>
      </c>
      <c r="I49" s="54">
        <f>83784.53</f>
        <v>83784.53</v>
      </c>
      <c r="J49" s="54">
        <f>17517429547.27</f>
        <v>17517429547.27</v>
      </c>
      <c r="K49" s="54">
        <f>8411.72</f>
        <v>8411.7199999999993</v>
      </c>
      <c r="L49" s="54">
        <f>1613391.72</f>
        <v>1613391.72</v>
      </c>
      <c r="M49" s="54">
        <f>177109.02</f>
        <v>177109.02</v>
      </c>
      <c r="N49" s="54">
        <f>0</f>
        <v>0</v>
      </c>
      <c r="O49" s="54">
        <f>174044.87</f>
        <v>174044.87</v>
      </c>
      <c r="P49" s="54">
        <f>174044.87</f>
        <v>174044.87</v>
      </c>
      <c r="Q49" s="54">
        <f>0</f>
        <v>0</v>
      </c>
    </row>
    <row r="50" spans="1:17" ht="35.25" customHeight="1" x14ac:dyDescent="0.2">
      <c r="A50" s="58" t="s">
        <v>95</v>
      </c>
      <c r="B50" s="53">
        <f>28105153975.84</f>
        <v>28105153975.84</v>
      </c>
      <c r="C50" s="53">
        <f>28049961464.45</f>
        <v>28049961464.450001</v>
      </c>
      <c r="D50" s="53">
        <f>531847897.29</f>
        <v>531847897.29000002</v>
      </c>
      <c r="E50" s="53">
        <f>116938550.25</f>
        <v>116938550.25</v>
      </c>
      <c r="F50" s="53">
        <f>18106663.8</f>
        <v>18106663.800000001</v>
      </c>
      <c r="G50" s="53">
        <f>394704755.49</f>
        <v>394704755.49000001</v>
      </c>
      <c r="H50" s="53">
        <f>2097927.75</f>
        <v>2097927.75</v>
      </c>
      <c r="I50" s="53">
        <f>6155.11</f>
        <v>6155.11</v>
      </c>
      <c r="J50" s="53">
        <f>12168541.7</f>
        <v>12168541.699999999</v>
      </c>
      <c r="K50" s="53">
        <f>52552060.33</f>
        <v>52552060.329999998</v>
      </c>
      <c r="L50" s="53">
        <f>6964508178.75</f>
        <v>6964508178.75</v>
      </c>
      <c r="M50" s="53">
        <f>20298188260.22</f>
        <v>20298188260.220001</v>
      </c>
      <c r="N50" s="53">
        <f>190690371.05</f>
        <v>190690371.05000001</v>
      </c>
      <c r="O50" s="53">
        <f>55192511.39</f>
        <v>55192511.390000001</v>
      </c>
      <c r="P50" s="53">
        <f>33787680.73</f>
        <v>33787680.729999997</v>
      </c>
      <c r="Q50" s="53">
        <f>21404830.66</f>
        <v>21404830.66</v>
      </c>
    </row>
    <row r="51" spans="1:17" ht="28.5" customHeight="1" x14ac:dyDescent="0.2">
      <c r="A51" s="48" t="s">
        <v>87</v>
      </c>
      <c r="B51" s="54">
        <f>6825758560.33</f>
        <v>6825758560.3299999</v>
      </c>
      <c r="C51" s="54">
        <f>6822653295.22</f>
        <v>6822653295.2200003</v>
      </c>
      <c r="D51" s="54">
        <f>79545916.25</f>
        <v>79545916.25</v>
      </c>
      <c r="E51" s="54">
        <f>2537942.29</f>
        <v>2537942.29</v>
      </c>
      <c r="F51" s="54">
        <f>2972190.56</f>
        <v>2972190.56</v>
      </c>
      <c r="G51" s="54">
        <f>73567990.9</f>
        <v>73567990.900000006</v>
      </c>
      <c r="H51" s="54">
        <f>467792.5</f>
        <v>467792.5</v>
      </c>
      <c r="I51" s="54">
        <f>4399.7</f>
        <v>4399.7</v>
      </c>
      <c r="J51" s="54">
        <f>2755329.07</f>
        <v>2755329.07</v>
      </c>
      <c r="K51" s="54">
        <f>11332184.74</f>
        <v>11332184.74</v>
      </c>
      <c r="L51" s="54">
        <f>1123583706.04</f>
        <v>1123583706.04</v>
      </c>
      <c r="M51" s="54">
        <f>5522070339.49</f>
        <v>5522070339.4899998</v>
      </c>
      <c r="N51" s="54">
        <f>83361419.93</f>
        <v>83361419.930000007</v>
      </c>
      <c r="O51" s="54">
        <f>3105265.11</f>
        <v>3105265.11</v>
      </c>
      <c r="P51" s="54">
        <f>1055951.31</f>
        <v>1055951.31</v>
      </c>
      <c r="Q51" s="54">
        <f>2049313.8</f>
        <v>2049313.8</v>
      </c>
    </row>
    <row r="52" spans="1:17" ht="28.5" customHeight="1" x14ac:dyDescent="0.2">
      <c r="A52" s="48" t="s">
        <v>88</v>
      </c>
      <c r="B52" s="54">
        <f>21279395415.51</f>
        <v>21279395415.509998</v>
      </c>
      <c r="C52" s="54">
        <f>21227308169.23</f>
        <v>21227308169.23</v>
      </c>
      <c r="D52" s="54">
        <f>452301981.04</f>
        <v>452301981.04000002</v>
      </c>
      <c r="E52" s="54">
        <f>114400607.96</f>
        <v>114400607.95999999</v>
      </c>
      <c r="F52" s="54">
        <f>15134473.24</f>
        <v>15134473.24</v>
      </c>
      <c r="G52" s="54">
        <f>321136764.59</f>
        <v>321136764.58999997</v>
      </c>
      <c r="H52" s="54">
        <f>1630135.25</f>
        <v>1630135.25</v>
      </c>
      <c r="I52" s="54">
        <f>1755.41</f>
        <v>1755.41</v>
      </c>
      <c r="J52" s="54">
        <f>9413212.63</f>
        <v>9413212.6300000008</v>
      </c>
      <c r="K52" s="54">
        <f>41219875.59</f>
        <v>41219875.590000004</v>
      </c>
      <c r="L52" s="54">
        <f>5840924472.71</f>
        <v>5840924472.71</v>
      </c>
      <c r="M52" s="54">
        <f>14776117920.73</f>
        <v>14776117920.73</v>
      </c>
      <c r="N52" s="54">
        <f>107328951.12</f>
        <v>107328951.12</v>
      </c>
      <c r="O52" s="54">
        <f>52087246.28</f>
        <v>52087246.280000001</v>
      </c>
      <c r="P52" s="54">
        <f>32731729.42</f>
        <v>32731729.420000002</v>
      </c>
      <c r="Q52" s="54">
        <f>19355516.86</f>
        <v>19355516.859999999</v>
      </c>
    </row>
    <row r="53" spans="1:17" ht="35.25" customHeight="1" x14ac:dyDescent="0.2">
      <c r="A53" s="58" t="s">
        <v>96</v>
      </c>
      <c r="B53" s="53">
        <f>28074276685.88</f>
        <v>28074276685.880001</v>
      </c>
      <c r="C53" s="53">
        <f>28042188167.37</f>
        <v>28042188167.369999</v>
      </c>
      <c r="D53" s="53">
        <f>1985696743.71</f>
        <v>1985696743.71</v>
      </c>
      <c r="E53" s="53">
        <f>731115408.63</f>
        <v>731115408.63</v>
      </c>
      <c r="F53" s="53">
        <f>121788212.1</f>
        <v>121788212.09999999</v>
      </c>
      <c r="G53" s="53">
        <f>1091900810.04</f>
        <v>1091900810.04</v>
      </c>
      <c r="H53" s="53">
        <f>40892312.94</f>
        <v>40892312.939999998</v>
      </c>
      <c r="I53" s="53">
        <f>2772355.53</f>
        <v>2772355.53</v>
      </c>
      <c r="J53" s="53">
        <f>28896687.85</f>
        <v>28896687.850000001</v>
      </c>
      <c r="K53" s="53">
        <f>71408325.55</f>
        <v>71408325.549999997</v>
      </c>
      <c r="L53" s="53">
        <f>16368588338.97</f>
        <v>16368588338.969999</v>
      </c>
      <c r="M53" s="53">
        <f>9160789423.8</f>
        <v>9160789423.7999992</v>
      </c>
      <c r="N53" s="53">
        <f>424036291.96</f>
        <v>424036291.95999998</v>
      </c>
      <c r="O53" s="53">
        <f>32088518.51</f>
        <v>32088518.510000002</v>
      </c>
      <c r="P53" s="53">
        <f>21156728.16</f>
        <v>21156728.16</v>
      </c>
      <c r="Q53" s="53">
        <f>10931790.35</f>
        <v>10931790.35</v>
      </c>
    </row>
    <row r="54" spans="1:17" ht="28.5" customHeight="1" x14ac:dyDescent="0.2">
      <c r="A54" s="48" t="s">
        <v>89</v>
      </c>
      <c r="B54" s="54">
        <f>1879332169.11</f>
        <v>1879332169.1099999</v>
      </c>
      <c r="C54" s="54">
        <f>1878153907.37</f>
        <v>1878153907.3699999</v>
      </c>
      <c r="D54" s="54">
        <f>139491878.92</f>
        <v>139491878.91999999</v>
      </c>
      <c r="E54" s="54">
        <f>8289881.04</f>
        <v>8289881.04</v>
      </c>
      <c r="F54" s="54">
        <f>3455432.98</f>
        <v>3455432.98</v>
      </c>
      <c r="G54" s="54">
        <f>122750732.63</f>
        <v>122750732.63</v>
      </c>
      <c r="H54" s="54">
        <f>4995832.27</f>
        <v>4995832.2699999996</v>
      </c>
      <c r="I54" s="54">
        <f>0</f>
        <v>0</v>
      </c>
      <c r="J54" s="54">
        <f>1204043.37</f>
        <v>1204043.3700000001</v>
      </c>
      <c r="K54" s="54">
        <f>2050422.49</f>
        <v>2050422.49</v>
      </c>
      <c r="L54" s="54">
        <f>797772632.81</f>
        <v>797772632.80999994</v>
      </c>
      <c r="M54" s="54">
        <f>912297566.9</f>
        <v>912297566.89999998</v>
      </c>
      <c r="N54" s="54">
        <f>25337362.88</f>
        <v>25337362.879999999</v>
      </c>
      <c r="O54" s="54">
        <f>1178261.74</f>
        <v>1178261.74</v>
      </c>
      <c r="P54" s="54">
        <f>273853.14</f>
        <v>273853.14</v>
      </c>
      <c r="Q54" s="54">
        <f>904408.6</f>
        <v>904408.6</v>
      </c>
    </row>
    <row r="55" spans="1:17" ht="47.25" customHeight="1" x14ac:dyDescent="0.2">
      <c r="A55" s="48" t="s">
        <v>154</v>
      </c>
      <c r="B55" s="54">
        <f>15690454767.52</f>
        <v>15690454767.52</v>
      </c>
      <c r="C55" s="54">
        <f>15671791314.98</f>
        <v>15671791314.98</v>
      </c>
      <c r="D55" s="54">
        <f>641824828.54</f>
        <v>641824828.53999996</v>
      </c>
      <c r="E55" s="54">
        <f>219536727.87</f>
        <v>219536727.87</v>
      </c>
      <c r="F55" s="54">
        <f>86077563.99</f>
        <v>86077563.989999995</v>
      </c>
      <c r="G55" s="54">
        <f>312208516.6</f>
        <v>312208516.60000002</v>
      </c>
      <c r="H55" s="54">
        <f>24002020.08</f>
        <v>24002020.079999998</v>
      </c>
      <c r="I55" s="54">
        <f>2688112.06</f>
        <v>2688112.06</v>
      </c>
      <c r="J55" s="54">
        <f>25011616.73</f>
        <v>25011616.73</v>
      </c>
      <c r="K55" s="54">
        <f>53830994.16</f>
        <v>53830994.159999996</v>
      </c>
      <c r="L55" s="54">
        <f>10742155658.52</f>
        <v>10742155658.52</v>
      </c>
      <c r="M55" s="54">
        <f>4125873172.13</f>
        <v>4125873172.1300001</v>
      </c>
      <c r="N55" s="54">
        <f>80406932.84</f>
        <v>80406932.840000004</v>
      </c>
      <c r="O55" s="54">
        <f>18663452.54</f>
        <v>18663452.539999999</v>
      </c>
      <c r="P55" s="54">
        <f>16525109.06</f>
        <v>16525109.060000001</v>
      </c>
      <c r="Q55" s="54">
        <f>2138343.48</f>
        <v>2138343.48</v>
      </c>
    </row>
    <row r="56" spans="1:17" ht="35.25" customHeight="1" x14ac:dyDescent="0.2">
      <c r="A56" s="48" t="s">
        <v>91</v>
      </c>
      <c r="B56" s="54">
        <f>10504489749.25</f>
        <v>10504489749.25</v>
      </c>
      <c r="C56" s="54">
        <f>10492242945.02</f>
        <v>10492242945.02</v>
      </c>
      <c r="D56" s="54">
        <f>1204380036.25</f>
        <v>1204380036.25</v>
      </c>
      <c r="E56" s="54">
        <f>503288799.72</f>
        <v>503288799.72000003</v>
      </c>
      <c r="F56" s="54">
        <f>32255215.13</f>
        <v>32255215.129999999</v>
      </c>
      <c r="G56" s="54">
        <f>656941560.81</f>
        <v>656941560.80999994</v>
      </c>
      <c r="H56" s="54">
        <f>11894460.59</f>
        <v>11894460.59</v>
      </c>
      <c r="I56" s="54">
        <f>84243.47</f>
        <v>84243.47</v>
      </c>
      <c r="J56" s="54">
        <f>2681027.75</f>
        <v>2681027.75</v>
      </c>
      <c r="K56" s="54">
        <f>15526908.9</f>
        <v>15526908.9</v>
      </c>
      <c r="L56" s="54">
        <f>4828660047.64</f>
        <v>4828660047.6400003</v>
      </c>
      <c r="M56" s="54">
        <f>4122618684.77</f>
        <v>4122618684.77</v>
      </c>
      <c r="N56" s="54">
        <f>318291996.24</f>
        <v>318291996.24000001</v>
      </c>
      <c r="O56" s="54">
        <f>12246804.23</f>
        <v>12246804.23</v>
      </c>
      <c r="P56" s="54">
        <f>4357765.96</f>
        <v>4357765.96</v>
      </c>
      <c r="Q56" s="54">
        <f>7889038.27</f>
        <v>7889038.2699999996</v>
      </c>
    </row>
    <row r="67" spans="1:13" ht="75" customHeight="1" x14ac:dyDescent="0.2">
      <c r="A67" s="66" t="str">
        <f>CONCATENATE("Informacja z wykonania budżetów jednostek samorządu terytorialnego za ",$C$94," ",$B$95," roku")</f>
        <v>Informacja z wykonania budżetów jednostek samorządu terytorialnego za II Kwartały 2023 roku</v>
      </c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</row>
    <row r="68" spans="1:13" ht="13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3.5" customHeight="1" x14ac:dyDescent="0.2">
      <c r="B69" s="67" t="s">
        <v>5</v>
      </c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</row>
    <row r="71" spans="1:13" ht="13.5" customHeight="1" x14ac:dyDescent="0.2">
      <c r="B71" s="96" t="s">
        <v>0</v>
      </c>
      <c r="C71" s="97"/>
      <c r="D71" s="97"/>
      <c r="E71" s="98"/>
      <c r="F71" s="84" t="s">
        <v>143</v>
      </c>
      <c r="G71" s="75" t="s">
        <v>150</v>
      </c>
      <c r="H71" s="76"/>
      <c r="I71" s="76"/>
      <c r="J71" s="76"/>
      <c r="K71" s="76"/>
      <c r="L71" s="77"/>
    </row>
    <row r="72" spans="1:13" ht="13.5" customHeight="1" x14ac:dyDescent="0.2">
      <c r="B72" s="99"/>
      <c r="C72" s="100"/>
      <c r="D72" s="100"/>
      <c r="E72" s="101"/>
      <c r="F72" s="69"/>
      <c r="G72" s="59" t="s">
        <v>144</v>
      </c>
      <c r="H72" s="59" t="s">
        <v>140</v>
      </c>
      <c r="I72" s="59" t="s">
        <v>141</v>
      </c>
      <c r="J72" s="59" t="s">
        <v>145</v>
      </c>
      <c r="K72" s="59" t="s">
        <v>146</v>
      </c>
      <c r="L72" s="65" t="s">
        <v>147</v>
      </c>
    </row>
    <row r="73" spans="1:13" ht="13.5" customHeight="1" x14ac:dyDescent="0.2">
      <c r="B73" s="99"/>
      <c r="C73" s="100"/>
      <c r="D73" s="100"/>
      <c r="E73" s="101"/>
      <c r="F73" s="69"/>
      <c r="G73" s="59"/>
      <c r="H73" s="59"/>
      <c r="I73" s="59"/>
      <c r="J73" s="59"/>
      <c r="K73" s="59"/>
      <c r="L73" s="65"/>
    </row>
    <row r="74" spans="1:13" ht="11.25" customHeight="1" x14ac:dyDescent="0.2">
      <c r="B74" s="99"/>
      <c r="C74" s="100"/>
      <c r="D74" s="100"/>
      <c r="E74" s="101"/>
      <c r="F74" s="69"/>
      <c r="G74" s="59"/>
      <c r="H74" s="59"/>
      <c r="I74" s="59"/>
      <c r="J74" s="59"/>
      <c r="K74" s="59"/>
      <c r="L74" s="65"/>
    </row>
    <row r="75" spans="1:13" ht="20.25" customHeight="1" x14ac:dyDescent="0.2">
      <c r="B75" s="102"/>
      <c r="C75" s="103"/>
      <c r="D75" s="103"/>
      <c r="E75" s="104"/>
      <c r="F75" s="70"/>
      <c r="G75" s="59"/>
      <c r="H75" s="59"/>
      <c r="I75" s="59"/>
      <c r="J75" s="59"/>
      <c r="K75" s="59"/>
      <c r="L75" s="65"/>
    </row>
    <row r="76" spans="1:13" ht="13.5" customHeight="1" x14ac:dyDescent="0.2">
      <c r="B76" s="59">
        <v>1</v>
      </c>
      <c r="C76" s="59"/>
      <c r="D76" s="59"/>
      <c r="E76" s="59"/>
      <c r="F76" s="45">
        <v>2</v>
      </c>
      <c r="G76" s="45">
        <v>3</v>
      </c>
      <c r="H76" s="45">
        <v>4</v>
      </c>
      <c r="I76" s="45">
        <v>5</v>
      </c>
      <c r="J76" s="45">
        <v>6</v>
      </c>
      <c r="K76" s="45">
        <v>7</v>
      </c>
      <c r="L76" s="45">
        <v>8</v>
      </c>
    </row>
    <row r="77" spans="1:13" ht="33.75" customHeight="1" x14ac:dyDescent="0.2">
      <c r="B77" s="81" t="s">
        <v>121</v>
      </c>
      <c r="C77" s="82"/>
      <c r="D77" s="82"/>
      <c r="E77" s="83"/>
      <c r="F77" s="52">
        <f>4492021147.45</f>
        <v>4492021147.4499998</v>
      </c>
      <c r="G77" s="52">
        <f>1047780364.46</f>
        <v>1047780364.46</v>
      </c>
      <c r="H77" s="52">
        <f>57760398.48</f>
        <v>57760398.479999997</v>
      </c>
      <c r="I77" s="52">
        <f>263437465.36</f>
        <v>263437465.36000001</v>
      </c>
      <c r="J77" s="52">
        <f>712549995.56</f>
        <v>712549995.55999994</v>
      </c>
      <c r="K77" s="52">
        <f>14032505.06</f>
        <v>14032505.060000001</v>
      </c>
      <c r="L77" s="52">
        <f>3444240782.99</f>
        <v>3444240782.9899998</v>
      </c>
    </row>
    <row r="78" spans="1:13" ht="33.75" customHeight="1" x14ac:dyDescent="0.2">
      <c r="B78" s="78" t="s">
        <v>122</v>
      </c>
      <c r="C78" s="79"/>
      <c r="D78" s="79"/>
      <c r="E78" s="80"/>
      <c r="F78" s="55">
        <f>822518.52</f>
        <v>822518.52</v>
      </c>
      <c r="G78" s="55">
        <f>821594</f>
        <v>821594</v>
      </c>
      <c r="H78" s="55">
        <f>0</f>
        <v>0</v>
      </c>
      <c r="I78" s="55">
        <f>0</f>
        <v>0</v>
      </c>
      <c r="J78" s="55">
        <f>821594</f>
        <v>821594</v>
      </c>
      <c r="K78" s="55">
        <f>0</f>
        <v>0</v>
      </c>
      <c r="L78" s="55">
        <f>924.52</f>
        <v>924.52</v>
      </c>
    </row>
    <row r="79" spans="1:13" ht="33.75" customHeight="1" x14ac:dyDescent="0.2">
      <c r="B79" s="78" t="s">
        <v>123</v>
      </c>
      <c r="C79" s="79"/>
      <c r="D79" s="79"/>
      <c r="E79" s="80"/>
      <c r="F79" s="55">
        <f>186801694.44</f>
        <v>186801694.44</v>
      </c>
      <c r="G79" s="55">
        <f>36584498.72</f>
        <v>36584498.719999999</v>
      </c>
      <c r="H79" s="55">
        <f>532575</f>
        <v>532575</v>
      </c>
      <c r="I79" s="55">
        <f>199614.3</f>
        <v>199614.3</v>
      </c>
      <c r="J79" s="55">
        <f>35742723.38</f>
        <v>35742723.380000003</v>
      </c>
      <c r="K79" s="55">
        <f>109586.04</f>
        <v>109586.04</v>
      </c>
      <c r="L79" s="55">
        <f>150217195.72</f>
        <v>150217195.72</v>
      </c>
    </row>
    <row r="80" spans="1:13" ht="22.5" customHeight="1" x14ac:dyDescent="0.2">
      <c r="B80" s="78" t="s">
        <v>124</v>
      </c>
      <c r="C80" s="79"/>
      <c r="D80" s="79"/>
      <c r="E80" s="80"/>
      <c r="F80" s="55">
        <f>81933734.94</f>
        <v>81933734.939999998</v>
      </c>
      <c r="G80" s="55">
        <f>41433083.35</f>
        <v>41433083.350000001</v>
      </c>
      <c r="H80" s="55">
        <f>0</f>
        <v>0</v>
      </c>
      <c r="I80" s="55">
        <f>0</f>
        <v>0</v>
      </c>
      <c r="J80" s="55">
        <f>41433083.35</f>
        <v>41433083.350000001</v>
      </c>
      <c r="K80" s="55">
        <f>0</f>
        <v>0</v>
      </c>
      <c r="L80" s="55">
        <f>40500651.59</f>
        <v>40500651.590000004</v>
      </c>
    </row>
    <row r="81" spans="1:13" ht="33.75" customHeight="1" x14ac:dyDescent="0.2">
      <c r="B81" s="78" t="s">
        <v>125</v>
      </c>
      <c r="C81" s="79"/>
      <c r="D81" s="79"/>
      <c r="E81" s="80"/>
      <c r="F81" s="55">
        <f>16436788.28</f>
        <v>16436788.279999999</v>
      </c>
      <c r="G81" s="55">
        <f>16319844.34</f>
        <v>16319844.34</v>
      </c>
      <c r="H81" s="55">
        <f>0</f>
        <v>0</v>
      </c>
      <c r="I81" s="55">
        <f>0</f>
        <v>0</v>
      </c>
      <c r="J81" s="55">
        <f>16319844.34</f>
        <v>16319844.34</v>
      </c>
      <c r="K81" s="55">
        <f>0</f>
        <v>0</v>
      </c>
      <c r="L81" s="55">
        <f>116943.94</f>
        <v>116943.94</v>
      </c>
    </row>
    <row r="82" spans="1:13" ht="33.75" customHeight="1" x14ac:dyDescent="0.2">
      <c r="B82" s="78" t="s">
        <v>126</v>
      </c>
      <c r="C82" s="79"/>
      <c r="D82" s="79"/>
      <c r="E82" s="80"/>
      <c r="F82" s="55">
        <f>21771478.46</f>
        <v>21771478.460000001</v>
      </c>
      <c r="G82" s="55">
        <f>10325617.42</f>
        <v>10325617.42</v>
      </c>
      <c r="H82" s="55">
        <f>0</f>
        <v>0</v>
      </c>
      <c r="I82" s="55">
        <f>0</f>
        <v>0</v>
      </c>
      <c r="J82" s="55">
        <f>10325617.42</f>
        <v>10325617.42</v>
      </c>
      <c r="K82" s="55">
        <f>0</f>
        <v>0</v>
      </c>
      <c r="L82" s="55">
        <f>11445861.04</f>
        <v>11445861.039999999</v>
      </c>
    </row>
    <row r="83" spans="1:13" ht="33" customHeight="1" x14ac:dyDescent="0.2">
      <c r="B83" s="81" t="s">
        <v>127</v>
      </c>
      <c r="C83" s="82"/>
      <c r="D83" s="82"/>
      <c r="E83" s="83"/>
      <c r="F83" s="52">
        <f>2550353.42</f>
        <v>2550353.42</v>
      </c>
      <c r="G83" s="52">
        <f>0</f>
        <v>0</v>
      </c>
      <c r="H83" s="52">
        <f>0</f>
        <v>0</v>
      </c>
      <c r="I83" s="52">
        <f>0</f>
        <v>0</v>
      </c>
      <c r="J83" s="52">
        <f>0</f>
        <v>0</v>
      </c>
      <c r="K83" s="52">
        <f>0</f>
        <v>0</v>
      </c>
      <c r="L83" s="52">
        <f>2550353.42</f>
        <v>2550353.42</v>
      </c>
    </row>
    <row r="86" spans="1:13" ht="75" customHeight="1" x14ac:dyDescent="0.2">
      <c r="A86" s="66" t="str">
        <f>CONCATENATE("Informacja z wykonania budżetów jednostek samorządu terytorialnego za ",$C$94," ",$B$95," roku")</f>
        <v>Informacja z wykonania budżetów jednostek samorządu terytorialnego za II Kwartały 2023 roku</v>
      </c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</row>
    <row r="87" spans="1:13" ht="13.5" customHeight="1" x14ac:dyDescent="0.2">
      <c r="B87" s="9"/>
    </row>
    <row r="88" spans="1:13" ht="13.5" customHeight="1" x14ac:dyDescent="0.2">
      <c r="B88" s="10"/>
      <c r="C88" s="89"/>
      <c r="D88" s="90"/>
      <c r="E88" s="90"/>
      <c r="F88" s="91"/>
      <c r="G88" s="89" t="s">
        <v>7</v>
      </c>
      <c r="H88" s="91"/>
      <c r="I88" s="89" t="s">
        <v>8</v>
      </c>
      <c r="J88" s="91"/>
      <c r="K88" s="10"/>
    </row>
    <row r="89" spans="1:13" ht="13.5" customHeight="1" x14ac:dyDescent="0.2">
      <c r="B89" s="11"/>
      <c r="C89" s="81" t="s">
        <v>23</v>
      </c>
      <c r="D89" s="82"/>
      <c r="E89" s="82"/>
      <c r="F89" s="83"/>
      <c r="G89" s="85">
        <f>1446</f>
        <v>1446</v>
      </c>
      <c r="H89" s="86"/>
      <c r="I89" s="87">
        <f>9670833543.61</f>
        <v>9670833543.6100006</v>
      </c>
      <c r="J89" s="88"/>
      <c r="K89" s="12"/>
    </row>
    <row r="90" spans="1:13" ht="13.5" customHeight="1" x14ac:dyDescent="0.2">
      <c r="B90" s="11"/>
      <c r="C90" s="78" t="s">
        <v>24</v>
      </c>
      <c r="D90" s="79"/>
      <c r="E90" s="79"/>
      <c r="F90" s="80"/>
      <c r="G90" s="92">
        <f>1361</f>
        <v>1361</v>
      </c>
      <c r="H90" s="93"/>
      <c r="I90" s="94">
        <f>-4812838927.57001</f>
        <v>-4812838927.5700102</v>
      </c>
      <c r="J90" s="95"/>
      <c r="K90" s="12"/>
    </row>
    <row r="91" spans="1:13" ht="13.5" customHeight="1" x14ac:dyDescent="0.2">
      <c r="B91" s="11"/>
      <c r="C91" s="81" t="s">
        <v>25</v>
      </c>
      <c r="D91" s="82"/>
      <c r="E91" s="82"/>
      <c r="F91" s="83"/>
      <c r="G91" s="85">
        <f>0</f>
        <v>0</v>
      </c>
      <c r="H91" s="86"/>
      <c r="I91" s="87">
        <f>0</f>
        <v>0</v>
      </c>
      <c r="J91" s="88"/>
      <c r="K91" s="12"/>
    </row>
    <row r="94" spans="1:13" ht="13.5" customHeight="1" x14ac:dyDescent="0.2">
      <c r="A94" s="15" t="s">
        <v>26</v>
      </c>
      <c r="B94" s="15">
        <f>2</f>
        <v>2</v>
      </c>
      <c r="C94" s="15" t="str">
        <f>IF(B94=1,"I Kwartał",IF(B94=2,"II Kwartały",IF(B94=3,"III Kwartały",IF(B94=4,"IV Kwartały","-"))))</f>
        <v>II Kwartały</v>
      </c>
    </row>
    <row r="95" spans="1:13" ht="13.5" customHeight="1" x14ac:dyDescent="0.2">
      <c r="A95" s="15" t="s">
        <v>27</v>
      </c>
      <c r="B95" s="15">
        <f>2023</f>
        <v>2023</v>
      </c>
      <c r="C95" s="16"/>
    </row>
    <row r="96" spans="1:13" ht="13.5" customHeight="1" x14ac:dyDescent="0.2">
      <c r="A96" s="15" t="s">
        <v>28</v>
      </c>
      <c r="B96" s="17" t="str">
        <f>"Aug 14 2023 12:00AM"</f>
        <v>Aug 14 2023 12:00AM</v>
      </c>
      <c r="C96" s="16"/>
    </row>
  </sheetData>
  <mergeCells count="75">
    <mergeCell ref="O6:Q6"/>
    <mergeCell ref="O7:O11"/>
    <mergeCell ref="A67:M67"/>
    <mergeCell ref="L35:L38"/>
    <mergeCell ref="P35:P38"/>
    <mergeCell ref="Q35:Q38"/>
    <mergeCell ref="N35:N38"/>
    <mergeCell ref="O35:O38"/>
    <mergeCell ref="D35:D38"/>
    <mergeCell ref="H7:H11"/>
    <mergeCell ref="B82:E82"/>
    <mergeCell ref="I89:J89"/>
    <mergeCell ref="B69:M69"/>
    <mergeCell ref="I88:J88"/>
    <mergeCell ref="B76:E76"/>
    <mergeCell ref="B71:E75"/>
    <mergeCell ref="B83:E83"/>
    <mergeCell ref="A86:M86"/>
    <mergeCell ref="B79:E79"/>
    <mergeCell ref="B80:E80"/>
    <mergeCell ref="G91:H91"/>
    <mergeCell ref="I91:J91"/>
    <mergeCell ref="C88:F88"/>
    <mergeCell ref="C89:F89"/>
    <mergeCell ref="C90:F90"/>
    <mergeCell ref="C91:F91"/>
    <mergeCell ref="G89:H89"/>
    <mergeCell ref="G88:H88"/>
    <mergeCell ref="G90:H90"/>
    <mergeCell ref="I90:J90"/>
    <mergeCell ref="B81:E81"/>
    <mergeCell ref="B78:E78"/>
    <mergeCell ref="M35:M38"/>
    <mergeCell ref="B77:E77"/>
    <mergeCell ref="F71:F75"/>
    <mergeCell ref="G72:G75"/>
    <mergeCell ref="G71:L71"/>
    <mergeCell ref="H72:H75"/>
    <mergeCell ref="I72:I75"/>
    <mergeCell ref="J72:J75"/>
    <mergeCell ref="A1:M1"/>
    <mergeCell ref="C5:M5"/>
    <mergeCell ref="A3:M3"/>
    <mergeCell ref="K7:K11"/>
    <mergeCell ref="C7:C11"/>
    <mergeCell ref="B6:B11"/>
    <mergeCell ref="A6:A11"/>
    <mergeCell ref="C6:N6"/>
    <mergeCell ref="D7:D11"/>
    <mergeCell ref="E7:E11"/>
    <mergeCell ref="L72:L75"/>
    <mergeCell ref="F35:F38"/>
    <mergeCell ref="A30:M30"/>
    <mergeCell ref="O34:Q34"/>
    <mergeCell ref="A32:M32"/>
    <mergeCell ref="B34:B38"/>
    <mergeCell ref="A34:A38"/>
    <mergeCell ref="C35:C38"/>
    <mergeCell ref="G35:G38"/>
    <mergeCell ref="Q7:Q11"/>
    <mergeCell ref="C34:N34"/>
    <mergeCell ref="L7:L11"/>
    <mergeCell ref="M7:M11"/>
    <mergeCell ref="N7:N11"/>
    <mergeCell ref="P7:P11"/>
    <mergeCell ref="G7:G11"/>
    <mergeCell ref="F7:F11"/>
    <mergeCell ref="I7:I11"/>
    <mergeCell ref="J7:J11"/>
    <mergeCell ref="H35:H38"/>
    <mergeCell ref="K35:K38"/>
    <mergeCell ref="I35:I38"/>
    <mergeCell ref="J35:J38"/>
    <mergeCell ref="E35:E38"/>
    <mergeCell ref="K72:K75"/>
  </mergeCells>
  <phoneticPr fontId="5" type="noConversion"/>
  <pageMargins left="0" right="0" top="0.19685039370078741" bottom="0.19685039370078741" header="0" footer="0"/>
  <pageSetup paperSize="9" scale="67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Q106"/>
  <sheetViews>
    <sheetView topLeftCell="A67" workbookViewId="0">
      <selection activeCell="L70" sqref="L70:L72"/>
    </sheetView>
  </sheetViews>
  <sheetFormatPr defaultRowHeight="13.5" customHeight="1" x14ac:dyDescent="0.2"/>
  <cols>
    <col min="1" max="1" width="32.28515625" style="2" customWidth="1"/>
    <col min="2" max="13" width="10.7109375" style="2" customWidth="1"/>
    <col min="14" max="16384" width="9.140625" style="2"/>
  </cols>
  <sheetData>
    <row r="1" spans="1:17" ht="75" customHeight="1" x14ac:dyDescent="0.2">
      <c r="A1" s="124" t="str">
        <f>CONCATENATE("Informacja z wykonania budżetów jednostek samorządu terytorialnego za ",$D$104," ",$C$105," roku")</f>
        <v>Informacja z wykonania budżetów jednostek samorządu terytorialnego za - 2023 roku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67" t="s">
        <v>134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5" spans="1:17" ht="13.5" customHeight="1" x14ac:dyDescent="0.2">
      <c r="A5" s="134" t="s">
        <v>0</v>
      </c>
      <c r="B5" s="89" t="s">
        <v>135</v>
      </c>
      <c r="C5" s="105" t="s">
        <v>139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89" t="s">
        <v>138</v>
      </c>
      <c r="P5" s="90"/>
      <c r="Q5" s="91"/>
    </row>
    <row r="6" spans="1:17" ht="13.5" customHeight="1" x14ac:dyDescent="0.2">
      <c r="A6" s="134"/>
      <c r="B6" s="89"/>
      <c r="C6" s="105" t="s">
        <v>136</v>
      </c>
      <c r="D6" s="105" t="s">
        <v>3</v>
      </c>
      <c r="E6" s="105" t="s">
        <v>140</v>
      </c>
      <c r="F6" s="105" t="s">
        <v>141</v>
      </c>
      <c r="G6" s="105" t="s">
        <v>76</v>
      </c>
      <c r="H6" s="105" t="s">
        <v>77</v>
      </c>
      <c r="I6" s="105" t="s">
        <v>137</v>
      </c>
      <c r="J6" s="105" t="s">
        <v>59</v>
      </c>
      <c r="K6" s="105" t="s">
        <v>60</v>
      </c>
      <c r="L6" s="105" t="s">
        <v>61</v>
      </c>
      <c r="M6" s="105" t="s">
        <v>62</v>
      </c>
      <c r="N6" s="118" t="s">
        <v>63</v>
      </c>
      <c r="O6" s="112" t="s">
        <v>64</v>
      </c>
      <c r="P6" s="109" t="s">
        <v>65</v>
      </c>
      <c r="Q6" s="115" t="s">
        <v>66</v>
      </c>
    </row>
    <row r="7" spans="1:17" ht="13.5" customHeight="1" x14ac:dyDescent="0.2">
      <c r="A7" s="134"/>
      <c r="B7" s="89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18"/>
      <c r="O7" s="113"/>
      <c r="P7" s="110"/>
      <c r="Q7" s="116"/>
    </row>
    <row r="8" spans="1:17" ht="13.5" customHeight="1" x14ac:dyDescent="0.2">
      <c r="A8" s="134"/>
      <c r="B8" s="89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18"/>
      <c r="O8" s="113"/>
      <c r="P8" s="110"/>
      <c r="Q8" s="116"/>
    </row>
    <row r="9" spans="1:17" ht="13.5" customHeight="1" x14ac:dyDescent="0.2">
      <c r="A9" s="134"/>
      <c r="B9" s="89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18"/>
      <c r="O9" s="113"/>
      <c r="P9" s="110"/>
      <c r="Q9" s="116"/>
    </row>
    <row r="10" spans="1:17" ht="22.5" customHeight="1" x14ac:dyDescent="0.2">
      <c r="A10" s="134"/>
      <c r="B10" s="89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18"/>
      <c r="O10" s="114"/>
      <c r="P10" s="111"/>
      <c r="Q10" s="117"/>
    </row>
    <row r="11" spans="1:17" ht="13.5" customHeight="1" x14ac:dyDescent="0.2">
      <c r="A11" s="7"/>
      <c r="B11" s="3" t="s">
        <v>21</v>
      </c>
      <c r="C11" s="5" t="s">
        <v>9</v>
      </c>
      <c r="D11" s="6" t="s">
        <v>10</v>
      </c>
      <c r="E11" s="5" t="s">
        <v>11</v>
      </c>
      <c r="F11" s="5" t="s">
        <v>12</v>
      </c>
      <c r="G11" s="5" t="s">
        <v>13</v>
      </c>
      <c r="H11" s="5" t="s">
        <v>58</v>
      </c>
      <c r="I11" s="5" t="s">
        <v>14</v>
      </c>
      <c r="J11" s="5" t="s">
        <v>15</v>
      </c>
      <c r="K11" s="5" t="s">
        <v>67</v>
      </c>
      <c r="L11" s="5" t="s">
        <v>68</v>
      </c>
      <c r="M11" s="5" t="s">
        <v>69</v>
      </c>
      <c r="N11" s="37" t="s">
        <v>70</v>
      </c>
      <c r="O11" s="5" t="s">
        <v>1</v>
      </c>
      <c r="P11" s="5" t="s">
        <v>71</v>
      </c>
      <c r="Q11" s="5" t="s">
        <v>72</v>
      </c>
    </row>
    <row r="12" spans="1:17" ht="13.5" customHeight="1" x14ac:dyDescent="0.2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  <c r="H12" s="3">
        <v>8</v>
      </c>
      <c r="I12" s="3">
        <v>9</v>
      </c>
      <c r="J12" s="3">
        <v>10</v>
      </c>
      <c r="K12" s="3">
        <v>11</v>
      </c>
      <c r="L12" s="3">
        <v>12</v>
      </c>
      <c r="M12" s="3">
        <v>13</v>
      </c>
      <c r="N12" s="3">
        <v>14</v>
      </c>
      <c r="O12" s="3">
        <v>15</v>
      </c>
      <c r="P12" s="3">
        <v>16</v>
      </c>
      <c r="Q12" s="3">
        <v>17</v>
      </c>
    </row>
    <row r="13" spans="1:17" ht="25.5" x14ac:dyDescent="0.2">
      <c r="A13" s="8" t="s">
        <v>107</v>
      </c>
      <c r="B13" s="135" t="s">
        <v>34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</row>
    <row r="14" spans="1:17" ht="22.5" customHeight="1" x14ac:dyDescent="0.2">
      <c r="A14" s="28" t="s">
        <v>108</v>
      </c>
      <c r="B14" s="119" t="s">
        <v>35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</row>
    <row r="15" spans="1:17" ht="13.5" customHeight="1" x14ac:dyDescent="0.2">
      <c r="A15" s="29" t="s">
        <v>109</v>
      </c>
      <c r="B15" s="136" t="s">
        <v>36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</row>
    <row r="16" spans="1:17" ht="12.75" x14ac:dyDescent="0.2">
      <c r="A16" s="29" t="s">
        <v>110</v>
      </c>
      <c r="B16" s="119" t="s">
        <v>118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</row>
    <row r="17" spans="1:17" ht="36" customHeight="1" x14ac:dyDescent="0.2">
      <c r="A17" s="30" t="s">
        <v>111</v>
      </c>
      <c r="B17" s="136" t="s">
        <v>37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</row>
    <row r="18" spans="1:17" ht="13.5" customHeight="1" x14ac:dyDescent="0.2">
      <c r="A18" s="31" t="s">
        <v>112</v>
      </c>
      <c r="B18" s="119" t="s">
        <v>38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</row>
    <row r="19" spans="1:17" ht="12.75" x14ac:dyDescent="0.2">
      <c r="A19" s="32" t="s">
        <v>113</v>
      </c>
      <c r="B19" s="136" t="s">
        <v>119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</row>
    <row r="20" spans="1:17" ht="12.75" x14ac:dyDescent="0.2">
      <c r="A20" s="33" t="s">
        <v>114</v>
      </c>
      <c r="B20" s="119" t="s">
        <v>39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</row>
    <row r="21" spans="1:17" ht="30.75" customHeight="1" x14ac:dyDescent="0.2">
      <c r="A21" s="28" t="s">
        <v>115</v>
      </c>
      <c r="B21" s="119" t="s">
        <v>40</v>
      </c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</row>
    <row r="22" spans="1:17" ht="13.5" customHeight="1" x14ac:dyDescent="0.2">
      <c r="A22" s="32" t="s">
        <v>116</v>
      </c>
      <c r="B22" s="119" t="s">
        <v>41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</row>
    <row r="23" spans="1:17" ht="13.5" customHeight="1" thickBot="1" x14ac:dyDescent="0.25">
      <c r="A23" s="34" t="s">
        <v>117</v>
      </c>
      <c r="B23" s="119" t="s">
        <v>120</v>
      </c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</row>
    <row r="32" spans="1:17" ht="75" customHeight="1" x14ac:dyDescent="0.2">
      <c r="A32" s="124" t="str">
        <f>CONCATENATE("Informacja z wykonania budżetów jednostek samorządu terytorialnego za ",$D$104," ",$C$105," roku")</f>
        <v>Informacja z wykonania budżetów jednostek samorządu terytorialnego za - 2023 roku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</row>
    <row r="33" spans="1:17" ht="13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7" ht="13.5" customHeight="1" x14ac:dyDescent="0.2">
      <c r="A34" s="67" t="s">
        <v>52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</row>
    <row r="36" spans="1:17" ht="13.5" customHeight="1" x14ac:dyDescent="0.2">
      <c r="A36" s="141" t="s">
        <v>0</v>
      </c>
      <c r="B36" s="142" t="s">
        <v>53</v>
      </c>
      <c r="C36" s="61" t="s">
        <v>55</v>
      </c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149"/>
      <c r="O36" s="61" t="s">
        <v>73</v>
      </c>
      <c r="P36" s="61"/>
      <c r="Q36" s="62"/>
    </row>
    <row r="37" spans="1:17" ht="13.5" customHeight="1" x14ac:dyDescent="0.2">
      <c r="A37" s="141"/>
      <c r="B37" s="142"/>
      <c r="C37" s="115" t="s">
        <v>54</v>
      </c>
      <c r="D37" s="145" t="s">
        <v>56</v>
      </c>
      <c r="E37" s="145" t="s">
        <v>74</v>
      </c>
      <c r="F37" s="145" t="s">
        <v>75</v>
      </c>
      <c r="G37" s="145" t="s">
        <v>76</v>
      </c>
      <c r="H37" s="145" t="s">
        <v>77</v>
      </c>
      <c r="I37" s="148" t="s">
        <v>78</v>
      </c>
      <c r="J37" s="105" t="s">
        <v>59</v>
      </c>
      <c r="K37" s="145" t="s">
        <v>60</v>
      </c>
      <c r="L37" s="145" t="s">
        <v>61</v>
      </c>
      <c r="M37" s="145" t="s">
        <v>62</v>
      </c>
      <c r="N37" s="150" t="s">
        <v>63</v>
      </c>
      <c r="O37" s="115" t="s">
        <v>64</v>
      </c>
      <c r="P37" s="145" t="s">
        <v>65</v>
      </c>
      <c r="Q37" s="115" t="s">
        <v>66</v>
      </c>
    </row>
    <row r="38" spans="1:17" ht="13.5" customHeight="1" x14ac:dyDescent="0.2">
      <c r="A38" s="141"/>
      <c r="B38" s="142"/>
      <c r="C38" s="116"/>
      <c r="D38" s="146"/>
      <c r="E38" s="146"/>
      <c r="F38" s="146"/>
      <c r="G38" s="146"/>
      <c r="H38" s="146"/>
      <c r="I38" s="148"/>
      <c r="J38" s="105"/>
      <c r="K38" s="146"/>
      <c r="L38" s="146"/>
      <c r="M38" s="146"/>
      <c r="N38" s="151"/>
      <c r="O38" s="116"/>
      <c r="P38" s="146"/>
      <c r="Q38" s="116"/>
    </row>
    <row r="39" spans="1:17" ht="13.5" customHeight="1" x14ac:dyDescent="0.2">
      <c r="A39" s="141"/>
      <c r="B39" s="142"/>
      <c r="C39" s="116"/>
      <c r="D39" s="146"/>
      <c r="E39" s="146"/>
      <c r="F39" s="146"/>
      <c r="G39" s="146"/>
      <c r="H39" s="146"/>
      <c r="I39" s="148"/>
      <c r="J39" s="105"/>
      <c r="K39" s="146"/>
      <c r="L39" s="146"/>
      <c r="M39" s="146"/>
      <c r="N39" s="151"/>
      <c r="O39" s="116"/>
      <c r="P39" s="146"/>
      <c r="Q39" s="116"/>
    </row>
    <row r="40" spans="1:17" ht="13.5" customHeight="1" x14ac:dyDescent="0.2">
      <c r="A40" s="141"/>
      <c r="B40" s="142"/>
      <c r="C40" s="116"/>
      <c r="D40" s="146"/>
      <c r="E40" s="146"/>
      <c r="F40" s="146"/>
      <c r="G40" s="146"/>
      <c r="H40" s="146"/>
      <c r="I40" s="148"/>
      <c r="J40" s="105"/>
      <c r="K40" s="146"/>
      <c r="L40" s="146"/>
      <c r="M40" s="146"/>
      <c r="N40" s="151"/>
      <c r="O40" s="116"/>
      <c r="P40" s="146"/>
      <c r="Q40" s="116"/>
    </row>
    <row r="41" spans="1:17" ht="22.5" customHeight="1" x14ac:dyDescent="0.2">
      <c r="A41" s="141"/>
      <c r="B41" s="142"/>
      <c r="C41" s="117"/>
      <c r="D41" s="147"/>
      <c r="E41" s="147"/>
      <c r="F41" s="147"/>
      <c r="G41" s="147"/>
      <c r="H41" s="147"/>
      <c r="I41" s="148"/>
      <c r="J41" s="105"/>
      <c r="K41" s="147"/>
      <c r="L41" s="147"/>
      <c r="M41" s="147"/>
      <c r="N41" s="152"/>
      <c r="O41" s="117"/>
      <c r="P41" s="147"/>
      <c r="Q41" s="117"/>
    </row>
    <row r="42" spans="1:17" ht="13.5" customHeight="1" x14ac:dyDescent="0.2">
      <c r="A42" s="21"/>
      <c r="B42" s="22" t="s">
        <v>22</v>
      </c>
      <c r="C42" s="18" t="s">
        <v>9</v>
      </c>
      <c r="D42" s="6" t="s">
        <v>10</v>
      </c>
      <c r="E42" s="3" t="s">
        <v>11</v>
      </c>
      <c r="F42" s="5" t="s">
        <v>12</v>
      </c>
      <c r="G42" s="5" t="s">
        <v>13</v>
      </c>
      <c r="H42" s="5" t="s">
        <v>58</v>
      </c>
      <c r="I42" s="3" t="s">
        <v>14</v>
      </c>
      <c r="J42" s="3" t="s">
        <v>15</v>
      </c>
      <c r="K42" s="5" t="s">
        <v>67</v>
      </c>
      <c r="L42" s="5" t="s">
        <v>68</v>
      </c>
      <c r="M42" s="5" t="s">
        <v>69</v>
      </c>
      <c r="N42" s="19" t="s">
        <v>70</v>
      </c>
      <c r="O42" s="18" t="s">
        <v>1</v>
      </c>
      <c r="P42" s="5" t="s">
        <v>71</v>
      </c>
      <c r="Q42" s="5" t="s">
        <v>72</v>
      </c>
    </row>
    <row r="43" spans="1:17" ht="13.5" customHeight="1" x14ac:dyDescent="0.2">
      <c r="A43" s="19">
        <v>1</v>
      </c>
      <c r="B43" s="22">
        <v>2</v>
      </c>
      <c r="C43" s="4">
        <v>3</v>
      </c>
      <c r="D43" s="3">
        <v>4</v>
      </c>
      <c r="E43" s="3">
        <v>5</v>
      </c>
      <c r="F43" s="3">
        <v>6</v>
      </c>
      <c r="G43" s="3">
        <v>7</v>
      </c>
      <c r="H43" s="3">
        <v>8</v>
      </c>
      <c r="I43" s="3">
        <v>9</v>
      </c>
      <c r="J43" s="3">
        <v>10</v>
      </c>
      <c r="K43" s="3">
        <v>11</v>
      </c>
      <c r="L43" s="3">
        <v>12</v>
      </c>
      <c r="M43" s="3">
        <v>13</v>
      </c>
      <c r="N43" s="20">
        <v>14</v>
      </c>
      <c r="O43" s="4">
        <v>15</v>
      </c>
      <c r="P43" s="3">
        <v>16</v>
      </c>
      <c r="Q43" s="3">
        <v>17</v>
      </c>
    </row>
    <row r="44" spans="1:17" ht="30" customHeight="1" x14ac:dyDescent="0.2">
      <c r="A44" s="23" t="s">
        <v>79</v>
      </c>
      <c r="B44" s="143" t="s">
        <v>42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4"/>
    </row>
    <row r="45" spans="1:17" ht="15.75" customHeight="1" x14ac:dyDescent="0.2">
      <c r="A45" s="24" t="s">
        <v>92</v>
      </c>
      <c r="B45" s="137" t="s">
        <v>43</v>
      </c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8"/>
    </row>
    <row r="46" spans="1:17" ht="13.5" customHeight="1" x14ac:dyDescent="0.2">
      <c r="A46" s="25" t="s">
        <v>80</v>
      </c>
      <c r="B46" s="139" t="s">
        <v>44</v>
      </c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40"/>
    </row>
    <row r="47" spans="1:17" ht="12.75" x14ac:dyDescent="0.2">
      <c r="A47" s="25" t="s">
        <v>81</v>
      </c>
      <c r="B47" s="139" t="s">
        <v>97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40"/>
    </row>
    <row r="48" spans="1:17" ht="13.5" customHeight="1" x14ac:dyDescent="0.2">
      <c r="A48" s="24" t="s">
        <v>93</v>
      </c>
      <c r="B48" s="139" t="s">
        <v>148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40"/>
    </row>
    <row r="49" spans="1:17" ht="13.5" customHeight="1" x14ac:dyDescent="0.2">
      <c r="A49" s="25" t="s">
        <v>82</v>
      </c>
      <c r="B49" s="137" t="s">
        <v>45</v>
      </c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8"/>
    </row>
    <row r="50" spans="1:17" ht="12.75" x14ac:dyDescent="0.2">
      <c r="A50" s="25" t="s">
        <v>83</v>
      </c>
      <c r="B50" s="139" t="s">
        <v>98</v>
      </c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40"/>
    </row>
    <row r="51" spans="1:17" ht="12.75" x14ac:dyDescent="0.2">
      <c r="A51" s="26" t="s">
        <v>94</v>
      </c>
      <c r="B51" s="137" t="s">
        <v>46</v>
      </c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8"/>
    </row>
    <row r="52" spans="1:17" ht="13.5" customHeight="1" x14ac:dyDescent="0.2">
      <c r="A52" s="25" t="s">
        <v>84</v>
      </c>
      <c r="B52" s="137" t="s">
        <v>99</v>
      </c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8"/>
    </row>
    <row r="53" spans="1:17" ht="13.5" customHeight="1" x14ac:dyDescent="0.2">
      <c r="A53" s="25" t="s">
        <v>85</v>
      </c>
      <c r="B53" s="137" t="s">
        <v>100</v>
      </c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8"/>
    </row>
    <row r="54" spans="1:17" ht="13.5" customHeight="1" x14ac:dyDescent="0.2">
      <c r="A54" s="25" t="s">
        <v>86</v>
      </c>
      <c r="B54" s="137" t="s">
        <v>101</v>
      </c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8"/>
    </row>
    <row r="55" spans="1:17" ht="13.5" customHeight="1" x14ac:dyDescent="0.2">
      <c r="A55" s="24" t="s">
        <v>95</v>
      </c>
      <c r="B55" s="137" t="s">
        <v>47</v>
      </c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8"/>
    </row>
    <row r="56" spans="1:17" ht="13.5" customHeight="1" x14ac:dyDescent="0.2">
      <c r="A56" s="25" t="s">
        <v>87</v>
      </c>
      <c r="B56" s="137" t="s">
        <v>48</v>
      </c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8"/>
    </row>
    <row r="57" spans="1:17" ht="13.5" customHeight="1" x14ac:dyDescent="0.2">
      <c r="A57" s="25" t="s">
        <v>88</v>
      </c>
      <c r="B57" s="137" t="s">
        <v>102</v>
      </c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8"/>
    </row>
    <row r="58" spans="1:17" ht="13.5" customHeight="1" x14ac:dyDescent="0.2">
      <c r="A58" s="24" t="s">
        <v>96</v>
      </c>
      <c r="B58" s="137" t="s">
        <v>103</v>
      </c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8"/>
    </row>
    <row r="59" spans="1:17" ht="13.5" customHeight="1" x14ac:dyDescent="0.2">
      <c r="A59" s="25" t="s">
        <v>89</v>
      </c>
      <c r="B59" s="153" t="s">
        <v>104</v>
      </c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8"/>
    </row>
    <row r="60" spans="1:17" ht="24" customHeight="1" x14ac:dyDescent="0.2">
      <c r="A60" s="25" t="s">
        <v>90</v>
      </c>
      <c r="B60" s="153" t="s">
        <v>105</v>
      </c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8"/>
    </row>
    <row r="61" spans="1:17" ht="18" customHeight="1" thickBot="1" x14ac:dyDescent="0.25">
      <c r="A61" s="27" t="s">
        <v>91</v>
      </c>
      <c r="B61" s="153" t="s">
        <v>106</v>
      </c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8"/>
    </row>
    <row r="65" spans="1:13" ht="75" customHeight="1" x14ac:dyDescent="0.2">
      <c r="A65" s="124" t="str">
        <f>CONCATENATE("Informacja z wykonania budżetów jednostek samorządu terytorialnego za ",$D$104," ",$C$105," roku")</f>
        <v>Informacja z wykonania budżetów jednostek samorządu terytorialnego za - 2023 roku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</row>
    <row r="66" spans="1:13" ht="13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3.5" customHeight="1" x14ac:dyDescent="0.2">
      <c r="B67" s="67" t="s">
        <v>5</v>
      </c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</row>
    <row r="69" spans="1:13" ht="13.5" customHeight="1" x14ac:dyDescent="0.2">
      <c r="B69" s="134" t="s">
        <v>0</v>
      </c>
      <c r="C69" s="134"/>
      <c r="D69" s="134"/>
      <c r="E69" s="134"/>
      <c r="F69" s="112" t="s">
        <v>2</v>
      </c>
      <c r="G69" s="89" t="s">
        <v>142</v>
      </c>
      <c r="H69" s="90"/>
      <c r="I69" s="90"/>
      <c r="J69" s="90"/>
      <c r="K69" s="90"/>
      <c r="L69" s="91"/>
    </row>
    <row r="70" spans="1:13" ht="13.5" customHeight="1" x14ac:dyDescent="0.2">
      <c r="B70" s="134"/>
      <c r="C70" s="134"/>
      <c r="D70" s="134"/>
      <c r="E70" s="134"/>
      <c r="F70" s="113"/>
      <c r="G70" s="105" t="s">
        <v>6</v>
      </c>
      <c r="H70" s="105" t="s">
        <v>74</v>
      </c>
      <c r="I70" s="105" t="s">
        <v>141</v>
      </c>
      <c r="J70" s="105" t="s">
        <v>76</v>
      </c>
      <c r="K70" s="105" t="s">
        <v>77</v>
      </c>
      <c r="L70" s="106" t="s">
        <v>147</v>
      </c>
    </row>
    <row r="71" spans="1:13" ht="13.5" customHeight="1" x14ac:dyDescent="0.2">
      <c r="B71" s="134"/>
      <c r="C71" s="134"/>
      <c r="D71" s="134"/>
      <c r="E71" s="134"/>
      <c r="F71" s="113"/>
      <c r="G71" s="105"/>
      <c r="H71" s="105"/>
      <c r="I71" s="105"/>
      <c r="J71" s="105"/>
      <c r="K71" s="105"/>
      <c r="L71" s="107"/>
    </row>
    <row r="72" spans="1:13" ht="22.5" customHeight="1" x14ac:dyDescent="0.2">
      <c r="B72" s="134"/>
      <c r="C72" s="134"/>
      <c r="D72" s="134"/>
      <c r="E72" s="134"/>
      <c r="F72" s="114"/>
      <c r="G72" s="105"/>
      <c r="H72" s="105"/>
      <c r="I72" s="105"/>
      <c r="J72" s="105"/>
      <c r="K72" s="105"/>
      <c r="L72" s="108"/>
    </row>
    <row r="73" spans="1:13" ht="13.5" customHeight="1" x14ac:dyDescent="0.2">
      <c r="B73" s="105"/>
      <c r="C73" s="105"/>
      <c r="D73" s="105"/>
      <c r="E73" s="105"/>
      <c r="F73" s="3" t="s">
        <v>20</v>
      </c>
      <c r="G73" s="3" t="s">
        <v>16</v>
      </c>
      <c r="H73" s="3" t="s">
        <v>17</v>
      </c>
      <c r="I73" s="3" t="s">
        <v>18</v>
      </c>
      <c r="J73" s="3" t="s">
        <v>19</v>
      </c>
      <c r="K73" s="3" t="s">
        <v>132</v>
      </c>
      <c r="L73" s="42" t="s">
        <v>133</v>
      </c>
    </row>
    <row r="74" spans="1:13" ht="13.5" customHeight="1" x14ac:dyDescent="0.2">
      <c r="B74" s="105">
        <v>1</v>
      </c>
      <c r="C74" s="105"/>
      <c r="D74" s="105"/>
      <c r="E74" s="105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40">
        <v>8</v>
      </c>
    </row>
    <row r="75" spans="1:13" ht="33.75" customHeight="1" x14ac:dyDescent="0.2">
      <c r="B75" s="123" t="s">
        <v>121</v>
      </c>
      <c r="C75" s="123"/>
      <c r="D75" s="123"/>
      <c r="E75" s="123"/>
      <c r="F75" s="121" t="s">
        <v>49</v>
      </c>
      <c r="G75" s="121"/>
      <c r="H75" s="121"/>
      <c r="I75" s="121"/>
      <c r="J75" s="121"/>
      <c r="K75" s="121"/>
      <c r="L75" s="121"/>
    </row>
    <row r="76" spans="1:13" ht="33.75" customHeight="1" x14ac:dyDescent="0.2">
      <c r="B76" s="122" t="s">
        <v>122</v>
      </c>
      <c r="C76" s="122"/>
      <c r="D76" s="122"/>
      <c r="E76" s="122"/>
      <c r="F76" s="122" t="s">
        <v>50</v>
      </c>
      <c r="G76" s="122"/>
      <c r="H76" s="122"/>
      <c r="I76" s="122"/>
      <c r="J76" s="122"/>
      <c r="K76" s="122"/>
      <c r="L76" s="122"/>
    </row>
    <row r="77" spans="1:13" ht="33.75" customHeight="1" x14ac:dyDescent="0.2">
      <c r="B77" s="123" t="s">
        <v>123</v>
      </c>
      <c r="C77" s="123"/>
      <c r="D77" s="123"/>
      <c r="E77" s="123"/>
      <c r="F77" s="123" t="s">
        <v>51</v>
      </c>
      <c r="G77" s="123"/>
      <c r="H77" s="123"/>
      <c r="I77" s="123"/>
      <c r="J77" s="123"/>
      <c r="K77" s="123"/>
      <c r="L77" s="123"/>
    </row>
    <row r="78" spans="1:13" ht="22.5" customHeight="1" x14ac:dyDescent="0.2">
      <c r="B78" s="123" t="s">
        <v>124</v>
      </c>
      <c r="C78" s="123"/>
      <c r="D78" s="123"/>
      <c r="E78" s="123"/>
      <c r="F78" s="122" t="s">
        <v>128</v>
      </c>
      <c r="G78" s="122"/>
      <c r="H78" s="122"/>
      <c r="I78" s="122"/>
      <c r="J78" s="122"/>
      <c r="K78" s="122"/>
      <c r="L78" s="122"/>
    </row>
    <row r="79" spans="1:13" ht="33.75" customHeight="1" x14ac:dyDescent="0.2">
      <c r="B79" s="122" t="s">
        <v>125</v>
      </c>
      <c r="C79" s="122"/>
      <c r="D79" s="122"/>
      <c r="E79" s="122"/>
      <c r="F79" s="123" t="s">
        <v>129</v>
      </c>
      <c r="G79" s="123"/>
      <c r="H79" s="123"/>
      <c r="I79" s="123"/>
      <c r="J79" s="123"/>
      <c r="K79" s="123"/>
      <c r="L79" s="123"/>
    </row>
    <row r="80" spans="1:13" ht="33.75" customHeight="1" x14ac:dyDescent="0.2">
      <c r="B80" s="123" t="s">
        <v>126</v>
      </c>
      <c r="C80" s="123"/>
      <c r="D80" s="123"/>
      <c r="E80" s="123"/>
      <c r="F80" s="122" t="s">
        <v>130</v>
      </c>
      <c r="G80" s="122"/>
      <c r="H80" s="122"/>
      <c r="I80" s="122"/>
      <c r="J80" s="122"/>
      <c r="K80" s="122"/>
      <c r="L80" s="122"/>
    </row>
    <row r="81" spans="1:13" ht="22.5" customHeight="1" x14ac:dyDescent="0.2">
      <c r="B81" s="81" t="s">
        <v>127</v>
      </c>
      <c r="C81" s="82"/>
      <c r="D81" s="82"/>
      <c r="E81" s="83"/>
      <c r="F81" s="123" t="s">
        <v>131</v>
      </c>
      <c r="G81" s="123"/>
      <c r="H81" s="123"/>
      <c r="I81" s="123"/>
      <c r="J81" s="123"/>
      <c r="K81" s="123"/>
      <c r="L81" s="123"/>
    </row>
    <row r="82" spans="1:13" ht="18.75" customHeight="1" x14ac:dyDescent="0.2">
      <c r="A82" s="35"/>
      <c r="B82" s="36"/>
      <c r="C82" s="36"/>
      <c r="D82" s="36"/>
      <c r="E82" s="36"/>
      <c r="F82" s="120"/>
      <c r="G82" s="120"/>
      <c r="H82" s="120"/>
      <c r="I82" s="120"/>
      <c r="J82" s="120"/>
      <c r="K82" s="120"/>
      <c r="L82" s="35"/>
    </row>
    <row r="83" spans="1:13" ht="13.5" customHeight="1" x14ac:dyDescent="0.2">
      <c r="C83" s="35"/>
      <c r="G83" s="35"/>
      <c r="H83" s="35"/>
      <c r="I83" s="35"/>
      <c r="J83" s="35"/>
      <c r="K83" s="35"/>
    </row>
    <row r="94" spans="1:13" ht="75" customHeight="1" x14ac:dyDescent="0.2">
      <c r="A94" s="124" t="str">
        <f>CONCATENATE("Informacja z wykonania budżetów jednostek samorządu terytorialnego za ",$D$104," ",$C$105," roku")</f>
        <v>Informacja z wykonania budżetów jednostek samorządu terytorialnego za - 2023 roku</v>
      </c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</row>
    <row r="95" spans="1:13" ht="13.5" customHeight="1" x14ac:dyDescent="0.2">
      <c r="B95" s="9"/>
    </row>
    <row r="96" spans="1:13" ht="13.5" customHeight="1" x14ac:dyDescent="0.2">
      <c r="B96" s="10"/>
      <c r="C96" s="89"/>
      <c r="D96" s="90"/>
      <c r="E96" s="90"/>
      <c r="F96" s="91"/>
      <c r="G96" s="89" t="s">
        <v>7</v>
      </c>
      <c r="H96" s="91"/>
      <c r="I96" s="89" t="s">
        <v>8</v>
      </c>
      <c r="J96" s="91"/>
      <c r="K96" s="10"/>
    </row>
    <row r="97" spans="2:11" ht="13.5" customHeight="1" x14ac:dyDescent="0.2">
      <c r="B97" s="10"/>
      <c r="C97" s="14"/>
      <c r="D97" s="13"/>
      <c r="E97" s="13"/>
      <c r="F97" s="4"/>
      <c r="G97" s="89" t="s">
        <v>33</v>
      </c>
      <c r="H97" s="91"/>
      <c r="I97" s="89" t="s">
        <v>32</v>
      </c>
      <c r="J97" s="91"/>
      <c r="K97" s="10"/>
    </row>
    <row r="98" spans="2:11" ht="13.5" customHeight="1" x14ac:dyDescent="0.2">
      <c r="B98" s="11"/>
      <c r="C98" s="81" t="s">
        <v>23</v>
      </c>
      <c r="D98" s="82"/>
      <c r="E98" s="82"/>
      <c r="F98" s="83"/>
      <c r="G98" s="128" t="s">
        <v>29</v>
      </c>
      <c r="H98" s="129"/>
      <c r="I98" s="129"/>
      <c r="J98" s="130"/>
      <c r="K98" s="12"/>
    </row>
    <row r="99" spans="2:11" ht="13.5" customHeight="1" x14ac:dyDescent="0.2">
      <c r="B99" s="11"/>
      <c r="C99" s="125" t="s">
        <v>24</v>
      </c>
      <c r="D99" s="126"/>
      <c r="E99" s="126"/>
      <c r="F99" s="127"/>
      <c r="G99" s="131" t="s">
        <v>30</v>
      </c>
      <c r="H99" s="132"/>
      <c r="I99" s="132"/>
      <c r="J99" s="133"/>
      <c r="K99" s="12"/>
    </row>
    <row r="100" spans="2:11" ht="13.5" customHeight="1" x14ac:dyDescent="0.2">
      <c r="B100" s="11"/>
      <c r="C100" s="81" t="s">
        <v>25</v>
      </c>
      <c r="D100" s="82"/>
      <c r="E100" s="82"/>
      <c r="F100" s="83"/>
      <c r="G100" s="128" t="s">
        <v>31</v>
      </c>
      <c r="H100" s="129"/>
      <c r="I100" s="129"/>
      <c r="J100" s="130"/>
      <c r="K100" s="12"/>
    </row>
    <row r="104" spans="2:11" ht="13.5" customHeight="1" x14ac:dyDescent="0.2">
      <c r="B104" s="15" t="s">
        <v>26</v>
      </c>
      <c r="C104" s="15">
        <f>2</f>
        <v>2</v>
      </c>
      <c r="D104" s="15" t="str">
        <f>IF(C104="1","I Kwartał",IF(C104="2","II Kwartały",IF(C104="3","III Kwartały",IF(C104="4","IV Kwartały","-"))))</f>
        <v>-</v>
      </c>
    </row>
    <row r="105" spans="2:11" ht="13.5" customHeight="1" x14ac:dyDescent="0.2">
      <c r="B105" s="15" t="s">
        <v>27</v>
      </c>
      <c r="C105" s="15">
        <f>2023</f>
        <v>2023</v>
      </c>
      <c r="D105" s="16"/>
    </row>
    <row r="106" spans="2:11" ht="13.5" customHeight="1" x14ac:dyDescent="0.2">
      <c r="B106" s="15" t="s">
        <v>28</v>
      </c>
      <c r="C106" s="17" t="str">
        <f>"Aug 14 2023 12:00AM"</f>
        <v>Aug 14 2023 12:00AM</v>
      </c>
      <c r="D106" s="16"/>
    </row>
  </sheetData>
  <mergeCells count="111">
    <mergeCell ref="B17:Q17"/>
    <mergeCell ref="B18:Q18"/>
    <mergeCell ref="B19:Q19"/>
    <mergeCell ref="B20:Q20"/>
    <mergeCell ref="O37:O41"/>
    <mergeCell ref="B55:Q55"/>
    <mergeCell ref="B53:Q53"/>
    <mergeCell ref="B54:Q54"/>
    <mergeCell ref="B50:Q50"/>
    <mergeCell ref="E37:E41"/>
    <mergeCell ref="B61:Q61"/>
    <mergeCell ref="B60:Q60"/>
    <mergeCell ref="B56:Q56"/>
    <mergeCell ref="B57:Q57"/>
    <mergeCell ref="B58:Q58"/>
    <mergeCell ref="B59:Q59"/>
    <mergeCell ref="O36:Q36"/>
    <mergeCell ref="C36:N36"/>
    <mergeCell ref="P37:P41"/>
    <mergeCell ref="D37:D41"/>
    <mergeCell ref="L37:L41"/>
    <mergeCell ref="M37:M41"/>
    <mergeCell ref="N37:N41"/>
    <mergeCell ref="C37:C41"/>
    <mergeCell ref="B52:Q52"/>
    <mergeCell ref="Q37:Q41"/>
    <mergeCell ref="H37:H41"/>
    <mergeCell ref="G37:G41"/>
    <mergeCell ref="F37:F41"/>
    <mergeCell ref="J37:J41"/>
    <mergeCell ref="K37:K41"/>
    <mergeCell ref="B48:Q48"/>
    <mergeCell ref="B49:Q49"/>
    <mergeCell ref="I37:I41"/>
    <mergeCell ref="A1:M1"/>
    <mergeCell ref="B51:Q51"/>
    <mergeCell ref="B46:Q46"/>
    <mergeCell ref="B47:Q47"/>
    <mergeCell ref="A32:M32"/>
    <mergeCell ref="A34:M34"/>
    <mergeCell ref="A36:A41"/>
    <mergeCell ref="B36:B41"/>
    <mergeCell ref="B44:Q44"/>
    <mergeCell ref="B45:Q45"/>
    <mergeCell ref="A3:M3"/>
    <mergeCell ref="B16:Q16"/>
    <mergeCell ref="A5:A10"/>
    <mergeCell ref="B5:B10"/>
    <mergeCell ref="B13:Q13"/>
    <mergeCell ref="B14:Q14"/>
    <mergeCell ref="B15:Q15"/>
    <mergeCell ref="D6:D10"/>
    <mergeCell ref="C6:C10"/>
    <mergeCell ref="E6:E10"/>
    <mergeCell ref="B67:M67"/>
    <mergeCell ref="G96:H96"/>
    <mergeCell ref="I96:J96"/>
    <mergeCell ref="B74:E74"/>
    <mergeCell ref="B73:E73"/>
    <mergeCell ref="B69:E72"/>
    <mergeCell ref="F69:F72"/>
    <mergeCell ref="G70:G72"/>
    <mergeCell ref="A94:M94"/>
    <mergeCell ref="F81:L81"/>
    <mergeCell ref="F77:L77"/>
    <mergeCell ref="F78:L78"/>
    <mergeCell ref="F79:L79"/>
    <mergeCell ref="F80:L80"/>
    <mergeCell ref="B75:E75"/>
    <mergeCell ref="B76:E76"/>
    <mergeCell ref="B77:E77"/>
    <mergeCell ref="B78:E78"/>
    <mergeCell ref="C96:F96"/>
    <mergeCell ref="C98:F98"/>
    <mergeCell ref="C99:F99"/>
    <mergeCell ref="C100:F100"/>
    <mergeCell ref="G100:J100"/>
    <mergeCell ref="G97:H97"/>
    <mergeCell ref="I97:J97"/>
    <mergeCell ref="G98:J98"/>
    <mergeCell ref="G99:J99"/>
    <mergeCell ref="B21:Q21"/>
    <mergeCell ref="B22:Q22"/>
    <mergeCell ref="B23:Q23"/>
    <mergeCell ref="F82:K82"/>
    <mergeCell ref="F75:L75"/>
    <mergeCell ref="F76:L76"/>
    <mergeCell ref="B79:E79"/>
    <mergeCell ref="B80:E80"/>
    <mergeCell ref="B81:E81"/>
    <mergeCell ref="A65:M65"/>
    <mergeCell ref="O5:Q5"/>
    <mergeCell ref="P6:P10"/>
    <mergeCell ref="O6:O10"/>
    <mergeCell ref="Q6:Q10"/>
    <mergeCell ref="F6:F10"/>
    <mergeCell ref="N6:N10"/>
    <mergeCell ref="G6:G10"/>
    <mergeCell ref="H6:H10"/>
    <mergeCell ref="I6:I10"/>
    <mergeCell ref="J6:J10"/>
    <mergeCell ref="C5:N5"/>
    <mergeCell ref="G69:L69"/>
    <mergeCell ref="K70:K72"/>
    <mergeCell ref="J70:J72"/>
    <mergeCell ref="I70:I72"/>
    <mergeCell ref="H70:H72"/>
    <mergeCell ref="L70:L72"/>
    <mergeCell ref="K6:K10"/>
    <mergeCell ref="L6:L10"/>
    <mergeCell ref="M6:M10"/>
  </mergeCells>
  <phoneticPr fontId="5" type="noConversion"/>
  <pageMargins left="0.19685039370078741" right="0.19685039370078741" top="0.19685039370078741" bottom="0.19685039370078741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zob_nal</vt:lpstr>
      <vt:lpstr>definicja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2016-08-26T11:29:32Z</cp:lastPrinted>
  <dcterms:created xsi:type="dcterms:W3CDTF">2001-05-17T08:58:03Z</dcterms:created>
  <dcterms:modified xsi:type="dcterms:W3CDTF">2023-08-14T13:05:16Z</dcterms:modified>
</cp:coreProperties>
</file>