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HHCY\Documents\```ST7\Besti@\2025\IV kwartał\2026.03.18 dane ostateczne\Zbiorówki_2025_k4_2026.03.18\Publikacja\"/>
    </mc:Choice>
  </mc:AlternateContent>
  <xr:revisionPtr revIDLastSave="0" documentId="13_ncr:1_{12C0AF7A-18FB-4516-823C-14D5570EDC9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ch_wyd" sheetId="4" r:id="rId1"/>
  </sheets>
  <definedNames>
    <definedName name="_xlnm.Print_Area" localSheetId="0">doch_wyd!$B$1:$L$133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34" i="4" l="1"/>
  <c r="C133" i="4"/>
  <c r="C132" i="4"/>
  <c r="C131" i="4"/>
  <c r="D129" i="4"/>
  <c r="C129" i="4"/>
  <c r="D128" i="4"/>
  <c r="C128" i="4"/>
  <c r="D127" i="4"/>
  <c r="C127" i="4"/>
  <c r="D126" i="4"/>
  <c r="C126" i="4"/>
  <c r="D125" i="4"/>
  <c r="C125" i="4"/>
  <c r="D124" i="4"/>
  <c r="C124" i="4"/>
  <c r="D123" i="4"/>
  <c r="C123" i="4"/>
  <c r="D122" i="4"/>
  <c r="C122" i="4"/>
  <c r="D121" i="4"/>
  <c r="C121" i="4"/>
  <c r="D116" i="4"/>
  <c r="C116" i="4"/>
  <c r="D115" i="4"/>
  <c r="C115" i="4"/>
  <c r="D114" i="4"/>
  <c r="C114" i="4"/>
  <c r="D113" i="4"/>
  <c r="C113" i="4"/>
  <c r="D112" i="4"/>
  <c r="J112" i="4" s="1"/>
  <c r="C112" i="4"/>
  <c r="D111" i="4"/>
  <c r="C111" i="4"/>
  <c r="K111" i="4" s="1"/>
  <c r="D110" i="4"/>
  <c r="C110" i="4"/>
  <c r="D109" i="4"/>
  <c r="C109" i="4"/>
  <c r="D108" i="4"/>
  <c r="C108" i="4"/>
  <c r="D107" i="4"/>
  <c r="C107" i="4"/>
  <c r="D106" i="4"/>
  <c r="C106" i="4"/>
  <c r="D105" i="4"/>
  <c r="C105" i="4"/>
  <c r="D104" i="4"/>
  <c r="C104" i="4"/>
  <c r="D103" i="4"/>
  <c r="C103" i="4"/>
  <c r="D102" i="4"/>
  <c r="C102" i="4"/>
  <c r="D101" i="4"/>
  <c r="C101" i="4"/>
  <c r="D100" i="4"/>
  <c r="C100" i="4"/>
  <c r="I93" i="4"/>
  <c r="H93" i="4"/>
  <c r="G93" i="4"/>
  <c r="F93" i="4"/>
  <c r="E93" i="4"/>
  <c r="D93" i="4"/>
  <c r="C93" i="4"/>
  <c r="I92" i="4"/>
  <c r="H92" i="4"/>
  <c r="G92" i="4"/>
  <c r="F92" i="4"/>
  <c r="E92" i="4"/>
  <c r="D92" i="4"/>
  <c r="C92" i="4"/>
  <c r="G88" i="4"/>
  <c r="F88" i="4"/>
  <c r="E88" i="4"/>
  <c r="D88" i="4"/>
  <c r="C88" i="4"/>
  <c r="G87" i="4"/>
  <c r="F87" i="4"/>
  <c r="E87" i="4"/>
  <c r="D87" i="4"/>
  <c r="C87" i="4"/>
  <c r="G83" i="4"/>
  <c r="F83" i="4"/>
  <c r="E83" i="4"/>
  <c r="D83" i="4"/>
  <c r="C83" i="4"/>
  <c r="G82" i="4"/>
  <c r="F82" i="4"/>
  <c r="E82" i="4"/>
  <c r="D82" i="4"/>
  <c r="C82" i="4"/>
  <c r="I74" i="4"/>
  <c r="H74" i="4"/>
  <c r="G74" i="4"/>
  <c r="F74" i="4"/>
  <c r="E74" i="4"/>
  <c r="D74" i="4"/>
  <c r="C74" i="4"/>
  <c r="I73" i="4"/>
  <c r="H73" i="4"/>
  <c r="G73" i="4"/>
  <c r="F73" i="4"/>
  <c r="E73" i="4"/>
  <c r="D73" i="4"/>
  <c r="C73" i="4"/>
  <c r="I72" i="4"/>
  <c r="H72" i="4"/>
  <c r="G72" i="4"/>
  <c r="F72" i="4"/>
  <c r="E72" i="4"/>
  <c r="D72" i="4"/>
  <c r="C72" i="4"/>
  <c r="I71" i="4"/>
  <c r="H71" i="4"/>
  <c r="G71" i="4"/>
  <c r="F71" i="4"/>
  <c r="E71" i="4"/>
  <c r="D71" i="4"/>
  <c r="C71" i="4"/>
  <c r="I70" i="4"/>
  <c r="H70" i="4"/>
  <c r="H75" i="4" s="1"/>
  <c r="G70" i="4"/>
  <c r="F70" i="4"/>
  <c r="E70" i="4"/>
  <c r="D70" i="4"/>
  <c r="C70" i="4"/>
  <c r="I68" i="4"/>
  <c r="H68" i="4"/>
  <c r="G68" i="4"/>
  <c r="F68" i="4"/>
  <c r="E68" i="4"/>
  <c r="D68" i="4"/>
  <c r="C68" i="4"/>
  <c r="I67" i="4"/>
  <c r="H67" i="4"/>
  <c r="G67" i="4"/>
  <c r="F67" i="4"/>
  <c r="E67" i="4"/>
  <c r="D67" i="4"/>
  <c r="C67" i="4"/>
  <c r="I66" i="4"/>
  <c r="I69" i="4" s="1"/>
  <c r="I75" i="4" s="1"/>
  <c r="H66" i="4"/>
  <c r="G66" i="4"/>
  <c r="G69" i="4" s="1"/>
  <c r="F66" i="4"/>
  <c r="E66" i="4"/>
  <c r="D66" i="4"/>
  <c r="C66" i="4"/>
  <c r="K66" i="4" s="1"/>
  <c r="I56" i="4"/>
  <c r="I57" i="4" s="1"/>
  <c r="H56" i="4"/>
  <c r="G56" i="4"/>
  <c r="F56" i="4"/>
  <c r="E56" i="4"/>
  <c r="D56" i="4"/>
  <c r="C56" i="4"/>
  <c r="D53" i="4"/>
  <c r="C53" i="4"/>
  <c r="D52" i="4"/>
  <c r="C52" i="4"/>
  <c r="K52" i="4" s="1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K44" i="4" s="1"/>
  <c r="C44" i="4"/>
  <c r="D43" i="4"/>
  <c r="C43" i="4"/>
  <c r="D42" i="4"/>
  <c r="C42" i="4"/>
  <c r="K42" i="4" s="1"/>
  <c r="D41" i="4"/>
  <c r="C41" i="4"/>
  <c r="D40" i="4"/>
  <c r="C40" i="4"/>
  <c r="K40" i="4" s="1"/>
  <c r="D39" i="4"/>
  <c r="C39" i="4"/>
  <c r="D38" i="4"/>
  <c r="C38" i="4"/>
  <c r="D37" i="4"/>
  <c r="C37" i="4"/>
  <c r="D36" i="4"/>
  <c r="J36" i="4" s="1"/>
  <c r="C36" i="4"/>
  <c r="D35" i="4"/>
  <c r="J35" i="4" s="1"/>
  <c r="C35" i="4"/>
  <c r="D34" i="4"/>
  <c r="C34" i="4"/>
  <c r="D33" i="4"/>
  <c r="C33" i="4"/>
  <c r="D32" i="4"/>
  <c r="C32" i="4"/>
  <c r="D31" i="4"/>
  <c r="J31" i="4" s="1"/>
  <c r="C31" i="4"/>
  <c r="D30" i="4"/>
  <c r="J30" i="4" s="1"/>
  <c r="C30" i="4"/>
  <c r="D29" i="4"/>
  <c r="C29" i="4"/>
  <c r="D28" i="4"/>
  <c r="C28" i="4"/>
  <c r="I24" i="4"/>
  <c r="H24" i="4"/>
  <c r="G24" i="4"/>
  <c r="F24" i="4"/>
  <c r="E24" i="4"/>
  <c r="D24" i="4"/>
  <c r="C24" i="4"/>
  <c r="I23" i="4"/>
  <c r="H23" i="4"/>
  <c r="G23" i="4"/>
  <c r="F23" i="4"/>
  <c r="E23" i="4"/>
  <c r="D23" i="4"/>
  <c r="K23" i="4" s="1"/>
  <c r="C23" i="4"/>
  <c r="I22" i="4"/>
  <c r="H22" i="4"/>
  <c r="G22" i="4"/>
  <c r="F22" i="4"/>
  <c r="E22" i="4"/>
  <c r="D22" i="4"/>
  <c r="C22" i="4"/>
  <c r="I21" i="4"/>
  <c r="H21" i="4"/>
  <c r="G21" i="4"/>
  <c r="F21" i="4"/>
  <c r="E21" i="4"/>
  <c r="D21" i="4"/>
  <c r="C21" i="4"/>
  <c r="K21" i="4" s="1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6" i="4"/>
  <c r="H6" i="4"/>
  <c r="H7" i="4" s="1"/>
  <c r="G6" i="4"/>
  <c r="G7" i="4" s="1"/>
  <c r="F6" i="4"/>
  <c r="F55" i="4" s="1"/>
  <c r="E6" i="4"/>
  <c r="D6" i="4"/>
  <c r="C6" i="4"/>
  <c r="K20" i="4"/>
  <c r="K104" i="4"/>
  <c r="H55" i="4"/>
  <c r="H57" i="4"/>
  <c r="K45" i="4"/>
  <c r="I7" i="4"/>
  <c r="I55" i="4"/>
  <c r="K105" i="4"/>
  <c r="K8" i="4"/>
  <c r="K46" i="4"/>
  <c r="K9" i="4"/>
  <c r="K116" i="4"/>
  <c r="K74" i="4"/>
  <c r="K11" i="4"/>
  <c r="K33" i="4"/>
  <c r="J73" i="4"/>
  <c r="J67" i="4"/>
  <c r="J74" i="4"/>
  <c r="J68" i="4"/>
  <c r="J72" i="4"/>
  <c r="J66" i="4"/>
  <c r="J70" i="4"/>
  <c r="J71" i="4"/>
  <c r="D69" i="4"/>
  <c r="C94" i="4"/>
  <c r="K92" i="4"/>
  <c r="K14" i="4"/>
  <c r="J93" i="4"/>
  <c r="J92" i="4"/>
  <c r="D94" i="4"/>
  <c r="K94" i="4" s="1"/>
  <c r="J94" i="4"/>
  <c r="K50" i="4"/>
  <c r="K110" i="4"/>
  <c r="K51" i="4"/>
  <c r="K72" i="4"/>
  <c r="J113" i="4"/>
  <c r="J111" i="4"/>
  <c r="J115" i="4"/>
  <c r="J116" i="4"/>
  <c r="J114" i="4"/>
  <c r="F7" i="4"/>
  <c r="K103" i="4"/>
  <c r="K115" i="4"/>
  <c r="K18" i="4"/>
  <c r="K39" i="4"/>
  <c r="J42" i="4"/>
  <c r="J45" i="4"/>
  <c r="J41" i="4"/>
  <c r="J51" i="4"/>
  <c r="J49" i="4"/>
  <c r="J9" i="4"/>
  <c r="J16" i="4"/>
  <c r="J13" i="4"/>
  <c r="J15" i="4"/>
  <c r="J11" i="4"/>
  <c r="J53" i="4"/>
  <c r="J29" i="4"/>
  <c r="D55" i="4"/>
  <c r="J55" i="4" s="1"/>
  <c r="D57" i="4"/>
  <c r="J57" i="4" s="1"/>
  <c r="D76" i="4"/>
  <c r="J46" i="4"/>
  <c r="J37" i="4"/>
  <c r="J12" i="4"/>
  <c r="J47" i="4"/>
  <c r="E55" i="4"/>
  <c r="E57" i="4"/>
  <c r="E7" i="4"/>
  <c r="K16" i="4"/>
  <c r="K28" i="4"/>
  <c r="K13" i="4"/>
  <c r="D131" i="4"/>
  <c r="K32" i="4"/>
  <c r="E94" i="4"/>
  <c r="K35" i="4"/>
  <c r="F69" i="4"/>
  <c r="J101" i="4"/>
  <c r="J107" i="4"/>
  <c r="J102" i="4"/>
  <c r="J106" i="4"/>
  <c r="J105" i="4"/>
  <c r="J104" i="4"/>
  <c r="J100" i="4"/>
  <c r="J103" i="4"/>
  <c r="J110" i="4"/>
  <c r="K68" i="4"/>
  <c r="K15" i="4"/>
  <c r="K47" i="4"/>
  <c r="K10" i="4"/>
  <c r="K22" i="4"/>
  <c r="K71" i="4"/>
  <c r="G94" i="4"/>
  <c r="K101" i="4"/>
  <c r="K107" i="4"/>
  <c r="K113" i="4"/>
  <c r="K17" i="4"/>
  <c r="K30" i="4"/>
  <c r="K48" i="4"/>
  <c r="K56" i="4"/>
  <c r="H69" i="4"/>
  <c r="H94" i="4"/>
  <c r="E69" i="4"/>
  <c r="K106" i="4"/>
  <c r="K41" i="4"/>
  <c r="K114" i="4"/>
  <c r="K100" i="4"/>
  <c r="K112" i="4"/>
  <c r="K29" i="4"/>
  <c r="K53" i="4"/>
  <c r="F94" i="4"/>
  <c r="K12" i="4"/>
  <c r="K24" i="4"/>
  <c r="K73" i="4"/>
  <c r="I94" i="4"/>
  <c r="K102" i="4"/>
  <c r="K6" i="4"/>
  <c r="C76" i="4"/>
  <c r="C55" i="4"/>
  <c r="C57" i="4" s="1"/>
  <c r="K19" i="4"/>
  <c r="K49" i="4"/>
  <c r="K67" i="4"/>
  <c r="K93" i="4"/>
  <c r="J69" i="4"/>
  <c r="B1" i="4"/>
  <c r="B95" i="4"/>
  <c r="B59" i="4"/>
  <c r="D75" i="4" l="1"/>
  <c r="J75" i="4" s="1"/>
  <c r="E75" i="4"/>
  <c r="E25" i="4"/>
  <c r="F25" i="4"/>
  <c r="G75" i="4"/>
  <c r="F75" i="4"/>
  <c r="K70" i="4"/>
  <c r="C69" i="4"/>
  <c r="F57" i="4"/>
  <c r="K43" i="4"/>
  <c r="K38" i="4"/>
  <c r="C27" i="4"/>
  <c r="C26" i="4" s="1"/>
  <c r="K37" i="4"/>
  <c r="D27" i="4"/>
  <c r="D26" i="4" s="1"/>
  <c r="J26" i="4" s="1"/>
  <c r="K36" i="4"/>
  <c r="K34" i="4"/>
  <c r="K31" i="4"/>
  <c r="J23" i="4"/>
  <c r="I25" i="4"/>
  <c r="H25" i="4"/>
  <c r="G25" i="4"/>
  <c r="G55" i="4"/>
  <c r="G57" i="4" s="1"/>
  <c r="J40" i="4"/>
  <c r="J34" i="4"/>
  <c r="J33" i="4"/>
  <c r="J24" i="4"/>
  <c r="J17" i="4"/>
  <c r="D77" i="4"/>
  <c r="D7" i="4"/>
  <c r="J43" i="4"/>
  <c r="J56" i="4"/>
  <c r="J39" i="4"/>
  <c r="J19" i="4"/>
  <c r="J18" i="4"/>
  <c r="J28" i="4"/>
  <c r="J38" i="4"/>
  <c r="J8" i="4"/>
  <c r="J32" i="4"/>
  <c r="J14" i="4"/>
  <c r="J50" i="4"/>
  <c r="J6" i="4"/>
  <c r="J20" i="4"/>
  <c r="J48" i="4"/>
  <c r="J10" i="4"/>
  <c r="J44" i="4"/>
  <c r="J52" i="4"/>
  <c r="J22" i="4"/>
  <c r="J21" i="4"/>
  <c r="K57" i="4"/>
  <c r="C77" i="4"/>
  <c r="K55" i="4"/>
  <c r="K69" i="4" l="1"/>
  <c r="C75" i="4"/>
  <c r="K75" i="4" s="1"/>
  <c r="J27" i="4"/>
  <c r="K26" i="4"/>
  <c r="C7" i="4"/>
  <c r="C25" i="4" s="1"/>
  <c r="K27" i="4"/>
  <c r="L23" i="4"/>
  <c r="L22" i="4"/>
  <c r="L20" i="4"/>
  <c r="L11" i="4"/>
  <c r="L24" i="4"/>
  <c r="L15" i="4"/>
  <c r="L9" i="4"/>
  <c r="L14" i="4"/>
  <c r="L8" i="4"/>
  <c r="L17" i="4"/>
  <c r="L21" i="4"/>
  <c r="L12" i="4"/>
  <c r="L19" i="4"/>
  <c r="L13" i="4"/>
  <c r="L7" i="4"/>
  <c r="L16" i="4"/>
  <c r="J7" i="4"/>
  <c r="L18" i="4"/>
  <c r="D25" i="4"/>
  <c r="J25" i="4" s="1"/>
  <c r="L10" i="4"/>
  <c r="L25" i="4" l="1"/>
  <c r="K7" i="4"/>
  <c r="K25" i="4"/>
</calcChain>
</file>

<file path=xl/sharedStrings.xml><?xml version="1.0" encoding="utf-8"?>
<sst xmlns="http://schemas.openxmlformats.org/spreadsheetml/2006/main" count="384" uniqueCount="125">
  <si>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</si>
  <si>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</si>
  <si>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</si>
  <si>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</si>
  <si>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</si>
  <si>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</si>
  <si>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</si>
  <si>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 xml:space="preserve">na zadania własne </t>
  </si>
  <si>
    <t>otrzymane z funduszy celowych</t>
  </si>
  <si>
    <t>na zadania z zakresu adm. rządowej</t>
  </si>
  <si>
    <t xml:space="preserve">na zadania realizowane na podstawie porozumień  z org. adm. rządowej </t>
  </si>
  <si>
    <t>na zadania realizowane na podstawie porozumień między jst</t>
  </si>
  <si>
    <t>Zobowiązania wg stanu na koniec 
okresu sprawozdawczego</t>
  </si>
  <si>
    <t>w tym:   wydatki na inwestycje</t>
  </si>
  <si>
    <t xml:space="preserve">wydatki majątkowe      </t>
  </si>
  <si>
    <t xml:space="preserve">WYNIK  </t>
  </si>
  <si>
    <t>Wyszczególnienie</t>
  </si>
  <si>
    <t>Plan (po zmianach)</t>
  </si>
  <si>
    <t>Wskaźnik 
(3:2)</t>
  </si>
  <si>
    <t>podatek od środków transportowych</t>
  </si>
  <si>
    <t>dochody z majątku</t>
  </si>
  <si>
    <t xml:space="preserve">pozostałe dochody </t>
  </si>
  <si>
    <t>Struktura</t>
  </si>
  <si>
    <t>Wskaźnik</t>
  </si>
  <si>
    <t>podatek od czynności cywilnoprawnych</t>
  </si>
  <si>
    <t>wpływy z opłaty eksploatacyjnej</t>
  </si>
  <si>
    <t>wpływy z opłaty targowej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</si>
  <si>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</si>
  <si>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</si>
  <si>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</si>
  <si>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</si>
  <si>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</si>
  <si>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</si>
  <si>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</si>
  <si>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</si>
  <si>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część rekompensująca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</si>
  <si>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</si>
  <si>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</si>
  <si>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</si>
  <si>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</si>
  <si>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</si>
  <si>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</si>
  <si>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</si>
  <si>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</si>
  <si>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</si>
  <si>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#</t>
  </si>
  <si>
    <t>Razem dochody własne 
z tego:</t>
  </si>
  <si>
    <t>Dotacje celowe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</si>
  <si>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</si>
  <si>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</si>
  <si>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</si>
  <si>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</si>
  <si>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</si>
  <si>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</si>
  <si>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</si>
  <si>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wydatki z tytułu udzielania poręczeń i gwarancji</t>
  </si>
  <si>
    <t>świadczenia na rzecz osób fizycznych</t>
  </si>
  <si>
    <t>majątkowe</t>
  </si>
  <si>
    <t>bieżące</t>
  </si>
  <si>
    <t>wydatki majątkowe</t>
  </si>
  <si>
    <t>wydatki bieżące</t>
  </si>
  <si>
    <t>w złotych</t>
  </si>
  <si>
    <t>z tytułu pomocy finansowej udzielanej między jst na dofinansowanie własnych zadań</t>
  </si>
  <si>
    <t>sprzedaż papierów wartościowych wyemitowanych przez jednostkę samorządu terytorialnego</t>
  </si>
  <si>
    <t>kredyty i pożyczki</t>
  </si>
  <si>
    <t>prywatyzacja majątku jednostki samorządu terytorialnego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</si>
  <si>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</si>
  <si>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</si>
  <si>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ze sprzedaży papierów wartościowych</t>
  </si>
  <si>
    <t>spłata  udzielonych pożyczek</t>
  </si>
  <si>
    <t>prywatyzacja majątku JST</t>
  </si>
  <si>
    <t>wykup papierów wartościowych</t>
  </si>
  <si>
    <t>udzielone pożyczki</t>
  </si>
  <si>
    <t>Dotacje §§ 200 i 620</t>
  </si>
  <si>
    <t>w tym: inwestycyjne § 620</t>
  </si>
  <si>
    <t>Dotacje §§ 205 i 625</t>
  </si>
  <si>
    <t>w tym: inwestycyjne § 625</t>
  </si>
  <si>
    <t>otrzymane ze środków z Funduszu Przeciwdziałania COVID-19 (m.in. z Rządowego Funduszu Inwestycji Lokalnych)</t>
  </si>
  <si>
    <t>wolne środki, o których mowa w art. 217 ust. 2 pkt 6 ustawy o finansach publicznych</t>
  </si>
  <si>
    <t>na finansowanie lub dofinansowanie zadań inwestycyjnych obiektów zabytkowych oraz prac remontowych i konserwatorskich przy zabytkach</t>
  </si>
  <si>
    <t>w tym: inwestycyjne</t>
  </si>
  <si>
    <t>spłaty udzielonych pożyczek w latach ubiegłych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</si>
  <si>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</si>
  <si>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</si>
  <si>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nadwyżka z lat ubiegłych, pomniejszona o niewykorzystane środki pieniężne, o których mowa w art. 217 ust. 2 pkt 8 ustawy o finansach publicznych</t>
  </si>
  <si>
    <t>Dotacje ogółem 
z tego:</t>
  </si>
  <si>
    <t>spłaty kredytów i pożyczek, wykup papierów wartościowych 
w tym: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</si>
  <si>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</si>
  <si>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Wydatki ogółem UE 
z tego:</t>
  </si>
  <si>
    <t>kredyty, pożyczki, emisja papierów wartościowych
w tym:</t>
  </si>
  <si>
    <t>otrzymane z Funduszu Pomocy lub z innych środków (*)</t>
  </si>
  <si>
    <t>(*) na finansowanie lub dofinansowanie realizacji zadań w zakresie pomocy obywatelom Ukrainy</t>
  </si>
  <si>
    <t>WYDATKI Z UDZIAŁEM ŚRODKÓW, O KTÓRYCH MOWA W ART. 5 UST. 1 pkt 2</t>
  </si>
  <si>
    <t>tytuł</t>
  </si>
  <si>
    <t>inne źródła, w tym:</t>
  </si>
  <si>
    <t>środki z lokat dokonanych w latach ubiegłych</t>
  </si>
  <si>
    <t>lokaty na okres wykraczający poza rok budżetowy</t>
  </si>
  <si>
    <t>FINANSOWANIE DEFICYTU (E1+E2+E3+E4+E5+E6+E7+E8)  
z tego:</t>
  </si>
  <si>
    <t>inne cele, w tym:</t>
  </si>
  <si>
    <t>niewykorzystane środki pieniężne o których mowa w art. 217 ust. 2 pkt 8 ustawy o finansach publicznych</t>
  </si>
  <si>
    <t>stan niespłaconych na koniec okresu sprawozdawczego zobowiązań przeznaczonych na cel , o którym mowa w art.. 89 ust. 1 pkt 1 ustawy o finansach publicznych</t>
  </si>
  <si>
    <t>podatek dochodowy od osób fizycznych</t>
  </si>
  <si>
    <t>podatek dochodowy od osób prawnych</t>
  </si>
  <si>
    <t>Subwencja ogólna, w tym:</t>
  </si>
  <si>
    <t>środki na uzupełnienie dochodów jednostek samorządu terytorialnego</t>
  </si>
  <si>
    <t>dodatni (nadwyżka)</t>
  </si>
  <si>
    <t>ujemny (deficyt)</t>
  </si>
  <si>
    <t>liczba JST</t>
  </si>
  <si>
    <t>kwota</t>
  </si>
  <si>
    <t>podatek od nieruchomości</t>
  </si>
  <si>
    <t>podatek rolny</t>
  </si>
  <si>
    <t>podatek leśny       </t>
  </si>
  <si>
    <t>podatek od dział. gosp. osób fizycznych, opłacany w formie karty podatkowej</t>
  </si>
  <si>
    <t>wpływy z opłaty skarbowej       </t>
  </si>
  <si>
    <t>podatek od spadków i darowizn       </t>
  </si>
  <si>
    <t>opłata miejscowa</t>
  </si>
  <si>
    <t>opłata uzdrowiskowa</t>
  </si>
  <si>
    <t>opłata od posiadania psów</t>
  </si>
  <si>
    <t>opłata reklamowa</t>
  </si>
  <si>
    <t>Planowany</t>
  </si>
  <si>
    <t>Wynik budżetu</t>
  </si>
  <si>
    <t>Wykonany</t>
  </si>
  <si>
    <t>Wynik operacyjny (Db-Wb)</t>
  </si>
  <si>
    <t>Dochody bieżące 
minus  wydatki bieżące (Db-Wb)</t>
  </si>
  <si>
    <t>zrównoważony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</si>
</sst>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z_ł_-;\-* #,##0.00\ _z_ł_-;_-* &quot;-&quot;??\ _z_ł_-;_-@_-"/>
    <numFmt numFmtId="165" formatCode="#,##0.0"/>
    <numFmt numFmtId="166" formatCode="dd/mm/yy\ h:mm;@"/>
    <numFmt numFmtId="167" formatCode="#,##0.00_ ;[Red]\-#,##0.00\ "/>
  </numFmts>
  <fonts count="19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  <font>
      <sz val="8"/>
      <name val="Arial CE"/>
      <charset val="238"/>
    </font>
    <font>
      <b/>
      <sz val="8"/>
      <name val="Arial CE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7" fillId="0" borderId="0"/>
    <xf numFmtId="0" fontId="17" fillId="0" borderId="0"/>
  </cellStyleXfs>
  <cellXfs count="140">
    <xf numFmtId="0" fontId="0" fillId="0" borderId="0" xfId="0"/>
    <xf numFmtId="0" fontId="2" fillId="0" borderId="0" xfId="0" applyFont="1"/>
    <xf numFmtId="0" fontId="6" fillId="0" borderId="0" xfId="0" applyFont="1" applyFill="1" applyAlignment="1">
      <alignment horizontal="left" vertical="center"/>
    </xf>
    <xf numFmtId="165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5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 indent="1"/>
    </xf>
    <xf numFmtId="0" fontId="6" fillId="0" borderId="0" xfId="0" applyFont="1" applyFill="1" applyBorder="1" applyAlignment="1">
      <alignment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/>
    </xf>
    <xf numFmtId="4" fontId="12" fillId="3" borderId="1" xfId="0" applyNumberFormat="1" applyFont="1" applyFill="1" applyBorder="1" applyAlignment="1">
      <alignment horizontal="right" vertical="center" wrapText="1"/>
    </xf>
    <xf numFmtId="4" fontId="6" fillId="3" borderId="1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165" fontId="6" fillId="0" borderId="0" xfId="0" applyNumberFormat="1" applyFont="1" applyAlignment="1">
      <alignment horizontal="right" vertical="center"/>
    </xf>
    <xf numFmtId="165" fontId="6" fillId="0" borderId="0" xfId="0" applyNumberFormat="1" applyFont="1" applyFill="1" applyAlignment="1">
      <alignment horizontal="right" vertic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/>
    <xf numFmtId="165" fontId="12" fillId="3" borderId="1" xfId="0" applyNumberFormat="1" applyFont="1" applyFill="1" applyBorder="1" applyAlignment="1">
      <alignment horizontal="right" vertical="center"/>
    </xf>
    <xf numFmtId="165" fontId="4" fillId="0" borderId="1" xfId="0" applyNumberFormat="1" applyFont="1" applyFill="1" applyBorder="1" applyAlignment="1">
      <alignment horizontal="right" vertical="center"/>
    </xf>
    <xf numFmtId="165" fontId="11" fillId="3" borderId="1" xfId="0" applyNumberFormat="1" applyFont="1" applyFill="1" applyBorder="1" applyAlignment="1">
      <alignment horizontal="right" vertical="center"/>
    </xf>
    <xf numFmtId="165" fontId="11" fillId="3" borderId="1" xfId="1" applyNumberFormat="1" applyFont="1" applyFill="1" applyBorder="1" applyAlignment="1">
      <alignment horizontal="right" vertical="center"/>
    </xf>
    <xf numFmtId="165" fontId="5" fillId="0" borderId="1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center"/>
    </xf>
    <xf numFmtId="4" fontId="11" fillId="3" borderId="3" xfId="0" applyNumberFormat="1" applyFont="1" applyFill="1" applyBorder="1" applyAlignment="1">
      <alignment horizontal="right" vertical="center"/>
    </xf>
    <xf numFmtId="4" fontId="6" fillId="0" borderId="3" xfId="0" applyNumberFormat="1" applyFont="1" applyBorder="1" applyAlignment="1">
      <alignment horizontal="right" vertical="center"/>
    </xf>
    <xf numFmtId="4" fontId="12" fillId="4" borderId="1" xfId="0" applyNumberFormat="1" applyFont="1" applyFill="1" applyBorder="1" applyAlignment="1">
      <alignment horizontal="right" vertical="center"/>
    </xf>
    <xf numFmtId="165" fontId="12" fillId="4" borderId="1" xfId="0" applyNumberFormat="1" applyFont="1" applyFill="1" applyBorder="1" applyAlignment="1">
      <alignment horizontal="right" vertical="center"/>
    </xf>
    <xf numFmtId="4" fontId="6" fillId="3" borderId="3" xfId="0" applyNumberFormat="1" applyFont="1" applyFill="1" applyBorder="1" applyAlignment="1">
      <alignment horizontal="right" vertical="center"/>
    </xf>
    <xf numFmtId="4" fontId="6" fillId="5" borderId="3" xfId="0" applyNumberFormat="1" applyFont="1" applyFill="1" applyBorder="1" applyAlignment="1">
      <alignment horizontal="right" vertical="center"/>
    </xf>
    <xf numFmtId="4" fontId="11" fillId="4" borderId="3" xfId="0" applyNumberFormat="1" applyFont="1" applyFill="1" applyBorder="1" applyAlignment="1">
      <alignment horizontal="right" vertical="center"/>
    </xf>
    <xf numFmtId="165" fontId="11" fillId="5" borderId="1" xfId="1" applyNumberFormat="1" applyFont="1" applyFill="1" applyBorder="1" applyAlignment="1">
      <alignment horizontal="right" vertical="center"/>
    </xf>
    <xf numFmtId="165" fontId="11" fillId="5" borderId="1" xfId="0" applyNumberFormat="1" applyFont="1" applyFill="1" applyBorder="1" applyAlignment="1">
      <alignment horizontal="right" vertical="center"/>
    </xf>
    <xf numFmtId="165" fontId="11" fillId="4" borderId="1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wrapText="1" indent="2"/>
    </xf>
    <xf numFmtId="165" fontId="4" fillId="4" borderId="1" xfId="0" applyNumberFormat="1" applyFont="1" applyFill="1" applyBorder="1" applyAlignment="1">
      <alignment horizontal="right" vertical="center"/>
    </xf>
    <xf numFmtId="165" fontId="5" fillId="4" borderId="1" xfId="0" applyNumberFormat="1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165" fontId="11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horizontal="right" vertical="center" wrapText="1"/>
    </xf>
    <xf numFmtId="165" fontId="6" fillId="4" borderId="1" xfId="0" applyNumberFormat="1" applyFont="1" applyFill="1" applyBorder="1" applyAlignment="1">
      <alignment horizontal="right" vertical="center"/>
    </xf>
    <xf numFmtId="4" fontId="6" fillId="0" borderId="3" xfId="0" applyNumberFormat="1" applyFont="1" applyFill="1" applyBorder="1" applyAlignment="1">
      <alignment horizontal="right" vertical="center"/>
    </xf>
    <xf numFmtId="165" fontId="11" fillId="0" borderId="1" xfId="1" applyNumberFormat="1" applyFont="1" applyFill="1" applyBorder="1" applyAlignment="1">
      <alignment horizontal="right" vertical="center"/>
    </xf>
    <xf numFmtId="0" fontId="6" fillId="0" borderId="1" xfId="0" applyFont="1" applyBorder="1"/>
    <xf numFmtId="4" fontId="4" fillId="0" borderId="1" xfId="0" applyNumberFormat="1" applyFont="1" applyBorder="1" applyAlignment="1">
      <alignment vertical="center"/>
    </xf>
    <xf numFmtId="0" fontId="6" fillId="2" borderId="3" xfId="0" applyFont="1" applyFill="1" applyBorder="1" applyAlignment="1">
      <alignment horizontal="center" vertical="center"/>
    </xf>
    <xf numFmtId="4" fontId="11" fillId="4" borderId="1" xfId="0" applyNumberFormat="1" applyFont="1" applyFill="1" applyBorder="1" applyAlignment="1">
      <alignment horizontal="right" vertical="center"/>
    </xf>
    <xf numFmtId="4" fontId="11" fillId="4" borderId="1" xfId="0" applyNumberFormat="1" applyFont="1" applyFill="1" applyBorder="1" applyAlignment="1">
      <alignment vertical="center"/>
    </xf>
    <xf numFmtId="4" fontId="12" fillId="3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/>
    </xf>
    <xf numFmtId="4" fontId="4" fillId="0" borderId="3" xfId="0" applyNumberFormat="1" applyFont="1" applyFill="1" applyBorder="1" applyAlignment="1">
      <alignment vertical="center" wrapText="1"/>
    </xf>
    <xf numFmtId="4" fontId="6" fillId="5" borderId="1" xfId="0" applyNumberFormat="1" applyFont="1" applyFill="1" applyBorder="1" applyAlignment="1">
      <alignment horizontal="right" vertical="center"/>
    </xf>
    <xf numFmtId="4" fontId="4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 applyAlignment="1">
      <alignment horizontal="right" vertical="center"/>
    </xf>
    <xf numFmtId="165" fontId="5" fillId="4" borderId="3" xfId="0" applyNumberFormat="1" applyFont="1" applyFill="1" applyBorder="1" applyAlignment="1">
      <alignment horizontal="center" vertical="center"/>
    </xf>
    <xf numFmtId="165" fontId="5" fillId="0" borderId="3" xfId="0" applyNumberFormat="1" applyFont="1" applyFill="1" applyBorder="1" applyAlignment="1">
      <alignment horizontal="center" vertical="center"/>
    </xf>
    <xf numFmtId="165" fontId="5" fillId="0" borderId="2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right" vertical="center" wrapText="1"/>
    </xf>
    <xf numFmtId="4" fontId="1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 indent="3"/>
    </xf>
    <xf numFmtId="0" fontId="7" fillId="4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 indent="1"/>
    </xf>
    <xf numFmtId="0" fontId="7" fillId="0" borderId="1" xfId="0" applyFont="1" applyFill="1" applyBorder="1" applyAlignment="1">
      <alignment horizontal="right" vertical="center" wrapText="1" inden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0" fontId="10" fillId="3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vertical="center"/>
    </xf>
    <xf numFmtId="0" fontId="2" fillId="0" borderId="4" xfId="0" applyFont="1" applyBorder="1"/>
    <xf numFmtId="0" fontId="7" fillId="4" borderId="1" xfId="0" applyFont="1" applyFill="1" applyBorder="1" applyAlignment="1">
      <alignment horizontal="left" vertical="center" wrapText="1" indent="2"/>
    </xf>
    <xf numFmtId="0" fontId="4" fillId="0" borderId="1" xfId="0" applyFont="1" applyFill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4"/>
    </xf>
    <xf numFmtId="0" fontId="4" fillId="5" borderId="1" xfId="0" applyFont="1" applyFill="1" applyBorder="1" applyAlignment="1">
      <alignment horizontal="left" vertical="center" wrapText="1" indent="3"/>
    </xf>
    <xf numFmtId="0" fontId="18" fillId="0" borderId="1" xfId="4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left" vertical="center" wrapText="1" indent="1"/>
    </xf>
    <xf numFmtId="0" fontId="6" fillId="0" borderId="1" xfId="0" applyFont="1" applyFill="1" applyBorder="1" applyAlignment="1">
      <alignment horizontal="left" vertical="center" wrapText="1" indent="2"/>
    </xf>
    <xf numFmtId="0" fontId="6" fillId="0" borderId="1" xfId="0" applyFont="1" applyFill="1" applyBorder="1" applyAlignment="1">
      <alignment horizontal="left" vertical="center" wrapText="1" indent="1"/>
    </xf>
    <xf numFmtId="0" fontId="18" fillId="4" borderId="1" xfId="3" applyFont="1" applyFill="1" applyBorder="1" applyAlignment="1">
      <alignment horizontal="left" vertical="center" wrapText="1"/>
    </xf>
    <xf numFmtId="0" fontId="18" fillId="0" borderId="1" xfId="3" applyFont="1" applyBorder="1" applyAlignment="1">
      <alignment horizontal="left" vertical="center" wrapText="1" indent="1"/>
    </xf>
    <xf numFmtId="0" fontId="7" fillId="0" borderId="5" xfId="0" applyFont="1" applyFill="1" applyBorder="1" applyAlignment="1">
      <alignment vertical="center"/>
    </xf>
    <xf numFmtId="0" fontId="7" fillId="0" borderId="6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3" fontId="15" fillId="0" borderId="1" xfId="0" applyNumberFormat="1" applyFont="1" applyBorder="1" applyAlignment="1">
      <alignment vertical="center" wrapText="1"/>
    </xf>
    <xf numFmtId="0" fontId="6" fillId="0" borderId="0" xfId="0" applyFont="1"/>
    <xf numFmtId="0" fontId="15" fillId="0" borderId="1" xfId="0" applyFont="1" applyBorder="1" applyAlignment="1">
      <alignment horizontal="right" vertical="center" wrapText="1"/>
    </xf>
    <xf numFmtId="167" fontId="15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66" fontId="2" fillId="0" borderId="3" xfId="0" applyNumberFormat="1" applyFont="1" applyBorder="1" applyAlignment="1">
      <alignment horizontal="center"/>
    </xf>
    <xf numFmtId="166" fontId="2" fillId="0" borderId="8" xfId="0" applyNumberFormat="1" applyFont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5">
    <cellStyle name="Dziesiętny" xfId="1" builtinId="3"/>
    <cellStyle name="Dziesiętny 3" xfId="2" xr:uid="{00000000-0005-0000-0000-000001000000}"/>
    <cellStyle name="Normalny" xfId="0" builtinId="0"/>
    <cellStyle name="Normalny 2" xfId="3" xr:uid="{00000000-0005-0000-0000-000003000000}"/>
    <cellStyle name="Normalny 2 2" xfId="4" xr:uid="{00000000-0005-0000-0000-000004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outlinePr summaryBelow="0"/>
  </sheetPr>
  <dimension ref="A1:Z134"/>
  <sheetViews>
    <sheetView tabSelected="1" topLeftCell="B1" zoomScaleNormal="100" workbookViewId="0">
      <selection activeCell="B1" sqref="B1"/>
    </sheetView>
  </sheetViews>
  <sheetFormatPr defaultRowHeight="12.75" outlineLevelRow="1" outlineLevelCol="1" x14ac:dyDescent="0.2"/>
  <cols>
    <col min="1" max="1" width="3.7109375" style="1" hidden="1" customWidth="1"/>
    <col min="2" max="2" width="30.7109375" style="1" customWidth="1"/>
    <col min="3" max="3" width="14.5703125" style="1" customWidth="1"/>
    <col min="4" max="4" width="15" style="1" customWidth="1"/>
    <col min="5" max="5" width="14.5703125" style="1" customWidth="1" outlineLevel="1"/>
    <col min="6" max="6" width="15" style="1" customWidth="1" outlineLevel="1"/>
    <col min="7" max="7" width="13" style="1" customWidth="1" outlineLevel="1"/>
    <col min="8" max="8" width="11.85546875" style="1" customWidth="1" outlineLevel="1"/>
    <col min="9" max="9" width="13" style="1" customWidth="1" outlineLevel="1"/>
    <col min="10" max="10" width="7.7109375" style="1" bestFit="1" customWidth="1"/>
    <col min="11" max="11" width="7.5703125" style="1" bestFit="1" customWidth="1"/>
    <col min="12" max="13" width="8.140625" style="1" customWidth="1"/>
    <col min="14" max="16384" width="9.140625" style="1"/>
  </cols>
  <sheetData>
    <row r="1" spans="2:13" ht="15" x14ac:dyDescent="0.2">
      <c r="B1" s="90" t="str">
        <f>CONCATENATE("Informacja z wykonania budżetów gmin za ",$D$131," ",$C$132," rok     ",$C$134,"")</f>
        <v xml:space="preserve">Informacja z wykonania budżetów gmin za IV Kwartały 2025 rok     </v>
      </c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</row>
    <row r="2" spans="2:13" ht="0.75" customHeight="1" x14ac:dyDescent="0.2"/>
    <row r="3" spans="2:13" ht="69" customHeight="1" x14ac:dyDescent="0.2">
      <c r="B3" s="114" t="s">
        <v>0</v>
      </c>
      <c r="C3" s="15" t="s">
        <v>28</v>
      </c>
      <c r="D3" s="15" t="s">
        <v>29</v>
      </c>
      <c r="E3" s="15" t="s">
        <v>30</v>
      </c>
      <c r="F3" s="15" t="s">
        <v>31</v>
      </c>
      <c r="G3" s="15" t="s">
        <v>32</v>
      </c>
      <c r="H3" s="15" t="s">
        <v>33</v>
      </c>
      <c r="I3" s="15" t="s">
        <v>34</v>
      </c>
      <c r="J3" s="17" t="s">
        <v>2</v>
      </c>
      <c r="K3" s="15" t="s">
        <v>18</v>
      </c>
      <c r="L3" s="15" t="s">
        <v>3</v>
      </c>
    </row>
    <row r="4" spans="2:13" x14ac:dyDescent="0.2">
      <c r="B4" s="114"/>
      <c r="C4" s="121" t="s">
        <v>61</v>
      </c>
      <c r="D4" s="122"/>
      <c r="E4" s="122"/>
      <c r="F4" s="122"/>
      <c r="G4" s="122"/>
      <c r="H4" s="122"/>
      <c r="I4" s="123"/>
      <c r="J4" s="117" t="s">
        <v>4</v>
      </c>
      <c r="K4" s="117"/>
      <c r="L4" s="117"/>
    </row>
    <row r="5" spans="2:13" x14ac:dyDescent="0.2">
      <c r="B5" s="17">
        <v>1</v>
      </c>
      <c r="C5" s="19">
        <v>2</v>
      </c>
      <c r="D5" s="19">
        <v>3</v>
      </c>
      <c r="E5" s="19">
        <v>4</v>
      </c>
      <c r="F5" s="19">
        <v>5</v>
      </c>
      <c r="G5" s="19">
        <v>6</v>
      </c>
      <c r="H5" s="19">
        <v>7</v>
      </c>
      <c r="I5" s="19">
        <v>8</v>
      </c>
      <c r="J5" s="19">
        <v>9</v>
      </c>
      <c r="K5" s="19">
        <v>10</v>
      </c>
      <c r="L5" s="19">
        <v>11</v>
      </c>
    </row>
    <row r="6" spans="2:13" x14ac:dyDescent="0.2">
      <c r="B6" s="83" t="s">
        <v>5</v>
      </c>
      <c r="C6" s="45">
        <f>224722716783.26</f>
        <v>224722716783.26001</v>
      </c>
      <c r="D6" s="45">
        <f>219943781818.4</f>
        <v>219943781818.39999</v>
      </c>
      <c r="E6" s="45">
        <f>5424847644.49</f>
        <v>5424847644.4899998</v>
      </c>
      <c r="F6" s="45">
        <f>716666837.4</f>
        <v>716666837.39999998</v>
      </c>
      <c r="G6" s="45">
        <f>93304228.71</f>
        <v>93304228.709999993</v>
      </c>
      <c r="H6" s="45">
        <f>99368250.01</f>
        <v>99368250.010000005</v>
      </c>
      <c r="I6" s="45">
        <f>6544285.84</f>
        <v>6544285.8399999999</v>
      </c>
      <c r="J6" s="46">
        <f t="shared" ref="J6:J57" si="0">IF($D$6=0,"",100*$D6/$D$6)</f>
        <v>100</v>
      </c>
      <c r="K6" s="46">
        <f t="shared" ref="K6:K53" si="1">IF(C6=0,"",100*D6/C6)</f>
        <v>97.87340815683126</v>
      </c>
      <c r="L6" s="46"/>
    </row>
    <row r="7" spans="2:13" ht="25.5" customHeight="1" x14ac:dyDescent="0.2">
      <c r="B7" s="84" t="s">
        <v>46</v>
      </c>
      <c r="C7" s="25">
        <f>C6-C26-C50</f>
        <v>142692710547.68002</v>
      </c>
      <c r="D7" s="25">
        <f>D6-D26-D50</f>
        <v>142583742160.79001</v>
      </c>
      <c r="E7" s="25">
        <f>E6</f>
        <v>5424847644.4899998</v>
      </c>
      <c r="F7" s="25">
        <f>F6</f>
        <v>716666837.39999998</v>
      </c>
      <c r="G7" s="25">
        <f>G6</f>
        <v>93304228.709999993</v>
      </c>
      <c r="H7" s="25">
        <f>H6</f>
        <v>99368250.010000005</v>
      </c>
      <c r="I7" s="25">
        <f>I6</f>
        <v>6544285.8399999999</v>
      </c>
      <c r="J7" s="34">
        <f t="shared" si="0"/>
        <v>64.827357692028997</v>
      </c>
      <c r="K7" s="34">
        <f t="shared" si="1"/>
        <v>99.923634230177711</v>
      </c>
      <c r="L7" s="34">
        <f t="shared" ref="L7:L25" si="2">IF($D$7=0,"",100*$D7/$D$7)</f>
        <v>100</v>
      </c>
    </row>
    <row r="8" spans="2:13" ht="22.5" customHeight="1" outlineLevel="1" x14ac:dyDescent="0.2">
      <c r="B8" s="54" t="s">
        <v>101</v>
      </c>
      <c r="C8" s="24">
        <f>79593251778.88</f>
        <v>79593251778.880005</v>
      </c>
      <c r="D8" s="24">
        <f>79593251436.99</f>
        <v>79593251436.990005</v>
      </c>
      <c r="E8" s="24">
        <f>0</f>
        <v>0</v>
      </c>
      <c r="F8" s="24">
        <f>0</f>
        <v>0</v>
      </c>
      <c r="G8" s="24">
        <f>0</f>
        <v>0</v>
      </c>
      <c r="H8" s="24">
        <f>0</f>
        <v>0</v>
      </c>
      <c r="I8" s="24">
        <f>0</f>
        <v>0</v>
      </c>
      <c r="J8" s="35">
        <f t="shared" si="0"/>
        <v>36.187998032473324</v>
      </c>
      <c r="K8" s="35">
        <f t="shared" si="1"/>
        <v>99.999999570453539</v>
      </c>
      <c r="L8" s="35">
        <f t="shared" si="2"/>
        <v>55.822108629491318</v>
      </c>
    </row>
    <row r="9" spans="2:13" ht="22.5" customHeight="1" outlineLevel="1" x14ac:dyDescent="0.2">
      <c r="B9" s="54" t="s">
        <v>102</v>
      </c>
      <c r="C9" s="24">
        <f>3261171422.37</f>
        <v>3261171422.3699999</v>
      </c>
      <c r="D9" s="24">
        <f>3261171418.52</f>
        <v>3261171418.52</v>
      </c>
      <c r="E9" s="24">
        <f>0</f>
        <v>0</v>
      </c>
      <c r="F9" s="24">
        <f>0</f>
        <v>0</v>
      </c>
      <c r="G9" s="24">
        <f>0</f>
        <v>0</v>
      </c>
      <c r="H9" s="24">
        <f>0</f>
        <v>0</v>
      </c>
      <c r="I9" s="24">
        <f>0</f>
        <v>0</v>
      </c>
      <c r="J9" s="35">
        <f t="shared" si="0"/>
        <v>1.4827295373199669</v>
      </c>
      <c r="K9" s="35">
        <f t="shared" si="1"/>
        <v>99.999999881944262</v>
      </c>
      <c r="L9" s="35">
        <f t="shared" si="2"/>
        <v>2.2871972421949871</v>
      </c>
    </row>
    <row r="10" spans="2:13" ht="13.35" customHeight="1" outlineLevel="1" x14ac:dyDescent="0.2">
      <c r="B10" s="54" t="s">
        <v>109</v>
      </c>
      <c r="C10" s="24">
        <f>23414581697.93</f>
        <v>23414581697.93</v>
      </c>
      <c r="D10" s="24">
        <f>23764267937.46</f>
        <v>23764267937.459999</v>
      </c>
      <c r="E10" s="24">
        <f>3442106724.11</f>
        <v>3442106724.1100001</v>
      </c>
      <c r="F10" s="24">
        <f>710002870.64</f>
        <v>710002870.63999999</v>
      </c>
      <c r="G10" s="24">
        <f>65945232.08</f>
        <v>65945232.079999998</v>
      </c>
      <c r="H10" s="24">
        <f>70218027.11</f>
        <v>70218027.109999999</v>
      </c>
      <c r="I10" s="24">
        <f>5035515.83</f>
        <v>5035515.83</v>
      </c>
      <c r="J10" s="35">
        <f t="shared" si="0"/>
        <v>10.804700974488716</v>
      </c>
      <c r="K10" s="35">
        <f t="shared" si="1"/>
        <v>101.49345499330836</v>
      </c>
      <c r="L10" s="35">
        <f t="shared" si="2"/>
        <v>16.666884721444127</v>
      </c>
    </row>
    <row r="11" spans="2:13" ht="13.35" customHeight="1" outlineLevel="1" x14ac:dyDescent="0.2">
      <c r="B11" s="54" t="s">
        <v>110</v>
      </c>
      <c r="C11" s="24">
        <f>2267704126.86</f>
        <v>2267704126.8600001</v>
      </c>
      <c r="D11" s="53">
        <f>2237868820.47</f>
        <v>2237868820.4699998</v>
      </c>
      <c r="E11" s="24">
        <f>336503874.47</f>
        <v>336503874.47000003</v>
      </c>
      <c r="F11" s="24">
        <f>3921020.47</f>
        <v>3921020.47</v>
      </c>
      <c r="G11" s="24">
        <f>3019558.32</f>
        <v>3019558.32</v>
      </c>
      <c r="H11" s="24">
        <f>1268873.19</f>
        <v>1268873.19</v>
      </c>
      <c r="I11" s="24">
        <f>2690.2</f>
        <v>2690.2</v>
      </c>
      <c r="J11" s="35">
        <f t="shared" si="0"/>
        <v>1.0174731024302068</v>
      </c>
      <c r="K11" s="35">
        <f t="shared" si="1"/>
        <v>98.684338664968948</v>
      </c>
      <c r="L11" s="35">
        <f t="shared" si="2"/>
        <v>1.5695119138803226</v>
      </c>
    </row>
    <row r="12" spans="2:13" ht="13.35" customHeight="1" outlineLevel="1" x14ac:dyDescent="0.2">
      <c r="B12" s="54" t="s">
        <v>111</v>
      </c>
      <c r="C12" s="24">
        <f>442651675.54</f>
        <v>442651675.54000002</v>
      </c>
      <c r="D12" s="53">
        <f>424551119.2</f>
        <v>424551119.19999999</v>
      </c>
      <c r="E12" s="24">
        <f>1764548.73</f>
        <v>1764548.73</v>
      </c>
      <c r="F12" s="24">
        <f>753940.18</f>
        <v>753940.18</v>
      </c>
      <c r="G12" s="24">
        <f>113640.11</f>
        <v>113640.11</v>
      </c>
      <c r="H12" s="24">
        <f>33064.87</f>
        <v>33064.870000000003</v>
      </c>
      <c r="I12" s="24">
        <f>0</f>
        <v>0</v>
      </c>
      <c r="J12" s="35">
        <f t="shared" si="0"/>
        <v>0.19302710705890164</v>
      </c>
      <c r="K12" s="35">
        <f t="shared" si="1"/>
        <v>95.910880419029525</v>
      </c>
      <c r="L12" s="35">
        <f t="shared" si="2"/>
        <v>0.29775562961535873</v>
      </c>
    </row>
    <row r="13" spans="2:13" ht="13.35" customHeight="1" outlineLevel="1" x14ac:dyDescent="0.2">
      <c r="B13" s="54" t="s">
        <v>19</v>
      </c>
      <c r="C13" s="24">
        <f>1128593356.65</f>
        <v>1128593356.6500001</v>
      </c>
      <c r="D13" s="53">
        <f>1121006951.02</f>
        <v>1121006951.02</v>
      </c>
      <c r="E13" s="24">
        <f>1608841562.85</f>
        <v>1608841562.8499999</v>
      </c>
      <c r="F13" s="24">
        <f>1989006.11</f>
        <v>1989006.11</v>
      </c>
      <c r="G13" s="24">
        <f>2033039.13</f>
        <v>2033039.13</v>
      </c>
      <c r="H13" s="24">
        <f>3079370.21</f>
        <v>3079370.21</v>
      </c>
      <c r="I13" s="24">
        <f>40525</f>
        <v>40525</v>
      </c>
      <c r="J13" s="35">
        <f t="shared" si="0"/>
        <v>0.50967885600220186</v>
      </c>
      <c r="K13" s="35">
        <f t="shared" si="1"/>
        <v>99.327799903720958</v>
      </c>
      <c r="L13" s="35">
        <f t="shared" si="2"/>
        <v>0.78620951732060285</v>
      </c>
    </row>
    <row r="14" spans="2:13" ht="22.5" outlineLevel="1" x14ac:dyDescent="0.2">
      <c r="B14" s="54" t="s">
        <v>24</v>
      </c>
      <c r="C14" s="24">
        <f>1931408493.55</f>
        <v>1931408493.55</v>
      </c>
      <c r="D14" s="53">
        <f>2130525016.99</f>
        <v>2130525016.99</v>
      </c>
      <c r="E14" s="24">
        <f>0</f>
        <v>0</v>
      </c>
      <c r="F14" s="24">
        <f>0</f>
        <v>0</v>
      </c>
      <c r="G14" s="24">
        <f>98073.35</f>
        <v>98073.35</v>
      </c>
      <c r="H14" s="24">
        <f>555299.71</f>
        <v>555299.71</v>
      </c>
      <c r="I14" s="24">
        <f>0</f>
        <v>0</v>
      </c>
      <c r="J14" s="35">
        <f t="shared" si="0"/>
        <v>0.96866799296426631</v>
      </c>
      <c r="K14" s="35">
        <f t="shared" si="1"/>
        <v>110.30939462599217</v>
      </c>
      <c r="L14" s="35">
        <f t="shared" si="2"/>
        <v>1.4942271711366868</v>
      </c>
    </row>
    <row r="15" spans="2:13" ht="33.75" outlineLevel="1" x14ac:dyDescent="0.2">
      <c r="B15" s="54" t="s">
        <v>112</v>
      </c>
      <c r="C15" s="24">
        <f>93584580.98</f>
        <v>93584580.980000004</v>
      </c>
      <c r="D15" s="53">
        <f>99076536.87</f>
        <v>99076536.870000005</v>
      </c>
      <c r="E15" s="24">
        <f>0</f>
        <v>0</v>
      </c>
      <c r="F15" s="24">
        <f>0</f>
        <v>0</v>
      </c>
      <c r="G15" s="24">
        <f>24295.18</f>
        <v>24295.18</v>
      </c>
      <c r="H15" s="24">
        <f>70782.61</f>
        <v>70782.61</v>
      </c>
      <c r="I15" s="24">
        <f>0</f>
        <v>0</v>
      </c>
      <c r="J15" s="35">
        <f t="shared" si="0"/>
        <v>4.5046300491370143E-2</v>
      </c>
      <c r="K15" s="35">
        <f t="shared" si="1"/>
        <v>105.86844096804118</v>
      </c>
      <c r="L15" s="35">
        <f t="shared" si="2"/>
        <v>6.9486559525329727E-2</v>
      </c>
    </row>
    <row r="16" spans="2:13" ht="13.35" customHeight="1" outlineLevel="1" x14ac:dyDescent="0.2">
      <c r="B16" s="54" t="s">
        <v>113</v>
      </c>
      <c r="C16" s="24">
        <f>199052854.09</f>
        <v>199052854.09</v>
      </c>
      <c r="D16" s="53">
        <f>205963065.22</f>
        <v>205963065.22</v>
      </c>
      <c r="E16" s="24">
        <f>0</f>
        <v>0</v>
      </c>
      <c r="F16" s="24">
        <f>0</f>
        <v>0</v>
      </c>
      <c r="G16" s="24">
        <f>176</f>
        <v>176</v>
      </c>
      <c r="H16" s="24">
        <f>0</f>
        <v>0</v>
      </c>
      <c r="I16" s="24">
        <f>0</f>
        <v>0</v>
      </c>
      <c r="J16" s="35">
        <f t="shared" si="0"/>
        <v>9.3643504497916016E-2</v>
      </c>
      <c r="K16" s="35">
        <f t="shared" si="1"/>
        <v>103.47154586734818</v>
      </c>
      <c r="L16" s="35">
        <f t="shared" si="2"/>
        <v>0.1444505959085699</v>
      </c>
    </row>
    <row r="17" spans="2:12" ht="13.35" customHeight="1" outlineLevel="1" x14ac:dyDescent="0.2">
      <c r="B17" s="54" t="s">
        <v>25</v>
      </c>
      <c r="C17" s="24">
        <f>507951818.12</f>
        <v>507951818.12</v>
      </c>
      <c r="D17" s="53">
        <f>513418551.83</f>
        <v>513418551.82999998</v>
      </c>
      <c r="E17" s="24">
        <f>0</f>
        <v>0</v>
      </c>
      <c r="F17" s="24">
        <f>0</f>
        <v>0</v>
      </c>
      <c r="G17" s="24">
        <f>240096.51</f>
        <v>240096.51</v>
      </c>
      <c r="H17" s="24">
        <f>1531189.85</f>
        <v>1531189.85</v>
      </c>
      <c r="I17" s="24">
        <f>0</f>
        <v>0</v>
      </c>
      <c r="J17" s="35">
        <f t="shared" si="0"/>
        <v>0.23343171949908181</v>
      </c>
      <c r="K17" s="35">
        <f t="shared" si="1"/>
        <v>101.07623075949076</v>
      </c>
      <c r="L17" s="35">
        <f t="shared" si="2"/>
        <v>0.36008211318442179</v>
      </c>
    </row>
    <row r="18" spans="2:12" ht="13.35" customHeight="1" outlineLevel="1" x14ac:dyDescent="0.2">
      <c r="B18" s="54" t="s">
        <v>114</v>
      </c>
      <c r="C18" s="24">
        <f>266405899.69</f>
        <v>266405899.69</v>
      </c>
      <c r="D18" s="53">
        <f>299614241.34</f>
        <v>299614241.33999997</v>
      </c>
      <c r="E18" s="24">
        <f>0</f>
        <v>0</v>
      </c>
      <c r="F18" s="24">
        <f>0</f>
        <v>0</v>
      </c>
      <c r="G18" s="24">
        <f>4513004.71</f>
        <v>4513004.71</v>
      </c>
      <c r="H18" s="24">
        <f>8534850.96</f>
        <v>8534850.9600000009</v>
      </c>
      <c r="I18" s="24">
        <f>0</f>
        <v>0</v>
      </c>
      <c r="J18" s="35">
        <f t="shared" si="0"/>
        <v>0.13622310158665049</v>
      </c>
      <c r="K18" s="35">
        <f t="shared" si="1"/>
        <v>112.46531765574353</v>
      </c>
      <c r="L18" s="35">
        <f t="shared" si="2"/>
        <v>0.21013212081509861</v>
      </c>
    </row>
    <row r="19" spans="2:12" ht="13.35" customHeight="1" outlineLevel="1" x14ac:dyDescent="0.2">
      <c r="B19" s="54" t="s">
        <v>26</v>
      </c>
      <c r="C19" s="24">
        <f>116175490.52</f>
        <v>116175490.52</v>
      </c>
      <c r="D19" s="53">
        <f>113691666.82</f>
        <v>113691666.81999999</v>
      </c>
      <c r="E19" s="24">
        <f>2732390</f>
        <v>2732390</v>
      </c>
      <c r="F19" s="24">
        <f>0</f>
        <v>0</v>
      </c>
      <c r="G19" s="24">
        <f>13923</f>
        <v>13923</v>
      </c>
      <c r="H19" s="24">
        <f>0</f>
        <v>0</v>
      </c>
      <c r="I19" s="24">
        <f>0</f>
        <v>0</v>
      </c>
      <c r="J19" s="35">
        <f t="shared" si="0"/>
        <v>5.1691239406745901E-2</v>
      </c>
      <c r="K19" s="35">
        <f t="shared" ref="K19:K25" si="3">IF(C19=0,"",100*D19/C19)</f>
        <v>97.862007133447477</v>
      </c>
      <c r="L19" s="35">
        <f t="shared" si="2"/>
        <v>7.9736767388101829E-2</v>
      </c>
    </row>
    <row r="20" spans="2:12" ht="13.35" customHeight="1" outlineLevel="1" x14ac:dyDescent="0.2">
      <c r="B20" s="54" t="s">
        <v>115</v>
      </c>
      <c r="C20" s="24">
        <f>74307510.15</f>
        <v>74307510.150000006</v>
      </c>
      <c r="D20" s="53">
        <f>76734757.3</f>
        <v>76734757.299999997</v>
      </c>
      <c r="E20" s="24">
        <f>425334.58</f>
        <v>425334.58</v>
      </c>
      <c r="F20" s="24">
        <f>0</f>
        <v>0</v>
      </c>
      <c r="G20" s="24">
        <f>0</f>
        <v>0</v>
      </c>
      <c r="H20" s="24">
        <f>0</f>
        <v>0</v>
      </c>
      <c r="I20" s="24">
        <f>0</f>
        <v>0</v>
      </c>
      <c r="J20" s="35">
        <f t="shared" si="0"/>
        <v>3.4888350407358749E-2</v>
      </c>
      <c r="K20" s="35">
        <f t="shared" si="3"/>
        <v>103.26648967930733</v>
      </c>
      <c r="L20" s="35">
        <f t="shared" si="2"/>
        <v>5.3817325970773808E-2</v>
      </c>
    </row>
    <row r="21" spans="2:12" ht="13.35" customHeight="1" outlineLevel="1" x14ac:dyDescent="0.2">
      <c r="B21" s="54" t="s">
        <v>116</v>
      </c>
      <c r="C21" s="24">
        <f>105334332</f>
        <v>105334332</v>
      </c>
      <c r="D21" s="53">
        <f>107993073.93</f>
        <v>107993073.93000001</v>
      </c>
      <c r="E21" s="24">
        <f>381850.62</f>
        <v>381850.62</v>
      </c>
      <c r="F21" s="24">
        <f>0</f>
        <v>0</v>
      </c>
      <c r="G21" s="24">
        <f>247.8</f>
        <v>247.8</v>
      </c>
      <c r="H21" s="24">
        <f>0</f>
        <v>0</v>
      </c>
      <c r="I21" s="24">
        <f>0</f>
        <v>0</v>
      </c>
      <c r="J21" s="35">
        <f t="shared" si="0"/>
        <v>4.9100307831919598E-2</v>
      </c>
      <c r="K21" s="35">
        <f t="shared" si="3"/>
        <v>102.52409815443649</v>
      </c>
      <c r="L21" s="35">
        <f t="shared" si="2"/>
        <v>7.57401035303292E-2</v>
      </c>
    </row>
    <row r="22" spans="2:12" ht="13.35" customHeight="1" outlineLevel="1" x14ac:dyDescent="0.2">
      <c r="B22" s="54" t="s">
        <v>117</v>
      </c>
      <c r="C22" s="24">
        <f>2985357</f>
        <v>2985357</v>
      </c>
      <c r="D22" s="53">
        <f>2781885.37</f>
        <v>2781885.37</v>
      </c>
      <c r="E22" s="24">
        <f>1662907.14</f>
        <v>1662907.14</v>
      </c>
      <c r="F22" s="24">
        <f>0</f>
        <v>0</v>
      </c>
      <c r="G22" s="24">
        <f>940</f>
        <v>940</v>
      </c>
      <c r="H22" s="24">
        <f>4091.3</f>
        <v>4091.3</v>
      </c>
      <c r="I22" s="24">
        <f>1194.26</f>
        <v>1194.26</v>
      </c>
      <c r="J22" s="35">
        <f t="shared" si="0"/>
        <v>1.2648165576678622E-3</v>
      </c>
      <c r="K22" s="35">
        <f t="shared" si="3"/>
        <v>93.184345121873193</v>
      </c>
      <c r="L22" s="35">
        <f t="shared" si="2"/>
        <v>1.9510536950719814E-3</v>
      </c>
    </row>
    <row r="23" spans="2:12" ht="13.35" customHeight="1" outlineLevel="1" x14ac:dyDescent="0.2">
      <c r="B23" s="54" t="s">
        <v>118</v>
      </c>
      <c r="C23" s="24">
        <f>1064775</f>
        <v>1064775</v>
      </c>
      <c r="D23" s="53">
        <f>1271523.65</f>
        <v>1271523.6499999999</v>
      </c>
      <c r="E23" s="24">
        <f>0</f>
        <v>0</v>
      </c>
      <c r="F23" s="24">
        <f>0</f>
        <v>0</v>
      </c>
      <c r="G23" s="24">
        <f>0</f>
        <v>0</v>
      </c>
      <c r="H23" s="24">
        <f>0</f>
        <v>0</v>
      </c>
      <c r="I23" s="24">
        <f>0</f>
        <v>0</v>
      </c>
      <c r="J23" s="35">
        <f t="shared" si="0"/>
        <v>5.7811302483188774E-4</v>
      </c>
      <c r="K23" s="35">
        <f t="shared" si="3"/>
        <v>119.41712098800214</v>
      </c>
      <c r="L23" s="35">
        <f t="shared" si="2"/>
        <v>8.9177323496399585E-4</v>
      </c>
    </row>
    <row r="24" spans="2:12" ht="13.35" customHeight="1" outlineLevel="1" x14ac:dyDescent="0.2">
      <c r="B24" s="54" t="s">
        <v>20</v>
      </c>
      <c r="C24" s="24">
        <f>4698467845.86</f>
        <v>4698467845.8599997</v>
      </c>
      <c r="D24" s="53">
        <f>4261824940.96</f>
        <v>4261824940.96</v>
      </c>
      <c r="E24" s="24">
        <f>0</f>
        <v>0</v>
      </c>
      <c r="F24" s="24">
        <f>0</f>
        <v>0</v>
      </c>
      <c r="G24" s="24">
        <f>20986.65</f>
        <v>20986.65</v>
      </c>
      <c r="H24" s="24">
        <f>72204.6</f>
        <v>72204.600000000006</v>
      </c>
      <c r="I24" s="24">
        <f>0</f>
        <v>0</v>
      </c>
      <c r="J24" s="35">
        <f t="shared" si="0"/>
        <v>1.9376883064049713</v>
      </c>
      <c r="K24" s="35">
        <f t="shared" si="3"/>
        <v>90.706695901202295</v>
      </c>
      <c r="L24" s="35">
        <f t="shared" si="2"/>
        <v>2.9889978172644609</v>
      </c>
    </row>
    <row r="25" spans="2:12" ht="13.35" customHeight="1" outlineLevel="1" x14ac:dyDescent="0.2">
      <c r="B25" s="54" t="s">
        <v>21</v>
      </c>
      <c r="C25" s="24">
        <f>C7-C8-C9-C10-C11-C12-C13-C14-C15-C16-C17-C18-C19-C20-C21-C22-C23-C24</f>
        <v>24588017532.490013</v>
      </c>
      <c r="D25" s="24">
        <f t="shared" ref="D25:I25" si="4">D7-D8-D9-D10-D11-D12-D13-D14-D15-D16-D17-D18-D19-D20-D21-D22-D23-D24</f>
        <v>24368729216.850002</v>
      </c>
      <c r="E25" s="24">
        <f t="shared" si="4"/>
        <v>30428451.989999685</v>
      </c>
      <c r="F25" s="24">
        <f t="shared" si="4"/>
        <v>-1.0011717677116394E-8</v>
      </c>
      <c r="G25" s="24">
        <f t="shared" si="4"/>
        <v>17281015.869999994</v>
      </c>
      <c r="H25" s="24">
        <f t="shared" si="4"/>
        <v>14000495.6</v>
      </c>
      <c r="I25" s="24">
        <f t="shared" si="4"/>
        <v>1464360.5499999998</v>
      </c>
      <c r="J25" s="35">
        <f t="shared" si="0"/>
        <v>11.079526329582903</v>
      </c>
      <c r="K25" s="35">
        <f t="shared" si="3"/>
        <v>99.108149669446703</v>
      </c>
      <c r="L25" s="35">
        <f t="shared" si="2"/>
        <v>17.090818944399476</v>
      </c>
    </row>
    <row r="26" spans="2:12" ht="27" customHeight="1" x14ac:dyDescent="0.2">
      <c r="B26" s="84" t="s">
        <v>85</v>
      </c>
      <c r="C26" s="45">
        <f>C27+C46+C48</f>
        <v>57347522880.039993</v>
      </c>
      <c r="D26" s="45">
        <f>D27+D46+D48</f>
        <v>52647183124.840004</v>
      </c>
      <c r="E26" s="41" t="s">
        <v>45</v>
      </c>
      <c r="F26" s="41" t="s">
        <v>45</v>
      </c>
      <c r="G26" s="41" t="s">
        <v>45</v>
      </c>
      <c r="H26" s="41" t="s">
        <v>45</v>
      </c>
      <c r="I26" s="41" t="s">
        <v>45</v>
      </c>
      <c r="J26" s="46">
        <f t="shared" si="0"/>
        <v>23.936654489422651</v>
      </c>
      <c r="K26" s="46">
        <f t="shared" si="1"/>
        <v>91.803761489345931</v>
      </c>
      <c r="L26" s="29"/>
    </row>
    <row r="27" spans="2:12" ht="27" customHeight="1" outlineLevel="1" x14ac:dyDescent="0.2">
      <c r="B27" s="92" t="s">
        <v>47</v>
      </c>
      <c r="C27" s="45">
        <f>C28+C30+C32+C34+C36+C38+C40+C42+C44</f>
        <v>48100922441.519997</v>
      </c>
      <c r="D27" s="45">
        <f>D28+D30+D32+D34+D36+D38+D40+D42+D44</f>
        <v>45293817848.210007</v>
      </c>
      <c r="E27" s="41" t="s">
        <v>45</v>
      </c>
      <c r="F27" s="41" t="s">
        <v>45</v>
      </c>
      <c r="G27" s="41" t="s">
        <v>45</v>
      </c>
      <c r="H27" s="41" t="s">
        <v>45</v>
      </c>
      <c r="I27" s="41" t="s">
        <v>45</v>
      </c>
      <c r="J27" s="46">
        <f t="shared" si="0"/>
        <v>20.593361391597583</v>
      </c>
      <c r="K27" s="46">
        <f t="shared" si="1"/>
        <v>94.164135632278573</v>
      </c>
      <c r="L27" s="29"/>
    </row>
    <row r="28" spans="2:12" ht="22.5" customHeight="1" outlineLevel="1" x14ac:dyDescent="0.2">
      <c r="B28" s="82" t="s">
        <v>9</v>
      </c>
      <c r="C28" s="24">
        <f>18222508994.6</f>
        <v>18222508994.599998</v>
      </c>
      <c r="D28" s="24">
        <f>18076910777.12</f>
        <v>18076910777.119999</v>
      </c>
      <c r="E28" s="24" t="s">
        <v>45</v>
      </c>
      <c r="F28" s="24" t="s">
        <v>45</v>
      </c>
      <c r="G28" s="24" t="s">
        <v>45</v>
      </c>
      <c r="H28" s="24" t="s">
        <v>45</v>
      </c>
      <c r="I28" s="24" t="s">
        <v>45</v>
      </c>
      <c r="J28" s="35">
        <f t="shared" si="0"/>
        <v>8.2188778549081611</v>
      </c>
      <c r="K28" s="35">
        <f t="shared" si="1"/>
        <v>99.200997966179386</v>
      </c>
      <c r="L28" s="29"/>
    </row>
    <row r="29" spans="2:12" ht="13.5" customHeight="1" outlineLevel="1" x14ac:dyDescent="0.2">
      <c r="B29" s="93" t="s">
        <v>6</v>
      </c>
      <c r="C29" s="24">
        <f>237568895.53</f>
        <v>237568895.53</v>
      </c>
      <c r="D29" s="24">
        <f>196869530.36</f>
        <v>196869530.36000001</v>
      </c>
      <c r="E29" s="24" t="s">
        <v>45</v>
      </c>
      <c r="F29" s="24" t="s">
        <v>45</v>
      </c>
      <c r="G29" s="24" t="s">
        <v>45</v>
      </c>
      <c r="H29" s="24" t="s">
        <v>45</v>
      </c>
      <c r="I29" s="24" t="s">
        <v>45</v>
      </c>
      <c r="J29" s="35">
        <f t="shared" si="0"/>
        <v>8.950902304778427E-2</v>
      </c>
      <c r="K29" s="35">
        <f t="shared" si="1"/>
        <v>82.868394837967955</v>
      </c>
      <c r="L29" s="29"/>
    </row>
    <row r="30" spans="2:12" ht="13.5" customHeight="1" outlineLevel="1" x14ac:dyDescent="0.2">
      <c r="B30" s="82" t="s">
        <v>7</v>
      </c>
      <c r="C30" s="24">
        <f>6757082675.17</f>
        <v>6757082675.1700001</v>
      </c>
      <c r="D30" s="24">
        <f>6238726734.63</f>
        <v>6238726734.6300001</v>
      </c>
      <c r="E30" s="24" t="s">
        <v>45</v>
      </c>
      <c r="F30" s="24" t="s">
        <v>45</v>
      </c>
      <c r="G30" s="24" t="s">
        <v>45</v>
      </c>
      <c r="H30" s="24" t="s">
        <v>45</v>
      </c>
      <c r="I30" s="24" t="s">
        <v>45</v>
      </c>
      <c r="J30" s="35">
        <f t="shared" si="0"/>
        <v>2.8365097130961865</v>
      </c>
      <c r="K30" s="35">
        <f t="shared" si="1"/>
        <v>92.328702112158794</v>
      </c>
      <c r="L30" s="29"/>
    </row>
    <row r="31" spans="2:12" ht="13.5" customHeight="1" outlineLevel="1" x14ac:dyDescent="0.2">
      <c r="B31" s="93" t="s">
        <v>6</v>
      </c>
      <c r="C31" s="24">
        <f>2257986740.07</f>
        <v>2257986740.0700002</v>
      </c>
      <c r="D31" s="24">
        <f>1975441067.63</f>
        <v>1975441067.6300001</v>
      </c>
      <c r="E31" s="24" t="s">
        <v>45</v>
      </c>
      <c r="F31" s="24" t="s">
        <v>45</v>
      </c>
      <c r="G31" s="24" t="s">
        <v>45</v>
      </c>
      <c r="H31" s="24" t="s">
        <v>45</v>
      </c>
      <c r="I31" s="24" t="s">
        <v>45</v>
      </c>
      <c r="J31" s="35">
        <f t="shared" si="0"/>
        <v>0.89815727059792649</v>
      </c>
      <c r="K31" s="35">
        <f t="shared" si="1"/>
        <v>87.486832078064339</v>
      </c>
      <c r="L31" s="29"/>
    </row>
    <row r="32" spans="2:12" ht="35.1" customHeight="1" outlineLevel="1" x14ac:dyDescent="0.2">
      <c r="B32" s="82" t="s">
        <v>10</v>
      </c>
      <c r="C32" s="24">
        <f>54249385.2</f>
        <v>54249385.200000003</v>
      </c>
      <c r="D32" s="24">
        <f>46516131.5</f>
        <v>46516131.5</v>
      </c>
      <c r="E32" s="24" t="s">
        <v>45</v>
      </c>
      <c r="F32" s="24" t="s">
        <v>45</v>
      </c>
      <c r="G32" s="24" t="s">
        <v>45</v>
      </c>
      <c r="H32" s="24" t="s">
        <v>45</v>
      </c>
      <c r="I32" s="24" t="s">
        <v>45</v>
      </c>
      <c r="J32" s="35">
        <f t="shared" si="0"/>
        <v>2.1149100518061823E-2</v>
      </c>
      <c r="K32" s="35">
        <f t="shared" si="1"/>
        <v>85.744992922058032</v>
      </c>
      <c r="L32" s="29"/>
    </row>
    <row r="33" spans="2:12" ht="13.5" customHeight="1" outlineLevel="1" x14ac:dyDescent="0.2">
      <c r="B33" s="93" t="s">
        <v>6</v>
      </c>
      <c r="C33" s="24">
        <f>27269173.93</f>
        <v>27269173.93</v>
      </c>
      <c r="D33" s="24">
        <f>20322009.79</f>
        <v>20322009.789999999</v>
      </c>
      <c r="E33" s="24" t="s">
        <v>45</v>
      </c>
      <c r="F33" s="24" t="s">
        <v>45</v>
      </c>
      <c r="G33" s="24" t="s">
        <v>45</v>
      </c>
      <c r="H33" s="24" t="s">
        <v>45</v>
      </c>
      <c r="I33" s="24" t="s">
        <v>45</v>
      </c>
      <c r="J33" s="35">
        <f t="shared" si="0"/>
        <v>9.2396382484589562E-3</v>
      </c>
      <c r="K33" s="35">
        <f t="shared" si="1"/>
        <v>74.523745538337991</v>
      </c>
      <c r="L33" s="29"/>
    </row>
    <row r="34" spans="2:12" ht="24" customHeight="1" outlineLevel="1" x14ac:dyDescent="0.2">
      <c r="B34" s="82" t="s">
        <v>11</v>
      </c>
      <c r="C34" s="24">
        <f>900166533.55</f>
        <v>900166533.54999995</v>
      </c>
      <c r="D34" s="24">
        <f>832321525.04</f>
        <v>832321525.03999996</v>
      </c>
      <c r="E34" s="24" t="s">
        <v>45</v>
      </c>
      <c r="F34" s="24" t="s">
        <v>45</v>
      </c>
      <c r="G34" s="24" t="s">
        <v>45</v>
      </c>
      <c r="H34" s="24" t="s">
        <v>45</v>
      </c>
      <c r="I34" s="24" t="s">
        <v>45</v>
      </c>
      <c r="J34" s="35">
        <f t="shared" si="0"/>
        <v>0.37842466750308912</v>
      </c>
      <c r="K34" s="35">
        <f t="shared" si="1"/>
        <v>92.463060335909333</v>
      </c>
      <c r="L34" s="29"/>
    </row>
    <row r="35" spans="2:12" ht="13.5" customHeight="1" outlineLevel="1" x14ac:dyDescent="0.2">
      <c r="B35" s="93" t="s">
        <v>6</v>
      </c>
      <c r="C35" s="24">
        <f>318409949.28</f>
        <v>318409949.27999997</v>
      </c>
      <c r="D35" s="24">
        <f>299692268.48</f>
        <v>299692268.48000002</v>
      </c>
      <c r="E35" s="24" t="s">
        <v>45</v>
      </c>
      <c r="F35" s="24" t="s">
        <v>45</v>
      </c>
      <c r="G35" s="24" t="s">
        <v>45</v>
      </c>
      <c r="H35" s="24" t="s">
        <v>45</v>
      </c>
      <c r="I35" s="24" t="s">
        <v>45</v>
      </c>
      <c r="J35" s="35">
        <f t="shared" si="0"/>
        <v>0.13625857753389253</v>
      </c>
      <c r="K35" s="35">
        <f t="shared" si="1"/>
        <v>94.12151509639537</v>
      </c>
      <c r="L35" s="29"/>
    </row>
    <row r="36" spans="2:12" ht="35.1" customHeight="1" outlineLevel="1" x14ac:dyDescent="0.2">
      <c r="B36" s="82" t="s">
        <v>62</v>
      </c>
      <c r="C36" s="24">
        <f>1074468782.18</f>
        <v>1074468782.1800001</v>
      </c>
      <c r="D36" s="24">
        <f>962886111.87</f>
        <v>962886111.87</v>
      </c>
      <c r="E36" s="24" t="s">
        <v>45</v>
      </c>
      <c r="F36" s="24" t="s">
        <v>45</v>
      </c>
      <c r="G36" s="24" t="s">
        <v>45</v>
      </c>
      <c r="H36" s="24" t="s">
        <v>45</v>
      </c>
      <c r="I36" s="24" t="s">
        <v>45</v>
      </c>
      <c r="J36" s="35">
        <f t="shared" si="0"/>
        <v>0.43778737635102677</v>
      </c>
      <c r="K36" s="35">
        <f t="shared" si="1"/>
        <v>89.615084946106208</v>
      </c>
      <c r="L36" s="29"/>
    </row>
    <row r="37" spans="2:12" ht="13.5" customHeight="1" outlineLevel="1" x14ac:dyDescent="0.2">
      <c r="B37" s="93" t="s">
        <v>6</v>
      </c>
      <c r="C37" s="24">
        <f>913992376.35</f>
        <v>913992376.35000002</v>
      </c>
      <c r="D37" s="24">
        <f>812247943.35</f>
        <v>812247943.35000002</v>
      </c>
      <c r="E37" s="24" t="s">
        <v>45</v>
      </c>
      <c r="F37" s="24" t="s">
        <v>45</v>
      </c>
      <c r="G37" s="24" t="s">
        <v>45</v>
      </c>
      <c r="H37" s="24" t="s">
        <v>45</v>
      </c>
      <c r="I37" s="24" t="s">
        <v>45</v>
      </c>
      <c r="J37" s="35">
        <f t="shared" si="0"/>
        <v>0.36929797998137776</v>
      </c>
      <c r="K37" s="35">
        <f t="shared" si="1"/>
        <v>88.868131109986578</v>
      </c>
      <c r="L37" s="29"/>
    </row>
    <row r="38" spans="2:12" ht="13.5" customHeight="1" outlineLevel="1" x14ac:dyDescent="0.2">
      <c r="B38" s="82" t="s">
        <v>8</v>
      </c>
      <c r="C38" s="24">
        <f>679713623.25</f>
        <v>679713623.25</v>
      </c>
      <c r="D38" s="24">
        <f>616193612.24</f>
        <v>616193612.24000001</v>
      </c>
      <c r="E38" s="24" t="s">
        <v>45</v>
      </c>
      <c r="F38" s="24" t="s">
        <v>45</v>
      </c>
      <c r="G38" s="24" t="s">
        <v>45</v>
      </c>
      <c r="H38" s="24" t="s">
        <v>45</v>
      </c>
      <c r="I38" s="24" t="s">
        <v>45</v>
      </c>
      <c r="J38" s="35">
        <f t="shared" si="0"/>
        <v>0.28015959675948915</v>
      </c>
      <c r="K38" s="35">
        <f t="shared" si="1"/>
        <v>90.654886287804004</v>
      </c>
      <c r="L38" s="29"/>
    </row>
    <row r="39" spans="2:12" ht="13.5" customHeight="1" outlineLevel="1" x14ac:dyDescent="0.2">
      <c r="B39" s="94" t="s">
        <v>6</v>
      </c>
      <c r="C39" s="22">
        <f>631860441.97</f>
        <v>631860441.97000003</v>
      </c>
      <c r="D39" s="22">
        <f>572293432.6</f>
        <v>572293432.60000002</v>
      </c>
      <c r="E39" s="24" t="s">
        <v>45</v>
      </c>
      <c r="F39" s="24" t="s">
        <v>45</v>
      </c>
      <c r="G39" s="24" t="s">
        <v>45</v>
      </c>
      <c r="H39" s="24" t="s">
        <v>45</v>
      </c>
      <c r="I39" s="24" t="s">
        <v>45</v>
      </c>
      <c r="J39" s="35">
        <f t="shared" si="0"/>
        <v>0.26019986919772209</v>
      </c>
      <c r="K39" s="35">
        <f t="shared" si="1"/>
        <v>90.572758569236683</v>
      </c>
      <c r="L39" s="29"/>
    </row>
    <row r="40" spans="2:12" ht="71.099999999999994" customHeight="1" outlineLevel="1" x14ac:dyDescent="0.2">
      <c r="B40" s="82" t="s">
        <v>79</v>
      </c>
      <c r="C40" s="22">
        <f>15905084.81</f>
        <v>15905084.810000001</v>
      </c>
      <c r="D40" s="22">
        <f>13029840.54</f>
        <v>13029840.539999999</v>
      </c>
      <c r="E40" s="24" t="s">
        <v>45</v>
      </c>
      <c r="F40" s="24" t="s">
        <v>45</v>
      </c>
      <c r="G40" s="24" t="s">
        <v>45</v>
      </c>
      <c r="H40" s="24" t="s">
        <v>45</v>
      </c>
      <c r="I40" s="24" t="s">
        <v>45</v>
      </c>
      <c r="J40" s="35">
        <f t="shared" si="0"/>
        <v>5.9241686363101145E-3</v>
      </c>
      <c r="K40" s="35">
        <f>IF(C40=0,"",100*D40/C40)</f>
        <v>81.922483882687317</v>
      </c>
      <c r="L40" s="29"/>
    </row>
    <row r="41" spans="2:12" ht="13.5" customHeight="1" outlineLevel="1" x14ac:dyDescent="0.2">
      <c r="B41" s="94" t="s">
        <v>80</v>
      </c>
      <c r="C41" s="22">
        <f>13950532.96</f>
        <v>13950532.960000001</v>
      </c>
      <c r="D41" s="22">
        <f>11177915.39</f>
        <v>11177915.390000001</v>
      </c>
      <c r="E41" s="24" t="s">
        <v>45</v>
      </c>
      <c r="F41" s="24" t="s">
        <v>45</v>
      </c>
      <c r="G41" s="24" t="s">
        <v>45</v>
      </c>
      <c r="H41" s="24" t="s">
        <v>45</v>
      </c>
      <c r="I41" s="24" t="s">
        <v>45</v>
      </c>
      <c r="J41" s="35">
        <f t="shared" si="0"/>
        <v>5.0821693150794418E-3</v>
      </c>
      <c r="K41" s="35">
        <f>IF(C41=0,"",100*D41/C41)</f>
        <v>80.125364543778687</v>
      </c>
      <c r="L41" s="29"/>
    </row>
    <row r="42" spans="2:12" ht="48" customHeight="1" outlineLevel="1" x14ac:dyDescent="0.2">
      <c r="B42" s="95" t="s">
        <v>77</v>
      </c>
      <c r="C42" s="22">
        <f>19049628713.2</f>
        <v>19049628713.200001</v>
      </c>
      <c r="D42" s="22">
        <f>17185629112.52</f>
        <v>17185629112.52</v>
      </c>
      <c r="E42" s="24" t="s">
        <v>45</v>
      </c>
      <c r="F42" s="24" t="s">
        <v>45</v>
      </c>
      <c r="G42" s="24" t="s">
        <v>45</v>
      </c>
      <c r="H42" s="24" t="s">
        <v>45</v>
      </c>
      <c r="I42" s="24" t="s">
        <v>45</v>
      </c>
      <c r="J42" s="35">
        <f t="shared" si="0"/>
        <v>7.8136462738053591</v>
      </c>
      <c r="K42" s="35">
        <f t="shared" si="1"/>
        <v>90.215034483121528</v>
      </c>
      <c r="L42" s="29"/>
    </row>
    <row r="43" spans="2:12" ht="13.5" customHeight="1" outlineLevel="1" x14ac:dyDescent="0.2">
      <c r="B43" s="94" t="s">
        <v>6</v>
      </c>
      <c r="C43" s="22">
        <f>18969137512.23</f>
        <v>18969137512.23</v>
      </c>
      <c r="D43" s="22">
        <f>17120371555.27</f>
        <v>17120371555.27</v>
      </c>
      <c r="E43" s="24" t="s">
        <v>45</v>
      </c>
      <c r="F43" s="24" t="s">
        <v>45</v>
      </c>
      <c r="G43" s="24" t="s">
        <v>45</v>
      </c>
      <c r="H43" s="24" t="s">
        <v>45</v>
      </c>
      <c r="I43" s="24" t="s">
        <v>45</v>
      </c>
      <c r="J43" s="35">
        <f t="shared" si="0"/>
        <v>7.7839761659666751</v>
      </c>
      <c r="K43" s="35">
        <f t="shared" si="1"/>
        <v>90.253821736660186</v>
      </c>
      <c r="L43" s="29"/>
    </row>
    <row r="44" spans="2:12" ht="22.5" outlineLevel="1" x14ac:dyDescent="0.2">
      <c r="B44" s="95" t="s">
        <v>90</v>
      </c>
      <c r="C44" s="22">
        <f>1347198649.56</f>
        <v>1347198649.5599999</v>
      </c>
      <c r="D44" s="22">
        <f>1321604002.75</f>
        <v>1321604002.75</v>
      </c>
      <c r="E44" s="24" t="s">
        <v>45</v>
      </c>
      <c r="F44" s="24" t="s">
        <v>45</v>
      </c>
      <c r="G44" s="24" t="s">
        <v>45</v>
      </c>
      <c r="H44" s="24" t="s">
        <v>45</v>
      </c>
      <c r="I44" s="24" t="s">
        <v>45</v>
      </c>
      <c r="J44" s="35">
        <f t="shared" si="0"/>
        <v>0.60088264001989511</v>
      </c>
      <c r="K44" s="35">
        <f t="shared" si="1"/>
        <v>98.100157922637521</v>
      </c>
      <c r="L44" s="29"/>
    </row>
    <row r="45" spans="2:12" ht="13.5" customHeight="1" outlineLevel="1" x14ac:dyDescent="0.2">
      <c r="B45" s="94" t="s">
        <v>6</v>
      </c>
      <c r="C45" s="22">
        <f>1986649.73</f>
        <v>1986649.73</v>
      </c>
      <c r="D45" s="22">
        <f>1969849.73</f>
        <v>1969849.73</v>
      </c>
      <c r="E45" s="24" t="s">
        <v>45</v>
      </c>
      <c r="F45" s="24" t="s">
        <v>45</v>
      </c>
      <c r="G45" s="24" t="s">
        <v>45</v>
      </c>
      <c r="H45" s="24" t="s">
        <v>45</v>
      </c>
      <c r="I45" s="24" t="s">
        <v>45</v>
      </c>
      <c r="J45" s="35">
        <f t="shared" si="0"/>
        <v>8.9561510387524261E-4</v>
      </c>
      <c r="K45" s="35">
        <f t="shared" si="1"/>
        <v>99.154355206843633</v>
      </c>
      <c r="L45" s="29"/>
    </row>
    <row r="46" spans="2:12" outlineLevel="1" x14ac:dyDescent="0.2">
      <c r="B46" s="92" t="s">
        <v>73</v>
      </c>
      <c r="C46" s="45">
        <f>649858379.78</f>
        <v>649858379.77999997</v>
      </c>
      <c r="D46" s="45">
        <f>530004315.18</f>
        <v>530004315.18000001</v>
      </c>
      <c r="E46" s="41" t="s">
        <v>45</v>
      </c>
      <c r="F46" s="41" t="s">
        <v>45</v>
      </c>
      <c r="G46" s="41" t="s">
        <v>45</v>
      </c>
      <c r="H46" s="41" t="s">
        <v>45</v>
      </c>
      <c r="I46" s="41" t="s">
        <v>45</v>
      </c>
      <c r="J46" s="46">
        <f t="shared" si="0"/>
        <v>0.24097262982301829</v>
      </c>
      <c r="K46" s="46">
        <f t="shared" si="1"/>
        <v>81.556894805207435</v>
      </c>
      <c r="L46" s="29"/>
    </row>
    <row r="47" spans="2:12" ht="13.5" customHeight="1" outlineLevel="1" x14ac:dyDescent="0.2">
      <c r="B47" s="94" t="s">
        <v>74</v>
      </c>
      <c r="C47" s="22">
        <f>499385008.68</f>
        <v>499385008.68000001</v>
      </c>
      <c r="D47" s="22">
        <f>390645825.13</f>
        <v>390645825.13</v>
      </c>
      <c r="E47" s="24" t="s">
        <v>45</v>
      </c>
      <c r="F47" s="24" t="s">
        <v>45</v>
      </c>
      <c r="G47" s="24" t="s">
        <v>45</v>
      </c>
      <c r="H47" s="24" t="s">
        <v>45</v>
      </c>
      <c r="I47" s="24" t="s">
        <v>45</v>
      </c>
      <c r="J47" s="35">
        <f t="shared" si="0"/>
        <v>0.17761167053703877</v>
      </c>
      <c r="K47" s="35">
        <f t="shared" si="1"/>
        <v>78.225380886497774</v>
      </c>
      <c r="L47" s="29"/>
    </row>
    <row r="48" spans="2:12" ht="13.5" customHeight="1" outlineLevel="1" x14ac:dyDescent="0.2">
      <c r="B48" s="92" t="s">
        <v>75</v>
      </c>
      <c r="C48" s="41">
        <f>8596742058.74</f>
        <v>8596742058.7399998</v>
      </c>
      <c r="D48" s="41">
        <f>6823360961.45</f>
        <v>6823360961.4499998</v>
      </c>
      <c r="E48" s="41" t="s">
        <v>45</v>
      </c>
      <c r="F48" s="41" t="s">
        <v>45</v>
      </c>
      <c r="G48" s="41" t="s">
        <v>45</v>
      </c>
      <c r="H48" s="41" t="s">
        <v>45</v>
      </c>
      <c r="I48" s="41" t="s">
        <v>45</v>
      </c>
      <c r="J48" s="55">
        <f t="shared" si="0"/>
        <v>3.1023204680020524</v>
      </c>
      <c r="K48" s="55">
        <f t="shared" si="1"/>
        <v>79.371474854394791</v>
      </c>
      <c r="L48" s="29"/>
    </row>
    <row r="49" spans="1:26" ht="13.5" customHeight="1" outlineLevel="1" x14ac:dyDescent="0.2">
      <c r="B49" s="94" t="s">
        <v>76</v>
      </c>
      <c r="C49" s="22">
        <f>6964625842.99</f>
        <v>6964625842.9899998</v>
      </c>
      <c r="D49" s="22">
        <f>5421537122.63</f>
        <v>5421537122.6300001</v>
      </c>
      <c r="E49" s="24" t="s">
        <v>45</v>
      </c>
      <c r="F49" s="24" t="s">
        <v>45</v>
      </c>
      <c r="G49" s="24" t="s">
        <v>45</v>
      </c>
      <c r="H49" s="24" t="s">
        <v>45</v>
      </c>
      <c r="I49" s="24" t="s">
        <v>45</v>
      </c>
      <c r="J49" s="35">
        <f t="shared" si="0"/>
        <v>2.4649649459544061</v>
      </c>
      <c r="K49" s="35">
        <f t="shared" si="1"/>
        <v>77.843910711827519</v>
      </c>
      <c r="L49" s="29"/>
    </row>
    <row r="50" spans="1:26" s="5" customFormat="1" ht="25.5" customHeight="1" x14ac:dyDescent="0.2">
      <c r="B50" s="84" t="s">
        <v>103</v>
      </c>
      <c r="C50" s="25">
        <f>24682483355.54</f>
        <v>24682483355.540001</v>
      </c>
      <c r="D50" s="45">
        <f>24712856532.77</f>
        <v>24712856532.77</v>
      </c>
      <c r="E50" s="23" t="s">
        <v>45</v>
      </c>
      <c r="F50" s="23" t="s">
        <v>45</v>
      </c>
      <c r="G50" s="23" t="s">
        <v>45</v>
      </c>
      <c r="H50" s="23" t="s">
        <v>45</v>
      </c>
      <c r="I50" s="23" t="s">
        <v>45</v>
      </c>
      <c r="J50" s="34">
        <f t="shared" si="0"/>
        <v>11.235987818548358</v>
      </c>
      <c r="K50" s="34">
        <f t="shared" si="1"/>
        <v>100.12305559692875</v>
      </c>
      <c r="L50" s="30"/>
    </row>
    <row r="51" spans="1:26" ht="13.5" customHeight="1" outlineLevel="1" x14ac:dyDescent="0.2">
      <c r="B51" s="32" t="s">
        <v>35</v>
      </c>
      <c r="C51" s="22">
        <f>197029</f>
        <v>197029</v>
      </c>
      <c r="D51" s="22">
        <f>197029</f>
        <v>197029</v>
      </c>
      <c r="E51" s="24" t="s">
        <v>45</v>
      </c>
      <c r="F51" s="24" t="s">
        <v>45</v>
      </c>
      <c r="G51" s="24" t="s">
        <v>45</v>
      </c>
      <c r="H51" s="24" t="s">
        <v>45</v>
      </c>
      <c r="I51" s="24" t="s">
        <v>45</v>
      </c>
      <c r="J51" s="35">
        <f t="shared" si="0"/>
        <v>8.9581527775438568E-5</v>
      </c>
      <c r="K51" s="35">
        <f t="shared" si="1"/>
        <v>100</v>
      </c>
      <c r="L51" s="29"/>
    </row>
    <row r="52" spans="1:26" ht="22.5" outlineLevel="1" x14ac:dyDescent="0.2">
      <c r="B52" s="54" t="s">
        <v>104</v>
      </c>
      <c r="C52" s="24">
        <f>2223466558.5</f>
        <v>2223466558.5</v>
      </c>
      <c r="D52" s="24">
        <f>2256047766.25</f>
        <v>2256047766.25</v>
      </c>
      <c r="E52" s="24" t="s">
        <v>45</v>
      </c>
      <c r="F52" s="24" t="s">
        <v>45</v>
      </c>
      <c r="G52" s="24" t="s">
        <v>45</v>
      </c>
      <c r="H52" s="24" t="s">
        <v>45</v>
      </c>
      <c r="I52" s="24" t="s">
        <v>45</v>
      </c>
      <c r="J52" s="35">
        <f t="shared" si="0"/>
        <v>1.0257383716866071</v>
      </c>
      <c r="K52" s="35">
        <f t="shared" si="1"/>
        <v>101.46533383312857</v>
      </c>
      <c r="L52" s="29"/>
    </row>
    <row r="53" spans="1:26" ht="13.5" customHeight="1" outlineLevel="1" x14ac:dyDescent="0.2">
      <c r="B53" s="82" t="s">
        <v>6</v>
      </c>
      <c r="C53" s="24">
        <f>211700317.54</f>
        <v>211700317.53999999</v>
      </c>
      <c r="D53" s="24">
        <f>218412169.58</f>
        <v>218412169.58000001</v>
      </c>
      <c r="E53" s="24" t="s">
        <v>45</v>
      </c>
      <c r="F53" s="24" t="s">
        <v>45</v>
      </c>
      <c r="G53" s="24" t="s">
        <v>45</v>
      </c>
      <c r="H53" s="24" t="s">
        <v>45</v>
      </c>
      <c r="I53" s="24" t="s">
        <v>45</v>
      </c>
      <c r="J53" s="35">
        <f t="shared" si="0"/>
        <v>9.9303634671670513E-2</v>
      </c>
      <c r="K53" s="35">
        <f t="shared" si="1"/>
        <v>103.1704496799972</v>
      </c>
      <c r="L53" s="29"/>
    </row>
    <row r="54" spans="1:26" s="5" customFormat="1" x14ac:dyDescent="0.2">
      <c r="A54" s="2"/>
      <c r="B54" s="20"/>
      <c r="C54" s="7"/>
      <c r="D54" s="8"/>
      <c r="E54" s="16"/>
      <c r="F54" s="16"/>
      <c r="G54" s="16"/>
      <c r="H54" s="16"/>
      <c r="I54" s="16"/>
      <c r="J54" s="9"/>
      <c r="K54" s="9"/>
      <c r="L54" s="3"/>
    </row>
    <row r="55" spans="1:26" s="5" customFormat="1" ht="13.5" customHeight="1" x14ac:dyDescent="0.2">
      <c r="A55" s="2"/>
      <c r="B55" s="83" t="s">
        <v>5</v>
      </c>
      <c r="C55" s="41">
        <f t="shared" ref="C55:I55" si="5">+C6</f>
        <v>224722716783.26001</v>
      </c>
      <c r="D55" s="41">
        <f t="shared" si="5"/>
        <v>219943781818.39999</v>
      </c>
      <c r="E55" s="41">
        <f t="shared" si="5"/>
        <v>5424847644.4899998</v>
      </c>
      <c r="F55" s="41">
        <f t="shared" si="5"/>
        <v>716666837.39999998</v>
      </c>
      <c r="G55" s="41">
        <f t="shared" si="5"/>
        <v>93304228.709999993</v>
      </c>
      <c r="H55" s="41">
        <f t="shared" si="5"/>
        <v>99368250.010000005</v>
      </c>
      <c r="I55" s="41">
        <f t="shared" si="5"/>
        <v>6544285.8399999999</v>
      </c>
      <c r="J55" s="56">
        <f t="shared" si="0"/>
        <v>100</v>
      </c>
      <c r="K55" s="77">
        <f>IF(C55=0,"",100*D55/C55)</f>
        <v>97.87340815683126</v>
      </c>
      <c r="L55" s="79"/>
    </row>
    <row r="56" spans="1:26" s="5" customFormat="1" ht="13.5" customHeight="1" x14ac:dyDescent="0.2">
      <c r="A56" s="2"/>
      <c r="B56" s="85" t="s">
        <v>57</v>
      </c>
      <c r="C56" s="24">
        <f>37646635606.41</f>
        <v>37646635606.410004</v>
      </c>
      <c r="D56" s="24">
        <f>33023099164.62</f>
        <v>33023099164.619999</v>
      </c>
      <c r="E56" s="24">
        <f>0</f>
        <v>0</v>
      </c>
      <c r="F56" s="24">
        <f>0</f>
        <v>0</v>
      </c>
      <c r="G56" s="24">
        <f>0</f>
        <v>0</v>
      </c>
      <c r="H56" s="24">
        <f>0</f>
        <v>0</v>
      </c>
      <c r="I56" s="24">
        <f>0</f>
        <v>0</v>
      </c>
      <c r="J56" s="38">
        <f t="shared" si="0"/>
        <v>15.014336341586613</v>
      </c>
      <c r="K56" s="78">
        <f>IF(C56=0,"",100*D56/C56)</f>
        <v>87.718593262547046</v>
      </c>
      <c r="L56" s="79"/>
    </row>
    <row r="57" spans="1:26" s="5" customFormat="1" ht="13.5" customHeight="1" x14ac:dyDescent="0.2">
      <c r="A57" s="2"/>
      <c r="B57" s="85" t="s">
        <v>58</v>
      </c>
      <c r="C57" s="24">
        <f>C55-C56</f>
        <v>187076081176.85001</v>
      </c>
      <c r="D57" s="24">
        <f t="shared" ref="D57:I57" si="6">D55-D56</f>
        <v>186920682653.78</v>
      </c>
      <c r="E57" s="24">
        <f t="shared" si="6"/>
        <v>5424847644.4899998</v>
      </c>
      <c r="F57" s="24">
        <f t="shared" si="6"/>
        <v>716666837.39999998</v>
      </c>
      <c r="G57" s="24">
        <f t="shared" si="6"/>
        <v>93304228.709999993</v>
      </c>
      <c r="H57" s="24">
        <f t="shared" si="6"/>
        <v>99368250.010000005</v>
      </c>
      <c r="I57" s="24">
        <f t="shared" si="6"/>
        <v>6544285.8399999999</v>
      </c>
      <c r="J57" s="38">
        <f t="shared" si="0"/>
        <v>84.985663658413387</v>
      </c>
      <c r="K57" s="78">
        <f>IF(C57=0,"",100*D57/C57)</f>
        <v>99.916932981441335</v>
      </c>
      <c r="L57" s="79"/>
    </row>
    <row r="58" spans="1:26" s="5" customFormat="1" ht="13.5" customHeight="1" x14ac:dyDescent="0.2">
      <c r="A58" s="2"/>
      <c r="B58" s="104" t="s">
        <v>91</v>
      </c>
      <c r="C58" s="104"/>
      <c r="D58" s="104"/>
      <c r="E58" s="104"/>
      <c r="F58" s="75"/>
      <c r="G58" s="75"/>
      <c r="H58" s="75"/>
      <c r="I58" s="75"/>
      <c r="J58" s="9"/>
      <c r="K58" s="9"/>
      <c r="L58" s="9"/>
    </row>
    <row r="59" spans="1:26" ht="15" x14ac:dyDescent="0.2">
      <c r="B59" s="90" t="str">
        <f>CONCATENATE("Informacja z wykonania budżetów gmin za ",$D$131," ",$C$132," rok     ",$C$134,"")</f>
        <v xml:space="preserve">Informacja z wykonania budżetów gmin za IV Kwartały 2025 rok     </v>
      </c>
      <c r="C59" s="90"/>
      <c r="D59" s="90"/>
      <c r="E59" s="90"/>
      <c r="F59" s="90"/>
      <c r="G59" s="90"/>
      <c r="H59" s="90"/>
      <c r="I59" s="90"/>
      <c r="J59" s="90"/>
      <c r="K59" s="90"/>
      <c r="L59" s="90"/>
      <c r="M59" s="90"/>
    </row>
    <row r="60" spans="1:26" s="5" customFormat="1" ht="7.5" customHeight="1" x14ac:dyDescent="0.2">
      <c r="B60" s="6"/>
      <c r="C60" s="7"/>
      <c r="D60" s="8"/>
      <c r="E60" s="8"/>
      <c r="F60" s="4"/>
      <c r="G60" s="4"/>
      <c r="H60" s="4"/>
      <c r="I60" s="4"/>
      <c r="J60" s="4"/>
      <c r="K60" s="9"/>
      <c r="L60" s="9"/>
      <c r="M60" s="3"/>
    </row>
    <row r="61" spans="1:26" ht="29.25" customHeight="1" x14ac:dyDescent="0.2">
      <c r="B61" s="114" t="s">
        <v>0</v>
      </c>
      <c r="C61" s="125" t="s">
        <v>41</v>
      </c>
      <c r="D61" s="125" t="s">
        <v>43</v>
      </c>
      <c r="E61" s="125" t="s">
        <v>42</v>
      </c>
      <c r="F61" s="125" t="s">
        <v>12</v>
      </c>
      <c r="G61" s="125"/>
      <c r="H61" s="125"/>
      <c r="I61" s="118" t="s">
        <v>67</v>
      </c>
      <c r="J61" s="125" t="s">
        <v>2</v>
      </c>
      <c r="K61" s="126" t="s">
        <v>18</v>
      </c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</row>
    <row r="62" spans="1:26" ht="18" customHeight="1" x14ac:dyDescent="0.2">
      <c r="B62" s="114"/>
      <c r="C62" s="125"/>
      <c r="D62" s="125"/>
      <c r="E62" s="129"/>
      <c r="F62" s="115" t="s">
        <v>44</v>
      </c>
      <c r="G62" s="130" t="s">
        <v>27</v>
      </c>
      <c r="H62" s="129"/>
      <c r="I62" s="119"/>
      <c r="J62" s="125"/>
      <c r="K62" s="126"/>
      <c r="L62" s="11"/>
      <c r="M62" s="12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</row>
    <row r="63" spans="1:26" ht="57.75" customHeight="1" x14ac:dyDescent="0.2">
      <c r="B63" s="114"/>
      <c r="C63" s="125"/>
      <c r="D63" s="125"/>
      <c r="E63" s="129"/>
      <c r="F63" s="129"/>
      <c r="G63" s="18" t="s">
        <v>39</v>
      </c>
      <c r="H63" s="18" t="s">
        <v>40</v>
      </c>
      <c r="I63" s="120"/>
      <c r="J63" s="125"/>
      <c r="K63" s="126"/>
      <c r="L63" s="11"/>
      <c r="M63" s="10"/>
      <c r="N63" s="2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</row>
    <row r="64" spans="1:26" ht="13.5" customHeight="1" x14ac:dyDescent="0.2">
      <c r="B64" s="114"/>
      <c r="C64" s="121" t="s">
        <v>61</v>
      </c>
      <c r="D64" s="122"/>
      <c r="E64" s="122"/>
      <c r="F64" s="122"/>
      <c r="G64" s="122"/>
      <c r="H64" s="122"/>
      <c r="I64" s="123"/>
      <c r="J64" s="117" t="s">
        <v>4</v>
      </c>
      <c r="K64" s="117"/>
      <c r="N64" s="2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</row>
    <row r="65" spans="2:26" ht="11.25" customHeight="1" x14ac:dyDescent="0.2">
      <c r="B65" s="17">
        <v>1</v>
      </c>
      <c r="C65" s="19">
        <v>2</v>
      </c>
      <c r="D65" s="19">
        <v>3</v>
      </c>
      <c r="E65" s="19">
        <v>4</v>
      </c>
      <c r="F65" s="17">
        <v>5</v>
      </c>
      <c r="G65" s="17">
        <v>6</v>
      </c>
      <c r="H65" s="19">
        <v>7</v>
      </c>
      <c r="I65" s="19">
        <v>8</v>
      </c>
      <c r="J65" s="17">
        <v>9</v>
      </c>
      <c r="K65" s="19">
        <v>10</v>
      </c>
      <c r="M65" s="10"/>
      <c r="N65" s="2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</row>
    <row r="66" spans="2:26" ht="25.5" customHeight="1" x14ac:dyDescent="0.2">
      <c r="B66" s="83" t="s">
        <v>48</v>
      </c>
      <c r="C66" s="57">
        <f>238683811386.59</f>
        <v>238683811386.59</v>
      </c>
      <c r="D66" s="67">
        <f>217469238499.02</f>
        <v>217469238499.01999</v>
      </c>
      <c r="E66" s="67">
        <f>217752247117.16</f>
        <v>217752247117.16</v>
      </c>
      <c r="F66" s="57">
        <f>8994588212.02</f>
        <v>8994588212.0200005</v>
      </c>
      <c r="G66" s="57">
        <f>2088532.71</f>
        <v>2088532.71</v>
      </c>
      <c r="H66" s="57">
        <f>16312632.36</f>
        <v>16312632.359999999</v>
      </c>
      <c r="I66" s="68">
        <f>858591138.85</f>
        <v>858591138.85000002</v>
      </c>
      <c r="J66" s="52">
        <f>IF($D$66=0,"",100*$D66/$D$66)</f>
        <v>100</v>
      </c>
      <c r="K66" s="52">
        <f>IF(C66=0,"",100*D66/C66)</f>
        <v>91.111850961182569</v>
      </c>
      <c r="N66" s="76"/>
    </row>
    <row r="67" spans="2:26" ht="13.5" customHeight="1" x14ac:dyDescent="0.2">
      <c r="B67" s="84" t="s">
        <v>14</v>
      </c>
      <c r="C67" s="26">
        <f>59055203246.06</f>
        <v>59055203246.059998</v>
      </c>
      <c r="D67" s="26">
        <f>49775184094.4099</f>
        <v>49775184094.409897</v>
      </c>
      <c r="E67" s="26">
        <f>49904272790.5599</f>
        <v>49904272790.559898</v>
      </c>
      <c r="F67" s="26">
        <f>785597365.85</f>
        <v>785597365.85000002</v>
      </c>
      <c r="G67" s="26">
        <f>310749.55</f>
        <v>310749.55</v>
      </c>
      <c r="H67" s="26">
        <f>3665356.18</f>
        <v>3665356.18</v>
      </c>
      <c r="I67" s="69">
        <f>790523891.73</f>
        <v>790523891.73000002</v>
      </c>
      <c r="J67" s="52">
        <f t="shared" ref="J67:J75" si="7">IF($D$66=0,"",100*$D67/$D$66)</f>
        <v>22.888379265941193</v>
      </c>
      <c r="K67" s="52">
        <f t="shared" ref="K67:K75" si="8">IF(C67=0,"",100*D67/C67)</f>
        <v>84.285856890570869</v>
      </c>
      <c r="N67" s="60"/>
    </row>
    <row r="68" spans="2:26" ht="13.5" customHeight="1" outlineLevel="1" x14ac:dyDescent="0.2">
      <c r="B68" s="32" t="s">
        <v>13</v>
      </c>
      <c r="C68" s="22">
        <f>57019025902.59</f>
        <v>57019025902.589996</v>
      </c>
      <c r="D68" s="22">
        <f>47858930158.1499</f>
        <v>47858930158.149902</v>
      </c>
      <c r="E68" s="22">
        <f>47988018854.2999</f>
        <v>47988018854.299896</v>
      </c>
      <c r="F68" s="22">
        <f>785597365.85</f>
        <v>785597365.85000002</v>
      </c>
      <c r="G68" s="22">
        <f>310749.55</f>
        <v>310749.55</v>
      </c>
      <c r="H68" s="22">
        <f>3665356.18</f>
        <v>3665356.18</v>
      </c>
      <c r="I68" s="65">
        <f>790523891.73</f>
        <v>790523891.73000002</v>
      </c>
      <c r="J68" s="52">
        <f t="shared" si="7"/>
        <v>22.007218348891019</v>
      </c>
      <c r="K68" s="52">
        <f t="shared" si="8"/>
        <v>83.935018882839231</v>
      </c>
      <c r="N68" s="75"/>
    </row>
    <row r="69" spans="2:26" ht="27" customHeight="1" x14ac:dyDescent="0.2">
      <c r="B69" s="84" t="s">
        <v>49</v>
      </c>
      <c r="C69" s="26">
        <f t="shared" ref="C69:I69" si="9">C66-C67</f>
        <v>179628608140.53</v>
      </c>
      <c r="D69" s="26">
        <f>D66-D67</f>
        <v>167694054404.61011</v>
      </c>
      <c r="E69" s="26">
        <f>E66-E67</f>
        <v>167847974326.6001</v>
      </c>
      <c r="F69" s="26">
        <f t="shared" si="9"/>
        <v>8208990846.1700001</v>
      </c>
      <c r="G69" s="26">
        <f t="shared" si="9"/>
        <v>1777783.16</v>
      </c>
      <c r="H69" s="26">
        <f t="shared" si="9"/>
        <v>12647276.18</v>
      </c>
      <c r="I69" s="69">
        <f t="shared" si="9"/>
        <v>68067247.120000005</v>
      </c>
      <c r="J69" s="52">
        <f t="shared" si="7"/>
        <v>77.111620734058818</v>
      </c>
      <c r="K69" s="52">
        <f t="shared" si="8"/>
        <v>93.355983849419445</v>
      </c>
      <c r="N69" s="60"/>
    </row>
    <row r="70" spans="2:26" ht="22.5" outlineLevel="1" x14ac:dyDescent="0.2">
      <c r="B70" s="32" t="s">
        <v>83</v>
      </c>
      <c r="C70" s="22">
        <f>84156275699.0701</f>
        <v>84156275699.070099</v>
      </c>
      <c r="D70" s="22">
        <f>80736950434.77</f>
        <v>80736950434.770004</v>
      </c>
      <c r="E70" s="22">
        <f>80797826847.31</f>
        <v>80797826847.309998</v>
      </c>
      <c r="F70" s="22">
        <f>6406020824.83</f>
        <v>6406020824.8299999</v>
      </c>
      <c r="G70" s="22">
        <f>439936.57</f>
        <v>439936.57</v>
      </c>
      <c r="H70" s="22">
        <f>4288824.59</f>
        <v>4288824.59</v>
      </c>
      <c r="I70" s="65">
        <f>1642369.88</f>
        <v>1642369.88</v>
      </c>
      <c r="J70" s="52">
        <f t="shared" si="7"/>
        <v>37.125687748768122</v>
      </c>
      <c r="K70" s="52">
        <f t="shared" si="8"/>
        <v>95.936933715404564</v>
      </c>
      <c r="N70" s="75"/>
    </row>
    <row r="71" spans="2:26" ht="13.5" customHeight="1" outlineLevel="1" x14ac:dyDescent="0.2">
      <c r="B71" s="54" t="s">
        <v>38</v>
      </c>
      <c r="C71" s="59">
        <f>17636384735.55</f>
        <v>17636384735.549999</v>
      </c>
      <c r="D71" s="59">
        <f>17032491885.69</f>
        <v>17032491885.690001</v>
      </c>
      <c r="E71" s="59">
        <f>17044244306</f>
        <v>17044244306</v>
      </c>
      <c r="F71" s="59">
        <f>10168451.68</f>
        <v>10168451.68</v>
      </c>
      <c r="G71" s="59">
        <f>0</f>
        <v>0</v>
      </c>
      <c r="H71" s="59">
        <f>67267.76</f>
        <v>67267.759999999995</v>
      </c>
      <c r="I71" s="70">
        <f>1662043.64</f>
        <v>1662043.64</v>
      </c>
      <c r="J71" s="52">
        <f t="shared" si="7"/>
        <v>7.8321384685249429</v>
      </c>
      <c r="K71" s="52">
        <f t="shared" si="8"/>
        <v>96.575869380742631</v>
      </c>
      <c r="N71" s="74"/>
    </row>
    <row r="72" spans="2:26" ht="13.5" customHeight="1" outlineLevel="1" x14ac:dyDescent="0.2">
      <c r="B72" s="54" t="s">
        <v>37</v>
      </c>
      <c r="C72" s="24">
        <f>2792539947.29</f>
        <v>2792539947.29</v>
      </c>
      <c r="D72" s="24">
        <f>2544357882.59</f>
        <v>2544357882.5900002</v>
      </c>
      <c r="E72" s="24">
        <f>2549256304.47</f>
        <v>2549256304.4699998</v>
      </c>
      <c r="F72" s="24">
        <f>42063671.59</f>
        <v>42063671.590000004</v>
      </c>
      <c r="G72" s="24">
        <f>0</f>
        <v>0</v>
      </c>
      <c r="H72" s="24">
        <f>27898.34</f>
        <v>27898.34</v>
      </c>
      <c r="I72" s="71">
        <f>0</f>
        <v>0</v>
      </c>
      <c r="J72" s="52">
        <f t="shared" si="7"/>
        <v>1.1699851896991242</v>
      </c>
      <c r="K72" s="52">
        <f t="shared" si="8"/>
        <v>91.112676295254204</v>
      </c>
      <c r="N72" s="75"/>
    </row>
    <row r="73" spans="2:26" ht="24" customHeight="1" outlineLevel="1" x14ac:dyDescent="0.2">
      <c r="B73" s="54" t="s">
        <v>55</v>
      </c>
      <c r="C73" s="59">
        <f>68029766.74</f>
        <v>68029766.739999995</v>
      </c>
      <c r="D73" s="59">
        <f>1593583.43</f>
        <v>1593583.43</v>
      </c>
      <c r="E73" s="59">
        <f>1633504.55</f>
        <v>1633504.55</v>
      </c>
      <c r="F73" s="59">
        <f>0</f>
        <v>0</v>
      </c>
      <c r="G73" s="59">
        <f>0</f>
        <v>0</v>
      </c>
      <c r="H73" s="59">
        <f>0</f>
        <v>0</v>
      </c>
      <c r="I73" s="70">
        <f>0</f>
        <v>0</v>
      </c>
      <c r="J73" s="52">
        <f t="shared" si="7"/>
        <v>7.3278567626344142E-4</v>
      </c>
      <c r="K73" s="52">
        <f t="shared" si="8"/>
        <v>2.3424796326150097</v>
      </c>
      <c r="N73" s="74"/>
    </row>
    <row r="74" spans="2:26" ht="22.5" outlineLevel="1" x14ac:dyDescent="0.2">
      <c r="B74" s="54" t="s">
        <v>56</v>
      </c>
      <c r="C74" s="59">
        <f>18945103283.01</f>
        <v>18945103283.009998</v>
      </c>
      <c r="D74" s="59">
        <f>18489651292.92</f>
        <v>18489651292.919998</v>
      </c>
      <c r="E74" s="59">
        <f>18493926893.02</f>
        <v>18493926893.02</v>
      </c>
      <c r="F74" s="59">
        <f>248360484.82</f>
        <v>248360484.81999999</v>
      </c>
      <c r="G74" s="59">
        <f>189025.83</f>
        <v>189025.83</v>
      </c>
      <c r="H74" s="59">
        <f>430613.84</f>
        <v>430613.84</v>
      </c>
      <c r="I74" s="72">
        <f>0</f>
        <v>0</v>
      </c>
      <c r="J74" s="52">
        <f t="shared" si="7"/>
        <v>8.5021915837551063</v>
      </c>
      <c r="K74" s="52">
        <f t="shared" si="8"/>
        <v>97.595938204789562</v>
      </c>
      <c r="N74" s="74"/>
    </row>
    <row r="75" spans="2:26" ht="13.5" customHeight="1" outlineLevel="1" x14ac:dyDescent="0.2">
      <c r="B75" s="54" t="s">
        <v>36</v>
      </c>
      <c r="C75" s="24">
        <f t="shared" ref="C75:I75" si="10">C69-C70-C71-C72-C73-C74</f>
        <v>56030274708.869904</v>
      </c>
      <c r="D75" s="24">
        <f>D69-D70-D71-D72-D73-D74</f>
        <v>48889009325.210106</v>
      </c>
      <c r="E75" s="24">
        <f>E69-E70-E71-E72-E73-E74</f>
        <v>48961086471.250092</v>
      </c>
      <c r="F75" s="24">
        <f t="shared" si="10"/>
        <v>1502377413.2500002</v>
      </c>
      <c r="G75" s="24">
        <f t="shared" si="10"/>
        <v>1148820.7599999998</v>
      </c>
      <c r="H75" s="24">
        <f t="shared" si="10"/>
        <v>7832671.6500000004</v>
      </c>
      <c r="I75" s="70">
        <f t="shared" si="10"/>
        <v>64762833.600000001</v>
      </c>
      <c r="J75" s="52">
        <f t="shared" si="7"/>
        <v>22.480884957635247</v>
      </c>
      <c r="K75" s="52">
        <f t="shared" si="8"/>
        <v>87.254630785293486</v>
      </c>
      <c r="N75" s="75"/>
    </row>
    <row r="76" spans="2:26" ht="18" customHeight="1" x14ac:dyDescent="0.2">
      <c r="B76" s="83" t="s">
        <v>15</v>
      </c>
      <c r="C76" s="26">
        <f>C6-C66</f>
        <v>-13961094603.329987</v>
      </c>
      <c r="D76" s="26">
        <f>D6-D66</f>
        <v>2474543319.3800049</v>
      </c>
      <c r="E76" s="80"/>
      <c r="F76" s="60"/>
      <c r="G76" s="60"/>
      <c r="H76" s="60"/>
      <c r="I76" s="81"/>
      <c r="J76" s="28"/>
      <c r="K76" s="28"/>
      <c r="L76" s="13"/>
      <c r="N76" s="60"/>
    </row>
    <row r="77" spans="2:26" ht="25.5" x14ac:dyDescent="0.2">
      <c r="B77" s="86" t="s">
        <v>123</v>
      </c>
      <c r="C77" s="26">
        <f>+C57-C69</f>
        <v>7447473036.3200073</v>
      </c>
      <c r="D77" s="26">
        <f>+D57-D69</f>
        <v>19226628249.169891</v>
      </c>
      <c r="E77" s="80"/>
      <c r="F77" s="60"/>
      <c r="G77" s="60"/>
      <c r="H77" s="60"/>
      <c r="I77" s="60"/>
      <c r="J77" s="28"/>
      <c r="K77" s="28"/>
      <c r="L77" s="13"/>
      <c r="N77" s="60"/>
    </row>
    <row r="78" spans="2:26" outlineLevel="1" x14ac:dyDescent="0.2">
      <c r="B78" s="105"/>
      <c r="C78" s="60"/>
      <c r="D78" s="60"/>
      <c r="E78" s="60"/>
      <c r="F78" s="60"/>
      <c r="G78" s="60"/>
      <c r="H78" s="60"/>
      <c r="I78" s="60"/>
      <c r="J78" s="28"/>
      <c r="K78" s="28"/>
      <c r="L78" s="13"/>
      <c r="N78" s="60"/>
    </row>
    <row r="79" spans="2:26" outlineLevel="1" x14ac:dyDescent="0.2">
      <c r="B79" s="105"/>
      <c r="C79" s="60"/>
      <c r="D79" s="60"/>
      <c r="E79" s="60"/>
      <c r="F79" s="60"/>
      <c r="G79" s="60"/>
      <c r="H79" s="60"/>
      <c r="I79" s="60"/>
      <c r="J79" s="28"/>
      <c r="K79" s="28"/>
      <c r="L79" s="13"/>
      <c r="N79" s="60"/>
    </row>
    <row r="80" spans="2:26" ht="12.75" customHeight="1" outlineLevel="1" x14ac:dyDescent="0.2">
      <c r="B80" s="112" t="s">
        <v>120</v>
      </c>
      <c r="C80" s="113" t="s">
        <v>105</v>
      </c>
      <c r="D80" s="113"/>
      <c r="E80" s="113" t="s">
        <v>106</v>
      </c>
      <c r="F80" s="113"/>
      <c r="G80" s="106" t="s">
        <v>124</v>
      </c>
      <c r="H80" s="60"/>
      <c r="I80" s="28"/>
      <c r="J80" s="28"/>
      <c r="K80" s="13"/>
      <c r="M80" s="60"/>
    </row>
    <row r="81" spans="1:14" outlineLevel="1" x14ac:dyDescent="0.2">
      <c r="B81" s="112"/>
      <c r="C81" s="107" t="s">
        <v>107</v>
      </c>
      <c r="D81" s="107" t="s">
        <v>108</v>
      </c>
      <c r="E81" s="107" t="s">
        <v>107</v>
      </c>
      <c r="F81" s="107" t="s">
        <v>108</v>
      </c>
      <c r="G81" s="107" t="s">
        <v>107</v>
      </c>
      <c r="H81" s="60"/>
      <c r="I81" s="28"/>
      <c r="J81" s="28"/>
      <c r="K81" s="13"/>
      <c r="M81" s="60"/>
    </row>
    <row r="82" spans="1:14" outlineLevel="1" x14ac:dyDescent="0.2">
      <c r="B82" s="110" t="s">
        <v>119</v>
      </c>
      <c r="C82" s="108">
        <f>217</f>
        <v>217</v>
      </c>
      <c r="D82" s="111">
        <f>475148680.7</f>
        <v>475148680.69999999</v>
      </c>
      <c r="E82" s="108">
        <f>2187</f>
        <v>2187</v>
      </c>
      <c r="F82" s="111">
        <f>+-14436243284.03</f>
        <v>-14436243284.030001</v>
      </c>
      <c r="G82" s="108">
        <f>9</f>
        <v>9</v>
      </c>
      <c r="H82" s="60"/>
      <c r="I82" s="28"/>
      <c r="J82" s="28"/>
      <c r="K82" s="13"/>
      <c r="M82" s="60"/>
    </row>
    <row r="83" spans="1:14" outlineLevel="1" x14ac:dyDescent="0.2">
      <c r="B83" s="110" t="s">
        <v>121</v>
      </c>
      <c r="C83" s="108">
        <f>1452</f>
        <v>1452</v>
      </c>
      <c r="D83" s="111">
        <f>6359636737.1</f>
        <v>6359636737.1000004</v>
      </c>
      <c r="E83" s="108">
        <f>961</f>
        <v>961</v>
      </c>
      <c r="F83" s="111">
        <f>+-3885093417.72</f>
        <v>-3885093417.7199998</v>
      </c>
      <c r="G83" s="108">
        <f>0</f>
        <v>0</v>
      </c>
      <c r="H83" s="60"/>
      <c r="I83" s="28"/>
      <c r="J83" s="28"/>
      <c r="K83" s="13"/>
      <c r="M83" s="60"/>
    </row>
    <row r="84" spans="1:14" outlineLevel="1" x14ac:dyDescent="0.2">
      <c r="A84" s="33"/>
      <c r="B84" s="109"/>
      <c r="C84" s="109"/>
      <c r="D84" s="109"/>
      <c r="E84" s="109"/>
      <c r="F84" s="109"/>
      <c r="G84" s="109"/>
      <c r="H84" s="60"/>
      <c r="I84" s="28"/>
      <c r="J84" s="28"/>
      <c r="K84" s="13"/>
      <c r="M84" s="60"/>
    </row>
    <row r="85" spans="1:14" ht="12.75" customHeight="1" outlineLevel="1" x14ac:dyDescent="0.2">
      <c r="A85" s="33"/>
      <c r="B85" s="112" t="s">
        <v>122</v>
      </c>
      <c r="C85" s="113" t="s">
        <v>105</v>
      </c>
      <c r="D85" s="113"/>
      <c r="E85" s="113" t="s">
        <v>106</v>
      </c>
      <c r="F85" s="113"/>
      <c r="G85" s="106" t="s">
        <v>124</v>
      </c>
      <c r="H85" s="60"/>
      <c r="I85" s="28"/>
      <c r="J85" s="28"/>
      <c r="K85" s="13"/>
      <c r="M85" s="60"/>
    </row>
    <row r="86" spans="1:14" outlineLevel="1" x14ac:dyDescent="0.2">
      <c r="A86" s="33"/>
      <c r="B86" s="112"/>
      <c r="C86" s="107" t="s">
        <v>107</v>
      </c>
      <c r="D86" s="107" t="s">
        <v>108</v>
      </c>
      <c r="E86" s="107" t="s">
        <v>107</v>
      </c>
      <c r="F86" s="107" t="s">
        <v>108</v>
      </c>
      <c r="G86" s="107" t="s">
        <v>107</v>
      </c>
      <c r="H86" s="60"/>
      <c r="I86" s="28"/>
      <c r="J86" s="28"/>
      <c r="K86" s="13"/>
      <c r="M86" s="60"/>
    </row>
    <row r="87" spans="1:14" outlineLevel="1" x14ac:dyDescent="0.2">
      <c r="A87" s="33"/>
      <c r="B87" s="110" t="s">
        <v>119</v>
      </c>
      <c r="C87" s="108">
        <f>2023</f>
        <v>2023</v>
      </c>
      <c r="D87" s="111">
        <f>8335656136.37999</f>
        <v>8335656136.3799896</v>
      </c>
      <c r="E87" s="108">
        <f>390</f>
        <v>390</v>
      </c>
      <c r="F87" s="111">
        <f>+-888183100.060001</f>
        <v>-888183100.06000102</v>
      </c>
      <c r="G87" s="108">
        <f>0</f>
        <v>0</v>
      </c>
      <c r="H87" s="60"/>
      <c r="I87" s="28"/>
      <c r="J87" s="28"/>
      <c r="K87" s="13"/>
      <c r="M87" s="60"/>
    </row>
    <row r="88" spans="1:14" outlineLevel="1" x14ac:dyDescent="0.2">
      <c r="A88" s="33"/>
      <c r="B88" s="110" t="s">
        <v>121</v>
      </c>
      <c r="C88" s="108">
        <f>2366</f>
        <v>2366</v>
      </c>
      <c r="D88" s="111">
        <f>19311091922.87</f>
        <v>19311091922.869999</v>
      </c>
      <c r="E88" s="108">
        <f>47</f>
        <v>47</v>
      </c>
      <c r="F88" s="111">
        <f>+-84463673.7</f>
        <v>-84463673.700000003</v>
      </c>
      <c r="G88" s="108">
        <f>0</f>
        <v>0</v>
      </c>
      <c r="H88" s="60"/>
      <c r="I88" s="28"/>
      <c r="J88" s="28"/>
      <c r="K88" s="13"/>
      <c r="M88" s="60"/>
    </row>
    <row r="89" spans="1:14" outlineLevel="1" x14ac:dyDescent="0.2">
      <c r="B89" s="105"/>
      <c r="C89" s="60"/>
      <c r="D89" s="60"/>
      <c r="E89" s="60"/>
      <c r="F89" s="60"/>
      <c r="G89" s="60"/>
      <c r="H89" s="60"/>
      <c r="I89" s="60"/>
      <c r="J89" s="28"/>
      <c r="K89" s="28"/>
      <c r="L89" s="13"/>
      <c r="N89" s="60"/>
    </row>
    <row r="90" spans="1:14" x14ac:dyDescent="0.2">
      <c r="B90" s="105"/>
      <c r="C90" s="60"/>
      <c r="D90" s="60"/>
      <c r="E90" s="60"/>
      <c r="F90" s="60"/>
      <c r="G90" s="60"/>
      <c r="H90" s="60"/>
      <c r="I90" s="60"/>
      <c r="J90" s="28"/>
      <c r="K90" s="28"/>
      <c r="L90" s="13"/>
      <c r="N90" s="60"/>
    </row>
    <row r="91" spans="1:14" ht="14.25" customHeight="1" x14ac:dyDescent="0.2">
      <c r="B91" s="102" t="s">
        <v>92</v>
      </c>
      <c r="C91" s="103"/>
      <c r="D91" s="103"/>
      <c r="E91" s="103"/>
      <c r="F91" s="103"/>
      <c r="G91" s="60"/>
      <c r="H91" s="60"/>
      <c r="I91" s="60"/>
      <c r="J91" s="60"/>
      <c r="K91" s="28"/>
      <c r="L91" s="28"/>
      <c r="M91" s="13"/>
    </row>
    <row r="92" spans="1:14" ht="27" customHeight="1" x14ac:dyDescent="0.2">
      <c r="B92" s="83" t="s">
        <v>88</v>
      </c>
      <c r="C92" s="41">
        <f>11913743594.32</f>
        <v>11913743594.32</v>
      </c>
      <c r="D92" s="41">
        <f>8937675157.67002</f>
        <v>8937675157.6700191</v>
      </c>
      <c r="E92" s="41">
        <f>8955293200.04001</f>
        <v>8955293200.0400105</v>
      </c>
      <c r="F92" s="41">
        <f>136097212.49</f>
        <v>136097212.49000001</v>
      </c>
      <c r="G92" s="41">
        <f>0</f>
        <v>0</v>
      </c>
      <c r="H92" s="41">
        <f>1260769.94</f>
        <v>1260769.94</v>
      </c>
      <c r="I92" s="41">
        <f>91067241.02</f>
        <v>91067241.019999996</v>
      </c>
      <c r="J92" s="61">
        <f>IF($D$92=0,"",100*$D92/$D$92)</f>
        <v>100</v>
      </c>
      <c r="K92" s="61">
        <f>IF(C92=0,"",100*D92/C92)</f>
        <v>75.019871687780395</v>
      </c>
      <c r="L92" s="13"/>
    </row>
    <row r="93" spans="1:14" ht="15" customHeight="1" x14ac:dyDescent="0.2">
      <c r="B93" s="87" t="s">
        <v>59</v>
      </c>
      <c r="C93" s="22">
        <f>9642739020.95002</f>
        <v>9642739020.9500198</v>
      </c>
      <c r="D93" s="22">
        <f>7442566295.13</f>
        <v>7442566295.1300001</v>
      </c>
      <c r="E93" s="22">
        <f>7454763003.73</f>
        <v>7454763003.7299995</v>
      </c>
      <c r="F93" s="22">
        <f>114460926.84</f>
        <v>114460926.84</v>
      </c>
      <c r="G93" s="22">
        <f>0</f>
        <v>0</v>
      </c>
      <c r="H93" s="22">
        <f>1260469.94</f>
        <v>1260469.94</v>
      </c>
      <c r="I93" s="22">
        <f>89837334.78</f>
        <v>89837334.780000001</v>
      </c>
      <c r="J93" s="61">
        <f>IF($D$92=0,"",100*$D93/$D$92)</f>
        <v>83.271837069878671</v>
      </c>
      <c r="K93" s="61">
        <f>IF(C93=0,"",100*D93/C93)</f>
        <v>77.183114454929481</v>
      </c>
      <c r="L93" s="13"/>
    </row>
    <row r="94" spans="1:14" ht="14.25" customHeight="1" x14ac:dyDescent="0.2">
      <c r="B94" s="88" t="s">
        <v>60</v>
      </c>
      <c r="C94" s="22">
        <f>+C92-C93</f>
        <v>2271004573.3699799</v>
      </c>
      <c r="D94" s="22">
        <f t="shared" ref="D94:I94" si="11">+D92-D93</f>
        <v>1495108862.540019</v>
      </c>
      <c r="E94" s="22">
        <f t="shared" si="11"/>
        <v>1500530196.3100109</v>
      </c>
      <c r="F94" s="22">
        <f t="shared" si="11"/>
        <v>21636285.650000006</v>
      </c>
      <c r="G94" s="22">
        <f t="shared" si="11"/>
        <v>0</v>
      </c>
      <c r="H94" s="22">
        <f t="shared" si="11"/>
        <v>300</v>
      </c>
      <c r="I94" s="22">
        <f t="shared" si="11"/>
        <v>1229906.2399999946</v>
      </c>
      <c r="J94" s="61">
        <f>IF($D$92=0,"",100*$D94/$D$92)</f>
        <v>16.728162930121325</v>
      </c>
      <c r="K94" s="61">
        <f>IF(C94=0,"",100*D94/C94)</f>
        <v>65.834691839541435</v>
      </c>
      <c r="L94" s="10"/>
    </row>
    <row r="95" spans="1:14" ht="15" x14ac:dyDescent="0.2">
      <c r="B95" s="90" t="str">
        <f>CONCATENATE("Informacja z wykonania budżetów gmin za ",$D$131," ",$C$132," rok     ",$C$134,"")</f>
        <v xml:space="preserve">Informacja z wykonania budżetów gmin za IV Kwartały 2025 rok     </v>
      </c>
      <c r="C95" s="90"/>
      <c r="D95" s="90"/>
      <c r="E95" s="90"/>
      <c r="F95" s="90"/>
      <c r="G95" s="90"/>
      <c r="H95" s="90"/>
      <c r="I95" s="90"/>
      <c r="J95" s="90"/>
      <c r="K95" s="90"/>
      <c r="L95" s="90"/>
      <c r="M95" s="90"/>
    </row>
    <row r="97" spans="2:13" ht="18" customHeight="1" x14ac:dyDescent="0.2">
      <c r="B97" s="40" t="s">
        <v>16</v>
      </c>
      <c r="C97" s="66" t="s">
        <v>17</v>
      </c>
      <c r="D97" s="66" t="s">
        <v>1</v>
      </c>
      <c r="E97" s="131" t="s">
        <v>45</v>
      </c>
      <c r="F97" s="132"/>
      <c r="G97" s="132"/>
      <c r="H97" s="132"/>
      <c r="I97" s="133"/>
      <c r="J97" s="19" t="s">
        <v>22</v>
      </c>
      <c r="K97" s="19" t="s">
        <v>23</v>
      </c>
    </row>
    <row r="98" spans="2:13" ht="13.5" customHeight="1" x14ac:dyDescent="0.2">
      <c r="B98" s="40"/>
      <c r="C98" s="115" t="s">
        <v>61</v>
      </c>
      <c r="D98" s="116"/>
      <c r="E98" s="134"/>
      <c r="F98" s="135"/>
      <c r="G98" s="135"/>
      <c r="H98" s="135"/>
      <c r="I98" s="136"/>
      <c r="J98" s="115" t="s">
        <v>4</v>
      </c>
      <c r="K98" s="124"/>
      <c r="M98" s="14"/>
    </row>
    <row r="99" spans="2:13" ht="11.25" customHeight="1" x14ac:dyDescent="0.2">
      <c r="B99" s="39">
        <v>1</v>
      </c>
      <c r="C99" s="42">
        <v>2</v>
      </c>
      <c r="D99" s="42">
        <v>3</v>
      </c>
      <c r="E99" s="137"/>
      <c r="F99" s="138"/>
      <c r="G99" s="138"/>
      <c r="H99" s="138"/>
      <c r="I99" s="139"/>
      <c r="J99" s="31">
        <v>4</v>
      </c>
      <c r="K99" s="31">
        <v>5</v>
      </c>
      <c r="M99" s="10"/>
    </row>
    <row r="100" spans="2:13" ht="27" customHeight="1" x14ac:dyDescent="0.2">
      <c r="B100" s="89" t="s">
        <v>50</v>
      </c>
      <c r="C100" s="43">
        <f>21223362979.28</f>
        <v>21223362979.279999</v>
      </c>
      <c r="D100" s="43">
        <f>29895444110.41</f>
        <v>29895444110.41</v>
      </c>
      <c r="E100" s="43" t="s">
        <v>45</v>
      </c>
      <c r="F100" s="43" t="s">
        <v>45</v>
      </c>
      <c r="G100" s="43" t="s">
        <v>45</v>
      </c>
      <c r="H100" s="43" t="s">
        <v>45</v>
      </c>
      <c r="I100" s="43" t="s">
        <v>45</v>
      </c>
      <c r="J100" s="37">
        <f t="shared" ref="J100:J110" si="12">IF($D$100=0,"",100*$D100/$D$100)</f>
        <v>100</v>
      </c>
      <c r="K100" s="36">
        <f t="shared" ref="K100:K115" si="13">IF(C100=0,"",100*D100/C100)</f>
        <v>140.86101311840355</v>
      </c>
    </row>
    <row r="101" spans="2:13" ht="36" customHeight="1" x14ac:dyDescent="0.2">
      <c r="B101" s="97" t="s">
        <v>89</v>
      </c>
      <c r="C101" s="44">
        <f>9500341237.82</f>
        <v>9500341237.8199997</v>
      </c>
      <c r="D101" s="44">
        <f>7453544717.31</f>
        <v>7453544717.3100004</v>
      </c>
      <c r="E101" s="43" t="s">
        <v>45</v>
      </c>
      <c r="F101" s="43" t="s">
        <v>45</v>
      </c>
      <c r="G101" s="43" t="s">
        <v>45</v>
      </c>
      <c r="H101" s="43" t="s">
        <v>45</v>
      </c>
      <c r="I101" s="43" t="s">
        <v>45</v>
      </c>
      <c r="J101" s="50">
        <f t="shared" si="12"/>
        <v>24.932042119135385</v>
      </c>
      <c r="K101" s="51">
        <f t="shared" si="13"/>
        <v>78.455547340111451</v>
      </c>
    </row>
    <row r="102" spans="2:13" ht="22.5" x14ac:dyDescent="0.2">
      <c r="B102" s="98" t="s">
        <v>68</v>
      </c>
      <c r="C102" s="62">
        <f>256198354.47</f>
        <v>256198354.47</v>
      </c>
      <c r="D102" s="62">
        <f>206375000</f>
        <v>206375000</v>
      </c>
      <c r="E102" s="43" t="s">
        <v>45</v>
      </c>
      <c r="F102" s="43" t="s">
        <v>45</v>
      </c>
      <c r="G102" s="43" t="s">
        <v>45</v>
      </c>
      <c r="H102" s="43" t="s">
        <v>45</v>
      </c>
      <c r="I102" s="43" t="s">
        <v>45</v>
      </c>
      <c r="J102" s="63">
        <f t="shared" si="12"/>
        <v>0.69032257636921146</v>
      </c>
      <c r="K102" s="58">
        <f t="shared" si="13"/>
        <v>80.552820265739001</v>
      </c>
    </row>
    <row r="103" spans="2:13" ht="13.5" customHeight="1" x14ac:dyDescent="0.2">
      <c r="B103" s="99" t="s">
        <v>69</v>
      </c>
      <c r="C103" s="62">
        <f>159039131.78</f>
        <v>159039131.78</v>
      </c>
      <c r="D103" s="62">
        <f>183444679.58</f>
        <v>183444679.58000001</v>
      </c>
      <c r="E103" s="43" t="s">
        <v>45</v>
      </c>
      <c r="F103" s="43" t="s">
        <v>45</v>
      </c>
      <c r="G103" s="43" t="s">
        <v>45</v>
      </c>
      <c r="H103" s="43" t="s">
        <v>45</v>
      </c>
      <c r="I103" s="43" t="s">
        <v>45</v>
      </c>
      <c r="J103" s="63">
        <f t="shared" si="12"/>
        <v>0.61362085441012759</v>
      </c>
      <c r="K103" s="58">
        <f t="shared" si="13"/>
        <v>115.34562439246737</v>
      </c>
    </row>
    <row r="104" spans="2:13" ht="50.1" customHeight="1" x14ac:dyDescent="0.2">
      <c r="B104" s="99" t="s">
        <v>84</v>
      </c>
      <c r="C104" s="62">
        <f>2524745813.69</f>
        <v>2524745813.6900001</v>
      </c>
      <c r="D104" s="62">
        <f>6528326733.17</f>
        <v>6528326733.1700001</v>
      </c>
      <c r="E104" s="43" t="s">
        <v>45</v>
      </c>
      <c r="F104" s="43" t="s">
        <v>45</v>
      </c>
      <c r="G104" s="43" t="s">
        <v>45</v>
      </c>
      <c r="H104" s="43" t="s">
        <v>45</v>
      </c>
      <c r="I104" s="43" t="s">
        <v>45</v>
      </c>
      <c r="J104" s="63">
        <f t="shared" si="12"/>
        <v>21.837196025787581</v>
      </c>
      <c r="K104" s="58">
        <f t="shared" si="13"/>
        <v>258.57362344245786</v>
      </c>
    </row>
    <row r="105" spans="2:13" ht="35.1" customHeight="1" x14ac:dyDescent="0.2">
      <c r="B105" s="99" t="s">
        <v>99</v>
      </c>
      <c r="C105" s="62">
        <f>2227221950.14</f>
        <v>2227221950.1399999</v>
      </c>
      <c r="D105" s="62">
        <f>2700510720.53</f>
        <v>2700510720.5300002</v>
      </c>
      <c r="E105" s="43" t="s">
        <v>45</v>
      </c>
      <c r="F105" s="43" t="s">
        <v>45</v>
      </c>
      <c r="G105" s="43" t="s">
        <v>45</v>
      </c>
      <c r="H105" s="43" t="s">
        <v>45</v>
      </c>
      <c r="I105" s="43" t="s">
        <v>45</v>
      </c>
      <c r="J105" s="63">
        <f t="shared" si="12"/>
        <v>9.0331848242710855</v>
      </c>
      <c r="K105" s="58">
        <f t="shared" si="13"/>
        <v>121.25018435456109</v>
      </c>
    </row>
    <row r="106" spans="2:13" ht="13.5" customHeight="1" x14ac:dyDescent="0.2">
      <c r="B106" s="99" t="s">
        <v>70</v>
      </c>
      <c r="C106" s="62">
        <f>0</f>
        <v>0</v>
      </c>
      <c r="D106" s="62">
        <f>0</f>
        <v>0</v>
      </c>
      <c r="E106" s="43" t="s">
        <v>45</v>
      </c>
      <c r="F106" s="43" t="s">
        <v>45</v>
      </c>
      <c r="G106" s="43" t="s">
        <v>45</v>
      </c>
      <c r="H106" s="43" t="s">
        <v>45</v>
      </c>
      <c r="I106" s="43" t="s">
        <v>45</v>
      </c>
      <c r="J106" s="63">
        <f t="shared" si="12"/>
        <v>0</v>
      </c>
      <c r="K106" s="58" t="str">
        <f t="shared" si="13"/>
        <v/>
      </c>
    </row>
    <row r="107" spans="2:13" ht="35.1" customHeight="1" x14ac:dyDescent="0.2">
      <c r="B107" s="99" t="s">
        <v>78</v>
      </c>
      <c r="C107" s="62">
        <f>6296394216.71</f>
        <v>6296394216.71</v>
      </c>
      <c r="D107" s="62">
        <f>12484137158.36</f>
        <v>12484137158.360001</v>
      </c>
      <c r="E107" s="43" t="s">
        <v>45</v>
      </c>
      <c r="F107" s="43" t="s">
        <v>45</v>
      </c>
      <c r="G107" s="43" t="s">
        <v>45</v>
      </c>
      <c r="H107" s="43" t="s">
        <v>45</v>
      </c>
      <c r="I107" s="43" t="s">
        <v>45</v>
      </c>
      <c r="J107" s="63">
        <f t="shared" si="12"/>
        <v>41.759329991063268</v>
      </c>
      <c r="K107" s="58">
        <f t="shared" si="13"/>
        <v>198.27438893880483</v>
      </c>
    </row>
    <row r="108" spans="2:13" ht="56.25" x14ac:dyDescent="0.2">
      <c r="B108" s="99" t="s">
        <v>100</v>
      </c>
      <c r="C108" s="62">
        <f>0</f>
        <v>0</v>
      </c>
      <c r="D108" s="62">
        <f>0</f>
        <v>0</v>
      </c>
      <c r="E108" s="43" t="s">
        <v>45</v>
      </c>
      <c r="F108" s="43" t="s">
        <v>45</v>
      </c>
      <c r="G108" s="43" t="s">
        <v>45</v>
      </c>
      <c r="H108" s="43" t="s">
        <v>45</v>
      </c>
      <c r="I108" s="43" t="s">
        <v>45</v>
      </c>
      <c r="J108" s="63"/>
      <c r="K108" s="58"/>
    </row>
    <row r="109" spans="2:13" x14ac:dyDescent="0.2">
      <c r="B109" s="99" t="s">
        <v>94</v>
      </c>
      <c r="C109" s="62">
        <f>515620629.14</f>
        <v>515620629.13999999</v>
      </c>
      <c r="D109" s="62">
        <f>545480101.46</f>
        <v>545480101.46000004</v>
      </c>
      <c r="E109" s="43" t="s">
        <v>45</v>
      </c>
      <c r="F109" s="43" t="s">
        <v>45</v>
      </c>
      <c r="G109" s="43" t="s">
        <v>45</v>
      </c>
      <c r="H109" s="43" t="s">
        <v>45</v>
      </c>
      <c r="I109" s="43" t="s">
        <v>45</v>
      </c>
      <c r="J109" s="63"/>
      <c r="K109" s="58"/>
    </row>
    <row r="110" spans="2:13" ht="22.5" x14ac:dyDescent="0.2">
      <c r="B110" s="98" t="s">
        <v>95</v>
      </c>
      <c r="C110" s="62">
        <f>501182461.89</f>
        <v>501182461.88999999</v>
      </c>
      <c r="D110" s="62">
        <f>530205245.41</f>
        <v>530205245.41000003</v>
      </c>
      <c r="E110" s="43" t="s">
        <v>45</v>
      </c>
      <c r="F110" s="43" t="s">
        <v>45</v>
      </c>
      <c r="G110" s="43" t="s">
        <v>45</v>
      </c>
      <c r="H110" s="43" t="s">
        <v>45</v>
      </c>
      <c r="I110" s="43" t="s">
        <v>45</v>
      </c>
      <c r="J110" s="63">
        <f t="shared" si="12"/>
        <v>1.7735319249710537</v>
      </c>
      <c r="K110" s="58">
        <f t="shared" si="13"/>
        <v>105.79086175732341</v>
      </c>
    </row>
    <row r="111" spans="2:13" ht="27" customHeight="1" x14ac:dyDescent="0.2">
      <c r="B111" s="89" t="s">
        <v>51</v>
      </c>
      <c r="C111" s="49">
        <f>7255117184.22</f>
        <v>7255117184.2200003</v>
      </c>
      <c r="D111" s="49">
        <f>6996102279.71</f>
        <v>6996102279.71</v>
      </c>
      <c r="E111" s="43" t="s">
        <v>45</v>
      </c>
      <c r="F111" s="43" t="s">
        <v>45</v>
      </c>
      <c r="G111" s="43" t="s">
        <v>45</v>
      </c>
      <c r="H111" s="43" t="s">
        <v>45</v>
      </c>
      <c r="I111" s="43" t="s">
        <v>45</v>
      </c>
      <c r="J111" s="37">
        <f t="shared" ref="J111:J116" si="14">IF($D$111=0,"",100*$D111/$D$111)</f>
        <v>100</v>
      </c>
      <c r="K111" s="36">
        <f t="shared" si="13"/>
        <v>96.429900469790311</v>
      </c>
    </row>
    <row r="112" spans="2:13" ht="36" customHeight="1" x14ac:dyDescent="0.2">
      <c r="B112" s="97" t="s">
        <v>86</v>
      </c>
      <c r="C112" s="44">
        <f>6309222208.86</f>
        <v>6309222208.8599997</v>
      </c>
      <c r="D112" s="48">
        <f>6198388983.28</f>
        <v>6198388983.2799997</v>
      </c>
      <c r="E112" s="43" t="s">
        <v>45</v>
      </c>
      <c r="F112" s="43" t="s">
        <v>45</v>
      </c>
      <c r="G112" s="43" t="s">
        <v>45</v>
      </c>
      <c r="H112" s="43" t="s">
        <v>45</v>
      </c>
      <c r="I112" s="43" t="s">
        <v>45</v>
      </c>
      <c r="J112" s="50">
        <f t="shared" si="14"/>
        <v>88.597746794761463</v>
      </c>
      <c r="K112" s="51">
        <f t="shared" si="13"/>
        <v>98.243313963100604</v>
      </c>
    </row>
    <row r="113" spans="2:11" ht="13.5" customHeight="1" x14ac:dyDescent="0.2">
      <c r="B113" s="98" t="s">
        <v>71</v>
      </c>
      <c r="C113" s="62">
        <f>190718766.16</f>
        <v>190718766.16</v>
      </c>
      <c r="D113" s="62">
        <f>189984763.16</f>
        <v>189984763.16</v>
      </c>
      <c r="E113" s="43" t="s">
        <v>45</v>
      </c>
      <c r="F113" s="43" t="s">
        <v>45</v>
      </c>
      <c r="G113" s="43" t="s">
        <v>45</v>
      </c>
      <c r="H113" s="43" t="s">
        <v>45</v>
      </c>
      <c r="I113" s="43" t="s">
        <v>45</v>
      </c>
      <c r="J113" s="63">
        <f t="shared" si="14"/>
        <v>2.7155801268227768</v>
      </c>
      <c r="K113" s="58">
        <f t="shared" si="13"/>
        <v>99.615138554648468</v>
      </c>
    </row>
    <row r="114" spans="2:11" ht="13.5" customHeight="1" x14ac:dyDescent="0.2">
      <c r="B114" s="99" t="s">
        <v>72</v>
      </c>
      <c r="C114" s="62">
        <f>123587797.51</f>
        <v>123587797.51000001</v>
      </c>
      <c r="D114" s="62">
        <f>117491074.46</f>
        <v>117491074.45999999</v>
      </c>
      <c r="E114" s="43" t="s">
        <v>45</v>
      </c>
      <c r="F114" s="43" t="s">
        <v>45</v>
      </c>
      <c r="G114" s="43" t="s">
        <v>45</v>
      </c>
      <c r="H114" s="43" t="s">
        <v>45</v>
      </c>
      <c r="I114" s="43" t="s">
        <v>45</v>
      </c>
      <c r="J114" s="63">
        <f t="shared" si="14"/>
        <v>1.6793790279588394</v>
      </c>
      <c r="K114" s="58">
        <f t="shared" si="13"/>
        <v>95.066889148577403</v>
      </c>
    </row>
    <row r="115" spans="2:11" ht="13.5" customHeight="1" x14ac:dyDescent="0.2">
      <c r="B115" s="99" t="s">
        <v>98</v>
      </c>
      <c r="C115" s="62">
        <f>822307177.85</f>
        <v>822307177.85000002</v>
      </c>
      <c r="D115" s="62">
        <f>680222221.97</f>
        <v>680222221.97000003</v>
      </c>
      <c r="E115" s="43" t="s">
        <v>45</v>
      </c>
      <c r="F115" s="43" t="s">
        <v>45</v>
      </c>
      <c r="G115" s="43" t="s">
        <v>45</v>
      </c>
      <c r="H115" s="43" t="s">
        <v>45</v>
      </c>
      <c r="I115" s="43" t="s">
        <v>45</v>
      </c>
      <c r="J115" s="63">
        <f t="shared" si="14"/>
        <v>9.7228741772796994</v>
      </c>
      <c r="K115" s="58">
        <f t="shared" si="13"/>
        <v>82.721182581490467</v>
      </c>
    </row>
    <row r="116" spans="2:11" ht="22.5" x14ac:dyDescent="0.2">
      <c r="B116" s="98" t="s">
        <v>96</v>
      </c>
      <c r="C116" s="62">
        <f>682248135.53</f>
        <v>682248135.52999997</v>
      </c>
      <c r="D116" s="62">
        <f>645231049.81</f>
        <v>645231049.80999994</v>
      </c>
      <c r="E116" s="43" t="s">
        <v>45</v>
      </c>
      <c r="F116" s="43" t="s">
        <v>45</v>
      </c>
      <c r="G116" s="43" t="s">
        <v>45</v>
      </c>
      <c r="H116" s="43" t="s">
        <v>45</v>
      </c>
      <c r="I116" s="43" t="s">
        <v>45</v>
      </c>
      <c r="J116" s="63">
        <f t="shared" si="14"/>
        <v>9.222721795838952</v>
      </c>
      <c r="K116" s="58">
        <f>IF(C116=0,"",100*D116/C116)</f>
        <v>94.574248899743267</v>
      </c>
    </row>
    <row r="117" spans="2:11" ht="7.5" customHeight="1" x14ac:dyDescent="0.2"/>
    <row r="118" spans="2:11" x14ac:dyDescent="0.2">
      <c r="B118" s="40" t="s">
        <v>16</v>
      </c>
      <c r="C118" s="66" t="s">
        <v>17</v>
      </c>
      <c r="D118" s="19" t="s">
        <v>1</v>
      </c>
    </row>
    <row r="119" spans="2:11" x14ac:dyDescent="0.2">
      <c r="B119" s="40"/>
      <c r="C119" s="115" t="s">
        <v>61</v>
      </c>
      <c r="D119" s="116"/>
    </row>
    <row r="120" spans="2:11" x14ac:dyDescent="0.2">
      <c r="B120" s="39">
        <v>1</v>
      </c>
      <c r="C120" s="42">
        <v>2</v>
      </c>
      <c r="D120" s="31">
        <v>3</v>
      </c>
    </row>
    <row r="121" spans="2:11" ht="37.5" customHeight="1" x14ac:dyDescent="0.2">
      <c r="B121" s="100" t="s">
        <v>97</v>
      </c>
      <c r="C121" s="47">
        <f>14438470679.03</f>
        <v>14438470679.030001</v>
      </c>
      <c r="D121" s="27">
        <f>3877263699.56</f>
        <v>3877263699.5599999</v>
      </c>
    </row>
    <row r="122" spans="2:11" ht="36" customHeight="1" x14ac:dyDescent="0.2">
      <c r="B122" s="101" t="s">
        <v>63</v>
      </c>
      <c r="C122" s="48">
        <f>206715302.09</f>
        <v>206715302.09</v>
      </c>
      <c r="D122" s="73">
        <f>80699476.6</f>
        <v>80699476.599999994</v>
      </c>
    </row>
    <row r="123" spans="2:11" ht="13.5" customHeight="1" x14ac:dyDescent="0.2">
      <c r="B123" s="101" t="s">
        <v>64</v>
      </c>
      <c r="C123" s="48">
        <f>5536652275.61</f>
        <v>5536652275.6099997</v>
      </c>
      <c r="D123" s="73">
        <f>1919724953.44</f>
        <v>1919724953.4400001</v>
      </c>
    </row>
    <row r="124" spans="2:11" ht="25.5" customHeight="1" x14ac:dyDescent="0.2">
      <c r="B124" s="101" t="s">
        <v>65</v>
      </c>
      <c r="C124" s="48">
        <f>0</f>
        <v>0</v>
      </c>
      <c r="D124" s="73">
        <f>0</f>
        <v>0</v>
      </c>
    </row>
    <row r="125" spans="2:11" ht="57.95" customHeight="1" x14ac:dyDescent="0.2">
      <c r="B125" s="101" t="s">
        <v>82</v>
      </c>
      <c r="C125" s="48">
        <f>2111206173.76</f>
        <v>2111206173.76</v>
      </c>
      <c r="D125" s="73">
        <f>314132023.77</f>
        <v>314132023.76999998</v>
      </c>
    </row>
    <row r="126" spans="2:11" ht="81.95" customHeight="1" x14ac:dyDescent="0.2">
      <c r="B126" s="101" t="s">
        <v>66</v>
      </c>
      <c r="C126" s="48">
        <f>4342278267.15</f>
        <v>4342278267.1499996</v>
      </c>
      <c r="D126" s="73">
        <f>763218474.48</f>
        <v>763218474.48000002</v>
      </c>
    </row>
    <row r="127" spans="2:11" ht="150.94999999999999" customHeight="1" x14ac:dyDescent="0.2">
      <c r="B127" s="96" t="s">
        <v>87</v>
      </c>
      <c r="C127" s="48">
        <f>1963190903.12</f>
        <v>1963190903.1199999</v>
      </c>
      <c r="D127" s="73">
        <f>730568325.94</f>
        <v>730568325.94000006</v>
      </c>
    </row>
    <row r="128" spans="2:11" ht="22.5" x14ac:dyDescent="0.2">
      <c r="B128" s="96" t="s">
        <v>81</v>
      </c>
      <c r="C128" s="48">
        <f>54204551.55</f>
        <v>54204551.549999997</v>
      </c>
      <c r="D128" s="73">
        <f>7228543.47</f>
        <v>7228543.4699999997</v>
      </c>
    </row>
    <row r="129" spans="2:4" ht="22.5" x14ac:dyDescent="0.2">
      <c r="B129" s="96" t="s">
        <v>95</v>
      </c>
      <c r="C129" s="48">
        <f>224223205.75</f>
        <v>224223205.75</v>
      </c>
      <c r="D129" s="73">
        <f>61691901.86</f>
        <v>61691901.859999999</v>
      </c>
    </row>
    <row r="130" spans="2:4" ht="28.5" customHeight="1" x14ac:dyDescent="0.2"/>
    <row r="131" spans="2:4" x14ac:dyDescent="0.2">
      <c r="B131" s="64" t="s">
        <v>52</v>
      </c>
      <c r="C131" s="33">
        <f>4</f>
        <v>4</v>
      </c>
      <c r="D131" s="33" t="str">
        <f>IF(C131=1,"I Kwartał",IF(C131=2,"II Kwartały",IF(C131=3,"III Kwartały",IF(C131=4,"IV Kwartały",IF(C131="M1","Styczeń",IF(C131="M11","Listopad",IF(C131="M12","Grudzień","-")))))))</f>
        <v>IV Kwartały</v>
      </c>
    </row>
    <row r="132" spans="2:4" x14ac:dyDescent="0.2">
      <c r="B132" s="64" t="s">
        <v>53</v>
      </c>
      <c r="C132" s="91">
        <f>2025</f>
        <v>2025</v>
      </c>
    </row>
    <row r="133" spans="2:4" x14ac:dyDescent="0.2">
      <c r="B133" s="64" t="s">
        <v>54</v>
      </c>
      <c r="C133" s="127" t="str">
        <f>"Mar 18 2026 12:00AM"</f>
        <v>Mar 18 2026 12:00AM</v>
      </c>
      <c r="D133" s="128"/>
    </row>
    <row r="134" spans="2:4" hidden="1" x14ac:dyDescent="0.2">
      <c r="B134" s="1" t="s">
        <v>93</v>
      </c>
      <c r="C134" s="1" t="str">
        <f>""</f>
        <v/>
      </c>
    </row>
  </sheetData>
  <mergeCells count="26">
    <mergeCell ref="C133:D133"/>
    <mergeCell ref="D61:D63"/>
    <mergeCell ref="E61:E63"/>
    <mergeCell ref="F62:F63"/>
    <mergeCell ref="F61:H61"/>
    <mergeCell ref="G62:H62"/>
    <mergeCell ref="E97:I99"/>
    <mergeCell ref="C61:C63"/>
    <mergeCell ref="C64:I64"/>
    <mergeCell ref="B3:B4"/>
    <mergeCell ref="C119:D119"/>
    <mergeCell ref="B61:B64"/>
    <mergeCell ref="C98:D98"/>
    <mergeCell ref="J4:L4"/>
    <mergeCell ref="I61:I63"/>
    <mergeCell ref="J64:K64"/>
    <mergeCell ref="C4:I4"/>
    <mergeCell ref="J98:K98"/>
    <mergeCell ref="J61:J63"/>
    <mergeCell ref="K61:K63"/>
    <mergeCell ref="B80:B81"/>
    <mergeCell ref="C80:D80"/>
    <mergeCell ref="E80:F80"/>
    <mergeCell ref="B85:B86"/>
    <mergeCell ref="C85:D85"/>
    <mergeCell ref="E85:F85"/>
  </mergeCells>
  <phoneticPr fontId="0" type="noConversion"/>
  <printOptions horizontalCentered="1"/>
  <pageMargins left="0" right="0" top="0" bottom="0" header="0" footer="0"/>
  <pageSetup paperSize="9" scale="95" orientation="landscape" useFirstPageNumber="1" r:id="rId1"/>
  <headerFooter alignWithMargins="0">
    <oddFooter>&amp;RStrona &amp;P z &amp;N</oddFooter>
  </headerFooter>
  <rowBreaks count="5" manualBreakCount="5">
    <brk id="25" max="16383" man="1"/>
    <brk id="53" min="1" max="11" man="1"/>
    <brk id="58" max="16383" man="1"/>
    <brk id="94" max="16383" man="1"/>
    <brk id="11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doch_wyd</vt:lpstr>
      <vt:lpstr>doch_wyd!Obszar_wydruku</vt:lpstr>
    </vt:vector>
  </TitlesOfParts>
  <Company>Min. Fin.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2025-02-07T08:52:30Z</cp:lastPrinted>
  <dcterms:created xsi:type="dcterms:W3CDTF">2001-05-17T08:58:03Z</dcterms:created>
  <dcterms:modified xsi:type="dcterms:W3CDTF">2026-03-25T10:14:08Z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UxC4dwLulzfINJ8nQH+xvX5LNGipWa4BRSZhPgxsCvk7M1oCNyvPTX/IYTk7NheEi2D6He/Paz9ay8OzXVpSqA==</vt:lpwstr>
  </property>
  <property fmtid="{D5CDD505-2E9C-101B-9397-08002B2CF9AE}" pid="4" name="MFClassificationDate">
    <vt:lpwstr>2022-06-01T15:11:49.7443772+02:00</vt:lpwstr>
  </property>
  <property fmtid="{D5CDD505-2E9C-101B-9397-08002B2CF9AE}" pid="5" name="MFClassifiedBySID">
    <vt:lpwstr>UxC4dwLulzfINJ8nQH+xvX5LNGipWa4BRSZhPgxsCvm42mrIC/DSDv0ggS+FjUN/2v1BBotkLlY5aAiEhoi6uT6l/lYoTwrNwDVvKCDJdoy+W2nzAk+kqrZcOJSg0aUa</vt:lpwstr>
  </property>
  <property fmtid="{D5CDD505-2E9C-101B-9397-08002B2CF9AE}" pid="6" name="MFGRNItemId">
    <vt:lpwstr>GRN-a157e64f-b2d8-4344-b63a-be4ab8451fe4</vt:lpwstr>
  </property>
  <property fmtid="{D5CDD505-2E9C-101B-9397-08002B2CF9AE}" pid="7" name="MFHash">
    <vt:lpwstr>lKoZPOlwMDvHqF38lv0pfu8g3MmyOnNc8oYSPpdBgYA=</vt:lpwstr>
  </property>
  <property fmtid="{D5CDD505-2E9C-101B-9397-08002B2CF9AE}" pid="8" name="MFVisualMarkingsSettings">
    <vt:lpwstr>HeaderAlignment=1;FooterAlignment=1</vt:lpwstr>
  </property>
  <property fmtid="{D5CDD505-2E9C-101B-9397-08002B2CF9AE}" pid="9" name="DLPManualFileClassification">
    <vt:lpwstr>{2755b7d9-e53d-4779-a40c-03797dcf43b3}</vt:lpwstr>
  </property>
  <property fmtid="{D5CDD505-2E9C-101B-9397-08002B2CF9AE}" pid="10" name="MFRefresh">
    <vt:lpwstr>False</vt:lpwstr>
  </property>
</Properties>
</file>