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'doch_wyd'!$A$1:$M$75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7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7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7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7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<sst xmlns="http://schemas.openxmlformats.org/spreadsheetml/2006/main" count="429" uniqueCount="80">
  <si>
    <t xml:space="preserve">Wyszczególnienie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</si>
  <si>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</si>
  <si>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</si>
  <si>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</si>
  <si>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</si>
  <si>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</si>
  <si>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</si>
  <si>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</si>
  <si>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</si>
  <si>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</si>
  <si>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</si>
  <si>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</si>
  <si>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</si>
  <si>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</si>
  <si>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</si>
  <si>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</si>
  <si>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</si>
  <si>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</si>
  <si>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</si>
  <si>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</si>
  <si>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</si>
  <si>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</si>
  <si>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</si>
  <si>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</si>
  <si>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</si>
  <si>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</si>
  <si>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</si>
  <si>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</si>
  <si>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</si>
  <si>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</si>
  <si>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</si>
  <si>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</si>
  <si>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</si>
  <si>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</si>
  <si>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</si>
  <si>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</si>
  <si>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</si>
  <si>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</si>
  <si>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</si>
  <si>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</si>
  <si>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</si>
  <si>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</si>
  <si>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</si>
  <si>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</si>
  <si>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</si>
  <si>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</si>
  <si>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</si>
  <si>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</si>
  <si>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</si>
  <si>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</si>
  <si>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</si>
  <si>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</si>
  <si>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</si>
  <si>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</si>
  <si>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</si>
  <si>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</si>
  <si>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</si>
  <si>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</si>
  <si>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</si>
  <si>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</si>
  <si>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</si>
  <si>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wydatki z tytułu udzielania poręczeń i gwarancji</t>
  </si>
  <si>
    <t>Dotacje ogółem                  z tego:</t>
  </si>
  <si>
    <t>świadczenia na rzecz osób fizycznych</t>
  </si>
  <si>
    <r>
      <t xml:space="preserve">Dotacje </t>
    </r>
    <r>
      <rPr>
        <b/>
        <sz val="10"/>
        <color indexed="8"/>
        <rFont val="Arial"/>
        <family val="0"/>
      </rPr>
      <t>§§ 200 i 620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</si>
  <si>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620</t>
    </r>
  </si>
  <si>
    <t>UE</t>
  </si>
  <si>
    <t>WYDATKI OGÓŁEM UE
z tego:</t>
  </si>
  <si>
    <t>majątkowe</t>
  </si>
  <si>
    <t>bieżące</t>
  </si>
  <si>
    <t>wydatki majątkowe</t>
  </si>
  <si>
    <t>wydatki bieżące</t>
  </si>
  <si>
    <t>Dochody bieżące 
minus 
wydatki bieżące</t>
  </si>
  <si>
    <t>w złotych</t>
  </si>
  <si>
    <t>z tytułu pomocy finansowej udzielanej między jst na dofinansowanie własnych zadań</t>
  </si>
  <si>
    <r>
      <t xml:space="preserve">Dotacje </t>
    </r>
    <r>
      <rPr>
        <b/>
        <sz val="10"/>
        <color indexed="8"/>
        <rFont val="Arial"/>
        <family val="0"/>
      </rPr>
      <t>§§ 205 i 625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</si>
  <si>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625</t>
    </r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</si>
  <si>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</si>
  <si>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wydatki na wynagrodzenia i pochodne od wynagrodzeń</t>
  </si>
  <si>
    <t>Informacja z wykonania budżetów jednostek samorządu terytorialnego za GRUDZIEŃ 2019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</si>
</sst>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1" applyNumberFormat="0" applyAlignment="0" applyProtection="0"/>
    <xf numFmtId="0" fontId="21" fillId="41" borderId="2" applyNumberFormat="0" applyAlignment="0" applyProtection="0"/>
    <xf numFmtId="0" fontId="51" fillId="42" borderId="3" applyNumberFormat="0" applyAlignment="0" applyProtection="0"/>
    <xf numFmtId="0" fontId="52" fillId="43" borderId="4" applyNumberFormat="0" applyAlignment="0" applyProtection="0"/>
    <xf numFmtId="0" fontId="5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5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6" borderId="1" applyNumberFormat="0" applyAlignment="0" applyProtection="0"/>
    <xf numFmtId="0" fontId="54" fillId="0" borderId="8" applyNumberFormat="0" applyFill="0" applyAlignment="0" applyProtection="0"/>
    <xf numFmtId="0" fontId="55" fillId="46" borderId="9" applyNumberFormat="0" applyAlignment="0" applyProtection="0"/>
    <xf numFmtId="0" fontId="28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59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0" borderId="0">
      <alignment/>
      <protection/>
    </xf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61" fillId="43" borderId="3" applyNumberFormat="0" applyAlignment="0" applyProtection="0"/>
    <xf numFmtId="0" fontId="2" fillId="0" borderId="0" applyNumberFormat="0" applyFill="0" applyBorder="0" applyAlignment="0" applyProtection="0"/>
    <xf numFmtId="0" fontId="30" fillId="40" borderId="15" applyNumberFormat="0" applyAlignment="0" applyProtection="0"/>
    <xf numFmtId="9" fontId="0" fillId="0" borderId="0" applyFont="0" applyFill="0" applyBorder="0" applyAlignment="0" applyProtection="0"/>
    <xf numFmtId="0" fontId="62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6" fillId="49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164" fontId="14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164" fontId="12" fillId="50" borderId="19" xfId="0" applyNumberFormat="1" applyFont="1" applyFill="1" applyBorder="1" applyAlignment="1">
      <alignment horizontal="right" vertical="center"/>
    </xf>
    <xf numFmtId="0" fontId="11" fillId="40" borderId="19" xfId="0" applyFont="1" applyFill="1" applyBorder="1" applyAlignment="1">
      <alignment horizontal="center" vertical="center" wrapText="1"/>
    </xf>
    <xf numFmtId="4" fontId="12" fillId="40" borderId="19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/>
    </xf>
    <xf numFmtId="0" fontId="8" fillId="50" borderId="19" xfId="0" applyFont="1" applyFill="1" applyBorder="1" applyAlignment="1">
      <alignment horizontal="left" vertical="center" wrapText="1"/>
    </xf>
    <xf numFmtId="4" fontId="14" fillId="50" borderId="19" xfId="0" applyNumberFormat="1" applyFont="1" applyFill="1" applyBorder="1" applyAlignment="1">
      <alignment horizontal="right" vertical="center"/>
    </xf>
    <xf numFmtId="164" fontId="14" fillId="50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4" fontId="5" fillId="50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1" fillId="50" borderId="19" xfId="0" applyFont="1" applyFill="1" applyBorder="1" applyAlignment="1">
      <alignment horizontal="left" vertical="center" wrapText="1"/>
    </xf>
    <xf numFmtId="4" fontId="12" fillId="50" borderId="19" xfId="0" applyNumberFormat="1" applyFont="1" applyFill="1" applyBorder="1" applyAlignment="1">
      <alignment horizontal="right" vertical="center"/>
    </xf>
    <xf numFmtId="164" fontId="7" fillId="50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164" fontId="12" fillId="0" borderId="19" xfId="0" applyNumberFormat="1" applyFont="1" applyFill="1" applyBorder="1" applyAlignment="1">
      <alignment horizontal="right" vertical="center"/>
    </xf>
    <xf numFmtId="0" fontId="11" fillId="50" borderId="21" xfId="0" applyFont="1" applyFill="1" applyBorder="1" applyAlignment="1">
      <alignment horizontal="left" vertical="center" wrapText="1"/>
    </xf>
    <xf numFmtId="4" fontId="12" fillId="50" borderId="19" xfId="0" applyNumberFormat="1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4" fontId="12" fillId="50" borderId="19" xfId="0" applyNumberFormat="1" applyFont="1" applyFill="1" applyBorder="1" applyAlignment="1">
      <alignment horizontal="right" vertic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Dziesiętny 3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rmalny 2 2" xfId="91"/>
    <cellStyle name="Note" xfId="92"/>
    <cellStyle name="Note 2" xfId="93"/>
    <cellStyle name="Obliczenia" xfId="94"/>
    <cellStyle name="Followed Hyperlink" xfId="95"/>
    <cellStyle name="Output" xfId="96"/>
    <cellStyle name="Percent" xfId="97"/>
    <cellStyle name="Suma" xfId="98"/>
    <cellStyle name="Tekst objaśnienia" xfId="99"/>
    <cellStyle name="Tekst ostrzeżenia" xfId="100"/>
    <cellStyle name="Title" xfId="101"/>
    <cellStyle name="Total" xfId="102"/>
    <cellStyle name="Tytuł" xfId="103"/>
    <cellStyle name="Uwaga" xfId="104"/>
    <cellStyle name="Currency" xfId="105"/>
    <cellStyle name="Currency [0]" xfId="106"/>
    <cellStyle name="Warning Text" xfId="107"/>
    <cellStyle name="Zły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75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0.37109375" style="1" customWidth="1"/>
    <col min="2" max="2" width="22.875" style="1" customWidth="1"/>
    <col min="3" max="5" width="14.625" style="1" customWidth="1"/>
    <col min="6" max="6" width="13.875" style="1" customWidth="1"/>
    <col min="7" max="8" width="13.00390625" style="1" customWidth="1"/>
    <col min="9" max="9" width="12.00390625" style="1" customWidth="1"/>
    <col min="10" max="10" width="13.00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62.25" customHeight="1">
      <c r="B1" s="60" t="s">
        <v>79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12.75"/>
    <row r="3" spans="2:13" ht="66.75" customHeight="1">
      <c r="B3" s="62" t="s">
        <v>0</v>
      </c>
      <c r="C3" s="15" t="s">
        <v>31</v>
      </c>
      <c r="D3" s="15" t="s">
        <v>32</v>
      </c>
      <c r="E3" s="15" t="s">
        <v>33</v>
      </c>
      <c r="F3" s="15" t="s">
        <v>34</v>
      </c>
      <c r="G3" s="15" t="s">
        <v>35</v>
      </c>
      <c r="H3" s="15" t="s">
        <v>36</v>
      </c>
      <c r="I3" s="15" t="s">
        <v>37</v>
      </c>
      <c r="J3" s="15" t="s">
        <v>38</v>
      </c>
      <c r="K3" s="17" t="s">
        <v>1</v>
      </c>
      <c r="L3" s="15" t="s">
        <v>15</v>
      </c>
      <c r="M3" s="15" t="s">
        <v>2</v>
      </c>
    </row>
    <row r="4" spans="2:13" ht="12.75">
      <c r="B4" s="62"/>
      <c r="C4" s="59" t="s">
        <v>73</v>
      </c>
      <c r="D4" s="59"/>
      <c r="E4" s="59"/>
      <c r="F4" s="59"/>
      <c r="G4" s="59"/>
      <c r="H4" s="59"/>
      <c r="I4" s="59"/>
      <c r="J4" s="59"/>
      <c r="K4" s="59" t="s">
        <v>3</v>
      </c>
      <c r="L4" s="59"/>
      <c r="M4" s="59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25.5" customHeight="1">
      <c r="B6" s="43" t="s">
        <v>4</v>
      </c>
      <c r="C6" s="44">
        <f>281382589854.43</f>
        <v>281382589854.43</v>
      </c>
      <c r="D6" s="44">
        <f>278170441444.63</f>
        <v>278170441444.63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5">
        <f aca="true" t="shared" si="0" ref="K6:K46">IF($D$6=0,"",100*$D6/$D$6)</f>
        <v>100</v>
      </c>
      <c r="L6" s="45">
        <f aca="true" t="shared" si="1" ref="L6:L50">IF(C6=0,"",100*D6/C6)</f>
        <v>98.85844095348551</v>
      </c>
      <c r="M6" s="45"/>
    </row>
    <row r="7" spans="2:13" ht="38.25" customHeight="1">
      <c r="B7" s="20" t="s">
        <v>56</v>
      </c>
      <c r="C7" s="25">
        <f>C6-C22-C40</f>
        <v>134211359391.89001</v>
      </c>
      <c r="D7" s="25">
        <f>D6-D22-D40</f>
        <v>135161364679.38998</v>
      </c>
      <c r="E7" s="47" t="s">
        <v>55</v>
      </c>
      <c r="F7" s="47" t="s">
        <v>55</v>
      </c>
      <c r="G7" s="47" t="s">
        <v>55</v>
      </c>
      <c r="H7" s="47" t="s">
        <v>55</v>
      </c>
      <c r="I7" s="47" t="s">
        <v>55</v>
      </c>
      <c r="J7" s="47" t="s">
        <v>55</v>
      </c>
      <c r="K7" s="30">
        <f t="shared" si="0"/>
        <v>48.58940582523896</v>
      </c>
      <c r="L7" s="30">
        <f t="shared" si="1"/>
        <v>100.7078426832158</v>
      </c>
      <c r="M7" s="30">
        <f aca="true" t="shared" si="2" ref="M7:M21">IF($D$7=0,"",100*$D7/$D$7)</f>
        <v>100</v>
      </c>
    </row>
    <row r="8" spans="2:13" ht="32.25" customHeight="1">
      <c r="B8" s="21" t="s">
        <v>29</v>
      </c>
      <c r="C8" s="23">
        <f>10295782593.19</f>
        <v>10295782593.19</v>
      </c>
      <c r="D8" s="23">
        <f>10769688938.16</f>
        <v>10769688938.16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 t="s">
        <v>55</v>
      </c>
      <c r="K8" s="31">
        <f t="shared" si="0"/>
        <v>3.8716151443803613</v>
      </c>
      <c r="L8" s="31">
        <f t="shared" si="1"/>
        <v>104.60291717196377</v>
      </c>
      <c r="M8" s="31">
        <f t="shared" si="2"/>
        <v>7.9680232318653195</v>
      </c>
    </row>
    <row r="9" spans="2:13" ht="32.25" customHeight="1">
      <c r="B9" s="21" t="s">
        <v>16</v>
      </c>
      <c r="C9" s="23">
        <f>55617157972.52</f>
        <v>55617157972.52</v>
      </c>
      <c r="D9" s="23">
        <f>55944332712.39</f>
        <v>55944332712.39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31">
        <f t="shared" si="0"/>
        <v>20.111530334370826</v>
      </c>
      <c r="L9" s="31">
        <f t="shared" si="1"/>
        <v>100.58826224100062</v>
      </c>
      <c r="M9" s="31">
        <f t="shared" si="2"/>
        <v>41.390772315071665</v>
      </c>
    </row>
    <row r="10" spans="2:13" ht="32.25" customHeight="1">
      <c r="B10" s="21" t="s">
        <v>17</v>
      </c>
      <c r="C10" s="23">
        <f>1557892514.72</f>
        <v>1557892514.72</v>
      </c>
      <c r="D10" s="23">
        <f>1552691357.97</f>
        <v>1552691357.97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31">
        <f t="shared" si="0"/>
        <v>0.5581798518585822</v>
      </c>
      <c r="L10" s="31">
        <f t="shared" si="1"/>
        <v>99.66614148916847</v>
      </c>
      <c r="M10" s="31">
        <f t="shared" si="2"/>
        <v>1.1487686304833244</v>
      </c>
    </row>
    <row r="11" spans="2:13" ht="32.25" customHeight="1">
      <c r="B11" s="21" t="s">
        <v>18</v>
      </c>
      <c r="C11" s="23">
        <f>23204213474.73</f>
        <v>23204213474.73</v>
      </c>
      <c r="D11" s="23">
        <f>23234510329.49</f>
        <v>23234510329.49</v>
      </c>
      <c r="E11" s="47" t="s">
        <v>55</v>
      </c>
      <c r="F11" s="47" t="s">
        <v>55</v>
      </c>
      <c r="G11" s="47" t="s">
        <v>55</v>
      </c>
      <c r="H11" s="47" t="s">
        <v>55</v>
      </c>
      <c r="I11" s="47" t="s">
        <v>55</v>
      </c>
      <c r="J11" s="47" t="s">
        <v>55</v>
      </c>
      <c r="K11" s="31">
        <f t="shared" si="0"/>
        <v>8.352616550063908</v>
      </c>
      <c r="L11" s="31">
        <f t="shared" si="1"/>
        <v>100.13056617839253</v>
      </c>
      <c r="M11" s="31">
        <f t="shared" si="2"/>
        <v>17.190201049392705</v>
      </c>
    </row>
    <row r="12" spans="2:13" ht="32.25" customHeight="1">
      <c r="B12" s="21" t="s">
        <v>19</v>
      </c>
      <c r="C12" s="23">
        <f>299012039.7</f>
        <v>299012039.7</v>
      </c>
      <c r="D12" s="23">
        <f>297653388.59</f>
        <v>297653388.59</v>
      </c>
      <c r="E12" s="47" t="s">
        <v>55</v>
      </c>
      <c r="F12" s="47" t="s">
        <v>55</v>
      </c>
      <c r="G12" s="47" t="s">
        <v>55</v>
      </c>
      <c r="H12" s="47" t="s">
        <v>55</v>
      </c>
      <c r="I12" s="47" t="s">
        <v>55</v>
      </c>
      <c r="J12" s="47" t="s">
        <v>55</v>
      </c>
      <c r="K12" s="31">
        <f t="shared" si="0"/>
        <v>0.1070039602497622</v>
      </c>
      <c r="L12" s="31">
        <f t="shared" si="1"/>
        <v>99.54561993177158</v>
      </c>
      <c r="M12" s="31">
        <f t="shared" si="2"/>
        <v>0.22022076300875607</v>
      </c>
    </row>
    <row r="13" spans="2:13" ht="32.25" customHeight="1">
      <c r="B13" s="21" t="s">
        <v>20</v>
      </c>
      <c r="C13" s="23">
        <f>1174952980.44</f>
        <v>1174952980.44</v>
      </c>
      <c r="D13" s="23">
        <f>1169565668.02</f>
        <v>1169565668.02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31">
        <f t="shared" si="0"/>
        <v>0.42044929790025976</v>
      </c>
      <c r="L13" s="31">
        <f t="shared" si="1"/>
        <v>99.54148697780377</v>
      </c>
      <c r="M13" s="31">
        <f t="shared" si="2"/>
        <v>0.865310638727474</v>
      </c>
    </row>
    <row r="14" spans="2:13" ht="43.5" customHeight="1">
      <c r="B14" s="21" t="s">
        <v>40</v>
      </c>
      <c r="C14" s="23">
        <f>69072114.89</f>
        <v>69072114.89</v>
      </c>
      <c r="D14" s="23">
        <f>62834398.46</f>
        <v>62834398.46</v>
      </c>
      <c r="E14" s="47" t="s">
        <v>55</v>
      </c>
      <c r="F14" s="47" t="s">
        <v>55</v>
      </c>
      <c r="G14" s="47" t="s">
        <v>55</v>
      </c>
      <c r="H14" s="47" t="s">
        <v>55</v>
      </c>
      <c r="I14" s="47" t="s">
        <v>55</v>
      </c>
      <c r="J14" s="47" t="s">
        <v>55</v>
      </c>
      <c r="K14" s="31">
        <f t="shared" si="0"/>
        <v>0.022588452652870104</v>
      </c>
      <c r="L14" s="31">
        <f t="shared" si="1"/>
        <v>90.96926966847069</v>
      </c>
      <c r="M14" s="31">
        <f t="shared" si="2"/>
        <v>0.046488431519648064</v>
      </c>
    </row>
    <row r="15" spans="2:13" ht="32.25" customHeight="1">
      <c r="B15" s="21" t="s">
        <v>23</v>
      </c>
      <c r="C15" s="23">
        <f>297620103.21</f>
        <v>297620103.21</v>
      </c>
      <c r="D15" s="23">
        <f>313738840.03</f>
        <v>313738840.03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31">
        <f t="shared" si="0"/>
        <v>0.11278654856376963</v>
      </c>
      <c r="L15" s="31">
        <f t="shared" si="1"/>
        <v>105.4158763625677</v>
      </c>
      <c r="M15" s="31">
        <f t="shared" si="2"/>
        <v>0.23212168712132</v>
      </c>
    </row>
    <row r="16" spans="2:13" ht="32.25" customHeight="1">
      <c r="B16" s="21" t="s">
        <v>24</v>
      </c>
      <c r="C16" s="23">
        <f>2552151789.31</f>
        <v>2552151789.31</v>
      </c>
      <c r="D16" s="23">
        <f>2820821349.57</f>
        <v>2820821349.57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31">
        <f t="shared" si="0"/>
        <v>1.0140622184444015</v>
      </c>
      <c r="L16" s="31">
        <f t="shared" si="1"/>
        <v>110.5271779439356</v>
      </c>
      <c r="M16" s="31">
        <f t="shared" si="2"/>
        <v>2.087002714319391</v>
      </c>
    </row>
    <row r="17" spans="2:13" ht="32.25" customHeight="1">
      <c r="B17" s="21" t="s">
        <v>25</v>
      </c>
      <c r="C17" s="23">
        <f>481925055.69</f>
        <v>481925055.69</v>
      </c>
      <c r="D17" s="23">
        <f>502532888.54</f>
        <v>502532888.54</v>
      </c>
      <c r="E17" s="47" t="s">
        <v>55</v>
      </c>
      <c r="F17" s="47" t="s">
        <v>55</v>
      </c>
      <c r="G17" s="47" t="s">
        <v>55</v>
      </c>
      <c r="H17" s="47" t="s">
        <v>55</v>
      </c>
      <c r="I17" s="47" t="s">
        <v>55</v>
      </c>
      <c r="J17" s="47" t="s">
        <v>55</v>
      </c>
      <c r="K17" s="31">
        <f t="shared" si="0"/>
        <v>0.1806564658452503</v>
      </c>
      <c r="L17" s="31">
        <f t="shared" si="1"/>
        <v>104.27614887557456</v>
      </c>
      <c r="M17" s="31">
        <f t="shared" si="2"/>
        <v>0.37180217122846826</v>
      </c>
    </row>
    <row r="18" spans="2:13" ht="32.25" customHeight="1">
      <c r="B18" s="21" t="s">
        <v>26</v>
      </c>
      <c r="C18" s="23">
        <f>437147412.85</f>
        <v>437147412.85</v>
      </c>
      <c r="D18" s="23">
        <f>433070354.8</f>
        <v>433070354.8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31">
        <f t="shared" si="0"/>
        <v>0.15568525273602907</v>
      </c>
      <c r="L18" s="31">
        <f t="shared" si="1"/>
        <v>99.06734938143188</v>
      </c>
      <c r="M18" s="31">
        <f t="shared" si="2"/>
        <v>0.3204098714357214</v>
      </c>
    </row>
    <row r="19" spans="2:13" ht="32.25" customHeight="1">
      <c r="B19" s="21" t="s">
        <v>27</v>
      </c>
      <c r="C19" s="23">
        <f>143124002.96</f>
        <v>143124002.96</v>
      </c>
      <c r="D19" s="23">
        <f>139330786.35</f>
        <v>139330786.35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31">
        <f t="shared" si="0"/>
        <v>0.05008827883595744</v>
      </c>
      <c r="L19" s="31">
        <f t="shared" si="1"/>
        <v>97.34969918982763</v>
      </c>
      <c r="M19" s="31">
        <f t="shared" si="2"/>
        <v>0.1030847732859905</v>
      </c>
    </row>
    <row r="20" spans="2:13" ht="32.25" customHeight="1">
      <c r="B20" s="21" t="s">
        <v>21</v>
      </c>
      <c r="C20" s="23">
        <f>8083034433.18</f>
        <v>8083034433.18</v>
      </c>
      <c r="D20" s="23">
        <f>7498189033.89</f>
        <v>7498189033.89</v>
      </c>
      <c r="E20" s="47" t="s">
        <v>55</v>
      </c>
      <c r="F20" s="47" t="s">
        <v>55</v>
      </c>
      <c r="G20" s="47" t="s">
        <v>55</v>
      </c>
      <c r="H20" s="47" t="s">
        <v>55</v>
      </c>
      <c r="I20" s="47" t="s">
        <v>55</v>
      </c>
      <c r="J20" s="47" t="s">
        <v>55</v>
      </c>
      <c r="K20" s="31">
        <f t="shared" si="0"/>
        <v>2.695537669261139</v>
      </c>
      <c r="L20" s="31">
        <f t="shared" si="1"/>
        <v>92.76453163567791</v>
      </c>
      <c r="M20" s="31">
        <f t="shared" si="2"/>
        <v>5.547583106811704</v>
      </c>
    </row>
    <row r="21" spans="2:13" ht="32.25" customHeight="1">
      <c r="B21" s="21" t="s">
        <v>22</v>
      </c>
      <c r="C21" s="23">
        <f>C7-C8-C9-C10-C11-C12-C13-C14-C15-C16-C17-C18-C19-C20</f>
        <v>29998272904.500015</v>
      </c>
      <c r="D21" s="23">
        <f>D7-D8-D9-D10-D11-D12-D13-D14-D15-D16-D17-D18-D19-D20</f>
        <v>30422404633.129982</v>
      </c>
      <c r="E21" s="47" t="s">
        <v>55</v>
      </c>
      <c r="F21" s="47" t="s">
        <v>55</v>
      </c>
      <c r="G21" s="47" t="s">
        <v>55</v>
      </c>
      <c r="H21" s="47" t="s">
        <v>55</v>
      </c>
      <c r="I21" s="47" t="s">
        <v>55</v>
      </c>
      <c r="J21" s="47" t="s">
        <v>55</v>
      </c>
      <c r="K21" s="31">
        <f t="shared" si="0"/>
        <v>10.936605800075842</v>
      </c>
      <c r="L21" s="31">
        <f t="shared" si="1"/>
        <v>101.41385382411913</v>
      </c>
      <c r="M21" s="31">
        <f t="shared" si="2"/>
        <v>22.50821061572851</v>
      </c>
    </row>
    <row r="22" spans="2:13" ht="36.75" customHeight="1">
      <c r="B22" s="43" t="s">
        <v>62</v>
      </c>
      <c r="C22" s="44">
        <f>C23+C36+C38</f>
        <v>85446021070.3</v>
      </c>
      <c r="D22" s="44">
        <f>D23+D36+D38</f>
        <v>81212315041.45001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5">
        <f t="shared" si="0"/>
        <v>29.19516344716136</v>
      </c>
      <c r="L22" s="45">
        <f t="shared" si="1"/>
        <v>95.04516889631789</v>
      </c>
      <c r="M22" s="48"/>
    </row>
    <row r="23" spans="2:13" ht="36.75" customHeight="1">
      <c r="B23" s="43" t="s">
        <v>57</v>
      </c>
      <c r="C23" s="44">
        <f>C24+C26+C28+C30+C32+C34</f>
        <v>64020183731.59</v>
      </c>
      <c r="D23" s="44">
        <f>D24+D26+D28+D30+D32+D34</f>
        <v>63310920398.950005</v>
      </c>
      <c r="E23" s="47" t="s">
        <v>55</v>
      </c>
      <c r="F23" s="47" t="s">
        <v>55</v>
      </c>
      <c r="G23" s="47" t="s">
        <v>55</v>
      </c>
      <c r="H23" s="47" t="s">
        <v>55</v>
      </c>
      <c r="I23" s="47" t="s">
        <v>55</v>
      </c>
      <c r="J23" s="47" t="s">
        <v>55</v>
      </c>
      <c r="K23" s="45">
        <f t="shared" si="0"/>
        <v>22.75975839494509</v>
      </c>
      <c r="L23" s="45">
        <f t="shared" si="1"/>
        <v>98.89212543404493</v>
      </c>
      <c r="M23" s="48"/>
    </row>
    <row r="24" spans="2:13" ht="33.75" customHeight="1">
      <c r="B24" s="46" t="s">
        <v>8</v>
      </c>
      <c r="C24" s="24">
        <f>53493396075.09</f>
        <v>53493396075.09</v>
      </c>
      <c r="D24" s="24">
        <f>53182869971.6</f>
        <v>53182869971.6</v>
      </c>
      <c r="E24" s="47" t="s">
        <v>55</v>
      </c>
      <c r="F24" s="24" t="s">
        <v>55</v>
      </c>
      <c r="G24" s="24" t="s">
        <v>55</v>
      </c>
      <c r="H24" s="24" t="s">
        <v>55</v>
      </c>
      <c r="I24" s="24" t="s">
        <v>55</v>
      </c>
      <c r="J24" s="24" t="s">
        <v>55</v>
      </c>
      <c r="K24" s="31">
        <f t="shared" si="0"/>
        <v>19.118807050599617</v>
      </c>
      <c r="L24" s="31">
        <f t="shared" si="1"/>
        <v>99.41950572168926</v>
      </c>
      <c r="M24" s="28"/>
    </row>
    <row r="25" spans="2:13" ht="21" customHeight="1">
      <c r="B25" s="49" t="s">
        <v>5</v>
      </c>
      <c r="C25" s="24">
        <f>177080291.73</f>
        <v>177080291.73</v>
      </c>
      <c r="D25" s="24">
        <f>171851643.07</f>
        <v>171851643.07</v>
      </c>
      <c r="E25" s="47" t="s">
        <v>55</v>
      </c>
      <c r="F25" s="24" t="s">
        <v>55</v>
      </c>
      <c r="G25" s="24" t="s">
        <v>55</v>
      </c>
      <c r="H25" s="24" t="s">
        <v>55</v>
      </c>
      <c r="I25" s="24" t="s">
        <v>55</v>
      </c>
      <c r="J25" s="24" t="s">
        <v>55</v>
      </c>
      <c r="K25" s="31">
        <f t="shared" si="0"/>
        <v>0.06177926100901241</v>
      </c>
      <c r="L25" s="31">
        <f t="shared" si="1"/>
        <v>97.0473006290433</v>
      </c>
      <c r="M25" s="28"/>
    </row>
    <row r="26" spans="2:13" ht="33.75" customHeight="1">
      <c r="B26" s="46" t="s">
        <v>6</v>
      </c>
      <c r="C26" s="24">
        <f>7174727500.07</f>
        <v>7174727500.07</v>
      </c>
      <c r="D26" s="24">
        <f>6963436987.86</f>
        <v>6963436987.86</v>
      </c>
      <c r="E26" s="47" t="s">
        <v>55</v>
      </c>
      <c r="F26" s="24" t="s">
        <v>55</v>
      </c>
      <c r="G26" s="24" t="s">
        <v>55</v>
      </c>
      <c r="H26" s="24" t="s">
        <v>55</v>
      </c>
      <c r="I26" s="24" t="s">
        <v>55</v>
      </c>
      <c r="J26" s="24" t="s">
        <v>55</v>
      </c>
      <c r="K26" s="31">
        <f t="shared" si="0"/>
        <v>2.5032986796500003</v>
      </c>
      <c r="L26" s="31">
        <f t="shared" si="1"/>
        <v>97.05507265317131</v>
      </c>
      <c r="M26" s="28"/>
    </row>
    <row r="27" spans="2:13" ht="21" customHeight="1">
      <c r="B27" s="49" t="s">
        <v>5</v>
      </c>
      <c r="C27" s="24">
        <f>1050381032.27</f>
        <v>1050381032.27</v>
      </c>
      <c r="D27" s="24">
        <f>939648094.35</f>
        <v>939648094.35</v>
      </c>
      <c r="E27" s="47" t="s">
        <v>55</v>
      </c>
      <c r="F27" s="24" t="s">
        <v>55</v>
      </c>
      <c r="G27" s="24" t="s">
        <v>55</v>
      </c>
      <c r="H27" s="24" t="s">
        <v>55</v>
      </c>
      <c r="I27" s="24" t="s">
        <v>55</v>
      </c>
      <c r="J27" s="24" t="s">
        <v>55</v>
      </c>
      <c r="K27" s="31">
        <f t="shared" si="0"/>
        <v>0.33779580945771964</v>
      </c>
      <c r="L27" s="31">
        <f t="shared" si="1"/>
        <v>89.45783153750475</v>
      </c>
      <c r="M27" s="28"/>
    </row>
    <row r="28" spans="2:13" ht="39.75" customHeight="1">
      <c r="B28" s="46" t="s">
        <v>9</v>
      </c>
      <c r="C28" s="24">
        <f>149381508.39</f>
        <v>149381508.39</v>
      </c>
      <c r="D28" s="24">
        <f>131811412.3</f>
        <v>131811412.3</v>
      </c>
      <c r="E28" s="47" t="s">
        <v>55</v>
      </c>
      <c r="F28" s="24" t="s">
        <v>55</v>
      </c>
      <c r="G28" s="24" t="s">
        <v>55</v>
      </c>
      <c r="H28" s="24" t="s">
        <v>55</v>
      </c>
      <c r="I28" s="24" t="s">
        <v>55</v>
      </c>
      <c r="J28" s="24" t="s">
        <v>55</v>
      </c>
      <c r="K28" s="31">
        <f t="shared" si="0"/>
        <v>0.047385125326566066</v>
      </c>
      <c r="L28" s="31">
        <f t="shared" si="1"/>
        <v>88.23810505104247</v>
      </c>
      <c r="M28" s="28"/>
    </row>
    <row r="29" spans="2:13" ht="21" customHeight="1">
      <c r="B29" s="49" t="s">
        <v>5</v>
      </c>
      <c r="C29" s="24">
        <f>15437249.55</f>
        <v>15437249.55</v>
      </c>
      <c r="D29" s="24">
        <f>13419152.46</f>
        <v>13419152.46</v>
      </c>
      <c r="E29" s="47" t="s">
        <v>55</v>
      </c>
      <c r="F29" s="24" t="s">
        <v>55</v>
      </c>
      <c r="G29" s="24" t="s">
        <v>55</v>
      </c>
      <c r="H29" s="24" t="s">
        <v>55</v>
      </c>
      <c r="I29" s="24" t="s">
        <v>55</v>
      </c>
      <c r="J29" s="24" t="s">
        <v>55</v>
      </c>
      <c r="K29" s="31">
        <f t="shared" si="0"/>
        <v>0.004824075624394151</v>
      </c>
      <c r="L29" s="31">
        <f t="shared" si="1"/>
        <v>86.92709421154625</v>
      </c>
      <c r="M29" s="28"/>
    </row>
    <row r="30" spans="2:13" ht="39.75" customHeight="1">
      <c r="B30" s="46" t="s">
        <v>10</v>
      </c>
      <c r="C30" s="24">
        <f>1429236498.14</f>
        <v>1429236498.14</v>
      </c>
      <c r="D30" s="24">
        <f>1391419918.75</f>
        <v>1391419918.75</v>
      </c>
      <c r="E30" s="47" t="s">
        <v>55</v>
      </c>
      <c r="F30" s="24" t="s">
        <v>55</v>
      </c>
      <c r="G30" s="24" t="s">
        <v>55</v>
      </c>
      <c r="H30" s="24" t="s">
        <v>55</v>
      </c>
      <c r="I30" s="24" t="s">
        <v>55</v>
      </c>
      <c r="J30" s="24" t="s">
        <v>55</v>
      </c>
      <c r="K30" s="31">
        <f t="shared" si="0"/>
        <v>0.500204087653563</v>
      </c>
      <c r="L30" s="31">
        <f t="shared" si="1"/>
        <v>97.35407125138391</v>
      </c>
      <c r="M30" s="28"/>
    </row>
    <row r="31" spans="2:13" ht="21" customHeight="1">
      <c r="B31" s="49" t="s">
        <v>5</v>
      </c>
      <c r="C31" s="24">
        <f>372518607.58</f>
        <v>372518607.58</v>
      </c>
      <c r="D31" s="24">
        <f>324215587.01</f>
        <v>324215587.01</v>
      </c>
      <c r="E31" s="47" t="s">
        <v>55</v>
      </c>
      <c r="F31" s="24" t="s">
        <v>55</v>
      </c>
      <c r="G31" s="24" t="s">
        <v>55</v>
      </c>
      <c r="H31" s="24" t="s">
        <v>55</v>
      </c>
      <c r="I31" s="24" t="s">
        <v>55</v>
      </c>
      <c r="J31" s="24" t="s">
        <v>55</v>
      </c>
      <c r="K31" s="31">
        <f t="shared" si="0"/>
        <v>0.1165528534686297</v>
      </c>
      <c r="L31" s="31">
        <f t="shared" si="1"/>
        <v>87.03339387962608</v>
      </c>
      <c r="M31" s="28"/>
    </row>
    <row r="32" spans="2:13" ht="39.75" customHeight="1">
      <c r="B32" s="46" t="s">
        <v>74</v>
      </c>
      <c r="C32" s="24">
        <f>1200118920.01</f>
        <v>1200118920.01</v>
      </c>
      <c r="D32" s="24">
        <f>1116322702.76</f>
        <v>1116322702.76</v>
      </c>
      <c r="E32" s="47" t="s">
        <v>55</v>
      </c>
      <c r="F32" s="24" t="s">
        <v>55</v>
      </c>
      <c r="G32" s="24" t="s">
        <v>55</v>
      </c>
      <c r="H32" s="24" t="s">
        <v>55</v>
      </c>
      <c r="I32" s="24" t="s">
        <v>55</v>
      </c>
      <c r="J32" s="24" t="s">
        <v>55</v>
      </c>
      <c r="K32" s="31">
        <f t="shared" si="0"/>
        <v>0.401308887084685</v>
      </c>
      <c r="L32" s="31">
        <f t="shared" si="1"/>
        <v>93.01767384441354</v>
      </c>
      <c r="M32" s="28"/>
    </row>
    <row r="33" spans="2:13" ht="24" customHeight="1">
      <c r="B33" s="49" t="s">
        <v>5</v>
      </c>
      <c r="C33" s="24">
        <f>1013746948.34</f>
        <v>1013746948.34</v>
      </c>
      <c r="D33" s="24">
        <f>929699392.46</f>
        <v>929699392.46</v>
      </c>
      <c r="E33" s="47" t="s">
        <v>55</v>
      </c>
      <c r="F33" s="24" t="s">
        <v>55</v>
      </c>
      <c r="G33" s="24" t="s">
        <v>55</v>
      </c>
      <c r="H33" s="24" t="s">
        <v>55</v>
      </c>
      <c r="I33" s="24" t="s">
        <v>55</v>
      </c>
      <c r="J33" s="24" t="s">
        <v>55</v>
      </c>
      <c r="K33" s="31">
        <f t="shared" si="0"/>
        <v>0.334219332446599</v>
      </c>
      <c r="L33" s="31">
        <f t="shared" si="1"/>
        <v>91.7092173724787</v>
      </c>
      <c r="M33" s="28"/>
    </row>
    <row r="34" spans="2:13" ht="22.5" customHeight="1">
      <c r="B34" s="46" t="s">
        <v>7</v>
      </c>
      <c r="C34" s="24">
        <f>573323229.89</f>
        <v>573323229.89</v>
      </c>
      <c r="D34" s="24">
        <f>525059405.68</f>
        <v>525059405.68</v>
      </c>
      <c r="E34" s="47" t="s">
        <v>55</v>
      </c>
      <c r="F34" s="24" t="s">
        <v>55</v>
      </c>
      <c r="G34" s="24" t="s">
        <v>55</v>
      </c>
      <c r="H34" s="24" t="s">
        <v>55</v>
      </c>
      <c r="I34" s="24" t="s">
        <v>55</v>
      </c>
      <c r="J34" s="24" t="s">
        <v>55</v>
      </c>
      <c r="K34" s="31">
        <f t="shared" si="0"/>
        <v>0.18875456463066131</v>
      </c>
      <c r="L34" s="31">
        <f t="shared" si="1"/>
        <v>91.58174277723579</v>
      </c>
      <c r="M34" s="28"/>
    </row>
    <row r="35" spans="2:13" ht="21" customHeight="1">
      <c r="B35" s="49" t="s">
        <v>5</v>
      </c>
      <c r="C35" s="24">
        <f>431298088.92</f>
        <v>431298088.92</v>
      </c>
      <c r="D35" s="24">
        <f>388608296.56</f>
        <v>388608296.56</v>
      </c>
      <c r="E35" s="47" t="s">
        <v>55</v>
      </c>
      <c r="F35" s="24" t="s">
        <v>55</v>
      </c>
      <c r="G35" s="24" t="s">
        <v>55</v>
      </c>
      <c r="H35" s="24" t="s">
        <v>55</v>
      </c>
      <c r="I35" s="24" t="s">
        <v>55</v>
      </c>
      <c r="J35" s="24" t="s">
        <v>55</v>
      </c>
      <c r="K35" s="31">
        <f t="shared" si="0"/>
        <v>0.13970150622108882</v>
      </c>
      <c r="L35" s="31">
        <f t="shared" si="1"/>
        <v>90.10202144254843</v>
      </c>
      <c r="M35" s="28"/>
    </row>
    <row r="36" spans="2:13" ht="25.5" customHeight="1">
      <c r="B36" s="43" t="s">
        <v>64</v>
      </c>
      <c r="C36" s="44">
        <f>2761910802.08</f>
        <v>2761910802.08</v>
      </c>
      <c r="D36" s="44">
        <f>2179080188.62</f>
        <v>2179080188.62</v>
      </c>
      <c r="E36" s="47" t="s">
        <v>55</v>
      </c>
      <c r="F36" s="47" t="s">
        <v>55</v>
      </c>
      <c r="G36" s="47" t="s">
        <v>55</v>
      </c>
      <c r="H36" s="47" t="s">
        <v>55</v>
      </c>
      <c r="I36" s="47" t="s">
        <v>55</v>
      </c>
      <c r="J36" s="47" t="s">
        <v>55</v>
      </c>
      <c r="K36" s="45">
        <f t="shared" si="0"/>
        <v>0.7833615165232238</v>
      </c>
      <c r="L36" s="45">
        <f t="shared" si="1"/>
        <v>78.8975584214715</v>
      </c>
      <c r="M36" s="28"/>
    </row>
    <row r="37" spans="2:13" ht="19.5" customHeight="1">
      <c r="B37" s="29" t="s">
        <v>65</v>
      </c>
      <c r="C37" s="23">
        <f>1826647981.1</f>
        <v>1826647981.1</v>
      </c>
      <c r="D37" s="23">
        <f>1353191793.25</f>
        <v>1353191793.25</v>
      </c>
      <c r="E37" s="47" t="s">
        <v>55</v>
      </c>
      <c r="F37" s="23" t="s">
        <v>55</v>
      </c>
      <c r="G37" s="23" t="s">
        <v>55</v>
      </c>
      <c r="H37" s="23" t="s">
        <v>55</v>
      </c>
      <c r="I37" s="23" t="s">
        <v>55</v>
      </c>
      <c r="J37" s="23" t="s">
        <v>55</v>
      </c>
      <c r="K37" s="31">
        <f t="shared" si="0"/>
        <v>0.486461389003962</v>
      </c>
      <c r="L37" s="31">
        <f t="shared" si="1"/>
        <v>74.08060049069299</v>
      </c>
      <c r="M37" s="28"/>
    </row>
    <row r="38" spans="2:13" ht="25.5" customHeight="1">
      <c r="B38" s="43" t="s">
        <v>75</v>
      </c>
      <c r="C38" s="44">
        <f>18663926536.63</f>
        <v>18663926536.63</v>
      </c>
      <c r="D38" s="44">
        <f>15722314453.88</f>
        <v>15722314453.88</v>
      </c>
      <c r="E38" s="47" t="s">
        <v>55</v>
      </c>
      <c r="F38" s="47" t="s">
        <v>55</v>
      </c>
      <c r="G38" s="47" t="s">
        <v>55</v>
      </c>
      <c r="H38" s="47" t="s">
        <v>55</v>
      </c>
      <c r="I38" s="47" t="s">
        <v>55</v>
      </c>
      <c r="J38" s="47" t="s">
        <v>55</v>
      </c>
      <c r="K38" s="45">
        <f t="shared" si="0"/>
        <v>5.652043535693039</v>
      </c>
      <c r="L38" s="45">
        <f t="shared" si="1"/>
        <v>84.23905025034917</v>
      </c>
      <c r="M38" s="28"/>
    </row>
    <row r="39" spans="2:13" ht="21" customHeight="1">
      <c r="B39" s="29" t="s">
        <v>76</v>
      </c>
      <c r="C39" s="23">
        <f>15160192127.58</f>
        <v>15160192127.58</v>
      </c>
      <c r="D39" s="23">
        <f>12616338809.23</f>
        <v>12616338809.23</v>
      </c>
      <c r="E39" s="47" t="s">
        <v>55</v>
      </c>
      <c r="F39" s="23" t="s">
        <v>55</v>
      </c>
      <c r="G39" s="23" t="s">
        <v>55</v>
      </c>
      <c r="H39" s="23" t="s">
        <v>55</v>
      </c>
      <c r="I39" s="23" t="s">
        <v>55</v>
      </c>
      <c r="J39" s="23" t="s">
        <v>55</v>
      </c>
      <c r="K39" s="31">
        <f t="shared" si="0"/>
        <v>4.535470678951088</v>
      </c>
      <c r="L39" s="31">
        <f t="shared" si="1"/>
        <v>83.22017757464877</v>
      </c>
      <c r="M39" s="28"/>
    </row>
    <row r="40" spans="2:13" ht="35.25" customHeight="1">
      <c r="B40" s="43" t="s">
        <v>58</v>
      </c>
      <c r="C40" s="44">
        <f>C41+C42+C43+C44+C45+C46</f>
        <v>61725209392.24</v>
      </c>
      <c r="D40" s="44">
        <f>D41+D42+D43+D44+D45+D46</f>
        <v>61796761723.79</v>
      </c>
      <c r="E40" s="47" t="s">
        <v>55</v>
      </c>
      <c r="F40" s="47" t="s">
        <v>55</v>
      </c>
      <c r="G40" s="47" t="s">
        <v>55</v>
      </c>
      <c r="H40" s="47" t="s">
        <v>55</v>
      </c>
      <c r="I40" s="47" t="s">
        <v>55</v>
      </c>
      <c r="J40" s="47" t="s">
        <v>55</v>
      </c>
      <c r="K40" s="45">
        <f t="shared" si="0"/>
        <v>22.215430727599678</v>
      </c>
      <c r="L40" s="45">
        <f t="shared" si="1"/>
        <v>100.11592075953168</v>
      </c>
      <c r="M40" s="28"/>
    </row>
    <row r="41" spans="2:13" ht="26.25" customHeight="1">
      <c r="B41" s="21" t="s">
        <v>44</v>
      </c>
      <c r="C41" s="23">
        <f>11867215398</f>
        <v>11867215398</v>
      </c>
      <c r="D41" s="23">
        <f>11854825111</f>
        <v>11854825111</v>
      </c>
      <c r="E41" s="47" t="s">
        <v>55</v>
      </c>
      <c r="F41" s="23" t="s">
        <v>55</v>
      </c>
      <c r="G41" s="23" t="s">
        <v>55</v>
      </c>
      <c r="H41" s="23" t="s">
        <v>55</v>
      </c>
      <c r="I41" s="23" t="s">
        <v>55</v>
      </c>
      <c r="J41" s="23" t="s">
        <v>55</v>
      </c>
      <c r="K41" s="31">
        <f t="shared" si="0"/>
        <v>4.26171272887012</v>
      </c>
      <c r="L41" s="31">
        <f t="shared" si="1"/>
        <v>99.89559229705995</v>
      </c>
      <c r="M41" s="28"/>
    </row>
    <row r="42" spans="2:13" ht="26.25" customHeight="1">
      <c r="B42" s="21" t="s">
        <v>43</v>
      </c>
      <c r="C42" s="23">
        <f>46907635423.24</f>
        <v>46907635423.24</v>
      </c>
      <c r="D42" s="23">
        <f>46954383567.79</f>
        <v>46954383567.79</v>
      </c>
      <c r="E42" s="47" t="s">
        <v>55</v>
      </c>
      <c r="F42" s="23" t="s">
        <v>55</v>
      </c>
      <c r="G42" s="23" t="s">
        <v>55</v>
      </c>
      <c r="H42" s="23" t="s">
        <v>55</v>
      </c>
      <c r="I42" s="23" t="s">
        <v>55</v>
      </c>
      <c r="J42" s="23" t="s">
        <v>55</v>
      </c>
      <c r="K42" s="31">
        <f t="shared" si="0"/>
        <v>16.879717098603482</v>
      </c>
      <c r="L42" s="31">
        <f t="shared" si="1"/>
        <v>100.09965998952666</v>
      </c>
      <c r="M42" s="28"/>
    </row>
    <row r="43" spans="2:13" ht="26.25" customHeight="1">
      <c r="B43" s="21" t="s">
        <v>42</v>
      </c>
      <c r="C43" s="23">
        <f>180647</f>
        <v>180647</v>
      </c>
      <c r="D43" s="23">
        <f>186774</f>
        <v>186774</v>
      </c>
      <c r="E43" s="47" t="s">
        <v>55</v>
      </c>
      <c r="F43" s="23" t="s">
        <v>55</v>
      </c>
      <c r="G43" s="23" t="s">
        <v>55</v>
      </c>
      <c r="H43" s="23" t="s">
        <v>55</v>
      </c>
      <c r="I43" s="23" t="s">
        <v>55</v>
      </c>
      <c r="J43" s="23" t="s">
        <v>55</v>
      </c>
      <c r="K43" s="31">
        <f t="shared" si="0"/>
        <v>6.714372635353403E-05</v>
      </c>
      <c r="L43" s="31">
        <f t="shared" si="1"/>
        <v>103.39169762022065</v>
      </c>
      <c r="M43" s="28"/>
    </row>
    <row r="44" spans="2:13" ht="26.25" customHeight="1">
      <c r="B44" s="21" t="s">
        <v>41</v>
      </c>
      <c r="C44" s="23">
        <f>1838820916</f>
        <v>1838820916</v>
      </c>
      <c r="D44" s="23">
        <f>1838830278</f>
        <v>1838830278</v>
      </c>
      <c r="E44" s="47" t="s">
        <v>55</v>
      </c>
      <c r="F44" s="23" t="s">
        <v>55</v>
      </c>
      <c r="G44" s="23" t="s">
        <v>55</v>
      </c>
      <c r="H44" s="23" t="s">
        <v>55</v>
      </c>
      <c r="I44" s="23" t="s">
        <v>55</v>
      </c>
      <c r="J44" s="23" t="s">
        <v>55</v>
      </c>
      <c r="K44" s="31">
        <f t="shared" si="0"/>
        <v>0.6610444547775649</v>
      </c>
      <c r="L44" s="31">
        <f t="shared" si="1"/>
        <v>100.00050913060204</v>
      </c>
      <c r="M44" s="28"/>
    </row>
    <row r="45" spans="2:13" ht="26.25" customHeight="1">
      <c r="B45" s="21" t="s">
        <v>54</v>
      </c>
      <c r="C45" s="23">
        <f>509369153</f>
        <v>509369153</v>
      </c>
      <c r="D45" s="23">
        <f>509369153</f>
        <v>509369153</v>
      </c>
      <c r="E45" s="47" t="s">
        <v>55</v>
      </c>
      <c r="F45" s="23" t="s">
        <v>55</v>
      </c>
      <c r="G45" s="23" t="s">
        <v>55</v>
      </c>
      <c r="H45" s="23" t="s">
        <v>55</v>
      </c>
      <c r="I45" s="23" t="s">
        <v>55</v>
      </c>
      <c r="J45" s="23" t="s">
        <v>55</v>
      </c>
      <c r="K45" s="31">
        <f t="shared" si="0"/>
        <v>0.18311404704061277</v>
      </c>
      <c r="L45" s="31">
        <f t="shared" si="1"/>
        <v>100</v>
      </c>
      <c r="M45" s="28"/>
    </row>
    <row r="46" spans="2:13" ht="26.25" customHeight="1">
      <c r="B46" s="21" t="s">
        <v>39</v>
      </c>
      <c r="C46" s="23">
        <f>601987855</f>
        <v>601987855</v>
      </c>
      <c r="D46" s="23">
        <f>639166840</f>
        <v>639166840</v>
      </c>
      <c r="E46" s="47" t="s">
        <v>55</v>
      </c>
      <c r="F46" s="23" t="s">
        <v>55</v>
      </c>
      <c r="G46" s="23" t="s">
        <v>55</v>
      </c>
      <c r="H46" s="23" t="s">
        <v>55</v>
      </c>
      <c r="I46" s="23" t="s">
        <v>55</v>
      </c>
      <c r="J46" s="23" t="s">
        <v>55</v>
      </c>
      <c r="K46" s="31">
        <f t="shared" si="0"/>
        <v>0.2297752545815428</v>
      </c>
      <c r="L46" s="31">
        <f t="shared" si="1"/>
        <v>106.17603572749819</v>
      </c>
      <c r="M46" s="28"/>
    </row>
    <row r="47" spans="1:13" s="6" customFormat="1" ht="13.5" customHeight="1">
      <c r="A47" s="3"/>
      <c r="B47" s="22"/>
      <c r="C47" s="8"/>
      <c r="D47" s="9"/>
      <c r="E47" s="9"/>
      <c r="F47" s="16"/>
      <c r="G47" s="16"/>
      <c r="H47" s="16"/>
      <c r="I47" s="16"/>
      <c r="J47" s="16"/>
      <c r="K47" s="10"/>
      <c r="L47" s="10"/>
      <c r="M47" s="4"/>
    </row>
    <row r="48" spans="1:13" s="6" customFormat="1" ht="18.75" customHeight="1">
      <c r="A48" s="3"/>
      <c r="B48" s="50" t="s">
        <v>4</v>
      </c>
      <c r="C48" s="51">
        <f>+C6</f>
        <v>281382589854.43</v>
      </c>
      <c r="D48" s="51">
        <f>+D6</f>
        <v>278170441444.63</v>
      </c>
      <c r="E48" s="23" t="s">
        <v>55</v>
      </c>
      <c r="F48" s="23" t="s">
        <v>55</v>
      </c>
      <c r="G48" s="23" t="s">
        <v>55</v>
      </c>
      <c r="H48" s="23" t="s">
        <v>55</v>
      </c>
      <c r="I48" s="23" t="s">
        <v>55</v>
      </c>
      <c r="J48" s="23" t="s">
        <v>55</v>
      </c>
      <c r="K48" s="52">
        <f>IF($D$48=0,"",100*$D48/$D$48)</f>
        <v>100</v>
      </c>
      <c r="L48" s="52">
        <f t="shared" si="1"/>
        <v>98.85844095348551</v>
      </c>
      <c r="M48" s="4"/>
    </row>
    <row r="49" spans="1:13" s="6" customFormat="1" ht="24.75" customHeight="1">
      <c r="A49" s="3"/>
      <c r="B49" s="41" t="s">
        <v>68</v>
      </c>
      <c r="C49" s="42">
        <f>28448801138.62</f>
        <v>28448801138.62</v>
      </c>
      <c r="D49" s="42">
        <f>25093014779.46</f>
        <v>25093014779.46</v>
      </c>
      <c r="E49" s="23" t="s">
        <v>55</v>
      </c>
      <c r="F49" s="23" t="s">
        <v>55</v>
      </c>
      <c r="G49" s="23" t="s">
        <v>55</v>
      </c>
      <c r="H49" s="23" t="s">
        <v>55</v>
      </c>
      <c r="I49" s="23" t="s">
        <v>55</v>
      </c>
      <c r="J49" s="23" t="s">
        <v>55</v>
      </c>
      <c r="K49" s="32">
        <f>IF($D$48=0,"",100*$D49/$D$48)</f>
        <v>9.020733708852664</v>
      </c>
      <c r="L49" s="32">
        <f t="shared" si="1"/>
        <v>88.20412029734206</v>
      </c>
      <c r="M49" s="4"/>
    </row>
    <row r="50" spans="1:13" s="6" customFormat="1" ht="24.75" customHeight="1">
      <c r="A50" s="3"/>
      <c r="B50" s="41" t="s">
        <v>69</v>
      </c>
      <c r="C50" s="42">
        <f>+C48-C49</f>
        <v>252933788715.81</v>
      </c>
      <c r="D50" s="42">
        <f>+D48-D49</f>
        <v>253077426665.17</v>
      </c>
      <c r="E50" s="23" t="s">
        <v>55</v>
      </c>
      <c r="F50" s="23" t="s">
        <v>55</v>
      </c>
      <c r="G50" s="23" t="s">
        <v>55</v>
      </c>
      <c r="H50" s="23" t="s">
        <v>55</v>
      </c>
      <c r="I50" s="23" t="s">
        <v>55</v>
      </c>
      <c r="J50" s="23" t="s">
        <v>55</v>
      </c>
      <c r="K50" s="32">
        <f>IF($D$48=0,"",100*$D50/$D$48)</f>
        <v>90.97926629114734</v>
      </c>
      <c r="L50" s="32">
        <f t="shared" si="1"/>
        <v>100.05678875491063</v>
      </c>
      <c r="M50" s="4"/>
    </row>
    <row r="51" spans="1:13" s="6" customFormat="1" ht="13.5" customHeight="1">
      <c r="A51" s="3"/>
      <c r="B51" s="22"/>
      <c r="C51" s="8"/>
      <c r="D51" s="9"/>
      <c r="E51" s="9"/>
      <c r="F51" s="16"/>
      <c r="G51" s="16"/>
      <c r="H51" s="16"/>
      <c r="I51" s="16"/>
      <c r="J51" s="16"/>
      <c r="K51" s="10"/>
      <c r="L51" s="10"/>
      <c r="M51" s="4"/>
    </row>
    <row r="52" spans="2:13" ht="58.5" customHeight="1">
      <c r="B52" s="60" t="s">
        <v>79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2:13" s="6" customFormat="1" ht="13.5" customHeight="1">
      <c r="B53" s="7"/>
      <c r="C53" s="8"/>
      <c r="D53" s="9"/>
      <c r="E53" s="9"/>
      <c r="F53" s="5"/>
      <c r="G53" s="5"/>
      <c r="H53" s="5"/>
      <c r="I53" s="5"/>
      <c r="J53" s="5"/>
      <c r="K53" s="10"/>
      <c r="L53" s="10"/>
      <c r="M53" s="4"/>
    </row>
    <row r="54" spans="2:27" ht="29.25" customHeight="1">
      <c r="B54" s="62" t="s">
        <v>0</v>
      </c>
      <c r="C54" s="61" t="s">
        <v>50</v>
      </c>
      <c r="D54" s="61" t="s">
        <v>51</v>
      </c>
      <c r="E54" s="61" t="s">
        <v>52</v>
      </c>
      <c r="F54" s="61" t="s">
        <v>11</v>
      </c>
      <c r="G54" s="61"/>
      <c r="H54" s="61"/>
      <c r="I54" s="61" t="s">
        <v>77</v>
      </c>
      <c r="J54" s="61"/>
      <c r="K54" s="61" t="s">
        <v>1</v>
      </c>
      <c r="L54" s="65" t="s">
        <v>30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2:27" ht="18" customHeight="1">
      <c r="B55" s="62"/>
      <c r="C55" s="61"/>
      <c r="D55" s="63"/>
      <c r="E55" s="61"/>
      <c r="F55" s="58" t="s">
        <v>53</v>
      </c>
      <c r="G55" s="64" t="s">
        <v>28</v>
      </c>
      <c r="H55" s="63"/>
      <c r="I55" s="61"/>
      <c r="J55" s="61"/>
      <c r="K55" s="61"/>
      <c r="L55" s="65"/>
      <c r="M55" s="12"/>
      <c r="N55" s="13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2:27" ht="36" customHeight="1">
      <c r="B56" s="62"/>
      <c r="C56" s="61"/>
      <c r="D56" s="63"/>
      <c r="E56" s="61"/>
      <c r="F56" s="63"/>
      <c r="G56" s="18" t="s">
        <v>48</v>
      </c>
      <c r="H56" s="18" t="s">
        <v>49</v>
      </c>
      <c r="I56" s="61"/>
      <c r="J56" s="61"/>
      <c r="K56" s="61"/>
      <c r="L56" s="65"/>
      <c r="M56" s="12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13.5" customHeight="1">
      <c r="B57" s="62"/>
      <c r="C57" s="59" t="s">
        <v>73</v>
      </c>
      <c r="D57" s="59"/>
      <c r="E57" s="59"/>
      <c r="F57" s="59"/>
      <c r="G57" s="59"/>
      <c r="H57" s="59"/>
      <c r="I57" s="59"/>
      <c r="J57" s="59"/>
      <c r="K57" s="59" t="s">
        <v>3</v>
      </c>
      <c r="L57" s="59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11.25" customHeight="1">
      <c r="B58" s="17">
        <v>1</v>
      </c>
      <c r="C58" s="19">
        <v>2</v>
      </c>
      <c r="D58" s="19">
        <v>3</v>
      </c>
      <c r="E58" s="19">
        <v>4</v>
      </c>
      <c r="F58" s="17">
        <v>5</v>
      </c>
      <c r="G58" s="17">
        <v>6</v>
      </c>
      <c r="H58" s="19">
        <v>7</v>
      </c>
      <c r="I58" s="63">
        <v>8</v>
      </c>
      <c r="J58" s="63"/>
      <c r="K58" s="17">
        <v>9</v>
      </c>
      <c r="L58" s="19">
        <v>10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12" ht="44.25" customHeight="1">
      <c r="B59" s="43" t="s">
        <v>59</v>
      </c>
      <c r="C59" s="51">
        <f>299758625692.26</f>
        <v>299758625692.26</v>
      </c>
      <c r="D59" s="51" t="s">
        <v>55</v>
      </c>
      <c r="E59" s="51">
        <f>279849937362.48</f>
        <v>279849937362.48</v>
      </c>
      <c r="F59" s="57" t="s">
        <v>55</v>
      </c>
      <c r="G59" s="57" t="s">
        <v>55</v>
      </c>
      <c r="H59" s="57" t="s">
        <v>55</v>
      </c>
      <c r="I59" s="66" t="s">
        <v>55</v>
      </c>
      <c r="J59" s="66"/>
      <c r="K59" s="35">
        <f aca="true" t="shared" si="3" ref="K59:K68">IF($E$59=0,"",100*$E59/$E$59)</f>
        <v>100</v>
      </c>
      <c r="L59" s="35">
        <f aca="true" t="shared" si="4" ref="L59:L68">IF(C59=0,"",100*E59/C59)</f>
        <v>93.35842687302056</v>
      </c>
    </row>
    <row r="60" spans="2:12" ht="24" customHeight="1">
      <c r="B60" s="20" t="s">
        <v>13</v>
      </c>
      <c r="C60" s="26">
        <f>60318801923.74</f>
        <v>60318801923.74</v>
      </c>
      <c r="D60" s="57" t="s">
        <v>55</v>
      </c>
      <c r="E60" s="26">
        <f>50708821669.93</f>
        <v>50708821669.93</v>
      </c>
      <c r="F60" s="57" t="s">
        <v>55</v>
      </c>
      <c r="G60" s="57" t="s">
        <v>55</v>
      </c>
      <c r="H60" s="57" t="s">
        <v>55</v>
      </c>
      <c r="I60" s="66" t="s">
        <v>55</v>
      </c>
      <c r="J60" s="66"/>
      <c r="K60" s="33">
        <f t="shared" si="3"/>
        <v>18.120004652439356</v>
      </c>
      <c r="L60" s="33">
        <f t="shared" si="4"/>
        <v>84.06801868187016</v>
      </c>
    </row>
    <row r="61" spans="2:12" ht="22.5" customHeight="1">
      <c r="B61" s="21" t="s">
        <v>12</v>
      </c>
      <c r="C61" s="23">
        <f>58167112270.83</f>
        <v>58167112270.83</v>
      </c>
      <c r="D61" s="57" t="s">
        <v>55</v>
      </c>
      <c r="E61" s="23">
        <f>48630389152.99</f>
        <v>48630389152.99</v>
      </c>
      <c r="F61" s="57" t="s">
        <v>55</v>
      </c>
      <c r="G61" s="57" t="s">
        <v>55</v>
      </c>
      <c r="H61" s="57" t="s">
        <v>55</v>
      </c>
      <c r="I61" s="66" t="s">
        <v>55</v>
      </c>
      <c r="J61" s="66"/>
      <c r="K61" s="34">
        <f t="shared" si="3"/>
        <v>17.377309286298225</v>
      </c>
      <c r="L61" s="34">
        <f t="shared" si="4"/>
        <v>83.60461307854449</v>
      </c>
    </row>
    <row r="62" spans="2:12" ht="44.25" customHeight="1">
      <c r="B62" s="43" t="s">
        <v>60</v>
      </c>
      <c r="C62" s="51">
        <f>C59-C60</f>
        <v>239439823768.52002</v>
      </c>
      <c r="D62" s="57" t="s">
        <v>55</v>
      </c>
      <c r="E62" s="51">
        <f>E59-E60</f>
        <v>229141115692.55</v>
      </c>
      <c r="F62" s="57" t="s">
        <v>55</v>
      </c>
      <c r="G62" s="57" t="s">
        <v>55</v>
      </c>
      <c r="H62" s="57" t="s">
        <v>55</v>
      </c>
      <c r="I62" s="66" t="s">
        <v>55</v>
      </c>
      <c r="J62" s="66"/>
      <c r="K62" s="35">
        <f t="shared" si="3"/>
        <v>81.87999534756065</v>
      </c>
      <c r="L62" s="35">
        <f t="shared" si="4"/>
        <v>95.69883241898542</v>
      </c>
    </row>
    <row r="63" spans="2:12" ht="22.5" customHeight="1">
      <c r="B63" s="21" t="s">
        <v>78</v>
      </c>
      <c r="C63" s="23">
        <f>92200906365.77</f>
        <v>92200906365.77</v>
      </c>
      <c r="D63" s="57" t="s">
        <v>55</v>
      </c>
      <c r="E63" s="23">
        <f>89874633878.94</f>
        <v>89874633878.94</v>
      </c>
      <c r="F63" s="57" t="s">
        <v>55</v>
      </c>
      <c r="G63" s="57" t="s">
        <v>55</v>
      </c>
      <c r="H63" s="57" t="s">
        <v>55</v>
      </c>
      <c r="I63" s="66" t="s">
        <v>55</v>
      </c>
      <c r="J63" s="66"/>
      <c r="K63" s="34">
        <f t="shared" si="3"/>
        <v>32.11529533505969</v>
      </c>
      <c r="L63" s="34">
        <f t="shared" si="4"/>
        <v>97.47695269111406</v>
      </c>
    </row>
    <row r="64" spans="2:12" ht="22.5" customHeight="1">
      <c r="B64" s="21" t="s">
        <v>47</v>
      </c>
      <c r="C64" s="23">
        <f>24570803993.62</f>
        <v>24570803993.62</v>
      </c>
      <c r="D64" s="57" t="s">
        <v>55</v>
      </c>
      <c r="E64" s="23">
        <f>23988920050.92</f>
        <v>23988920050.92</v>
      </c>
      <c r="F64" s="57" t="s">
        <v>55</v>
      </c>
      <c r="G64" s="57" t="s">
        <v>55</v>
      </c>
      <c r="H64" s="57" t="s">
        <v>55</v>
      </c>
      <c r="I64" s="66" t="s">
        <v>55</v>
      </c>
      <c r="J64" s="66"/>
      <c r="K64" s="34">
        <f t="shared" si="3"/>
        <v>8.572065542343852</v>
      </c>
      <c r="L64" s="34">
        <f t="shared" si="4"/>
        <v>97.6318074782938</v>
      </c>
    </row>
    <row r="65" spans="2:12" ht="22.5" customHeight="1">
      <c r="B65" s="21" t="s">
        <v>46</v>
      </c>
      <c r="C65" s="23">
        <f>2314046995.74</f>
        <v>2314046995.74</v>
      </c>
      <c r="D65" s="57" t="s">
        <v>55</v>
      </c>
      <c r="E65" s="23">
        <f>2035298194.62</f>
        <v>2035298194.62</v>
      </c>
      <c r="F65" s="57" t="s">
        <v>55</v>
      </c>
      <c r="G65" s="57" t="s">
        <v>55</v>
      </c>
      <c r="H65" s="57" t="s">
        <v>55</v>
      </c>
      <c r="I65" s="66" t="s">
        <v>55</v>
      </c>
      <c r="J65" s="66"/>
      <c r="K65" s="34">
        <f t="shared" si="3"/>
        <v>0.7272819904132222</v>
      </c>
      <c r="L65" s="34">
        <f t="shared" si="4"/>
        <v>87.95405617806566</v>
      </c>
    </row>
    <row r="66" spans="2:12" ht="33.75" customHeight="1">
      <c r="B66" s="21" t="s">
        <v>61</v>
      </c>
      <c r="C66" s="23">
        <f>183738275.14</f>
        <v>183738275.14</v>
      </c>
      <c r="D66" s="57" t="s">
        <v>55</v>
      </c>
      <c r="E66" s="23">
        <f>32845593.19</f>
        <v>32845593.19</v>
      </c>
      <c r="F66" s="57" t="s">
        <v>55</v>
      </c>
      <c r="G66" s="57" t="s">
        <v>55</v>
      </c>
      <c r="H66" s="57" t="s">
        <v>55</v>
      </c>
      <c r="I66" s="66" t="s">
        <v>55</v>
      </c>
      <c r="J66" s="66"/>
      <c r="K66" s="34">
        <f t="shared" si="3"/>
        <v>0.011736859225184044</v>
      </c>
      <c r="L66" s="34">
        <f t="shared" si="4"/>
        <v>17.8762934206132</v>
      </c>
    </row>
    <row r="67" spans="2:12" ht="30" customHeight="1">
      <c r="B67" s="21" t="s">
        <v>63</v>
      </c>
      <c r="C67" s="23">
        <f>51569928132.06</f>
        <v>51569928132.06</v>
      </c>
      <c r="D67" s="57" t="s">
        <v>55</v>
      </c>
      <c r="E67" s="23">
        <f>50849922402.54</f>
        <v>50849922402.54</v>
      </c>
      <c r="F67" s="57" t="s">
        <v>55</v>
      </c>
      <c r="G67" s="57" t="s">
        <v>55</v>
      </c>
      <c r="H67" s="57" t="s">
        <v>55</v>
      </c>
      <c r="I67" s="66" t="s">
        <v>55</v>
      </c>
      <c r="J67" s="66"/>
      <c r="K67" s="34">
        <f t="shared" si="3"/>
        <v>18.17042479329765</v>
      </c>
      <c r="L67" s="34">
        <f t="shared" si="4"/>
        <v>98.60382638564822</v>
      </c>
    </row>
    <row r="68" spans="2:12" ht="22.5" customHeight="1">
      <c r="B68" s="21" t="s">
        <v>45</v>
      </c>
      <c r="C68" s="23">
        <f>C62-C63-C64-C65-C66-C67</f>
        <v>68600400006.19</v>
      </c>
      <c r="D68" s="57" t="s">
        <v>55</v>
      </c>
      <c r="E68" s="23">
        <f>E62-E63-E64-E65-E66-E67</f>
        <v>62359495572.33999</v>
      </c>
      <c r="F68" s="57" t="s">
        <v>55</v>
      </c>
      <c r="G68" s="57" t="s">
        <v>55</v>
      </c>
      <c r="H68" s="57" t="s">
        <v>55</v>
      </c>
      <c r="I68" s="66" t="s">
        <v>55</v>
      </c>
      <c r="J68" s="66"/>
      <c r="K68" s="34">
        <f t="shared" si="3"/>
        <v>22.28319082722105</v>
      </c>
      <c r="L68" s="34">
        <f t="shared" si="4"/>
        <v>90.90252471809657</v>
      </c>
    </row>
    <row r="69" spans="2:13" ht="24" customHeight="1">
      <c r="B69" s="20" t="s">
        <v>14</v>
      </c>
      <c r="C69" s="26">
        <f>C6-C59</f>
        <v>-18376035837.830017</v>
      </c>
      <c r="D69" s="57" t="s">
        <v>55</v>
      </c>
      <c r="E69" s="26">
        <f>D6-E59</f>
        <v>-1679495917.8499756</v>
      </c>
      <c r="F69" s="57" t="s">
        <v>55</v>
      </c>
      <c r="G69" s="57" t="s">
        <v>55</v>
      </c>
      <c r="H69" s="57" t="s">
        <v>55</v>
      </c>
      <c r="I69" s="66" t="s">
        <v>55</v>
      </c>
      <c r="J69" s="66"/>
      <c r="K69" s="27"/>
      <c r="L69" s="27"/>
      <c r="M69" s="14"/>
    </row>
    <row r="70" spans="2:13" ht="38.25">
      <c r="B70" s="36" t="s">
        <v>72</v>
      </c>
      <c r="C70" s="37">
        <f>+C50-C62</f>
        <v>13493964947.289978</v>
      </c>
      <c r="D70" s="57" t="s">
        <v>55</v>
      </c>
      <c r="E70" s="37">
        <f>+D50-E62</f>
        <v>23936310972.620026</v>
      </c>
      <c r="F70" s="57" t="s">
        <v>55</v>
      </c>
      <c r="G70" s="57" t="s">
        <v>55</v>
      </c>
      <c r="H70" s="57" t="s">
        <v>55</v>
      </c>
      <c r="I70" s="66" t="s">
        <v>55</v>
      </c>
      <c r="J70" s="66"/>
      <c r="K70" s="27"/>
      <c r="L70" s="27"/>
      <c r="M70" s="14"/>
    </row>
    <row r="71" spans="2:13" ht="12" customHeight="1" thickBot="1">
      <c r="B71" s="38"/>
      <c r="C71" s="39"/>
      <c r="D71" s="39"/>
      <c r="E71" s="39"/>
      <c r="F71" s="2"/>
      <c r="G71" s="2"/>
      <c r="H71" s="2"/>
      <c r="I71" s="2"/>
      <c r="L71" s="11"/>
      <c r="M71" s="11"/>
    </row>
    <row r="72" spans="2:13" ht="12" customHeight="1" thickBot="1">
      <c r="B72" s="40" t="s">
        <v>66</v>
      </c>
      <c r="C72" s="39"/>
      <c r="D72" s="39"/>
      <c r="E72" s="39"/>
      <c r="F72" s="2"/>
      <c r="G72" s="2"/>
      <c r="H72" s="2"/>
      <c r="I72" s="2"/>
      <c r="L72" s="11"/>
      <c r="M72" s="11"/>
    </row>
    <row r="73" spans="2:13" ht="35.25" customHeight="1">
      <c r="B73" s="56" t="s">
        <v>67</v>
      </c>
      <c r="C73" s="51">
        <f>29727036831.21</f>
        <v>29727036831.21</v>
      </c>
      <c r="D73" s="51" t="s">
        <v>55</v>
      </c>
      <c r="E73" s="51">
        <f>25222996988.2</f>
        <v>25222996988.2</v>
      </c>
      <c r="F73" s="57" t="s">
        <v>55</v>
      </c>
      <c r="G73" s="57" t="s">
        <v>55</v>
      </c>
      <c r="H73" s="57" t="s">
        <v>55</v>
      </c>
      <c r="I73" s="66" t="s">
        <v>55</v>
      </c>
      <c r="J73" s="66"/>
      <c r="K73" s="35">
        <f>IF($E$73=0,"",100*$E73/$E$73)</f>
        <v>100</v>
      </c>
      <c r="L73" s="35">
        <f>IF(C73=0,"",100*E73/C73)</f>
        <v>84.84867540419881</v>
      </c>
      <c r="M73" s="11"/>
    </row>
    <row r="74" spans="2:13" ht="21.75" customHeight="1">
      <c r="B74" s="53" t="s">
        <v>70</v>
      </c>
      <c r="C74" s="54">
        <f>25244898607.52</f>
        <v>25244898607.52</v>
      </c>
      <c r="D74" s="57" t="s">
        <v>55</v>
      </c>
      <c r="E74" s="54">
        <f>20990639544.75</f>
        <v>20990639544.75</v>
      </c>
      <c r="F74" s="57" t="s">
        <v>55</v>
      </c>
      <c r="G74" s="57" t="s">
        <v>55</v>
      </c>
      <c r="H74" s="57" t="s">
        <v>55</v>
      </c>
      <c r="I74" s="66" t="s">
        <v>55</v>
      </c>
      <c r="J74" s="66"/>
      <c r="K74" s="55">
        <f>IF($E$73=0,"",100*$E74/$E$73)</f>
        <v>83.22024363151607</v>
      </c>
      <c r="L74" s="55">
        <f>IF(C74=0,"",100*E74/C74)</f>
        <v>83.14804456571383</v>
      </c>
      <c r="M74" s="11"/>
    </row>
    <row r="75" spans="2:12" ht="24" customHeight="1">
      <c r="B75" s="53" t="s">
        <v>71</v>
      </c>
      <c r="C75" s="54">
        <f>C73-C74</f>
        <v>4482138223.689999</v>
      </c>
      <c r="D75" s="57" t="s">
        <v>55</v>
      </c>
      <c r="E75" s="54">
        <f>E73-E74</f>
        <v>4232357443.450001</v>
      </c>
      <c r="F75" s="57" t="s">
        <v>55</v>
      </c>
      <c r="G75" s="57" t="s">
        <v>55</v>
      </c>
      <c r="H75" s="57" t="s">
        <v>55</v>
      </c>
      <c r="I75" s="66" t="s">
        <v>55</v>
      </c>
      <c r="J75" s="66"/>
      <c r="K75" s="55">
        <f>IF($E$73=0,"",100*$E75/$E$73)</f>
        <v>16.779756368483934</v>
      </c>
      <c r="L75" s="55">
        <f>IF(C75=0,"",100*E75/C75)</f>
        <v>94.42719595482797</v>
      </c>
    </row>
    <row r="77" ht="12.75"/>
    <row r="78" ht="12.75"/>
    <row r="80" ht="12.75"/>
    <row r="83" ht="12.75"/>
    <row r="84" ht="12.75"/>
    <row r="85" ht="12.75"/>
    <row r="86" ht="12.75"/>
    <row r="87" ht="12.75"/>
    <row r="89" ht="12.75"/>
    <row r="91" ht="12.75"/>
    <row r="92" ht="12.75"/>
  </sheetData>
  <sheetProtection/>
  <mergeCells count="33">
    <mergeCell ref="I74:J74"/>
    <mergeCell ref="I63:J63"/>
    <mergeCell ref="I59:J59"/>
    <mergeCell ref="I60:J60"/>
    <mergeCell ref="I61:J61"/>
    <mergeCell ref="I62:J62"/>
    <mergeCell ref="I58:J58"/>
    <mergeCell ref="I75:J75"/>
    <mergeCell ref="I67:J67"/>
    <mergeCell ref="I65:J65"/>
    <mergeCell ref="I66:J66"/>
    <mergeCell ref="I68:J68"/>
    <mergeCell ref="I70:J70"/>
    <mergeCell ref="I64:J64"/>
    <mergeCell ref="I69:J69"/>
    <mergeCell ref="I73:J73"/>
    <mergeCell ref="B1:M1"/>
    <mergeCell ref="I54:J56"/>
    <mergeCell ref="D54:D56"/>
    <mergeCell ref="E54:E56"/>
    <mergeCell ref="F55:F56"/>
    <mergeCell ref="F54:H54"/>
    <mergeCell ref="G55:H55"/>
    <mergeCell ref="L54:L56"/>
    <mergeCell ref="B3:B4"/>
    <mergeCell ref="K4:M4"/>
    <mergeCell ref="C4:J4"/>
    <mergeCell ref="B52:M52"/>
    <mergeCell ref="C57:J57"/>
    <mergeCell ref="C54:C56"/>
    <mergeCell ref="B54:B57"/>
    <mergeCell ref="K54:K56"/>
    <mergeCell ref="K57:L57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55" r:id="rId3"/>
  <headerFooter alignWithMargins="0">
    <oddFooter>&amp;RStrona &amp;P z &amp;N</oddFooter>
  </headerFooter>
  <rowBreaks count="2" manualBreakCount="2">
    <brk id="21" max="255" man="1"/>
    <brk id="5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2018-03-19T09:12:59Z</cp:lastPrinted>
  <dcterms:created xsi:type="dcterms:W3CDTF">2001-05-17T08:58:03Z</dcterms:created>
  <dcterms:modified xsi:type="dcterms:W3CDTF">2020-01-31T11:34:41Z</dcterms:modified>
  <cp:category/>
  <cp:version/>
  <cp:contentType/>
  <cp:contentStatus/>
</cp:coreProperties>
</file>