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7275C643-3A44-4A27-A6E6-FC5D1AF10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82" i="7" l="1"/>
  <c r="A27" i="7"/>
  <c r="A1" i="7"/>
  <c r="A63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<sst xmlns="http://schemas.openxmlformats.org/spreadsheetml/2006/main" count="97" uniqueCount="81">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</sst>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 Kwartał 2025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7051500789.2</f>
        <v>7051500789.1999998</v>
      </c>
      <c r="C13" s="21">
        <f>7051500789.2</f>
        <v>7051500789.1999998</v>
      </c>
      <c r="D13" s="21">
        <f>255753767.75</f>
        <v>255753767.75</v>
      </c>
      <c r="E13" s="21">
        <f>196231694.2</f>
        <v>196231694.19999999</v>
      </c>
      <c r="F13" s="21">
        <f>6370342.51</f>
        <v>6370342.5099999998</v>
      </c>
      <c r="G13" s="21">
        <f>53151731.04</f>
        <v>53151731.039999999</v>
      </c>
      <c r="H13" s="21">
        <f>0</f>
        <v>0</v>
      </c>
      <c r="I13" s="21">
        <f>0</f>
        <v>0</v>
      </c>
      <c r="J13" s="21">
        <f>6428007110.93</f>
        <v>6428007110.9300003</v>
      </c>
      <c r="K13" s="21">
        <f>363656534.27</f>
        <v>363656534.26999998</v>
      </c>
      <c r="L13" s="21">
        <f>2115618.77</f>
        <v>2115618.77</v>
      </c>
      <c r="M13" s="21">
        <f>300751.68</f>
        <v>300751.68</v>
      </c>
      <c r="N13" s="21">
        <f>1667005.8</f>
        <v>1667005.8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21500000</f>
        <v>21500000</v>
      </c>
      <c r="C14" s="21">
        <f>21500000</f>
        <v>21500000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21500000</f>
        <v>21500000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21500000</f>
        <v>21500000</v>
      </c>
      <c r="C16" s="22">
        <f>21500000</f>
        <v>21500000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21500000</f>
        <v>21500000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7016237437.59</f>
        <v>7016237437.5900002</v>
      </c>
      <c r="C17" s="21">
        <f>7016237437.59</f>
        <v>7016237437.5900002</v>
      </c>
      <c r="D17" s="21">
        <f>242676248.36</f>
        <v>242676248.36000001</v>
      </c>
      <c r="E17" s="21">
        <f>196172476.74</f>
        <v>196172476.74000001</v>
      </c>
      <c r="F17" s="21">
        <f>6370342.51</f>
        <v>6370342.5099999998</v>
      </c>
      <c r="G17" s="21">
        <f>40133429.11</f>
        <v>40133429.109999999</v>
      </c>
      <c r="H17" s="21">
        <f>0</f>
        <v>0</v>
      </c>
      <c r="I17" s="21">
        <f>0</f>
        <v>0</v>
      </c>
      <c r="J17" s="21">
        <f>6406507110.93</f>
        <v>6406507110.9300003</v>
      </c>
      <c r="K17" s="21">
        <f>363656534.27</f>
        <v>363656534.26999998</v>
      </c>
      <c r="L17" s="21">
        <f>1806652.23</f>
        <v>1806652.23</v>
      </c>
      <c r="M17" s="21">
        <f>0</f>
        <v>0</v>
      </c>
      <c r="N17" s="21">
        <f>1590891.8</f>
        <v>1590891.8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9279546</f>
        <v>9279546</v>
      </c>
      <c r="C18" s="22">
        <f>9279546</f>
        <v>9279546</v>
      </c>
      <c r="D18" s="22">
        <f>1304546</f>
        <v>1304546</v>
      </c>
      <c r="E18" s="22">
        <f>1304546</f>
        <v>1304546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7975000</f>
        <v>7975000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7006957891.59</f>
        <v>7006957891.5900002</v>
      </c>
      <c r="C19" s="22">
        <f>7006957891.59</f>
        <v>7006957891.5900002</v>
      </c>
      <c r="D19" s="22">
        <f>241371702.36</f>
        <v>241371702.36000001</v>
      </c>
      <c r="E19" s="22">
        <f>194867930.74</f>
        <v>194867930.74000001</v>
      </c>
      <c r="F19" s="22">
        <f>6370342.51</f>
        <v>6370342.5099999998</v>
      </c>
      <c r="G19" s="22">
        <f>40133429.11</f>
        <v>40133429.109999999</v>
      </c>
      <c r="H19" s="22">
        <f>0</f>
        <v>0</v>
      </c>
      <c r="I19" s="22">
        <f>0</f>
        <v>0</v>
      </c>
      <c r="J19" s="22">
        <f>6398532110.93</f>
        <v>6398532110.9300003</v>
      </c>
      <c r="K19" s="22">
        <f>363656534.27</f>
        <v>363656534.26999998</v>
      </c>
      <c r="L19" s="22">
        <f>1806652.23</f>
        <v>1806652.23</v>
      </c>
      <c r="M19" s="22">
        <f>0</f>
        <v>0</v>
      </c>
      <c r="N19" s="22">
        <f>1590891.8</f>
        <v>1590891.8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13000000</f>
        <v>13000000</v>
      </c>
      <c r="C20" s="22">
        <f>13000000</f>
        <v>13000000</v>
      </c>
      <c r="D20" s="22">
        <f>13000000</f>
        <v>13000000</v>
      </c>
      <c r="E20" s="22">
        <f>0</f>
        <v>0</v>
      </c>
      <c r="F20" s="22">
        <f>0</f>
        <v>0</v>
      </c>
      <c r="G20" s="22">
        <f>13000000</f>
        <v>13000000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763351.61</f>
        <v>763351.61</v>
      </c>
      <c r="C21" s="21">
        <f>763351.61</f>
        <v>763351.61</v>
      </c>
      <c r="D21" s="21">
        <f>77519.39</f>
        <v>77519.39</v>
      </c>
      <c r="E21" s="21">
        <f>59217.46</f>
        <v>59217.46</v>
      </c>
      <c r="F21" s="21">
        <f>0</f>
        <v>0</v>
      </c>
      <c r="G21" s="21">
        <f>18301.93</f>
        <v>18301.93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308966.54</f>
        <v>308966.53999999998</v>
      </c>
      <c r="M21" s="21">
        <f>300751.68</f>
        <v>300751.68</v>
      </c>
      <c r="N21" s="21">
        <f>76114</f>
        <v>76114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403192.64</f>
        <v>403192.64</v>
      </c>
      <c r="C22" s="22">
        <f>403192.64</f>
        <v>403192.64</v>
      </c>
      <c r="D22" s="22">
        <f>14629.64</f>
        <v>14629.64</v>
      </c>
      <c r="E22" s="22">
        <f>0</f>
        <v>0</v>
      </c>
      <c r="F22" s="22">
        <f>0</f>
        <v>0</v>
      </c>
      <c r="G22" s="22">
        <f>14629.64</f>
        <v>14629.64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207065.73</f>
        <v>207065.73</v>
      </c>
      <c r="M22" s="22">
        <f>119369.27</f>
        <v>119369.27</v>
      </c>
      <c r="N22" s="22">
        <f>62128</f>
        <v>62128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360158.97</f>
        <v>360158.97</v>
      </c>
      <c r="C23" s="22">
        <f>360158.97</f>
        <v>360158.97</v>
      </c>
      <c r="D23" s="22">
        <f>62889.75</f>
        <v>62889.75</v>
      </c>
      <c r="E23" s="22">
        <f>59217.46</f>
        <v>59217.46</v>
      </c>
      <c r="F23" s="22">
        <f>0</f>
        <v>0</v>
      </c>
      <c r="G23" s="22">
        <f>3672.29</f>
        <v>3672.29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101900.81</f>
        <v>101900.81</v>
      </c>
      <c r="M23" s="22">
        <f>181382.41</f>
        <v>181382.41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 Kwartał 2025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0</f>
        <v>0</v>
      </c>
      <c r="C38" s="23">
        <f>0</f>
        <v>0</v>
      </c>
      <c r="D38" s="23">
        <f>0</f>
        <v>0</v>
      </c>
      <c r="E38" s="23">
        <f>0</f>
        <v>0</v>
      </c>
      <c r="F38" s="23">
        <f>0</f>
        <v>0</v>
      </c>
      <c r="G38" s="23">
        <f>0</f>
        <v>0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0</f>
        <v>0</v>
      </c>
      <c r="M38" s="23">
        <f>0</f>
        <v>0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0</f>
        <v>0</v>
      </c>
      <c r="C39" s="24">
        <f>0</f>
        <v>0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0</f>
        <v>0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257485151.11</f>
        <v>257485151.11000001</v>
      </c>
      <c r="C41" s="23">
        <f>257485151.11</f>
        <v>257485151.11000001</v>
      </c>
      <c r="D41" s="23">
        <f>187538872.68</f>
        <v>187538872.68000001</v>
      </c>
      <c r="E41" s="23">
        <f>15450</f>
        <v>15450</v>
      </c>
      <c r="F41" s="23">
        <f>2502403.2</f>
        <v>2502403.2000000002</v>
      </c>
      <c r="G41" s="23">
        <f>185021019.48</f>
        <v>185021019.47999999</v>
      </c>
      <c r="H41" s="23">
        <f>0</f>
        <v>0</v>
      </c>
      <c r="I41" s="23">
        <f>0</f>
        <v>0</v>
      </c>
      <c r="J41" s="23">
        <f>651764.24</f>
        <v>651764.24</v>
      </c>
      <c r="K41" s="23">
        <f>0</f>
        <v>0</v>
      </c>
      <c r="L41" s="23">
        <f>56451759.45</f>
        <v>56451759.450000003</v>
      </c>
      <c r="M41" s="23">
        <f>11097196.81</f>
        <v>11097196.810000001</v>
      </c>
      <c r="N41" s="23">
        <f>1745557.93</f>
        <v>1745557.93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64802327.36</f>
        <v>64802327.359999999</v>
      </c>
      <c r="C42" s="24">
        <f>64802327.36</f>
        <v>64802327.359999999</v>
      </c>
      <c r="D42" s="24">
        <f>50553221.58</f>
        <v>50553221.579999998</v>
      </c>
      <c r="E42" s="24">
        <f>0</f>
        <v>0</v>
      </c>
      <c r="F42" s="24">
        <f>2500000</f>
        <v>2500000</v>
      </c>
      <c r="G42" s="24">
        <f>48053221.58</f>
        <v>48053221.579999998</v>
      </c>
      <c r="H42" s="24">
        <f>0</f>
        <v>0</v>
      </c>
      <c r="I42" s="24">
        <f>0</f>
        <v>0</v>
      </c>
      <c r="J42" s="24">
        <f>651764.24</f>
        <v>651764.24</v>
      </c>
      <c r="K42" s="24">
        <f>0</f>
        <v>0</v>
      </c>
      <c r="L42" s="24">
        <f>11198543.31</f>
        <v>11198543.310000001</v>
      </c>
      <c r="M42" s="24">
        <f>1398798.23</f>
        <v>1398798.23</v>
      </c>
      <c r="N42" s="24">
        <f>1000000</f>
        <v>1000000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192682823.75</f>
        <v>192682823.75</v>
      </c>
      <c r="C43" s="24">
        <f>192682823.75</f>
        <v>192682823.75</v>
      </c>
      <c r="D43" s="24">
        <f>136985651.1</f>
        <v>136985651.09999999</v>
      </c>
      <c r="E43" s="24">
        <f>15450</f>
        <v>15450</v>
      </c>
      <c r="F43" s="24">
        <f>2403.2</f>
        <v>2403.1999999999998</v>
      </c>
      <c r="G43" s="24">
        <f>136967797.9</f>
        <v>136967797.90000001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45253216.14</f>
        <v>45253216.140000001</v>
      </c>
      <c r="M43" s="24">
        <f>9698398.58</f>
        <v>9698398.5800000001</v>
      </c>
      <c r="N43" s="24">
        <f>745557.93</f>
        <v>745557.93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12433142781.7</f>
        <v>12433142781.700001</v>
      </c>
      <c r="C44" s="23">
        <f>12433142781.7</f>
        <v>12433142781.700001</v>
      </c>
      <c r="D44" s="23">
        <f>2461730.3</f>
        <v>2461730.2999999998</v>
      </c>
      <c r="E44" s="23">
        <f>3291.46</f>
        <v>3291.46</v>
      </c>
      <c r="F44" s="23">
        <f>2640</f>
        <v>2640</v>
      </c>
      <c r="G44" s="23">
        <f>2455798.84</f>
        <v>2455798.84</v>
      </c>
      <c r="H44" s="23">
        <f>0</f>
        <v>0</v>
      </c>
      <c r="I44" s="23">
        <f>8541774.05</f>
        <v>8541774.0500000007</v>
      </c>
      <c r="J44" s="23">
        <f>12421909616.99</f>
        <v>12421909616.99</v>
      </c>
      <c r="K44" s="23">
        <f>83024.35</f>
        <v>83024.350000000006</v>
      </c>
      <c r="L44" s="23">
        <f>50352.89</f>
        <v>50352.89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2426195.67</f>
        <v>2426195.67</v>
      </c>
      <c r="C45" s="24">
        <f>2426195.67</f>
        <v>2426195.67</v>
      </c>
      <c r="D45" s="24">
        <f>2426195.67</f>
        <v>2426195.67</v>
      </c>
      <c r="E45" s="24">
        <f>0</f>
        <v>0</v>
      </c>
      <c r="F45" s="24">
        <f>0</f>
        <v>0</v>
      </c>
      <c r="G45" s="24">
        <f>2426195.67</f>
        <v>2426195.67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10048612534.09</f>
        <v>10048612534.09</v>
      </c>
      <c r="C46" s="24">
        <f>10048612534.09</f>
        <v>10048612534.09</v>
      </c>
      <c r="D46" s="24">
        <f>27344.88</f>
        <v>27344.880000000001</v>
      </c>
      <c r="E46" s="24">
        <f>1761.93</f>
        <v>1761.93</v>
      </c>
      <c r="F46" s="24">
        <f>0</f>
        <v>0</v>
      </c>
      <c r="G46" s="24">
        <f>25582.95</f>
        <v>25582.95</v>
      </c>
      <c r="H46" s="24">
        <f>0</f>
        <v>0</v>
      </c>
      <c r="I46" s="24">
        <f>8541774.05</f>
        <v>8541774.0500000007</v>
      </c>
      <c r="J46" s="24">
        <f>10039863459.35</f>
        <v>10039863459.35</v>
      </c>
      <c r="K46" s="24">
        <f>69915.34</f>
        <v>69915.34</v>
      </c>
      <c r="L46" s="24">
        <f>15757.35</f>
        <v>15757.35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2382104051.94</f>
        <v>2382104051.9400001</v>
      </c>
      <c r="C47" s="24">
        <f>2382104051.94</f>
        <v>2382104051.9400001</v>
      </c>
      <c r="D47" s="24">
        <f>8189.75</f>
        <v>8189.75</v>
      </c>
      <c r="E47" s="24">
        <f>1529.53</f>
        <v>1529.53</v>
      </c>
      <c r="F47" s="24">
        <f>2640</f>
        <v>2640</v>
      </c>
      <c r="G47" s="24">
        <f>4020.22</f>
        <v>4020.22</v>
      </c>
      <c r="H47" s="24">
        <f>0</f>
        <v>0</v>
      </c>
      <c r="I47" s="24">
        <f>0</f>
        <v>0</v>
      </c>
      <c r="J47" s="24">
        <f>2382046157.64</f>
        <v>2382046157.6399999</v>
      </c>
      <c r="K47" s="24">
        <f>13109.01</f>
        <v>13109.01</v>
      </c>
      <c r="L47" s="24">
        <f>34595.54</f>
        <v>34595.54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891744344.89</f>
        <v>891744344.88999999</v>
      </c>
      <c r="C48" s="23">
        <f>890767481.82</f>
        <v>890767481.82000005</v>
      </c>
      <c r="D48" s="23">
        <f>39644123.96</f>
        <v>39644123.960000001</v>
      </c>
      <c r="E48" s="23">
        <f>10775317.72</f>
        <v>10775317.720000001</v>
      </c>
      <c r="F48" s="23">
        <f>1377817.66</f>
        <v>1377817.66</v>
      </c>
      <c r="G48" s="23">
        <f>27445979.87</f>
        <v>27445979.870000001</v>
      </c>
      <c r="H48" s="23">
        <f>45008.71</f>
        <v>45008.71</v>
      </c>
      <c r="I48" s="23">
        <f>0</f>
        <v>0</v>
      </c>
      <c r="J48" s="23">
        <f>3680027.88</f>
        <v>3680027.88</v>
      </c>
      <c r="K48" s="23">
        <f>234573.27</f>
        <v>234573.27</v>
      </c>
      <c r="L48" s="23">
        <f>243254695.88</f>
        <v>243254695.88</v>
      </c>
      <c r="M48" s="23">
        <f>600749648.22</f>
        <v>600749648.22000003</v>
      </c>
      <c r="N48" s="23">
        <f>3204412.61</f>
        <v>3204412.61</v>
      </c>
      <c r="O48" s="23">
        <f>976863.07</f>
        <v>976863.07</v>
      </c>
      <c r="P48" s="23">
        <f>371065.26</f>
        <v>371065.26</v>
      </c>
      <c r="Q48" s="23">
        <f>605797.81</f>
        <v>605797.81000000006</v>
      </c>
    </row>
    <row r="49" spans="1:17" ht="25.5" customHeight="1" x14ac:dyDescent="0.2">
      <c r="A49" s="18" t="s">
        <v>36</v>
      </c>
      <c r="B49" s="24">
        <f>174521608.83</f>
        <v>174521608.83000001</v>
      </c>
      <c r="C49" s="24">
        <f>174485738.03</f>
        <v>174485738.03</v>
      </c>
      <c r="D49" s="24">
        <f>4384840.16</f>
        <v>4384840.16</v>
      </c>
      <c r="E49" s="24">
        <f>48582.49</f>
        <v>48582.49</v>
      </c>
      <c r="F49" s="24">
        <f>527049.47</f>
        <v>527049.47</v>
      </c>
      <c r="G49" s="24">
        <f>3764766.86</f>
        <v>3764766.86</v>
      </c>
      <c r="H49" s="24">
        <f>44441.34</f>
        <v>44441.34</v>
      </c>
      <c r="I49" s="24">
        <f>0</f>
        <v>0</v>
      </c>
      <c r="J49" s="24">
        <f>670922.36</f>
        <v>670922.36</v>
      </c>
      <c r="K49" s="24">
        <f>97605.67</f>
        <v>97605.67</v>
      </c>
      <c r="L49" s="24">
        <f>70080214.11</f>
        <v>70080214.109999999</v>
      </c>
      <c r="M49" s="24">
        <f>97834617.38</f>
        <v>97834617.379999995</v>
      </c>
      <c r="N49" s="24">
        <f>1417538.35</f>
        <v>1417538.35</v>
      </c>
      <c r="O49" s="24">
        <f>35870.8</f>
        <v>35870.800000000003</v>
      </c>
      <c r="P49" s="24">
        <f>22932.3</f>
        <v>22932.3</v>
      </c>
      <c r="Q49" s="24">
        <f>12938.5</f>
        <v>12938.5</v>
      </c>
    </row>
    <row r="50" spans="1:17" ht="25.5" customHeight="1" x14ac:dyDescent="0.2">
      <c r="A50" s="18" t="s">
        <v>37</v>
      </c>
      <c r="B50" s="24">
        <f>717222736.06</f>
        <v>717222736.05999994</v>
      </c>
      <c r="C50" s="24">
        <f>716281743.79</f>
        <v>716281743.78999996</v>
      </c>
      <c r="D50" s="24">
        <f>35259283.8</f>
        <v>35259283.799999997</v>
      </c>
      <c r="E50" s="24">
        <f>10726735.23</f>
        <v>10726735.23</v>
      </c>
      <c r="F50" s="24">
        <f>850768.19</f>
        <v>850768.19</v>
      </c>
      <c r="G50" s="24">
        <f>23681213.01</f>
        <v>23681213.010000002</v>
      </c>
      <c r="H50" s="24">
        <f>567.37</f>
        <v>567.37</v>
      </c>
      <c r="I50" s="24">
        <f>0</f>
        <v>0</v>
      </c>
      <c r="J50" s="24">
        <f>3009105.52</f>
        <v>3009105.52</v>
      </c>
      <c r="K50" s="24">
        <f>136967.6</f>
        <v>136967.6</v>
      </c>
      <c r="L50" s="24">
        <f>173174481.77</f>
        <v>173174481.77000001</v>
      </c>
      <c r="M50" s="24">
        <f>502915030.84</f>
        <v>502915030.83999997</v>
      </c>
      <c r="N50" s="24">
        <f>1786874.26</f>
        <v>1786874.26</v>
      </c>
      <c r="O50" s="24">
        <f>940992.27</f>
        <v>940992.27</v>
      </c>
      <c r="P50" s="24">
        <f>348132.96</f>
        <v>348132.96</v>
      </c>
      <c r="Q50" s="24">
        <f>592859.31</f>
        <v>592859.31000000006</v>
      </c>
    </row>
    <row r="51" spans="1:17" ht="30" customHeight="1" x14ac:dyDescent="0.2">
      <c r="A51" s="25" t="s">
        <v>44</v>
      </c>
      <c r="B51" s="23">
        <f>901824628.28</f>
        <v>901824628.27999997</v>
      </c>
      <c r="C51" s="23">
        <f>901753714.38</f>
        <v>901753714.38</v>
      </c>
      <c r="D51" s="23">
        <f>328719324.94</f>
        <v>328719324.94</v>
      </c>
      <c r="E51" s="23">
        <f>80063870.72</f>
        <v>80063870.719999999</v>
      </c>
      <c r="F51" s="23">
        <f>9314347.61</f>
        <v>9314347.6099999994</v>
      </c>
      <c r="G51" s="23">
        <f>227186334.48</f>
        <v>227186334.47999999</v>
      </c>
      <c r="H51" s="23">
        <f>12154772.13</f>
        <v>12154772.130000001</v>
      </c>
      <c r="I51" s="23">
        <f>0</f>
        <v>0</v>
      </c>
      <c r="J51" s="23">
        <f>448909.12</f>
        <v>448909.12</v>
      </c>
      <c r="K51" s="23">
        <f>1696449.83</f>
        <v>1696449.83</v>
      </c>
      <c r="L51" s="23">
        <f>433047651.37</f>
        <v>433047651.37</v>
      </c>
      <c r="M51" s="23">
        <f>132947829.63</f>
        <v>132947829.63</v>
      </c>
      <c r="N51" s="23">
        <f>4893549.49</f>
        <v>4893549.49</v>
      </c>
      <c r="O51" s="23">
        <f>70913.9</f>
        <v>70913.899999999994</v>
      </c>
      <c r="P51" s="23">
        <f>24870.01</f>
        <v>24870.01</v>
      </c>
      <c r="Q51" s="23">
        <f>46043.89</f>
        <v>46043.89</v>
      </c>
    </row>
    <row r="52" spans="1:17" ht="31.5" customHeight="1" x14ac:dyDescent="0.2">
      <c r="A52" s="18" t="s">
        <v>38</v>
      </c>
      <c r="B52" s="24">
        <f>123545346.38</f>
        <v>123545346.38</v>
      </c>
      <c r="C52" s="24">
        <f>123513867.21</f>
        <v>123513867.20999999</v>
      </c>
      <c r="D52" s="24">
        <f>57449480.64</f>
        <v>57449480.640000001</v>
      </c>
      <c r="E52" s="24">
        <f>571797.34</f>
        <v>571797.34</v>
      </c>
      <c r="F52" s="24">
        <f>5791240.52</f>
        <v>5791240.5199999996</v>
      </c>
      <c r="G52" s="24">
        <f>44662665.06</f>
        <v>44662665.060000002</v>
      </c>
      <c r="H52" s="24">
        <f>6423777.72</f>
        <v>6423777.7199999997</v>
      </c>
      <c r="I52" s="24">
        <f>0</f>
        <v>0</v>
      </c>
      <c r="J52" s="24">
        <f>385982.66</f>
        <v>385982.66</v>
      </c>
      <c r="K52" s="24">
        <f>254844.35</f>
        <v>254844.35</v>
      </c>
      <c r="L52" s="24">
        <f>29334701.8</f>
        <v>29334701.800000001</v>
      </c>
      <c r="M52" s="24">
        <f>34295302.44</f>
        <v>34295302.439999998</v>
      </c>
      <c r="N52" s="24">
        <f>1793555.32</f>
        <v>1793555.32</v>
      </c>
      <c r="O52" s="24">
        <f>31479.17</f>
        <v>31479.17</v>
      </c>
      <c r="P52" s="24">
        <f>19123.23</f>
        <v>19123.23</v>
      </c>
      <c r="Q52" s="24">
        <f>12355.94</f>
        <v>12355.94</v>
      </c>
    </row>
    <row r="53" spans="1:17" ht="35.25" customHeight="1" x14ac:dyDescent="0.2">
      <c r="A53" s="18" t="s">
        <v>80</v>
      </c>
      <c r="B53" s="24">
        <f>1276189.07</f>
        <v>1276189.07</v>
      </c>
      <c r="C53" s="24">
        <f>1276189.07</f>
        <v>1276189.07</v>
      </c>
      <c r="D53" s="24">
        <f>1022123.03</f>
        <v>1022123.03</v>
      </c>
      <c r="E53" s="24">
        <f>430763.44</f>
        <v>430763.44</v>
      </c>
      <c r="F53" s="24">
        <f>0</f>
        <v>0</v>
      </c>
      <c r="G53" s="24">
        <f>162110.13</f>
        <v>162110.13</v>
      </c>
      <c r="H53" s="24">
        <f>429249.46</f>
        <v>429249.46</v>
      </c>
      <c r="I53" s="24">
        <f>0</f>
        <v>0</v>
      </c>
      <c r="J53" s="24">
        <f>0</f>
        <v>0</v>
      </c>
      <c r="K53" s="24">
        <f>1273.96</f>
        <v>1273.96</v>
      </c>
      <c r="L53" s="24">
        <f>5650.33</f>
        <v>5650.33</v>
      </c>
      <c r="M53" s="24">
        <f>246669.47</f>
        <v>246669.47</v>
      </c>
      <c r="N53" s="24">
        <f>472.28</f>
        <v>472.28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777003092.83</f>
        <v>777003092.83000004</v>
      </c>
      <c r="C54" s="24">
        <f>776963658.1</f>
        <v>776963658.10000002</v>
      </c>
      <c r="D54" s="24">
        <f>270247721.27</f>
        <v>270247721.26999998</v>
      </c>
      <c r="E54" s="24">
        <f>79061309.94</f>
        <v>79061309.939999998</v>
      </c>
      <c r="F54" s="24">
        <f>3523107.09</f>
        <v>3523107.09</v>
      </c>
      <c r="G54" s="24">
        <f>182361559.29</f>
        <v>182361559.28999999</v>
      </c>
      <c r="H54" s="24">
        <f>5301744.95</f>
        <v>5301744.95</v>
      </c>
      <c r="I54" s="24">
        <f>0</f>
        <v>0</v>
      </c>
      <c r="J54" s="24">
        <f>62926.46</f>
        <v>62926.46</v>
      </c>
      <c r="K54" s="24">
        <f>1440331.52</f>
        <v>1440331.52</v>
      </c>
      <c r="L54" s="24">
        <f>403707299.24</f>
        <v>403707299.24000001</v>
      </c>
      <c r="M54" s="24">
        <f>98405857.72</f>
        <v>98405857.719999999</v>
      </c>
      <c r="N54" s="24">
        <f>3099521.89</f>
        <v>3099521.89</v>
      </c>
      <c r="O54" s="24">
        <f>39434.73</f>
        <v>39434.730000000003</v>
      </c>
      <c r="P54" s="24">
        <f>5746.78</f>
        <v>5746.78</v>
      </c>
      <c r="Q54" s="24">
        <f>33687.95</f>
        <v>33687.949999999997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 Kwartał 2025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480603359.96</f>
        <v>480603359.95999998</v>
      </c>
      <c r="G73" s="26">
        <f>239722982.92</f>
        <v>239722982.91999999</v>
      </c>
      <c r="H73" s="26">
        <f>34285819.96</f>
        <v>34285819.960000001</v>
      </c>
      <c r="I73" s="26">
        <f>13012371.98</f>
        <v>13012371.98</v>
      </c>
      <c r="J73" s="26">
        <f>185361212.22</f>
        <v>185361212.22</v>
      </c>
      <c r="K73" s="26">
        <f>7063578.76</f>
        <v>7063578.7599999998</v>
      </c>
      <c r="L73" s="26">
        <f>240880377.04</f>
        <v>240880377.03999999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0</f>
        <v>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0</f>
        <v>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15039988.45</f>
        <v>15039988.449999999</v>
      </c>
      <c r="G75" s="26">
        <f>7000000</f>
        <v>7000000</v>
      </c>
      <c r="H75" s="26">
        <f>0</f>
        <v>0</v>
      </c>
      <c r="I75" s="26">
        <f>0</f>
        <v>0</v>
      </c>
      <c r="J75" s="26">
        <f>7000000</f>
        <v>7000000</v>
      </c>
      <c r="K75" s="26">
        <f>0</f>
        <v>0</v>
      </c>
      <c r="L75" s="26">
        <f>8039988.45</f>
        <v>8039988.4500000002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49837973.1</f>
        <v>49837973.100000001</v>
      </c>
      <c r="G76" s="26">
        <f>21243118.97</f>
        <v>21243118.969999999</v>
      </c>
      <c r="H76" s="26">
        <f>0</f>
        <v>0</v>
      </c>
      <c r="I76" s="26">
        <f>0</f>
        <v>0</v>
      </c>
      <c r="J76" s="26">
        <f>21243118.97</f>
        <v>21243118.969999999</v>
      </c>
      <c r="K76" s="26">
        <f>0</f>
        <v>0</v>
      </c>
      <c r="L76" s="26">
        <f>28594854.13</f>
        <v>28594854.129999999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12904969.51</f>
        <v>12904969.51</v>
      </c>
      <c r="G77" s="26">
        <f>12904969.51</f>
        <v>12904969.51</v>
      </c>
      <c r="H77" s="26">
        <f>0</f>
        <v>0</v>
      </c>
      <c r="I77" s="26">
        <f>0</f>
        <v>0</v>
      </c>
      <c r="J77" s="26">
        <f>12904969.51</f>
        <v>12904969.51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2143569.85</f>
        <v>2143569.85</v>
      </c>
      <c r="G78" s="26">
        <f>787825.51</f>
        <v>787825.51</v>
      </c>
      <c r="H78" s="26">
        <f>0</f>
        <v>0</v>
      </c>
      <c r="I78" s="26">
        <f>0</f>
        <v>0</v>
      </c>
      <c r="J78" s="26">
        <f>787825.51</f>
        <v>787825.51</v>
      </c>
      <c r="K78" s="26">
        <f>0</f>
        <v>0</v>
      </c>
      <c r="L78" s="26">
        <f>1355744.34</f>
        <v>1355744.34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228.56</f>
        <v>228.56</v>
      </c>
      <c r="G79" s="26">
        <f>228.56</f>
        <v>228.56</v>
      </c>
      <c r="H79" s="26">
        <f>0</f>
        <v>0</v>
      </c>
      <c r="I79" s="26">
        <f>0</f>
        <v>0</v>
      </c>
      <c r="J79" s="26">
        <f>228.56</f>
        <v>228.56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 Kwartał 2025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314</f>
        <v>314</v>
      </c>
      <c r="H85" s="63"/>
      <c r="I85" s="64">
        <f>5770380050.28</f>
        <v>5770380050.2799997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0</f>
        <v>0</v>
      </c>
      <c r="H86" s="73"/>
      <c r="I86" s="74">
        <f>0</f>
        <v>0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1</f>
        <v>1</v>
      </c>
      <c r="C90" s="8" t="str">
        <f>IF(B90=1,"I Kwartał",IF(B90=2,"II Kwartały",IF(B90=3,"III Kwartały",IF(B90=4,"IV Kwartały","-"))))</f>
        <v>I Kwartał</v>
      </c>
    </row>
    <row r="91" spans="1:13" ht="13.5" customHeight="1" x14ac:dyDescent="0.2">
      <c r="A91" s="8" t="s">
        <v>9</v>
      </c>
      <c r="B91" s="8">
        <f>2025</f>
        <v>2025</v>
      </c>
      <c r="C91" s="9"/>
    </row>
    <row r="92" spans="1:13" ht="13.5" customHeight="1" x14ac:dyDescent="0.2">
      <c r="A92" s="8" t="s">
        <v>10</v>
      </c>
      <c r="B92" s="10" t="str">
        <f>"May 17 2025 12:00AM"</f>
        <v>May 17 2025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2025-05-21T12:01:17Z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2025-05-21T14:01:06.0799279+02:00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GRN-634d6884-784b-449e-b665-df2ac93662dd</vt:lpwstr>
  </property>
  <property fmtid="{D5CDD505-2E9C-101B-9397-08002B2CF9AE}" pid="7" name="MFHash">
    <vt:lpwstr>1LPcv1bwW3jrtbjhxRDiAgYNJnk2VxL8H5fa56mdCm8=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