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V kwartał\2024.03.15 ostateczne\BIP MF\Zbiorówki\"/>
    </mc:Choice>
  </mc:AlternateContent>
  <xr:revisionPtr revIDLastSave="0" documentId="13_ncr:1_{297B7B18-1FC9-4591-960E-41EADAACA8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9" i="4" l="1"/>
  <c r="C118" i="4"/>
  <c r="C117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I80" i="4"/>
  <c r="H80" i="4"/>
  <c r="G80" i="4"/>
  <c r="F80" i="4"/>
  <c r="E80" i="4"/>
  <c r="D80" i="4"/>
  <c r="C80" i="4"/>
  <c r="I79" i="4"/>
  <c r="H79" i="4"/>
  <c r="G79" i="4"/>
  <c r="F79" i="4"/>
  <c r="E79" i="4"/>
  <c r="D79" i="4"/>
  <c r="C79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9" i="4"/>
  <c r="H69" i="4"/>
  <c r="G69" i="4"/>
  <c r="F69" i="4"/>
  <c r="E69" i="4"/>
  <c r="D69" i="4"/>
  <c r="C69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5" i="4"/>
  <c r="H55" i="4"/>
  <c r="G55" i="4"/>
  <c r="F55" i="4"/>
  <c r="E55" i="4"/>
  <c r="D55" i="4"/>
  <c r="C55" i="4"/>
  <c r="D52" i="4"/>
  <c r="C52" i="4"/>
  <c r="D51" i="4"/>
  <c r="C51" i="4"/>
  <c r="D50" i="4"/>
  <c r="C50" i="4"/>
  <c r="D49" i="4"/>
  <c r="C49" i="4"/>
  <c r="D48" i="4"/>
  <c r="C48" i="4"/>
  <c r="D47" i="4"/>
  <c r="C47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K9" i="4" l="1"/>
  <c r="K27" i="4"/>
  <c r="K28" i="4"/>
  <c r="H81" i="4"/>
  <c r="K40" i="4"/>
  <c r="G81" i="4"/>
  <c r="K45" i="4"/>
  <c r="K15" i="4"/>
  <c r="D117" i="4"/>
  <c r="E68" i="4"/>
  <c r="E74" i="4" s="1"/>
  <c r="F68" i="4"/>
  <c r="F74" i="4" s="1"/>
  <c r="K97" i="4"/>
  <c r="G68" i="4"/>
  <c r="G74" i="4" s="1"/>
  <c r="H68" i="4"/>
  <c r="H74" i="4" s="1"/>
  <c r="K29" i="4"/>
  <c r="K47" i="4"/>
  <c r="C46" i="4"/>
  <c r="K88" i="4"/>
  <c r="D46" i="4"/>
  <c r="J46" i="4" s="1"/>
  <c r="K32" i="4"/>
  <c r="K48" i="4"/>
  <c r="K89" i="4"/>
  <c r="K20" i="4"/>
  <c r="K35" i="4"/>
  <c r="K51" i="4"/>
  <c r="K13" i="4"/>
  <c r="K38" i="4"/>
  <c r="K95" i="4"/>
  <c r="K39" i="4"/>
  <c r="J68" i="4"/>
  <c r="J71" i="4"/>
  <c r="J72" i="4"/>
  <c r="J67" i="4"/>
  <c r="J69" i="4"/>
  <c r="J74" i="4"/>
  <c r="D68" i="4"/>
  <c r="D74" i="4" s="1"/>
  <c r="J73" i="4"/>
  <c r="J70" i="4"/>
  <c r="J66" i="4"/>
  <c r="J65" i="4"/>
  <c r="C81" i="4"/>
  <c r="K81" i="4" s="1"/>
  <c r="K79" i="4"/>
  <c r="K96" i="4"/>
  <c r="C75" i="4"/>
  <c r="C54" i="4"/>
  <c r="K6" i="4"/>
  <c r="G21" i="4"/>
  <c r="I68" i="4"/>
  <c r="I74" i="4" s="1"/>
  <c r="K72" i="4"/>
  <c r="I81" i="4"/>
  <c r="K90" i="4"/>
  <c r="K100" i="4"/>
  <c r="J26" i="4"/>
  <c r="J40" i="4"/>
  <c r="J31" i="4"/>
  <c r="J16" i="4"/>
  <c r="J35" i="4"/>
  <c r="J37" i="4"/>
  <c r="J43" i="4"/>
  <c r="J17" i="4"/>
  <c r="J32" i="4"/>
  <c r="J6" i="4"/>
  <c r="J41" i="4"/>
  <c r="J42" i="4"/>
  <c r="J14" i="4"/>
  <c r="J27" i="4"/>
  <c r="J50" i="4"/>
  <c r="J51" i="4"/>
  <c r="J18" i="4"/>
  <c r="J34" i="4"/>
  <c r="J45" i="4"/>
  <c r="J49" i="4"/>
  <c r="J33" i="4"/>
  <c r="J30" i="4"/>
  <c r="J28" i="4"/>
  <c r="J44" i="4"/>
  <c r="J19" i="4"/>
  <c r="J24" i="4"/>
  <c r="J12" i="4"/>
  <c r="J47" i="4"/>
  <c r="J52" i="4"/>
  <c r="J10" i="4"/>
  <c r="J38" i="4"/>
  <c r="J20" i="4"/>
  <c r="J29" i="4"/>
  <c r="D54" i="4"/>
  <c r="J39" i="4"/>
  <c r="J13" i="4"/>
  <c r="J15" i="4"/>
  <c r="J48" i="4"/>
  <c r="D75" i="4"/>
  <c r="J36" i="4"/>
  <c r="J9" i="4"/>
  <c r="J25" i="4"/>
  <c r="J11" i="4"/>
  <c r="J8" i="4"/>
  <c r="K14" i="4"/>
  <c r="K33" i="4"/>
  <c r="K41" i="4"/>
  <c r="K52" i="4"/>
  <c r="K66" i="4"/>
  <c r="K80" i="4"/>
  <c r="E7" i="4"/>
  <c r="E21" i="4" s="1"/>
  <c r="E54" i="4"/>
  <c r="E56" i="4" s="1"/>
  <c r="K12" i="4"/>
  <c r="K24" i="4"/>
  <c r="K70" i="4"/>
  <c r="K91" i="4"/>
  <c r="K101" i="4"/>
  <c r="I7" i="4"/>
  <c r="I21" i="4" s="1"/>
  <c r="I54" i="4"/>
  <c r="I56" i="4" s="1"/>
  <c r="K10" i="4"/>
  <c r="K19" i="4"/>
  <c r="C23" i="4"/>
  <c r="K26" i="4"/>
  <c r="K34" i="4"/>
  <c r="K44" i="4"/>
  <c r="K55" i="4"/>
  <c r="K73" i="4"/>
  <c r="E81" i="4"/>
  <c r="K8" i="4"/>
  <c r="K17" i="4"/>
  <c r="D23" i="4"/>
  <c r="D22" i="4" s="1"/>
  <c r="K67" i="4"/>
  <c r="K94" i="4"/>
  <c r="K102" i="4"/>
  <c r="K30" i="4"/>
  <c r="K36" i="4"/>
  <c r="K42" i="4"/>
  <c r="K49" i="4"/>
  <c r="K69" i="4"/>
  <c r="J80" i="4"/>
  <c r="J79" i="4"/>
  <c r="D81" i="4"/>
  <c r="J81" i="4" s="1"/>
  <c r="J100" i="4"/>
  <c r="J102" i="4"/>
  <c r="J98" i="4"/>
  <c r="J101" i="4"/>
  <c r="J99" i="4"/>
  <c r="J97" i="4"/>
  <c r="F54" i="4"/>
  <c r="F56" i="4" s="1"/>
  <c r="F7" i="4"/>
  <c r="F21" i="4" s="1"/>
  <c r="K16" i="4"/>
  <c r="K86" i="4"/>
  <c r="K92" i="4"/>
  <c r="K98" i="4"/>
  <c r="G7" i="4"/>
  <c r="G54" i="4"/>
  <c r="G56" i="4" s="1"/>
  <c r="K11" i="4"/>
  <c r="K25" i="4"/>
  <c r="K31" i="4"/>
  <c r="K37" i="4"/>
  <c r="K43" i="4"/>
  <c r="K50" i="4"/>
  <c r="K71" i="4"/>
  <c r="F81" i="4"/>
  <c r="J94" i="4"/>
  <c r="J96" i="4"/>
  <c r="J95" i="4"/>
  <c r="J86" i="4"/>
  <c r="J88" i="4"/>
  <c r="J89" i="4"/>
  <c r="J93" i="4"/>
  <c r="J90" i="4"/>
  <c r="J87" i="4"/>
  <c r="J91" i="4"/>
  <c r="J92" i="4"/>
  <c r="H7" i="4"/>
  <c r="H21" i="4" s="1"/>
  <c r="H54" i="4"/>
  <c r="H56" i="4" s="1"/>
  <c r="K18" i="4"/>
  <c r="K65" i="4"/>
  <c r="C68" i="4"/>
  <c r="K87" i="4"/>
  <c r="K93" i="4"/>
  <c r="K99" i="4"/>
  <c r="K46" i="4" l="1"/>
  <c r="D7" i="4"/>
  <c r="J7" i="4" s="1"/>
  <c r="J23" i="4"/>
  <c r="J22" i="4"/>
  <c r="L11" i="4"/>
  <c r="L18" i="4"/>
  <c r="L17" i="4"/>
  <c r="L20" i="4"/>
  <c r="L10" i="4"/>
  <c r="L7" i="4"/>
  <c r="L8" i="4"/>
  <c r="D21" i="4"/>
  <c r="J21" i="4" s="1"/>
  <c r="K54" i="4"/>
  <c r="C56" i="4"/>
  <c r="J54" i="4"/>
  <c r="D56" i="4"/>
  <c r="D76" i="4" s="1"/>
  <c r="J55" i="4"/>
  <c r="B1" i="4"/>
  <c r="B58" i="4"/>
  <c r="B82" i="4"/>
  <c r="C22" i="4"/>
  <c r="K23" i="4"/>
  <c r="C74" i="4"/>
  <c r="K74" i="4" s="1"/>
  <c r="K68" i="4"/>
  <c r="L9" i="4" l="1"/>
  <c r="L14" i="4"/>
  <c r="L15" i="4"/>
  <c r="L16" i="4"/>
  <c r="L19" i="4"/>
  <c r="L12" i="4"/>
  <c r="L13" i="4"/>
  <c r="L21" i="4"/>
  <c r="J56" i="4"/>
  <c r="K56" i="4"/>
  <c r="C76" i="4"/>
  <c r="K22" i="4"/>
  <c r="C7" i="4"/>
  <c r="K7" i="4" l="1"/>
  <c r="C21" i="4"/>
  <c r="K21" i="4" s="1"/>
</calcChain>
</file>

<file path=xl/sharedStrings.xml><?xml version="1.0" encoding="utf-8"?>
<sst xmlns="http://schemas.openxmlformats.org/spreadsheetml/2006/main" count="365" uniqueCount="115">
  <si>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</si>
  <si>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</si>
  <si>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</si>
  <si>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</si>
  <si>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</si>
  <si>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</si>
  <si>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</si>
  <si>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</si>
  <si>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</si>
  <si>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</si>
  <si>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</si>
  <si>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</si>
  <si>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</si>
  <si>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</si>
  <si>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</si>
  <si>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</si>
  <si>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</si>
  <si>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</si>
  <si>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</si>
  <si>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</si>
  <si>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</si>
  <si>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</si>
  <si>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</si>
  <si>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</si>
  <si>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</si>
  <si>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</si>
  <si>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</si>
  <si>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</si>
  <si>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</si>
  <si>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</si>
  <si>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</si>
  <si>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</si>
  <si>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</si>
  <si>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</si>
  <si>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</si>
  <si>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</si>
  <si>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</si>
  <si>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</si>
  <si>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</si>
  <si>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</si>
  <si>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</si>
  <si>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</si>
  <si>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</si>
  <si>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</si>
  <si>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</si>
  <si>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</si>
  <si>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</si>
  <si>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</si>
  <si>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</si>
  <si>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</si>
  <si>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</si>
  <si>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</si>
  <si>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</si>
  <si>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</si>
  <si>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</si>
  <si>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</si>
  <si>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</si>
  <si>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</si>
  <si>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</si>
  <si>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</si>
  <si>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</si>
  <si>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</si>
  <si>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</si>
  <si>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</si>
  <si>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</si>
  <si>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</si>
  <si>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</si>
  <si>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</si>
  <si>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</si>
  <si>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</si>
  <si>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</si>
  <si>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</si>
  <si>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</si>
  <si>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WYDATKI OGÓŁEM UE
z tego: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</si>
  <si>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</si>
  <si>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</si>
  <si>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</si>
  <si>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</si>
  <si>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</si>
  <si>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</si>
  <si>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</si>
  <si>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</si>
  <si>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</si>
  <si>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</si>
  <si>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</si>
  <si>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</si>
  <si>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</si>
  <si>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</si>
  <si>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</si>
  <si>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</si>
  <si>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</si>
  <si>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</si>
  <si>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</si>
  <si>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(m.in.. z Rządowego Funduszu Inwestycji Lokalnych)</t>
  </si>
  <si>
    <t>w tym: inwestycyjne</t>
  </si>
  <si>
    <t>spłaty udzielonych pożyczek w latach ubiegłych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</si>
  <si>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</si>
  <si>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</si>
  <si>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</si>
  <si>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</si>
  <si>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</si>
  <si>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</si>
  <si>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</si>
  <si>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</si>
  <si>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Dochody bieżące 
minus 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</si>
  <si>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</si>
  <si>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</si>
  <si>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</si>
  <si>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kredyty, pożyczki, emisja papierów wartościowych 
w tym: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</si>
  <si>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</si>
  <si>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</si>
  <si>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</si>
  <si>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</si>
  <si>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</si>
  <si>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FINANSOWANIE DEFICYTU (E1+E2+E3+E4+E5+E6+E7+E8) 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</si>
</sst>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4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165" fontId="13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9" applyNumberFormat="1" applyFont="1" applyFill="1" applyBorder="1" applyAlignment="1">
      <alignment horizontal="right" vertical="center"/>
    </xf>
    <xf numFmtId="4" fontId="11" fillId="20" borderId="13" xfId="0" applyNumberFormat="1" applyFont="1" applyFill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20" borderId="13" xfId="0" applyNumberFormat="1" applyFont="1" applyFill="1" applyBorder="1" applyAlignment="1">
      <alignment horizontal="right" vertical="center"/>
    </xf>
    <xf numFmtId="4" fontId="6" fillId="22" borderId="13" xfId="0" applyNumberFormat="1" applyFont="1" applyFill="1" applyBorder="1" applyAlignment="1">
      <alignment horizontal="right" vertical="center"/>
    </xf>
    <xf numFmtId="0" fontId="35" fillId="23" borderId="10" xfId="41" applyFont="1" applyFill="1" applyBorder="1" applyAlignment="1">
      <alignment horizontal="left" vertical="center" wrapText="1"/>
    </xf>
    <xf numFmtId="165" fontId="11" fillId="22" borderId="10" xfId="29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165" fontId="11" fillId="23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center" vertical="center" wrapText="1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5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5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5" fontId="11" fillId="0" borderId="10" xfId="0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165" fontId="11" fillId="0" borderId="10" xfId="29" applyNumberFormat="1" applyFont="1" applyFill="1" applyBorder="1" applyAlignment="1">
      <alignment horizontal="right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3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5" fillId="0" borderId="10" xfId="41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5" xfId="0" applyFont="1" applyBorder="1"/>
    <xf numFmtId="0" fontId="10" fillId="0" borderId="0" xfId="41" applyFont="1" applyFill="1" applyBorder="1" applyAlignment="1">
      <alignment horizontal="left" vertical="center"/>
    </xf>
    <xf numFmtId="0" fontId="10" fillId="23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6" fillId="21" borderId="10" xfId="0" applyFont="1" applyFill="1" applyBorder="1" applyAlignment="1">
      <alignment horizontal="left" vertical="center" wrapText="1" indent="2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166" fontId="2" fillId="0" borderId="13" xfId="0" applyNumberFormat="1" applyFont="1" applyBorder="1" applyAlignment="1">
      <alignment horizontal="center"/>
    </xf>
    <xf numFmtId="166" fontId="2" fillId="0" borderId="16" xfId="0" applyNumberFormat="1" applyFont="1" applyBorder="1" applyAlignment="1">
      <alignment horizontal="center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5" xfId="0" applyFont="1" applyFill="1" applyBorder="1" applyAlignment="1">
      <alignment horizontal="center" vertical="center" wrapText="1"/>
    </xf>
    <xf numFmtId="0" fontId="4" fillId="19" borderId="24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39" xr:uid="{00000000-0005-0000-0000-000026000000}"/>
    <cellStyle name="Normalny" xfId="0" builtinId="0"/>
    <cellStyle name="Normalny 2" xfId="40" xr:uid="{00000000-0005-0000-0000-000028000000}"/>
    <cellStyle name="Normalny 2 2" xfId="41" xr:uid="{00000000-0005-0000-0000-000029000000}"/>
    <cellStyle name="Note" xfId="42" xr:uid="{00000000-0005-0000-0000-00002A000000}"/>
    <cellStyle name="Note 2" xfId="43" xr:uid="{00000000-0005-0000-0000-00002B000000}"/>
    <cellStyle name="Output" xfId="44" xr:uid="{00000000-0005-0000-0000-00002C000000}"/>
    <cellStyle name="Title" xfId="45" xr:uid="{00000000-0005-0000-0000-00002D000000}"/>
    <cellStyle name="Total" xfId="46" xr:uid="{00000000-0005-0000-0000-00002E000000}"/>
    <cellStyle name="Warning Text" xfId="47" xr:uid="{00000000-0005-0000-0000-00002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9"/>
  <sheetViews>
    <sheetView tabSelected="1" zoomScaleNormal="100" workbookViewId="0"/>
  </sheetViews>
  <sheetFormatPr defaultRowHeight="12.75" outlineLevelRow="1" outlineLevelCol="1" x14ac:dyDescent="0.2"/>
  <cols>
    <col min="1" max="1" width="0.42578125" style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2578125" style="1" customWidth="1"/>
    <col min="12" max="12" width="8.42578125" style="1" bestFit="1" customWidth="1"/>
    <col min="13" max="13" width="8.140625" style="1" customWidth="1"/>
    <col min="14" max="16384" width="9.140625" style="1"/>
  </cols>
  <sheetData>
    <row r="1" spans="2:13" ht="24.75" customHeight="1" x14ac:dyDescent="0.2">
      <c r="B1" s="87" t="str">
        <f>CONCATENATE("Informacja z wykonania budżetów jednostek samorządu terytorialnego za ",$D$117," ",$C$118," roku")</f>
        <v>Informacja z wykonania budżetów jednostek samorządu terytorialnego za IV Kwartały 2023 roku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.75" customHeight="1" x14ac:dyDescent="0.2"/>
    <row r="3" spans="2:13" ht="66.75" customHeight="1" x14ac:dyDescent="0.2">
      <c r="B3" s="106" t="s">
        <v>0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7" t="s">
        <v>2</v>
      </c>
      <c r="K3" s="15" t="s">
        <v>18</v>
      </c>
      <c r="L3" s="15" t="s">
        <v>3</v>
      </c>
    </row>
    <row r="4" spans="2:13" x14ac:dyDescent="0.2">
      <c r="B4" s="106"/>
      <c r="C4" s="108" t="s">
        <v>78</v>
      </c>
      <c r="D4" s="109"/>
      <c r="E4" s="109"/>
      <c r="F4" s="109"/>
      <c r="G4" s="109"/>
      <c r="H4" s="109"/>
      <c r="I4" s="110"/>
      <c r="J4" s="107" t="s">
        <v>4</v>
      </c>
      <c r="K4" s="107"/>
      <c r="L4" s="107"/>
    </row>
    <row r="5" spans="2:13" x14ac:dyDescent="0.2">
      <c r="B5" s="17">
        <v>1</v>
      </c>
      <c r="C5" s="19">
        <v>2</v>
      </c>
      <c r="D5" s="19">
        <v>3</v>
      </c>
      <c r="E5" s="17">
        <v>4</v>
      </c>
      <c r="F5" s="19">
        <v>5</v>
      </c>
      <c r="G5" s="19">
        <v>6</v>
      </c>
      <c r="H5" s="17">
        <v>7</v>
      </c>
      <c r="I5" s="19">
        <v>8</v>
      </c>
      <c r="J5" s="19">
        <v>9</v>
      </c>
      <c r="K5" s="17">
        <v>10</v>
      </c>
      <c r="L5" s="19">
        <v>11</v>
      </c>
    </row>
    <row r="6" spans="2:13" ht="12.75" customHeight="1" x14ac:dyDescent="0.2">
      <c r="B6" s="57" t="s">
        <v>5</v>
      </c>
      <c r="C6" s="58">
        <f>370762457144.42</f>
        <v>370762457144.41998</v>
      </c>
      <c r="D6" s="58">
        <f>362015287400.13</f>
        <v>362015287400.13</v>
      </c>
      <c r="E6" s="58">
        <f>4677334820.03</f>
        <v>4677334820.0299997</v>
      </c>
      <c r="F6" s="58">
        <f>805533086.46</f>
        <v>805533086.46000004</v>
      </c>
      <c r="G6" s="58">
        <f>154321754.6</f>
        <v>154321754.59999999</v>
      </c>
      <c r="H6" s="58">
        <f>169558671.04</f>
        <v>169558671.03999999</v>
      </c>
      <c r="I6" s="58">
        <f>3452014.37</f>
        <v>3452014.37</v>
      </c>
      <c r="J6" s="59">
        <f t="shared" ref="J6:J52" si="0">IF($D$6=0,"",100*$D6/$D$6)</f>
        <v>100</v>
      </c>
      <c r="K6" s="59">
        <f t="shared" ref="K6:K52" si="1">IF(C6=0,"",100*D6/C6)</f>
        <v>97.640761739562322</v>
      </c>
      <c r="L6" s="59"/>
    </row>
    <row r="7" spans="2:13" ht="27.95" customHeight="1" x14ac:dyDescent="0.2">
      <c r="B7" s="76" t="s">
        <v>59</v>
      </c>
      <c r="C7" s="25">
        <f>C6-C22-C46</f>
        <v>180292736066.12</v>
      </c>
      <c r="D7" s="25">
        <f>D6-D22-D46</f>
        <v>179257328608.97998</v>
      </c>
      <c r="E7" s="25">
        <f>E6</f>
        <v>4677334820.0299997</v>
      </c>
      <c r="F7" s="25">
        <f>F6</f>
        <v>805533086.46000004</v>
      </c>
      <c r="G7" s="25">
        <f>G6</f>
        <v>154321754.59999999</v>
      </c>
      <c r="H7" s="25">
        <f>H6</f>
        <v>169558671.03999999</v>
      </c>
      <c r="I7" s="25">
        <f>I6</f>
        <v>3452014.37</v>
      </c>
      <c r="J7" s="34">
        <f t="shared" si="0"/>
        <v>49.516507961955099</v>
      </c>
      <c r="K7" s="34">
        <f t="shared" si="1"/>
        <v>99.425707613222826</v>
      </c>
      <c r="L7" s="34">
        <f t="shared" ref="L7:L21" si="2">IF($D$7=0,"",100*$D7/$D$7)</f>
        <v>100.00000000000001</v>
      </c>
    </row>
    <row r="8" spans="2:13" ht="23.1" customHeight="1" outlineLevel="1" x14ac:dyDescent="0.2">
      <c r="B8" s="31" t="s">
        <v>34</v>
      </c>
      <c r="C8" s="23">
        <f>21812487557</f>
        <v>21812487557</v>
      </c>
      <c r="D8" s="23">
        <f>21813012021</f>
        <v>21813012021</v>
      </c>
      <c r="E8" s="23">
        <f>0</f>
        <v>0</v>
      </c>
      <c r="F8" s="23">
        <f>0</f>
        <v>0</v>
      </c>
      <c r="G8" s="23">
        <f>0</f>
        <v>0</v>
      </c>
      <c r="H8" s="23">
        <f>0</f>
        <v>0</v>
      </c>
      <c r="I8" s="24">
        <f>0</f>
        <v>0</v>
      </c>
      <c r="J8" s="35">
        <f t="shared" si="0"/>
        <v>6.0254394718116995</v>
      </c>
      <c r="K8" s="35">
        <f t="shared" si="1"/>
        <v>100.00240442085585</v>
      </c>
      <c r="L8" s="35">
        <f t="shared" si="2"/>
        <v>12.168546853993041</v>
      </c>
    </row>
    <row r="9" spans="2:13" ht="23.1" customHeight="1" outlineLevel="1" x14ac:dyDescent="0.2">
      <c r="B9" s="31" t="s">
        <v>19</v>
      </c>
      <c r="C9" s="23">
        <f>51733333022.49</f>
        <v>51733333022.489998</v>
      </c>
      <c r="D9" s="23">
        <f>51735390011</f>
        <v>51735390011</v>
      </c>
      <c r="E9" s="23">
        <f>0</f>
        <v>0</v>
      </c>
      <c r="F9" s="23">
        <f>0</f>
        <v>0</v>
      </c>
      <c r="G9" s="23">
        <f>0</f>
        <v>0</v>
      </c>
      <c r="H9" s="23">
        <f>0</f>
        <v>0</v>
      </c>
      <c r="I9" s="24">
        <f>0</f>
        <v>0</v>
      </c>
      <c r="J9" s="35">
        <f t="shared" si="0"/>
        <v>14.290940689976349</v>
      </c>
      <c r="K9" s="35">
        <f t="shared" si="1"/>
        <v>100.00397613760765</v>
      </c>
      <c r="L9" s="35">
        <f t="shared" si="2"/>
        <v>28.860962289498435</v>
      </c>
    </row>
    <row r="10" spans="2:13" ht="12.95" customHeight="1" outlineLevel="1" x14ac:dyDescent="0.2">
      <c r="B10" s="31" t="s">
        <v>20</v>
      </c>
      <c r="C10" s="23">
        <f>2019233041.95</f>
        <v>2019233041.95</v>
      </c>
      <c r="D10" s="23">
        <f>1962509496.49</f>
        <v>1962509496.49</v>
      </c>
      <c r="E10" s="23">
        <f>243393653.9</f>
        <v>243393653.90000001</v>
      </c>
      <c r="F10" s="23">
        <f>2836782.5</f>
        <v>2836782.5</v>
      </c>
      <c r="G10" s="23">
        <f>2152645.51</f>
        <v>2152645.5099999998</v>
      </c>
      <c r="H10" s="23">
        <f>1020698.87</f>
        <v>1020698.87</v>
      </c>
      <c r="I10" s="24">
        <f>3756.38</f>
        <v>3756.38</v>
      </c>
      <c r="J10" s="35">
        <f t="shared" si="0"/>
        <v>0.54210680178289483</v>
      </c>
      <c r="K10" s="35">
        <f t="shared" si="1"/>
        <v>97.190837100940996</v>
      </c>
      <c r="L10" s="35">
        <f t="shared" si="2"/>
        <v>1.0948001466488926</v>
      </c>
    </row>
    <row r="11" spans="2:13" ht="12.95" customHeight="1" outlineLevel="1" x14ac:dyDescent="0.2">
      <c r="B11" s="31" t="s">
        <v>21</v>
      </c>
      <c r="C11" s="23">
        <f>31392594987.72</f>
        <v>31392594987.720001</v>
      </c>
      <c r="D11" s="23">
        <f>31250100232.36</f>
        <v>31250100232.360001</v>
      </c>
      <c r="E11" s="23">
        <f>2835865964.58</f>
        <v>2835865964.5799999</v>
      </c>
      <c r="F11" s="23">
        <f>799489977.17</f>
        <v>799489977.16999996</v>
      </c>
      <c r="G11" s="23">
        <f>107972834.24</f>
        <v>107972834.23999999</v>
      </c>
      <c r="H11" s="23">
        <f>125926943.75</f>
        <v>125926943.75</v>
      </c>
      <c r="I11" s="24">
        <f>2349452.27</f>
        <v>2349452.27</v>
      </c>
      <c r="J11" s="35">
        <f t="shared" si="0"/>
        <v>8.6322598299059496</v>
      </c>
      <c r="K11" s="35">
        <f t="shared" si="1"/>
        <v>99.546088001276289</v>
      </c>
      <c r="L11" s="35">
        <f t="shared" si="2"/>
        <v>17.433094911576468</v>
      </c>
    </row>
    <row r="12" spans="2:13" ht="12.95" customHeight="1" outlineLevel="1" x14ac:dyDescent="0.2">
      <c r="B12" s="31" t="s">
        <v>22</v>
      </c>
      <c r="C12" s="23">
        <f>480847004.71</f>
        <v>480847004.70999998</v>
      </c>
      <c r="D12" s="23">
        <f>498512808.68</f>
        <v>498512808.68000001</v>
      </c>
      <c r="E12" s="23">
        <f>4580036.21</f>
        <v>4580036.21</v>
      </c>
      <c r="F12" s="23">
        <f>889028.32</f>
        <v>889028.32</v>
      </c>
      <c r="G12" s="23">
        <f>131889.2</f>
        <v>131889.20000000001</v>
      </c>
      <c r="H12" s="23">
        <f>10523.15</f>
        <v>10523.15</v>
      </c>
      <c r="I12" s="24">
        <f>0</f>
        <v>0</v>
      </c>
      <c r="J12" s="35">
        <f t="shared" si="0"/>
        <v>0.13770490529837801</v>
      </c>
      <c r="K12" s="35">
        <f t="shared" si="1"/>
        <v>103.67389290085197</v>
      </c>
      <c r="L12" s="35">
        <f t="shared" si="2"/>
        <v>0.27809898348280238</v>
      </c>
    </row>
    <row r="13" spans="2:13" ht="12.95" customHeight="1" outlineLevel="1" x14ac:dyDescent="0.2">
      <c r="B13" s="31" t="s">
        <v>23</v>
      </c>
      <c r="C13" s="23">
        <f>1460557641.71</f>
        <v>1460557641.71</v>
      </c>
      <c r="D13" s="23">
        <f>1420674558.25</f>
        <v>1420674558.25</v>
      </c>
      <c r="E13" s="23">
        <f>1565801577.53</f>
        <v>1565801577.53</v>
      </c>
      <c r="F13" s="23">
        <f>2317298.47</f>
        <v>2317298.4700000002</v>
      </c>
      <c r="G13" s="23">
        <f>2813595.73</f>
        <v>2813595.73</v>
      </c>
      <c r="H13" s="23">
        <f>3408577.12</f>
        <v>3408577.12</v>
      </c>
      <c r="I13" s="24">
        <f>113967.59</f>
        <v>113967.59</v>
      </c>
      <c r="J13" s="35">
        <f t="shared" si="0"/>
        <v>0.39243496274778861</v>
      </c>
      <c r="K13" s="35">
        <f t="shared" si="1"/>
        <v>97.26932492624492</v>
      </c>
      <c r="L13" s="35">
        <f t="shared" si="2"/>
        <v>0.79253359919747834</v>
      </c>
    </row>
    <row r="14" spans="2:13" ht="33" customHeight="1" outlineLevel="1" x14ac:dyDescent="0.2">
      <c r="B14" s="31" t="s">
        <v>43</v>
      </c>
      <c r="C14" s="23">
        <f>187885778.37</f>
        <v>187885778.37</v>
      </c>
      <c r="D14" s="23">
        <f>183094909.67</f>
        <v>183094909.66999999</v>
      </c>
      <c r="E14" s="23">
        <f>0</f>
        <v>0</v>
      </c>
      <c r="F14" s="23">
        <f>0</f>
        <v>0</v>
      </c>
      <c r="G14" s="23">
        <f>25977.94</f>
        <v>25977.94</v>
      </c>
      <c r="H14" s="23">
        <f>374319.68</f>
        <v>374319.68</v>
      </c>
      <c r="I14" s="24">
        <f>0</f>
        <v>0</v>
      </c>
      <c r="J14" s="35">
        <f t="shared" si="0"/>
        <v>5.0576568460665022E-2</v>
      </c>
      <c r="K14" s="35">
        <f t="shared" si="1"/>
        <v>97.450116373062869</v>
      </c>
      <c r="L14" s="35">
        <f t="shared" si="2"/>
        <v>0.10214082240921434</v>
      </c>
    </row>
    <row r="15" spans="2:13" ht="12.95" customHeight="1" outlineLevel="1" x14ac:dyDescent="0.2">
      <c r="B15" s="31" t="s">
        <v>28</v>
      </c>
      <c r="C15" s="23">
        <f>494720082.05</f>
        <v>494720082.05000001</v>
      </c>
      <c r="D15" s="23">
        <f>585627299.48</f>
        <v>585627299.48000002</v>
      </c>
      <c r="E15" s="23">
        <f>0</f>
        <v>0</v>
      </c>
      <c r="F15" s="23">
        <f>0</f>
        <v>0</v>
      </c>
      <c r="G15" s="23">
        <f>6383031.45</f>
        <v>6383031.4500000002</v>
      </c>
      <c r="H15" s="23">
        <f>17776247.11</f>
        <v>17776247.109999999</v>
      </c>
      <c r="I15" s="24">
        <f>0</f>
        <v>0</v>
      </c>
      <c r="J15" s="35">
        <f t="shared" si="0"/>
        <v>0.1617686655405563</v>
      </c>
      <c r="K15" s="35">
        <f t="shared" si="1"/>
        <v>118.375485598503</v>
      </c>
      <c r="L15" s="35">
        <f t="shared" si="2"/>
        <v>0.32669643357089656</v>
      </c>
    </row>
    <row r="16" spans="2:13" ht="23.1" customHeight="1" outlineLevel="1" x14ac:dyDescent="0.2">
      <c r="B16" s="31" t="s">
        <v>29</v>
      </c>
      <c r="C16" s="23">
        <f>3896561296.8</f>
        <v>3896561296.8000002</v>
      </c>
      <c r="D16" s="23">
        <f>3976612805.36</f>
        <v>3976612805.3600001</v>
      </c>
      <c r="E16" s="23">
        <f>0</f>
        <v>0</v>
      </c>
      <c r="F16" s="23">
        <f>0</f>
        <v>0</v>
      </c>
      <c r="G16" s="23">
        <f>311165.78</f>
        <v>311165.78000000003</v>
      </c>
      <c r="H16" s="23">
        <f>1162614.4</f>
        <v>1162614.3999999999</v>
      </c>
      <c r="I16" s="24">
        <f>0</f>
        <v>0</v>
      </c>
      <c r="J16" s="35">
        <f t="shared" si="0"/>
        <v>1.0984654360645025</v>
      </c>
      <c r="K16" s="35">
        <f t="shared" si="1"/>
        <v>102.05441419914891</v>
      </c>
      <c r="L16" s="35">
        <f t="shared" si="2"/>
        <v>2.2183822754796925</v>
      </c>
    </row>
    <row r="17" spans="2:12" ht="12.95" customHeight="1" outlineLevel="1" x14ac:dyDescent="0.2">
      <c r="B17" s="31" t="s">
        <v>30</v>
      </c>
      <c r="C17" s="23">
        <f>600652755.39</f>
        <v>600652755.38999999</v>
      </c>
      <c r="D17" s="23">
        <f>631423051.09</f>
        <v>631423051.09000003</v>
      </c>
      <c r="E17" s="23">
        <f>0</f>
        <v>0</v>
      </c>
      <c r="F17" s="23">
        <f>0</f>
        <v>0</v>
      </c>
      <c r="G17" s="23">
        <f>6240</f>
        <v>6240</v>
      </c>
      <c r="H17" s="23">
        <f>6697</f>
        <v>6697</v>
      </c>
      <c r="I17" s="24">
        <f>0</f>
        <v>0</v>
      </c>
      <c r="J17" s="35">
        <f t="shared" si="0"/>
        <v>0.17441889142987979</v>
      </c>
      <c r="K17" s="35">
        <f t="shared" si="1"/>
        <v>105.12280938094108</v>
      </c>
      <c r="L17" s="35">
        <f t="shared" si="2"/>
        <v>0.35224392552861494</v>
      </c>
    </row>
    <row r="18" spans="2:12" ht="12.95" customHeight="1" outlineLevel="1" x14ac:dyDescent="0.2">
      <c r="B18" s="31" t="s">
        <v>31</v>
      </c>
      <c r="C18" s="23">
        <f>479724459.41</f>
        <v>479724459.41000003</v>
      </c>
      <c r="D18" s="23">
        <f>448501232.02</f>
        <v>448501232.01999998</v>
      </c>
      <c r="E18" s="23">
        <f>0</f>
        <v>0</v>
      </c>
      <c r="F18" s="23">
        <f>0</f>
        <v>0</v>
      </c>
      <c r="G18" s="23">
        <f>33922.2</f>
        <v>33922.199999999997</v>
      </c>
      <c r="H18" s="23">
        <f>356538</f>
        <v>356538</v>
      </c>
      <c r="I18" s="24">
        <f>0</f>
        <v>0</v>
      </c>
      <c r="J18" s="35">
        <f t="shared" si="0"/>
        <v>0.1238901360329235</v>
      </c>
      <c r="K18" s="35">
        <f t="shared" si="1"/>
        <v>93.491424759037585</v>
      </c>
      <c r="L18" s="35">
        <f t="shared" si="2"/>
        <v>0.25019966296515039</v>
      </c>
    </row>
    <row r="19" spans="2:12" ht="12.95" customHeight="1" outlineLevel="1" x14ac:dyDescent="0.2">
      <c r="B19" s="31" t="s">
        <v>32</v>
      </c>
      <c r="C19" s="23">
        <f>128454710.99</f>
        <v>128454710.98999999</v>
      </c>
      <c r="D19" s="23">
        <f>121162275.68</f>
        <v>121162275.68000001</v>
      </c>
      <c r="E19" s="23">
        <f>2033002.4</f>
        <v>2033002.4</v>
      </c>
      <c r="F19" s="23">
        <f>0</f>
        <v>0</v>
      </c>
      <c r="G19" s="23">
        <f>7821.8</f>
        <v>7821.8</v>
      </c>
      <c r="H19" s="23">
        <f>100633.34</f>
        <v>100633.34</v>
      </c>
      <c r="I19" s="24">
        <f>0</f>
        <v>0</v>
      </c>
      <c r="J19" s="35">
        <f t="shared" si="0"/>
        <v>3.3468828498969212E-2</v>
      </c>
      <c r="K19" s="35">
        <f t="shared" si="1"/>
        <v>94.322952226666331</v>
      </c>
      <c r="L19" s="35">
        <f t="shared" si="2"/>
        <v>6.759125365763724E-2</v>
      </c>
    </row>
    <row r="20" spans="2:12" ht="12.95" customHeight="1" outlineLevel="1" x14ac:dyDescent="0.2">
      <c r="B20" s="31" t="s">
        <v>24</v>
      </c>
      <c r="C20" s="23">
        <f>11378946054.94</f>
        <v>11378946054.940001</v>
      </c>
      <c r="D20" s="23">
        <f>10203715687.86</f>
        <v>10203715687.860001</v>
      </c>
      <c r="E20" s="23">
        <f>0</f>
        <v>0</v>
      </c>
      <c r="F20" s="23">
        <f>0</f>
        <v>0</v>
      </c>
      <c r="G20" s="23">
        <f>14258.33</f>
        <v>14258.33</v>
      </c>
      <c r="H20" s="23">
        <f>17476.7</f>
        <v>17476.7</v>
      </c>
      <c r="I20" s="24">
        <f>6350</f>
        <v>6350</v>
      </c>
      <c r="J20" s="35">
        <f t="shared" si="0"/>
        <v>2.8185869611031062</v>
      </c>
      <c r="K20" s="35">
        <f t="shared" si="1"/>
        <v>89.671887348742715</v>
      </c>
      <c r="L20" s="35">
        <f t="shared" si="2"/>
        <v>5.6922167517723681</v>
      </c>
    </row>
    <row r="21" spans="2:12" ht="12.95" customHeight="1" outlineLevel="1" x14ac:dyDescent="0.2">
      <c r="B21" s="31" t="s">
        <v>25</v>
      </c>
      <c r="C21" s="23">
        <f>C7-C8-C9-C10-C11-C12-C13-C14-C15-C16-C17-C18-C19-C20</f>
        <v>54226737672.589989</v>
      </c>
      <c r="D21" s="23">
        <f t="shared" ref="D21:I21" si="3">D7-D8-D9-D10-D11-D12-D13-D14-D15-D16-D17-D18-D19-D20</f>
        <v>54426992220.039993</v>
      </c>
      <c r="E21" s="23">
        <f t="shared" si="3"/>
        <v>25660585.410000183</v>
      </c>
      <c r="F21" s="23">
        <f t="shared" si="3"/>
        <v>8.1025063991546631E-8</v>
      </c>
      <c r="G21" s="23">
        <f t="shared" si="3"/>
        <v>34468372.420000009</v>
      </c>
      <c r="H21" s="23">
        <f t="shared" si="3"/>
        <v>19397401.919999994</v>
      </c>
      <c r="I21" s="24">
        <f t="shared" si="3"/>
        <v>978488.13000000024</v>
      </c>
      <c r="J21" s="35">
        <f t="shared" si="0"/>
        <v>15.034445813301431</v>
      </c>
      <c r="K21" s="35">
        <f t="shared" si="1"/>
        <v>100.36929115791382</v>
      </c>
      <c r="L21" s="35">
        <f t="shared" si="2"/>
        <v>30.362492090219313</v>
      </c>
    </row>
    <row r="22" spans="2:12" ht="27.95" customHeight="1" x14ac:dyDescent="0.2">
      <c r="B22" s="77" t="s">
        <v>103</v>
      </c>
      <c r="C22" s="58">
        <f>C23+C42+C44</f>
        <v>91249909685.259995</v>
      </c>
      <c r="D22" s="58">
        <f>D23+D42+D44</f>
        <v>83047211021.640015</v>
      </c>
      <c r="E22" s="60" t="s">
        <v>58</v>
      </c>
      <c r="F22" s="60" t="s">
        <v>58</v>
      </c>
      <c r="G22" s="60" t="s">
        <v>58</v>
      </c>
      <c r="H22" s="60" t="s">
        <v>58</v>
      </c>
      <c r="I22" s="60" t="s">
        <v>58</v>
      </c>
      <c r="J22" s="59">
        <f t="shared" si="0"/>
        <v>22.940249738638578</v>
      </c>
      <c r="K22" s="59">
        <f t="shared" si="1"/>
        <v>91.010732293420574</v>
      </c>
      <c r="L22" s="61"/>
    </row>
    <row r="23" spans="2:12" ht="27.95" customHeight="1" outlineLevel="1" x14ac:dyDescent="0.2">
      <c r="B23" s="82" t="s">
        <v>60</v>
      </c>
      <c r="C23" s="58">
        <f>C24+C26+C28+C30+C32+C34+C36+C38+C40</f>
        <v>72299284281.159988</v>
      </c>
      <c r="D23" s="58">
        <f>D24+D26+D28+D30+D32+D34+D36+D38+D40</f>
        <v>67051620884.860008</v>
      </c>
      <c r="E23" s="60" t="s">
        <v>58</v>
      </c>
      <c r="F23" s="60" t="s">
        <v>58</v>
      </c>
      <c r="G23" s="60" t="s">
        <v>58</v>
      </c>
      <c r="H23" s="60" t="s">
        <v>58</v>
      </c>
      <c r="I23" s="60" t="s">
        <v>58</v>
      </c>
      <c r="J23" s="59">
        <f t="shared" si="0"/>
        <v>18.521765024455686</v>
      </c>
      <c r="K23" s="59">
        <f t="shared" si="1"/>
        <v>92.741749177083577</v>
      </c>
      <c r="L23" s="61"/>
    </row>
    <row r="24" spans="2:12" ht="24.95" customHeight="1" outlineLevel="1" x14ac:dyDescent="0.2">
      <c r="B24" s="81" t="s">
        <v>9</v>
      </c>
      <c r="C24" s="24">
        <f>26937547161.92</f>
        <v>26937547161.919998</v>
      </c>
      <c r="D24" s="24">
        <f>26693964512.09</f>
        <v>26693964512.09</v>
      </c>
      <c r="E24" s="24" t="s">
        <v>58</v>
      </c>
      <c r="F24" s="24" t="s">
        <v>58</v>
      </c>
      <c r="G24" s="24" t="s">
        <v>58</v>
      </c>
      <c r="H24" s="24" t="s">
        <v>58</v>
      </c>
      <c r="I24" s="24" t="s">
        <v>58</v>
      </c>
      <c r="J24" s="35">
        <f t="shared" si="0"/>
        <v>7.373711951171158</v>
      </c>
      <c r="K24" s="35">
        <f t="shared" si="1"/>
        <v>99.095750446891699</v>
      </c>
      <c r="L24" s="30"/>
    </row>
    <row r="25" spans="2:12" ht="12.95" customHeight="1" outlineLevel="1" x14ac:dyDescent="0.2">
      <c r="B25" s="83" t="s">
        <v>6</v>
      </c>
      <c r="C25" s="24">
        <f>463161029.84</f>
        <v>463161029.83999997</v>
      </c>
      <c r="D25" s="24">
        <f>458752283.63</f>
        <v>458752283.63</v>
      </c>
      <c r="E25" s="24" t="s">
        <v>58</v>
      </c>
      <c r="F25" s="24" t="s">
        <v>58</v>
      </c>
      <c r="G25" s="24" t="s">
        <v>58</v>
      </c>
      <c r="H25" s="24" t="s">
        <v>58</v>
      </c>
      <c r="I25" s="24" t="s">
        <v>58</v>
      </c>
      <c r="J25" s="35">
        <f t="shared" si="0"/>
        <v>0.12672179866342165</v>
      </c>
      <c r="K25" s="35">
        <f t="shared" si="1"/>
        <v>99.048118057012914</v>
      </c>
      <c r="L25" s="30"/>
    </row>
    <row r="26" spans="2:12" ht="12.95" customHeight="1" outlineLevel="1" x14ac:dyDescent="0.2">
      <c r="B26" s="81" t="s">
        <v>7</v>
      </c>
      <c r="C26" s="24">
        <f>7593929553.31</f>
        <v>7593929553.3100004</v>
      </c>
      <c r="D26" s="24">
        <f>7307152915.53</f>
        <v>7307152915.5299997</v>
      </c>
      <c r="E26" s="24" t="s">
        <v>58</v>
      </c>
      <c r="F26" s="24" t="s">
        <v>58</v>
      </c>
      <c r="G26" s="24" t="s">
        <v>58</v>
      </c>
      <c r="H26" s="24" t="s">
        <v>58</v>
      </c>
      <c r="I26" s="24" t="s">
        <v>58</v>
      </c>
      <c r="J26" s="35">
        <f t="shared" si="0"/>
        <v>2.0184652885814502</v>
      </c>
      <c r="K26" s="35">
        <f t="shared" si="1"/>
        <v>96.223606819541772</v>
      </c>
      <c r="L26" s="30"/>
    </row>
    <row r="27" spans="2:12" ht="12.95" customHeight="1" outlineLevel="1" x14ac:dyDescent="0.2">
      <c r="B27" s="83" t="s">
        <v>6</v>
      </c>
      <c r="C27" s="24">
        <f>1309388888.04</f>
        <v>1309388888.04</v>
      </c>
      <c r="D27" s="24">
        <f>1187607696.06</f>
        <v>1187607696.0599999</v>
      </c>
      <c r="E27" s="24" t="s">
        <v>58</v>
      </c>
      <c r="F27" s="24" t="s">
        <v>58</v>
      </c>
      <c r="G27" s="24" t="s">
        <v>58</v>
      </c>
      <c r="H27" s="24" t="s">
        <v>58</v>
      </c>
      <c r="I27" s="24" t="s">
        <v>58</v>
      </c>
      <c r="J27" s="35">
        <f t="shared" si="0"/>
        <v>0.32805457045446679</v>
      </c>
      <c r="K27" s="35">
        <f t="shared" si="1"/>
        <v>90.699387088713422</v>
      </c>
      <c r="L27" s="30"/>
    </row>
    <row r="28" spans="2:12" ht="33" customHeight="1" outlineLevel="1" x14ac:dyDescent="0.2">
      <c r="B28" s="81" t="s">
        <v>10</v>
      </c>
      <c r="C28" s="24">
        <f>326942977.17</f>
        <v>326942977.17000002</v>
      </c>
      <c r="D28" s="24">
        <f>303525224.18</f>
        <v>303525224.18000001</v>
      </c>
      <c r="E28" s="24" t="s">
        <v>58</v>
      </c>
      <c r="F28" s="24" t="s">
        <v>58</v>
      </c>
      <c r="G28" s="24" t="s">
        <v>58</v>
      </c>
      <c r="H28" s="24" t="s">
        <v>58</v>
      </c>
      <c r="I28" s="24" t="s">
        <v>58</v>
      </c>
      <c r="J28" s="35">
        <f t="shared" si="0"/>
        <v>8.3843206279992866E-2</v>
      </c>
      <c r="K28" s="35">
        <f t="shared" si="1"/>
        <v>92.837358614427885</v>
      </c>
      <c r="L28" s="30"/>
    </row>
    <row r="29" spans="2:12" ht="12.95" customHeight="1" outlineLevel="1" x14ac:dyDescent="0.2">
      <c r="B29" s="83" t="s">
        <v>6</v>
      </c>
      <c r="C29" s="24">
        <f>34622554.48</f>
        <v>34622554.479999997</v>
      </c>
      <c r="D29" s="24">
        <f>31213356.79</f>
        <v>31213356.789999999</v>
      </c>
      <c r="E29" s="24" t="s">
        <v>58</v>
      </c>
      <c r="F29" s="24" t="s">
        <v>58</v>
      </c>
      <c r="G29" s="24" t="s">
        <v>58</v>
      </c>
      <c r="H29" s="24" t="s">
        <v>58</v>
      </c>
      <c r="I29" s="24" t="s">
        <v>58</v>
      </c>
      <c r="J29" s="35">
        <f t="shared" si="0"/>
        <v>8.6221101363325447E-3</v>
      </c>
      <c r="K29" s="35">
        <f t="shared" si="1"/>
        <v>90.153246225753364</v>
      </c>
      <c r="L29" s="30"/>
    </row>
    <row r="30" spans="2:12" ht="27.95" customHeight="1" outlineLevel="1" x14ac:dyDescent="0.2">
      <c r="B30" s="81" t="s">
        <v>11</v>
      </c>
      <c r="C30" s="24">
        <f>2031702134.03</f>
        <v>2031702134.03</v>
      </c>
      <c r="D30" s="24">
        <f>1940916113.52</f>
        <v>1940916113.52</v>
      </c>
      <c r="E30" s="24" t="s">
        <v>58</v>
      </c>
      <c r="F30" s="24" t="s">
        <v>58</v>
      </c>
      <c r="G30" s="24" t="s">
        <v>58</v>
      </c>
      <c r="H30" s="24" t="s">
        <v>58</v>
      </c>
      <c r="I30" s="24" t="s">
        <v>58</v>
      </c>
      <c r="J30" s="35">
        <f t="shared" si="0"/>
        <v>0.5361420307575947</v>
      </c>
      <c r="K30" s="35">
        <f t="shared" si="1"/>
        <v>95.531529007654257</v>
      </c>
      <c r="L30" s="30"/>
    </row>
    <row r="31" spans="2:12" ht="12.95" customHeight="1" outlineLevel="1" x14ac:dyDescent="0.2">
      <c r="B31" s="83" t="s">
        <v>6</v>
      </c>
      <c r="C31" s="24">
        <f>442114927.82</f>
        <v>442114927.81999999</v>
      </c>
      <c r="D31" s="24">
        <f>375701509.72</f>
        <v>375701509.72000003</v>
      </c>
      <c r="E31" s="24" t="s">
        <v>58</v>
      </c>
      <c r="F31" s="24" t="s">
        <v>58</v>
      </c>
      <c r="G31" s="24" t="s">
        <v>58</v>
      </c>
      <c r="H31" s="24" t="s">
        <v>58</v>
      </c>
      <c r="I31" s="24" t="s">
        <v>58</v>
      </c>
      <c r="J31" s="35">
        <f t="shared" si="0"/>
        <v>0.10378056474304159</v>
      </c>
      <c r="K31" s="35">
        <f t="shared" si="1"/>
        <v>84.978245718262841</v>
      </c>
      <c r="L31" s="30"/>
    </row>
    <row r="32" spans="2:12" ht="33.75" outlineLevel="1" x14ac:dyDescent="0.2">
      <c r="B32" s="81" t="s">
        <v>79</v>
      </c>
      <c r="C32" s="24">
        <f>2496837373.89</f>
        <v>2496837373.8899999</v>
      </c>
      <c r="D32" s="24">
        <f>2291736068.54</f>
        <v>2291736068.54</v>
      </c>
      <c r="E32" s="24" t="s">
        <v>58</v>
      </c>
      <c r="F32" s="24" t="s">
        <v>58</v>
      </c>
      <c r="G32" s="24" t="s">
        <v>58</v>
      </c>
      <c r="H32" s="24" t="s">
        <v>58</v>
      </c>
      <c r="I32" s="24" t="s">
        <v>58</v>
      </c>
      <c r="J32" s="35">
        <f t="shared" si="0"/>
        <v>0.63304952810099946</v>
      </c>
      <c r="K32" s="35">
        <f t="shared" si="1"/>
        <v>91.785556100097224</v>
      </c>
      <c r="L32" s="30"/>
    </row>
    <row r="33" spans="2:12" ht="12.95" customHeight="1" outlineLevel="1" x14ac:dyDescent="0.2">
      <c r="B33" s="83" t="s">
        <v>6</v>
      </c>
      <c r="C33" s="24">
        <f>2075207150.27</f>
        <v>2075207150.27</v>
      </c>
      <c r="D33" s="24">
        <f>1889711837.54</f>
        <v>1889711837.54</v>
      </c>
      <c r="E33" s="24" t="s">
        <v>58</v>
      </c>
      <c r="F33" s="24" t="s">
        <v>58</v>
      </c>
      <c r="G33" s="24" t="s">
        <v>58</v>
      </c>
      <c r="H33" s="24" t="s">
        <v>58</v>
      </c>
      <c r="I33" s="24" t="s">
        <v>58</v>
      </c>
      <c r="J33" s="35">
        <f t="shared" si="0"/>
        <v>0.52199780045513111</v>
      </c>
      <c r="K33" s="35">
        <f t="shared" si="1"/>
        <v>91.061359213904709</v>
      </c>
      <c r="L33" s="30"/>
    </row>
    <row r="34" spans="2:12" ht="12.95" customHeight="1" outlineLevel="1" x14ac:dyDescent="0.2">
      <c r="B34" s="81" t="s">
        <v>8</v>
      </c>
      <c r="C34" s="24">
        <f>951152013.39</f>
        <v>951152013.38999999</v>
      </c>
      <c r="D34" s="24">
        <f>894274646.04</f>
        <v>894274646.03999996</v>
      </c>
      <c r="E34" s="24" t="s">
        <v>58</v>
      </c>
      <c r="F34" s="24" t="s">
        <v>58</v>
      </c>
      <c r="G34" s="24" t="s">
        <v>58</v>
      </c>
      <c r="H34" s="24" t="s">
        <v>58</v>
      </c>
      <c r="I34" s="24" t="s">
        <v>58</v>
      </c>
      <c r="J34" s="35">
        <f t="shared" si="0"/>
        <v>0.24702676300284851</v>
      </c>
      <c r="K34" s="35">
        <f t="shared" si="1"/>
        <v>94.020160126951382</v>
      </c>
      <c r="L34" s="30"/>
    </row>
    <row r="35" spans="2:12" ht="12.95" customHeight="1" outlineLevel="1" x14ac:dyDescent="0.2">
      <c r="B35" s="83" t="s">
        <v>6</v>
      </c>
      <c r="C35" s="24">
        <f>771898708.34</f>
        <v>771898708.34000003</v>
      </c>
      <c r="D35" s="24">
        <f>725911611.48</f>
        <v>725911611.48000002</v>
      </c>
      <c r="E35" s="24" t="s">
        <v>58</v>
      </c>
      <c r="F35" s="24" t="s">
        <v>58</v>
      </c>
      <c r="G35" s="24" t="s">
        <v>58</v>
      </c>
      <c r="H35" s="24" t="s">
        <v>58</v>
      </c>
      <c r="I35" s="24" t="s">
        <v>58</v>
      </c>
      <c r="J35" s="35">
        <f t="shared" si="0"/>
        <v>0.20051960144922304</v>
      </c>
      <c r="K35" s="35">
        <f t="shared" si="1"/>
        <v>94.042340482872788</v>
      </c>
      <c r="L35" s="30"/>
    </row>
    <row r="36" spans="2:12" ht="67.5" outlineLevel="1" x14ac:dyDescent="0.2">
      <c r="B36" s="81" t="s">
        <v>96</v>
      </c>
      <c r="C36" s="24">
        <f>28717893.48</f>
        <v>28717893.48</v>
      </c>
      <c r="D36" s="24">
        <f>21092496.58</f>
        <v>21092496.579999998</v>
      </c>
      <c r="E36" s="24" t="s">
        <v>58</v>
      </c>
      <c r="F36" s="24" t="s">
        <v>58</v>
      </c>
      <c r="G36" s="24" t="s">
        <v>58</v>
      </c>
      <c r="H36" s="24" t="s">
        <v>58</v>
      </c>
      <c r="I36" s="24" t="s">
        <v>58</v>
      </c>
      <c r="J36" s="35">
        <f t="shared" si="0"/>
        <v>5.8264104622429329E-3</v>
      </c>
      <c r="K36" s="35">
        <f t="shared" si="1"/>
        <v>73.447227578476259</v>
      </c>
      <c r="L36" s="30"/>
    </row>
    <row r="37" spans="2:12" ht="12.95" customHeight="1" outlineLevel="1" x14ac:dyDescent="0.2">
      <c r="B37" s="83" t="s">
        <v>94</v>
      </c>
      <c r="C37" s="24">
        <f>23227859.99</f>
        <v>23227859.989999998</v>
      </c>
      <c r="D37" s="24">
        <f>16292341.95</f>
        <v>16292341.949999999</v>
      </c>
      <c r="E37" s="24" t="s">
        <v>58</v>
      </c>
      <c r="F37" s="24" t="s">
        <v>58</v>
      </c>
      <c r="G37" s="24" t="s">
        <v>58</v>
      </c>
      <c r="H37" s="24" t="s">
        <v>58</v>
      </c>
      <c r="I37" s="24" t="s">
        <v>58</v>
      </c>
      <c r="J37" s="35">
        <f t="shared" si="0"/>
        <v>4.5004568914771602E-3</v>
      </c>
      <c r="K37" s="35">
        <f t="shared" si="1"/>
        <v>70.141381758862593</v>
      </c>
      <c r="L37" s="30"/>
    </row>
    <row r="38" spans="2:12" ht="45" outlineLevel="1" x14ac:dyDescent="0.2">
      <c r="B38" s="84" t="s">
        <v>93</v>
      </c>
      <c r="C38" s="24">
        <f>26590424823.75</f>
        <v>26590424823.75</v>
      </c>
      <c r="D38" s="24">
        <f>22382863981.34</f>
        <v>22382863981.34</v>
      </c>
      <c r="E38" s="24" t="s">
        <v>58</v>
      </c>
      <c r="F38" s="24" t="s">
        <v>58</v>
      </c>
      <c r="G38" s="24" t="s">
        <v>58</v>
      </c>
      <c r="H38" s="24" t="s">
        <v>58</v>
      </c>
      <c r="I38" s="24" t="s">
        <v>58</v>
      </c>
      <c r="J38" s="35">
        <f t="shared" si="0"/>
        <v>6.1828504928855557</v>
      </c>
      <c r="K38" s="35">
        <f t="shared" si="1"/>
        <v>84.176406092422056</v>
      </c>
      <c r="L38" s="30"/>
    </row>
    <row r="39" spans="2:12" ht="12.95" customHeight="1" outlineLevel="1" x14ac:dyDescent="0.2">
      <c r="B39" s="85" t="s">
        <v>6</v>
      </c>
      <c r="C39" s="24">
        <f>25692195577.69</f>
        <v>25692195577.689999</v>
      </c>
      <c r="D39" s="24">
        <f>21676106578.22</f>
        <v>21676106578.220001</v>
      </c>
      <c r="E39" s="24" t="s">
        <v>58</v>
      </c>
      <c r="F39" s="24" t="s">
        <v>58</v>
      </c>
      <c r="G39" s="24" t="s">
        <v>58</v>
      </c>
      <c r="H39" s="24" t="s">
        <v>58</v>
      </c>
      <c r="I39" s="24" t="s">
        <v>58</v>
      </c>
      <c r="J39" s="35">
        <f t="shared" si="0"/>
        <v>5.9876218857745993</v>
      </c>
      <c r="K39" s="35">
        <f t="shared" si="1"/>
        <v>84.36844765825542</v>
      </c>
      <c r="L39" s="30"/>
    </row>
    <row r="40" spans="2:12" ht="22.5" outlineLevel="1" x14ac:dyDescent="0.2">
      <c r="B40" s="84" t="s">
        <v>105</v>
      </c>
      <c r="C40" s="24">
        <f>5342030350.22</f>
        <v>5342030350.2200003</v>
      </c>
      <c r="D40" s="24">
        <f>5216094927.04</f>
        <v>5216094927.04</v>
      </c>
      <c r="E40" s="24" t="s">
        <v>58</v>
      </c>
      <c r="F40" s="24" t="s">
        <v>58</v>
      </c>
      <c r="G40" s="24" t="s">
        <v>58</v>
      </c>
      <c r="H40" s="24" t="s">
        <v>58</v>
      </c>
      <c r="I40" s="24" t="s">
        <v>58</v>
      </c>
      <c r="J40" s="35">
        <f t="shared" si="0"/>
        <v>1.4408493532138407</v>
      </c>
      <c r="K40" s="35">
        <f t="shared" si="1"/>
        <v>97.642555078804193</v>
      </c>
      <c r="L40" s="30"/>
    </row>
    <row r="41" spans="2:12" ht="12.95" customHeight="1" outlineLevel="1" x14ac:dyDescent="0.2">
      <c r="B41" s="85" t="s">
        <v>6</v>
      </c>
      <c r="C41" s="24">
        <f>12402933.81</f>
        <v>12402933.810000001</v>
      </c>
      <c r="D41" s="24">
        <f>7265888.91</f>
        <v>7265888.9100000001</v>
      </c>
      <c r="E41" s="24" t="s">
        <v>58</v>
      </c>
      <c r="F41" s="24" t="s">
        <v>58</v>
      </c>
      <c r="G41" s="24" t="s">
        <v>58</v>
      </c>
      <c r="H41" s="24" t="s">
        <v>58</v>
      </c>
      <c r="I41" s="24" t="s">
        <v>58</v>
      </c>
      <c r="J41" s="35">
        <f t="shared" si="0"/>
        <v>2.0070668733856876E-3</v>
      </c>
      <c r="K41" s="35">
        <f t="shared" si="1"/>
        <v>58.582017942737046</v>
      </c>
      <c r="L41" s="30"/>
    </row>
    <row r="42" spans="2:12" ht="14.1" customHeight="1" outlineLevel="1" x14ac:dyDescent="0.2">
      <c r="B42" s="82" t="s">
        <v>71</v>
      </c>
      <c r="C42" s="58">
        <f>2180535275.44</f>
        <v>2180535275.4400001</v>
      </c>
      <c r="D42" s="58">
        <f>1867688149.15</f>
        <v>1867688149.1500001</v>
      </c>
      <c r="E42" s="60" t="s">
        <v>58</v>
      </c>
      <c r="F42" s="60" t="s">
        <v>58</v>
      </c>
      <c r="G42" s="60" t="s">
        <v>58</v>
      </c>
      <c r="H42" s="60" t="s">
        <v>58</v>
      </c>
      <c r="I42" s="60" t="s">
        <v>58</v>
      </c>
      <c r="J42" s="59">
        <f t="shared" si="0"/>
        <v>0.5159141655489462</v>
      </c>
      <c r="K42" s="59">
        <f t="shared" si="1"/>
        <v>85.652737205690372</v>
      </c>
      <c r="L42" s="30"/>
    </row>
    <row r="43" spans="2:12" ht="12.95" customHeight="1" outlineLevel="1" x14ac:dyDescent="0.2">
      <c r="B43" s="88" t="s">
        <v>72</v>
      </c>
      <c r="C43" s="23">
        <f>1597147246.32</f>
        <v>1597147246.3199999</v>
      </c>
      <c r="D43" s="23">
        <f>1360412306.09</f>
        <v>1360412306.0899999</v>
      </c>
      <c r="E43" s="23" t="s">
        <v>58</v>
      </c>
      <c r="F43" s="23" t="s">
        <v>58</v>
      </c>
      <c r="G43" s="23" t="s">
        <v>58</v>
      </c>
      <c r="H43" s="23" t="s">
        <v>58</v>
      </c>
      <c r="I43" s="23" t="s">
        <v>58</v>
      </c>
      <c r="J43" s="35">
        <f t="shared" si="0"/>
        <v>0.37578863474523849</v>
      </c>
      <c r="K43" s="35">
        <f t="shared" si="1"/>
        <v>85.177638393988843</v>
      </c>
      <c r="L43" s="30"/>
    </row>
    <row r="44" spans="2:12" ht="14.1" customHeight="1" outlineLevel="1" x14ac:dyDescent="0.2">
      <c r="B44" s="82" t="s">
        <v>84</v>
      </c>
      <c r="C44" s="58">
        <f>16770090128.66</f>
        <v>16770090128.66</v>
      </c>
      <c r="D44" s="58">
        <f>14127901987.63</f>
        <v>14127901987.629999</v>
      </c>
      <c r="E44" s="60" t="s">
        <v>58</v>
      </c>
      <c r="F44" s="60" t="s">
        <v>58</v>
      </c>
      <c r="G44" s="60" t="s">
        <v>58</v>
      </c>
      <c r="H44" s="60" t="s">
        <v>58</v>
      </c>
      <c r="I44" s="60" t="s">
        <v>58</v>
      </c>
      <c r="J44" s="59">
        <f t="shared" si="0"/>
        <v>3.9025705486339435</v>
      </c>
      <c r="K44" s="59">
        <f t="shared" si="1"/>
        <v>84.244639588939876</v>
      </c>
      <c r="L44" s="30"/>
    </row>
    <row r="45" spans="2:12" ht="12.95" customHeight="1" outlineLevel="1" x14ac:dyDescent="0.2">
      <c r="B45" s="88" t="s">
        <v>85</v>
      </c>
      <c r="C45" s="23">
        <f>13514041196.23</f>
        <v>13514041196.23</v>
      </c>
      <c r="D45" s="23">
        <f>11171761243.5</f>
        <v>11171761243.5</v>
      </c>
      <c r="E45" s="23" t="s">
        <v>58</v>
      </c>
      <c r="F45" s="23" t="s">
        <v>58</v>
      </c>
      <c r="G45" s="23" t="s">
        <v>58</v>
      </c>
      <c r="H45" s="23" t="s">
        <v>58</v>
      </c>
      <c r="I45" s="23" t="s">
        <v>58</v>
      </c>
      <c r="J45" s="35">
        <f t="shared" si="0"/>
        <v>3.0859915678511172</v>
      </c>
      <c r="K45" s="35">
        <f t="shared" si="1"/>
        <v>82.66780514637307</v>
      </c>
      <c r="L45" s="30"/>
    </row>
    <row r="46" spans="2:12" ht="27.95" customHeight="1" x14ac:dyDescent="0.2">
      <c r="B46" s="77" t="s">
        <v>61</v>
      </c>
      <c r="C46" s="58">
        <f>C47+C48+C49+C50+C51+C52</f>
        <v>99219811393.039993</v>
      </c>
      <c r="D46" s="58">
        <f>D47+D48+D49+D50+D51+D52</f>
        <v>99710747769.509995</v>
      </c>
      <c r="E46" s="60" t="s">
        <v>58</v>
      </c>
      <c r="F46" s="60" t="s">
        <v>58</v>
      </c>
      <c r="G46" s="60" t="s">
        <v>58</v>
      </c>
      <c r="H46" s="60" t="s">
        <v>58</v>
      </c>
      <c r="I46" s="60" t="s">
        <v>58</v>
      </c>
      <c r="J46" s="59">
        <f t="shared" si="0"/>
        <v>27.54324229940633</v>
      </c>
      <c r="K46" s="59">
        <f t="shared" si="1"/>
        <v>100.49479672413935</v>
      </c>
      <c r="L46" s="30"/>
    </row>
    <row r="47" spans="2:12" ht="15" customHeight="1" outlineLevel="1" x14ac:dyDescent="0.2">
      <c r="B47" s="31" t="s">
        <v>47</v>
      </c>
      <c r="C47" s="23">
        <f>16516403313</f>
        <v>16516403313</v>
      </c>
      <c r="D47" s="23">
        <f>16516164565</f>
        <v>16516164565</v>
      </c>
      <c r="E47" s="23" t="s">
        <v>58</v>
      </c>
      <c r="F47" s="23" t="s">
        <v>58</v>
      </c>
      <c r="G47" s="23" t="s">
        <v>58</v>
      </c>
      <c r="H47" s="23" t="s">
        <v>58</v>
      </c>
      <c r="I47" s="23" t="s">
        <v>58</v>
      </c>
      <c r="J47" s="35">
        <f t="shared" si="0"/>
        <v>4.5622837321632037</v>
      </c>
      <c r="K47" s="35">
        <f t="shared" si="1"/>
        <v>99.998554479474279</v>
      </c>
      <c r="L47" s="30"/>
    </row>
    <row r="48" spans="2:12" ht="15" customHeight="1" outlineLevel="1" x14ac:dyDescent="0.2">
      <c r="B48" s="31" t="s">
        <v>46</v>
      </c>
      <c r="C48" s="23">
        <f>64567736171.18</f>
        <v>64567736171.18</v>
      </c>
      <c r="D48" s="23">
        <f>64580502776</f>
        <v>64580502776</v>
      </c>
      <c r="E48" s="23" t="s">
        <v>58</v>
      </c>
      <c r="F48" s="23" t="s">
        <v>58</v>
      </c>
      <c r="G48" s="23" t="s">
        <v>58</v>
      </c>
      <c r="H48" s="23" t="s">
        <v>58</v>
      </c>
      <c r="I48" s="23" t="s">
        <v>58</v>
      </c>
      <c r="J48" s="35">
        <f t="shared" si="0"/>
        <v>17.839164539098636</v>
      </c>
      <c r="K48" s="35">
        <f t="shared" si="1"/>
        <v>100.01977242130056</v>
      </c>
      <c r="L48" s="30"/>
    </row>
    <row r="49" spans="1:26" ht="15" customHeight="1" outlineLevel="1" x14ac:dyDescent="0.2">
      <c r="B49" s="31" t="s">
        <v>45</v>
      </c>
      <c r="C49" s="23">
        <f>4598627</f>
        <v>4598627</v>
      </c>
      <c r="D49" s="23">
        <f>4598627</f>
        <v>4598627</v>
      </c>
      <c r="E49" s="23" t="s">
        <v>58</v>
      </c>
      <c r="F49" s="23" t="s">
        <v>58</v>
      </c>
      <c r="G49" s="23" t="s">
        <v>58</v>
      </c>
      <c r="H49" s="23" t="s">
        <v>58</v>
      </c>
      <c r="I49" s="23" t="s">
        <v>58</v>
      </c>
      <c r="J49" s="35">
        <f t="shared" si="0"/>
        <v>1.2702853056360593E-3</v>
      </c>
      <c r="K49" s="35">
        <f t="shared" si="1"/>
        <v>100</v>
      </c>
      <c r="L49" s="30"/>
    </row>
    <row r="50" spans="1:26" ht="15" customHeight="1" outlineLevel="1" x14ac:dyDescent="0.2">
      <c r="B50" s="31" t="s">
        <v>44</v>
      </c>
      <c r="C50" s="23">
        <f>2001303213</f>
        <v>2001303213</v>
      </c>
      <c r="D50" s="23">
        <f>2000695102</f>
        <v>2000695102</v>
      </c>
      <c r="E50" s="23" t="s">
        <v>58</v>
      </c>
      <c r="F50" s="23" t="s">
        <v>58</v>
      </c>
      <c r="G50" s="23" t="s">
        <v>58</v>
      </c>
      <c r="H50" s="23" t="s">
        <v>58</v>
      </c>
      <c r="I50" s="23" t="s">
        <v>58</v>
      </c>
      <c r="J50" s="35">
        <f t="shared" si="0"/>
        <v>0.55265486614344606</v>
      </c>
      <c r="K50" s="35">
        <f t="shared" si="1"/>
        <v>99.969614249552492</v>
      </c>
      <c r="L50" s="30"/>
    </row>
    <row r="51" spans="1:26" ht="15" customHeight="1" outlineLevel="1" x14ac:dyDescent="0.2">
      <c r="B51" s="31" t="s">
        <v>57</v>
      </c>
      <c r="C51" s="23">
        <f>1169058479</f>
        <v>1169058479</v>
      </c>
      <c r="D51" s="23">
        <f>1169058479</f>
        <v>1169058479</v>
      </c>
      <c r="E51" s="23" t="s">
        <v>58</v>
      </c>
      <c r="F51" s="23" t="s">
        <v>58</v>
      </c>
      <c r="G51" s="23" t="s">
        <v>58</v>
      </c>
      <c r="H51" s="23" t="s">
        <v>58</v>
      </c>
      <c r="I51" s="23" t="s">
        <v>58</v>
      </c>
      <c r="J51" s="35">
        <f t="shared" si="0"/>
        <v>0.32293069372726724</v>
      </c>
      <c r="K51" s="35">
        <f t="shared" si="1"/>
        <v>100</v>
      </c>
      <c r="L51" s="30"/>
    </row>
    <row r="52" spans="1:26" ht="15" customHeight="1" outlineLevel="1" x14ac:dyDescent="0.2">
      <c r="B52" s="31" t="s">
        <v>42</v>
      </c>
      <c r="C52" s="23">
        <f>14960711589.86</f>
        <v>14960711589.860001</v>
      </c>
      <c r="D52" s="23">
        <f>15439728220.51</f>
        <v>15439728220.51</v>
      </c>
      <c r="E52" s="23" t="s">
        <v>58</v>
      </c>
      <c r="F52" s="23" t="s">
        <v>58</v>
      </c>
      <c r="G52" s="23" t="s">
        <v>58</v>
      </c>
      <c r="H52" s="23" t="s">
        <v>58</v>
      </c>
      <c r="I52" s="23" t="s">
        <v>58</v>
      </c>
      <c r="J52" s="35">
        <f t="shared" si="0"/>
        <v>4.2649381829681419</v>
      </c>
      <c r="K52" s="35">
        <f t="shared" si="1"/>
        <v>103.20183052639464</v>
      </c>
      <c r="L52" s="30"/>
    </row>
    <row r="53" spans="1:26" s="6" customFormat="1" ht="13.5" customHeight="1" x14ac:dyDescent="0.2">
      <c r="A53" s="3"/>
      <c r="B53" s="21"/>
      <c r="C53" s="8"/>
      <c r="D53" s="9"/>
      <c r="E53" s="16"/>
      <c r="F53" s="16"/>
      <c r="G53" s="16"/>
      <c r="H53" s="16"/>
      <c r="I53" s="16"/>
      <c r="J53" s="10"/>
      <c r="K53" s="10"/>
      <c r="L53" s="4"/>
    </row>
    <row r="54" spans="1:26" s="6" customFormat="1" ht="18.75" customHeight="1" x14ac:dyDescent="0.2">
      <c r="A54" s="3"/>
      <c r="B54" s="62" t="s">
        <v>5</v>
      </c>
      <c r="C54" s="63">
        <f t="shared" ref="C54:I54" si="4">+C6</f>
        <v>370762457144.41998</v>
      </c>
      <c r="D54" s="63">
        <f t="shared" si="4"/>
        <v>362015287400.13</v>
      </c>
      <c r="E54" s="63">
        <f t="shared" si="4"/>
        <v>4677334820.0299997</v>
      </c>
      <c r="F54" s="63">
        <f t="shared" si="4"/>
        <v>805533086.46000004</v>
      </c>
      <c r="G54" s="63">
        <f t="shared" si="4"/>
        <v>154321754.59999999</v>
      </c>
      <c r="H54" s="63">
        <f t="shared" si="4"/>
        <v>169558671.03999999</v>
      </c>
      <c r="I54" s="63">
        <f t="shared" si="4"/>
        <v>3452014.37</v>
      </c>
      <c r="J54" s="64">
        <f>IF($D$54=0,"",100*$D54/$D$54)</f>
        <v>100</v>
      </c>
      <c r="K54" s="64">
        <f>IF(C54=0,"",100*D54/C54)</f>
        <v>97.640761739562322</v>
      </c>
      <c r="L54" s="4"/>
    </row>
    <row r="55" spans="1:26" s="6" customFormat="1" ht="20.100000000000001" customHeight="1" x14ac:dyDescent="0.2">
      <c r="A55" s="3"/>
      <c r="B55" s="55" t="s">
        <v>74</v>
      </c>
      <c r="C55" s="56">
        <f>60778411996.47</f>
        <v>60778411996.470001</v>
      </c>
      <c r="D55" s="56">
        <f>53036200736.7</f>
        <v>53036200736.699997</v>
      </c>
      <c r="E55" s="56">
        <f>0</f>
        <v>0</v>
      </c>
      <c r="F55" s="56">
        <f>0</f>
        <v>0</v>
      </c>
      <c r="G55" s="56">
        <f>0</f>
        <v>0</v>
      </c>
      <c r="H55" s="56">
        <f>0</f>
        <v>0</v>
      </c>
      <c r="I55" s="56">
        <f>6350</f>
        <v>6350</v>
      </c>
      <c r="J55" s="36">
        <f>IF($D$54=0,"",100*$D55/$D$54)</f>
        <v>14.650265495025875</v>
      </c>
      <c r="K55" s="36">
        <f>IF(C55=0,"",100*D55/C55)</f>
        <v>87.261576922707903</v>
      </c>
      <c r="L55" s="4"/>
    </row>
    <row r="56" spans="1:26" s="6" customFormat="1" ht="20.100000000000001" customHeight="1" x14ac:dyDescent="0.2">
      <c r="A56" s="3"/>
      <c r="B56" s="55" t="s">
        <v>75</v>
      </c>
      <c r="C56" s="56">
        <f>+C54-C55</f>
        <v>309984045147.94995</v>
      </c>
      <c r="D56" s="56">
        <f t="shared" ref="D56:I56" si="5">+D54-D55</f>
        <v>308979086663.42999</v>
      </c>
      <c r="E56" s="56">
        <f t="shared" si="5"/>
        <v>4677334820.0299997</v>
      </c>
      <c r="F56" s="56">
        <f t="shared" si="5"/>
        <v>805533086.46000004</v>
      </c>
      <c r="G56" s="56">
        <f t="shared" si="5"/>
        <v>154321754.59999999</v>
      </c>
      <c r="H56" s="56">
        <f t="shared" si="5"/>
        <v>169558671.03999999</v>
      </c>
      <c r="I56" s="56">
        <f t="shared" si="5"/>
        <v>3445664.37</v>
      </c>
      <c r="J56" s="36">
        <f>IF($D$54=0,"",100*$D56/$D$54)</f>
        <v>85.349734504974123</v>
      </c>
      <c r="K56" s="36">
        <f>IF(C56=0,"",100*D56/C56)</f>
        <v>99.675803158178581</v>
      </c>
      <c r="L56" s="4"/>
    </row>
    <row r="57" spans="1:26" s="6" customFormat="1" ht="13.5" customHeight="1" x14ac:dyDescent="0.2">
      <c r="A57" s="3"/>
      <c r="B57" s="92" t="s">
        <v>106</v>
      </c>
      <c r="C57" s="92"/>
      <c r="D57" s="92"/>
      <c r="E57" s="92"/>
      <c r="F57" s="92"/>
      <c r="G57" s="16"/>
      <c r="H57" s="16"/>
      <c r="I57" s="16"/>
      <c r="J57" s="16"/>
      <c r="K57" s="10"/>
      <c r="L57" s="10"/>
      <c r="M57" s="4"/>
    </row>
    <row r="58" spans="1:26" ht="27" customHeight="1" x14ac:dyDescent="0.2">
      <c r="B58" s="87" t="str">
        <f>CONCATENATE("Informacja z wykonania budżetów jednostek samorządu terytorialnego za ",$D$117," ",$C$118," roku")</f>
        <v>Informacja z wykonania budżetów jednostek samorządu terytorialnego za IV Kwartały 2023 roku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26" s="6" customFormat="1" ht="9.75" customHeight="1" x14ac:dyDescent="0.2">
      <c r="B59" s="7"/>
      <c r="C59" s="8"/>
      <c r="D59" s="9"/>
      <c r="E59" s="9"/>
      <c r="F59" s="5"/>
      <c r="G59" s="5"/>
      <c r="H59" s="5"/>
      <c r="I59" s="5"/>
      <c r="J59" s="5"/>
      <c r="K59" s="10"/>
      <c r="L59" s="10"/>
      <c r="M59" s="4"/>
    </row>
    <row r="60" spans="1:26" ht="29.25" customHeight="1" x14ac:dyDescent="0.2">
      <c r="B60" s="106" t="s">
        <v>0</v>
      </c>
      <c r="C60" s="94" t="s">
        <v>53</v>
      </c>
      <c r="D60" s="94" t="s">
        <v>55</v>
      </c>
      <c r="E60" s="94" t="s">
        <v>54</v>
      </c>
      <c r="F60" s="94" t="s">
        <v>12</v>
      </c>
      <c r="G60" s="94"/>
      <c r="H60" s="94"/>
      <c r="I60" s="120" t="s">
        <v>86</v>
      </c>
      <c r="J60" s="120" t="s">
        <v>2</v>
      </c>
      <c r="K60" s="117" t="s">
        <v>18</v>
      </c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8" customHeight="1" x14ac:dyDescent="0.2">
      <c r="B61" s="106"/>
      <c r="C61" s="94"/>
      <c r="D61" s="94"/>
      <c r="E61" s="94"/>
      <c r="F61" s="111" t="s">
        <v>56</v>
      </c>
      <c r="G61" s="95" t="s">
        <v>33</v>
      </c>
      <c r="H61" s="96"/>
      <c r="I61" s="121"/>
      <c r="J61" s="121"/>
      <c r="K61" s="118"/>
      <c r="L61" s="12"/>
      <c r="M61" s="13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66.75" customHeight="1" x14ac:dyDescent="0.2">
      <c r="B62" s="106"/>
      <c r="C62" s="94"/>
      <c r="D62" s="94"/>
      <c r="E62" s="94"/>
      <c r="F62" s="96"/>
      <c r="G62" s="18" t="s">
        <v>51</v>
      </c>
      <c r="H62" s="18" t="s">
        <v>52</v>
      </c>
      <c r="I62" s="122"/>
      <c r="J62" s="122"/>
      <c r="K62" s="119"/>
      <c r="L62" s="12"/>
      <c r="M62" s="11"/>
      <c r="N62" s="22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3.5" customHeight="1" x14ac:dyDescent="0.2">
      <c r="B63" s="106"/>
      <c r="C63" s="108" t="s">
        <v>78</v>
      </c>
      <c r="D63" s="109"/>
      <c r="E63" s="109"/>
      <c r="F63" s="109"/>
      <c r="G63" s="109"/>
      <c r="H63" s="110"/>
      <c r="I63" s="72"/>
      <c r="J63" s="107" t="s">
        <v>4</v>
      </c>
      <c r="K63" s="107"/>
      <c r="N63" s="2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1.25" customHeight="1" x14ac:dyDescent="0.2">
      <c r="B64" s="17">
        <v>1</v>
      </c>
      <c r="C64" s="19">
        <v>2</v>
      </c>
      <c r="D64" s="19">
        <v>3</v>
      </c>
      <c r="E64" s="19">
        <v>4</v>
      </c>
      <c r="F64" s="17">
        <v>5</v>
      </c>
      <c r="G64" s="17">
        <v>6</v>
      </c>
      <c r="H64" s="19">
        <v>7</v>
      </c>
      <c r="I64" s="19">
        <v>8</v>
      </c>
      <c r="J64" s="17">
        <v>9</v>
      </c>
      <c r="K64" s="19">
        <v>10</v>
      </c>
      <c r="M64" s="11"/>
      <c r="N64" s="2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2:13" ht="27" customHeight="1" x14ac:dyDescent="0.2">
      <c r="B65" s="57" t="s">
        <v>62</v>
      </c>
      <c r="C65" s="63">
        <f>415322218594.94</f>
        <v>415322218594.94</v>
      </c>
      <c r="D65" s="63">
        <f>384955202423.17</f>
        <v>384955202423.16998</v>
      </c>
      <c r="E65" s="63">
        <f>385322598750.79</f>
        <v>385322598750.78998</v>
      </c>
      <c r="F65" s="63">
        <f>16590935672.86</f>
        <v>16590935672.860001</v>
      </c>
      <c r="G65" s="63">
        <f>15373089.54</f>
        <v>15373089.539999999</v>
      </c>
      <c r="H65" s="63">
        <f>44522229.05</f>
        <v>44522229.049999997</v>
      </c>
      <c r="I65" s="69">
        <f>1652872103.06</f>
        <v>1652872103.0599999</v>
      </c>
      <c r="J65" s="50">
        <f>IF($D$65=0,"",100*$D65/$D$65)</f>
        <v>100</v>
      </c>
      <c r="K65" s="50">
        <f>IF(C65=0,"",100*D65/C65)</f>
        <v>92.688323712970757</v>
      </c>
    </row>
    <row r="66" spans="2:13" ht="16.5" customHeight="1" x14ac:dyDescent="0.2">
      <c r="B66" s="76" t="s">
        <v>14</v>
      </c>
      <c r="C66" s="27">
        <f>107696254437.3</f>
        <v>107696254437.3</v>
      </c>
      <c r="D66" s="27">
        <f>93120003033.8198</f>
        <v>93120003033.819794</v>
      </c>
      <c r="E66" s="27">
        <f>93296575804.7198</f>
        <v>93296575804.719803</v>
      </c>
      <c r="F66" s="27">
        <f>1907536862.86</f>
        <v>1907536862.8599999</v>
      </c>
      <c r="G66" s="27">
        <f>3780051.84</f>
        <v>3780051.84</v>
      </c>
      <c r="H66" s="27">
        <f>6571235.97</f>
        <v>6571235.9699999997</v>
      </c>
      <c r="I66" s="70">
        <f>1452853706.62</f>
        <v>1452853706.6199999</v>
      </c>
      <c r="J66" s="50">
        <f t="shared" ref="J66:J74" si="6">IF($D$65=0,"",100*$D66/$D$65)</f>
        <v>24.189828439168799</v>
      </c>
      <c r="K66" s="50">
        <f t="shared" ref="K66:K74" si="7">IF(C66=0,"",100*D66/C66)</f>
        <v>86.465405431563624</v>
      </c>
    </row>
    <row r="67" spans="2:13" ht="18" customHeight="1" outlineLevel="1" x14ac:dyDescent="0.2">
      <c r="B67" s="31" t="s">
        <v>13</v>
      </c>
      <c r="C67" s="23">
        <f>101820130533.15</f>
        <v>101820130533.14999</v>
      </c>
      <c r="D67" s="23">
        <f>87665316038.5298</f>
        <v>87665316038.5298</v>
      </c>
      <c r="E67" s="23">
        <f>87838888808.9098</f>
        <v>87838888808.909805</v>
      </c>
      <c r="F67" s="23">
        <f>1857565740.62</f>
        <v>1857565740.6199999</v>
      </c>
      <c r="G67" s="23">
        <f>3780051.84</f>
        <v>3780051.84</v>
      </c>
      <c r="H67" s="23">
        <f>6571235.97</f>
        <v>6571235.9699999997</v>
      </c>
      <c r="I67" s="71">
        <f>1449853706.62</f>
        <v>1449853706.6199999</v>
      </c>
      <c r="J67" s="50">
        <f t="shared" si="6"/>
        <v>22.772861747731856</v>
      </c>
      <c r="K67" s="50">
        <f t="shared" si="7"/>
        <v>86.098216118460243</v>
      </c>
    </row>
    <row r="68" spans="2:13" ht="27" customHeight="1" x14ac:dyDescent="0.2">
      <c r="B68" s="77" t="s">
        <v>63</v>
      </c>
      <c r="C68" s="63">
        <f t="shared" ref="C68:I68" si="8">C65-C66</f>
        <v>307625964157.64001</v>
      </c>
      <c r="D68" s="63">
        <f t="shared" si="8"/>
        <v>291835199389.35022</v>
      </c>
      <c r="E68" s="63">
        <f t="shared" si="8"/>
        <v>292026022946.07019</v>
      </c>
      <c r="F68" s="63">
        <f t="shared" si="8"/>
        <v>14683398810</v>
      </c>
      <c r="G68" s="63">
        <f t="shared" si="8"/>
        <v>11593037.699999999</v>
      </c>
      <c r="H68" s="63">
        <f t="shared" si="8"/>
        <v>37950993.079999998</v>
      </c>
      <c r="I68" s="69">
        <f t="shared" si="8"/>
        <v>200018396.44000006</v>
      </c>
      <c r="J68" s="50">
        <f t="shared" si="6"/>
        <v>75.810171560831208</v>
      </c>
      <c r="K68" s="50">
        <f t="shared" si="7"/>
        <v>94.866894668163326</v>
      </c>
    </row>
    <row r="69" spans="2:13" ht="23.1" customHeight="1" outlineLevel="1" x14ac:dyDescent="0.2">
      <c r="B69" s="31" t="s">
        <v>101</v>
      </c>
      <c r="C69" s="23">
        <f>131935873971</f>
        <v>131935873971</v>
      </c>
      <c r="D69" s="23">
        <f>128511650279.96</f>
        <v>128511650279.96001</v>
      </c>
      <c r="E69" s="23">
        <f>128574428628.39</f>
        <v>128574428628.39</v>
      </c>
      <c r="F69" s="23">
        <f>10593856488.71</f>
        <v>10593856488.709999</v>
      </c>
      <c r="G69" s="23">
        <f>886253.47</f>
        <v>886253.47</v>
      </c>
      <c r="H69" s="23">
        <f>5253200.22</f>
        <v>5253200.22</v>
      </c>
      <c r="I69" s="71">
        <f>854015.42</f>
        <v>854015.42</v>
      </c>
      <c r="J69" s="50">
        <f t="shared" si="6"/>
        <v>33.383533842644603</v>
      </c>
      <c r="K69" s="50">
        <f t="shared" si="7"/>
        <v>97.404630304118299</v>
      </c>
    </row>
    <row r="70" spans="2:13" ht="18" customHeight="1" outlineLevel="1" x14ac:dyDescent="0.2">
      <c r="B70" s="31" t="s">
        <v>50</v>
      </c>
      <c r="C70" s="23">
        <f>38302953282.44</f>
        <v>38302953282.440002</v>
      </c>
      <c r="D70" s="23">
        <f>37516186758.1499</f>
        <v>37516186758.149902</v>
      </c>
      <c r="E70" s="23">
        <f>37525250101.97</f>
        <v>37525250101.970001</v>
      </c>
      <c r="F70" s="23">
        <f>63113247.05</f>
        <v>63113247.049999997</v>
      </c>
      <c r="G70" s="23">
        <f>0</f>
        <v>0</v>
      </c>
      <c r="H70" s="23">
        <f>845983.38</f>
        <v>845983.38</v>
      </c>
      <c r="I70" s="71">
        <f>2683044.43</f>
        <v>2683044.4300000002</v>
      </c>
      <c r="J70" s="50">
        <f t="shared" si="6"/>
        <v>9.7455980649170328</v>
      </c>
      <c r="K70" s="50">
        <f t="shared" si="7"/>
        <v>97.945937697052742</v>
      </c>
    </row>
    <row r="71" spans="2:13" ht="18" customHeight="1" outlineLevel="1" x14ac:dyDescent="0.2">
      <c r="B71" s="31" t="s">
        <v>49</v>
      </c>
      <c r="C71" s="23">
        <f>6516384037.87</f>
        <v>6516384037.8699999</v>
      </c>
      <c r="D71" s="23">
        <f>6133022028.31</f>
        <v>6133022028.3100004</v>
      </c>
      <c r="E71" s="23">
        <f>6134660921.13</f>
        <v>6134660921.1300001</v>
      </c>
      <c r="F71" s="23">
        <f>195964664.84</f>
        <v>195964664.84</v>
      </c>
      <c r="G71" s="23">
        <f>0</f>
        <v>0</v>
      </c>
      <c r="H71" s="23">
        <f>771412.84</f>
        <v>771412.84</v>
      </c>
      <c r="I71" s="71">
        <f>0</f>
        <v>0</v>
      </c>
      <c r="J71" s="50">
        <f t="shared" si="6"/>
        <v>1.5931781125971505</v>
      </c>
      <c r="K71" s="50">
        <f t="shared" si="7"/>
        <v>94.116951865757301</v>
      </c>
    </row>
    <row r="72" spans="2:13" ht="23.1" customHeight="1" outlineLevel="1" x14ac:dyDescent="0.2">
      <c r="B72" s="31" t="s">
        <v>69</v>
      </c>
      <c r="C72" s="23">
        <f>149104809.43</f>
        <v>149104809.43000001</v>
      </c>
      <c r="D72" s="23">
        <f>37481091.86</f>
        <v>37481091.859999999</v>
      </c>
      <c r="E72" s="23">
        <f>37481902.62</f>
        <v>37481902.619999997</v>
      </c>
      <c r="F72" s="23">
        <f>0</f>
        <v>0</v>
      </c>
      <c r="G72" s="23">
        <f>0</f>
        <v>0</v>
      </c>
      <c r="H72" s="23">
        <f>0</f>
        <v>0</v>
      </c>
      <c r="I72" s="71">
        <f>0</f>
        <v>0</v>
      </c>
      <c r="J72" s="50">
        <f t="shared" si="6"/>
        <v>9.7364814461704911E-3</v>
      </c>
      <c r="K72" s="50">
        <f t="shared" si="7"/>
        <v>25.137413074255118</v>
      </c>
    </row>
    <row r="73" spans="2:13" ht="23.1" customHeight="1" outlineLevel="1" x14ac:dyDescent="0.2">
      <c r="B73" s="31" t="s">
        <v>70</v>
      </c>
      <c r="C73" s="23">
        <f>24737391737.65</f>
        <v>24737391737.650002</v>
      </c>
      <c r="D73" s="23">
        <f>23992795628.82</f>
        <v>23992795628.82</v>
      </c>
      <c r="E73" s="23">
        <f>23999503666.88</f>
        <v>23999503666.880001</v>
      </c>
      <c r="F73" s="23">
        <f>286266474.67</f>
        <v>286266474.67000002</v>
      </c>
      <c r="G73" s="23">
        <f>4734.69</f>
        <v>4734.6899999999996</v>
      </c>
      <c r="H73" s="23">
        <f>1058352.31</f>
        <v>1058352.31</v>
      </c>
      <c r="I73" s="71">
        <f>0</f>
        <v>0</v>
      </c>
      <c r="J73" s="50">
        <f t="shared" si="6"/>
        <v>6.2326201796450649</v>
      </c>
      <c r="K73" s="50">
        <f t="shared" si="7"/>
        <v>96.989997503670793</v>
      </c>
    </row>
    <row r="74" spans="2:13" ht="18" customHeight="1" outlineLevel="1" x14ac:dyDescent="0.2">
      <c r="B74" s="31" t="s">
        <v>48</v>
      </c>
      <c r="C74" s="23">
        <f t="shared" ref="C74:I74" si="9">C68-C69-C70-C71-C72-C73</f>
        <v>105984256319.25003</v>
      </c>
      <c r="D74" s="23">
        <f t="shared" si="9"/>
        <v>95644063602.250305</v>
      </c>
      <c r="E74" s="23">
        <f t="shared" si="9"/>
        <v>95754697725.08017</v>
      </c>
      <c r="F74" s="23">
        <f t="shared" si="9"/>
        <v>3544197934.7300005</v>
      </c>
      <c r="G74" s="23">
        <f t="shared" si="9"/>
        <v>10702049.539999999</v>
      </c>
      <c r="H74" s="23">
        <f t="shared" si="9"/>
        <v>30022044.330000002</v>
      </c>
      <c r="I74" s="71">
        <f t="shared" si="9"/>
        <v>196481336.59000006</v>
      </c>
      <c r="J74" s="50">
        <f t="shared" si="6"/>
        <v>24.845504879581181</v>
      </c>
      <c r="K74" s="50">
        <f t="shared" si="7"/>
        <v>90.243652145982352</v>
      </c>
    </row>
    <row r="75" spans="2:13" ht="18.75" customHeight="1" x14ac:dyDescent="0.2">
      <c r="B75" s="20" t="s">
        <v>15</v>
      </c>
      <c r="C75" s="27">
        <f>C6-C65</f>
        <v>-44559761450.52002</v>
      </c>
      <c r="D75" s="27">
        <f>D6-D65</f>
        <v>-22939915023.039978</v>
      </c>
      <c r="E75" s="29"/>
      <c r="F75" s="29"/>
      <c r="G75" s="14"/>
    </row>
    <row r="76" spans="2:13" ht="38.25" x14ac:dyDescent="0.2">
      <c r="B76" s="51" t="s">
        <v>104</v>
      </c>
      <c r="C76" s="52">
        <f>+C56-C68</f>
        <v>2358080990.3099365</v>
      </c>
      <c r="D76" s="52">
        <f>+D56-D68</f>
        <v>17143887274.079773</v>
      </c>
      <c r="E76" s="29"/>
      <c r="F76" s="29"/>
      <c r="G76" s="14"/>
    </row>
    <row r="77" spans="2:13" ht="12" customHeight="1" x14ac:dyDescent="0.2">
      <c r="B77" s="53"/>
      <c r="C77" s="54"/>
      <c r="D77" s="54"/>
      <c r="E77" s="54"/>
      <c r="F77" s="2"/>
      <c r="G77" s="2"/>
      <c r="H77" s="2"/>
      <c r="I77" s="2"/>
      <c r="L77" s="11"/>
      <c r="M77" s="11"/>
    </row>
    <row r="78" spans="2:13" ht="12" customHeight="1" x14ac:dyDescent="0.2">
      <c r="B78" s="90" t="s">
        <v>107</v>
      </c>
      <c r="C78" s="54"/>
      <c r="D78" s="54"/>
      <c r="E78" s="54"/>
      <c r="F78" s="2"/>
      <c r="G78" s="2"/>
      <c r="H78" s="2"/>
      <c r="I78" s="2"/>
      <c r="L78" s="11"/>
      <c r="M78" s="11"/>
    </row>
    <row r="79" spans="2:13" ht="27.95" customHeight="1" x14ac:dyDescent="0.2">
      <c r="B79" s="91" t="s">
        <v>73</v>
      </c>
      <c r="C79" s="63">
        <f>26697527346.4</f>
        <v>26697527346.400002</v>
      </c>
      <c r="D79" s="63">
        <f>24143821005.88</f>
        <v>24143821005.880001</v>
      </c>
      <c r="E79" s="63">
        <f>24162140778.63</f>
        <v>24162140778.630001</v>
      </c>
      <c r="F79" s="63">
        <f>149257399.51</f>
        <v>149257399.50999999</v>
      </c>
      <c r="G79" s="63">
        <f>3233.33</f>
        <v>3233.33</v>
      </c>
      <c r="H79" s="63">
        <f>772189.57</f>
        <v>772189.57</v>
      </c>
      <c r="I79" s="69">
        <f>75924675.57</f>
        <v>75924675.569999993</v>
      </c>
      <c r="J79" s="50">
        <f>IF($D$79=0,"",100*$D79/$D$79)</f>
        <v>100</v>
      </c>
      <c r="K79" s="50">
        <f>IF(C79=0,"",100*D79/C79)</f>
        <v>90.434670943920381</v>
      </c>
      <c r="L79" s="11"/>
    </row>
    <row r="80" spans="2:13" ht="20.100000000000001" customHeight="1" x14ac:dyDescent="0.2">
      <c r="B80" s="55" t="s">
        <v>76</v>
      </c>
      <c r="C80" s="65">
        <f>21490126518.43</f>
        <v>21490126518.43</v>
      </c>
      <c r="D80" s="65">
        <f>19578399664.98</f>
        <v>19578399664.98</v>
      </c>
      <c r="E80" s="65">
        <f>19594998946.93</f>
        <v>19594998946.93</v>
      </c>
      <c r="F80" s="65">
        <f>88320993.88</f>
        <v>88320993.879999995</v>
      </c>
      <c r="G80" s="65">
        <f>3233.33</f>
        <v>3233.33</v>
      </c>
      <c r="H80" s="65">
        <f>771989.57</f>
        <v>771989.57</v>
      </c>
      <c r="I80" s="74">
        <f>75686499.49</f>
        <v>75686499.489999995</v>
      </c>
      <c r="J80" s="50">
        <f>IF($D$79=0,"",100*$D80/$D$79)</f>
        <v>81.090725698355143</v>
      </c>
      <c r="K80" s="50">
        <f>IF(C80=0,"",100*D80/C80)</f>
        <v>91.104161942413427</v>
      </c>
      <c r="L80" s="11"/>
    </row>
    <row r="81" spans="2:13" ht="20.100000000000001" customHeight="1" x14ac:dyDescent="0.2">
      <c r="B81" s="55" t="s">
        <v>77</v>
      </c>
      <c r="C81" s="65">
        <f t="shared" ref="C81:I81" si="10">C79-C80</f>
        <v>5207400827.9700012</v>
      </c>
      <c r="D81" s="65">
        <f t="shared" si="10"/>
        <v>4565421340.9000015</v>
      </c>
      <c r="E81" s="65">
        <f t="shared" si="10"/>
        <v>4567141831.7000008</v>
      </c>
      <c r="F81" s="65">
        <f t="shared" si="10"/>
        <v>60936405.629999995</v>
      </c>
      <c r="G81" s="65">
        <f t="shared" si="10"/>
        <v>0</v>
      </c>
      <c r="H81" s="65">
        <f t="shared" si="10"/>
        <v>200</v>
      </c>
      <c r="I81" s="74">
        <f t="shared" si="10"/>
        <v>238176.07999999821</v>
      </c>
      <c r="J81" s="50">
        <f>IF($D$79=0,"",100*$D81/$D$79)</f>
        <v>18.909274301644864</v>
      </c>
      <c r="K81" s="50">
        <f>IF(C81=0,"",100*D81/C81)</f>
        <v>87.67178659223238</v>
      </c>
    </row>
    <row r="82" spans="2:13" ht="20.25" x14ac:dyDescent="0.2">
      <c r="B82" s="87" t="str">
        <f>CONCATENATE("Informacja z wykonania budżetów jednostek samorządu terytorialnego za ",$D$117," ",$C$118," roku")</f>
        <v>Informacja z wykonania budżetów jednostek samorządu terytorialnego za IV Kwartały 2023 roku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</row>
    <row r="83" spans="2:13" ht="18" customHeight="1" x14ac:dyDescent="0.2">
      <c r="B83" s="41" t="s">
        <v>16</v>
      </c>
      <c r="C83" s="73" t="s">
        <v>17</v>
      </c>
      <c r="D83" s="73" t="s">
        <v>1</v>
      </c>
      <c r="E83" s="97" t="s">
        <v>58</v>
      </c>
      <c r="F83" s="98"/>
      <c r="G83" s="98"/>
      <c r="H83" s="98"/>
      <c r="I83" s="99"/>
      <c r="J83" s="19" t="s">
        <v>26</v>
      </c>
      <c r="K83" s="19" t="s">
        <v>27</v>
      </c>
    </row>
    <row r="84" spans="2:13" x14ac:dyDescent="0.2">
      <c r="B84" s="41"/>
      <c r="C84" s="111" t="s">
        <v>78</v>
      </c>
      <c r="D84" s="112"/>
      <c r="E84" s="100"/>
      <c r="F84" s="101"/>
      <c r="G84" s="101"/>
      <c r="H84" s="101"/>
      <c r="I84" s="102"/>
      <c r="J84" s="115" t="s">
        <v>4</v>
      </c>
      <c r="K84" s="116"/>
    </row>
    <row r="85" spans="2:13" x14ac:dyDescent="0.2">
      <c r="B85" s="39">
        <v>1</v>
      </c>
      <c r="C85" s="73">
        <v>2</v>
      </c>
      <c r="D85" s="73">
        <v>3</v>
      </c>
      <c r="E85" s="103"/>
      <c r="F85" s="104"/>
      <c r="G85" s="104"/>
      <c r="H85" s="104"/>
      <c r="I85" s="105"/>
      <c r="J85" s="40">
        <v>4</v>
      </c>
      <c r="K85" s="40">
        <v>5</v>
      </c>
    </row>
    <row r="86" spans="2:13" ht="25.5" x14ac:dyDescent="0.2">
      <c r="B86" s="38" t="s">
        <v>64</v>
      </c>
      <c r="C86" s="43">
        <f>56728262710.43</f>
        <v>56728262710.43</v>
      </c>
      <c r="D86" s="43">
        <f>65904060651.78</f>
        <v>65904060651.779999</v>
      </c>
      <c r="E86" s="43" t="s">
        <v>58</v>
      </c>
      <c r="F86" s="43" t="s">
        <v>58</v>
      </c>
      <c r="G86" s="43" t="s">
        <v>58</v>
      </c>
      <c r="H86" s="43" t="s">
        <v>58</v>
      </c>
      <c r="I86" s="43" t="s">
        <v>58</v>
      </c>
      <c r="J86" s="42">
        <f>IF($D$86=0,"",100*$D86/$D$86)</f>
        <v>100</v>
      </c>
      <c r="K86" s="37">
        <f t="shared" ref="K86:K101" si="11">IF(C86=0,"",100*D86/C86)</f>
        <v>116.17500255241018</v>
      </c>
    </row>
    <row r="87" spans="2:13" ht="33.75" x14ac:dyDescent="0.2">
      <c r="B87" s="78" t="s">
        <v>108</v>
      </c>
      <c r="C87" s="44">
        <f>24777870401.38</f>
        <v>24777870401.380001</v>
      </c>
      <c r="D87" s="44">
        <f>21302540595.99</f>
        <v>21302540595.990002</v>
      </c>
      <c r="E87" s="43" t="s">
        <v>58</v>
      </c>
      <c r="F87" s="43" t="s">
        <v>58</v>
      </c>
      <c r="G87" s="43" t="s">
        <v>58</v>
      </c>
      <c r="H87" s="43" t="s">
        <v>58</v>
      </c>
      <c r="I87" s="43" t="s">
        <v>58</v>
      </c>
      <c r="J87" s="48">
        <f t="shared" ref="J87:J96" si="12">IF($D$86=0,"",100*$D87/$D$86)</f>
        <v>32.323563048029946</v>
      </c>
      <c r="K87" s="49">
        <f t="shared" si="11"/>
        <v>85.974057701115271</v>
      </c>
    </row>
    <row r="88" spans="2:13" ht="22.5" x14ac:dyDescent="0.2">
      <c r="B88" s="79" t="s">
        <v>87</v>
      </c>
      <c r="C88" s="67">
        <f>2005164885.44</f>
        <v>2005164885.4400001</v>
      </c>
      <c r="D88" s="67">
        <f>1935849000</f>
        <v>1935849000</v>
      </c>
      <c r="E88" s="43" t="s">
        <v>58</v>
      </c>
      <c r="F88" s="43" t="s">
        <v>58</v>
      </c>
      <c r="G88" s="43" t="s">
        <v>58</v>
      </c>
      <c r="H88" s="43" t="s">
        <v>58</v>
      </c>
      <c r="I88" s="43" t="s">
        <v>58</v>
      </c>
      <c r="J88" s="68">
        <f t="shared" si="12"/>
        <v>2.9373743906745369</v>
      </c>
      <c r="K88" s="66">
        <f t="shared" si="11"/>
        <v>96.543132889304019</v>
      </c>
    </row>
    <row r="89" spans="2:13" x14ac:dyDescent="0.2">
      <c r="B89" s="32" t="s">
        <v>88</v>
      </c>
      <c r="C89" s="67">
        <f>329644443.34</f>
        <v>329644443.33999997</v>
      </c>
      <c r="D89" s="67">
        <f>284640502.02</f>
        <v>284640502.01999998</v>
      </c>
      <c r="E89" s="43" t="s">
        <v>58</v>
      </c>
      <c r="F89" s="43" t="s">
        <v>58</v>
      </c>
      <c r="G89" s="43" t="s">
        <v>58</v>
      </c>
      <c r="H89" s="43" t="s">
        <v>58</v>
      </c>
      <c r="I89" s="43" t="s">
        <v>58</v>
      </c>
      <c r="J89" s="68">
        <f t="shared" si="12"/>
        <v>0.43190131109517932</v>
      </c>
      <c r="K89" s="66">
        <f t="shared" si="11"/>
        <v>86.347732464708258</v>
      </c>
    </row>
    <row r="90" spans="2:13" ht="48" customHeight="1" x14ac:dyDescent="0.2">
      <c r="B90" s="32" t="s">
        <v>97</v>
      </c>
      <c r="C90" s="67">
        <f>5722480776.62</f>
        <v>5722480776.6199999</v>
      </c>
      <c r="D90" s="67">
        <f>10819791470.63</f>
        <v>10819791470.629999</v>
      </c>
      <c r="E90" s="43" t="s">
        <v>58</v>
      </c>
      <c r="F90" s="43" t="s">
        <v>58</v>
      </c>
      <c r="G90" s="43" t="s">
        <v>58</v>
      </c>
      <c r="H90" s="43" t="s">
        <v>58</v>
      </c>
      <c r="I90" s="43" t="s">
        <v>58</v>
      </c>
      <c r="J90" s="68">
        <f t="shared" si="12"/>
        <v>16.417488336263492</v>
      </c>
      <c r="K90" s="66">
        <f t="shared" si="11"/>
        <v>189.07519121489719</v>
      </c>
    </row>
    <row r="91" spans="2:13" ht="33.75" x14ac:dyDescent="0.2">
      <c r="B91" s="32" t="s">
        <v>98</v>
      </c>
      <c r="C91" s="67">
        <f>5780840665.91</f>
        <v>5780840665.9099998</v>
      </c>
      <c r="D91" s="67">
        <f>6948141746.7</f>
        <v>6948141746.6999998</v>
      </c>
      <c r="E91" s="43" t="s">
        <v>58</v>
      </c>
      <c r="F91" s="43" t="s">
        <v>58</v>
      </c>
      <c r="G91" s="43" t="s">
        <v>58</v>
      </c>
      <c r="H91" s="43" t="s">
        <v>58</v>
      </c>
      <c r="I91" s="43" t="s">
        <v>58</v>
      </c>
      <c r="J91" s="68">
        <f t="shared" si="12"/>
        <v>10.542812806956134</v>
      </c>
      <c r="K91" s="66">
        <f t="shared" si="11"/>
        <v>120.19258354020467</v>
      </c>
    </row>
    <row r="92" spans="2:13" x14ac:dyDescent="0.2">
      <c r="B92" s="32" t="s">
        <v>89</v>
      </c>
      <c r="C92" s="67">
        <f>22960000</f>
        <v>22960000</v>
      </c>
      <c r="D92" s="67">
        <f>21206328</f>
        <v>21206328</v>
      </c>
      <c r="E92" s="43" t="s">
        <v>58</v>
      </c>
      <c r="F92" s="43" t="s">
        <v>58</v>
      </c>
      <c r="G92" s="43" t="s">
        <v>58</v>
      </c>
      <c r="H92" s="43" t="s">
        <v>58</v>
      </c>
      <c r="I92" s="43" t="s">
        <v>58</v>
      </c>
      <c r="J92" s="68">
        <f t="shared" si="12"/>
        <v>3.217757417414497E-2</v>
      </c>
      <c r="K92" s="66">
        <f t="shared" si="11"/>
        <v>92.362055749128913</v>
      </c>
    </row>
    <row r="93" spans="2:13" ht="33.75" x14ac:dyDescent="0.2">
      <c r="B93" s="32" t="s">
        <v>90</v>
      </c>
      <c r="C93" s="67">
        <f>16678772058.56</f>
        <v>16678772058.559999</v>
      </c>
      <c r="D93" s="67">
        <f>22954231002.21</f>
        <v>22954231002.209999</v>
      </c>
      <c r="E93" s="43" t="s">
        <v>58</v>
      </c>
      <c r="F93" s="43" t="s">
        <v>58</v>
      </c>
      <c r="G93" s="43" t="s">
        <v>58</v>
      </c>
      <c r="H93" s="43" t="s">
        <v>58</v>
      </c>
      <c r="I93" s="43" t="s">
        <v>58</v>
      </c>
      <c r="J93" s="68">
        <f t="shared" si="12"/>
        <v>34.829767354540131</v>
      </c>
      <c r="K93" s="66">
        <f t="shared" si="11"/>
        <v>137.62542543070049</v>
      </c>
    </row>
    <row r="94" spans="2:13" ht="56.25" x14ac:dyDescent="0.2">
      <c r="B94" s="32" t="s">
        <v>109</v>
      </c>
      <c r="C94" s="67">
        <f>0</f>
        <v>0</v>
      </c>
      <c r="D94" s="67">
        <f>8030838.81</f>
        <v>8030838.8099999996</v>
      </c>
      <c r="E94" s="43"/>
      <c r="F94" s="43"/>
      <c r="G94" s="43"/>
      <c r="H94" s="43"/>
      <c r="I94" s="43"/>
      <c r="J94" s="68">
        <f>IF($D$86=0,"",100*$D94/$D$86)</f>
        <v>1.2185650975943461E-2</v>
      </c>
      <c r="K94" s="66" t="str">
        <f>IF(C94=0,"",100*D94/C94)</f>
        <v/>
      </c>
    </row>
    <row r="95" spans="2:13" x14ac:dyDescent="0.2">
      <c r="B95" s="32" t="s">
        <v>110</v>
      </c>
      <c r="C95" s="67">
        <f>3415694364.62</f>
        <v>3415694364.6199999</v>
      </c>
      <c r="D95" s="67">
        <f>3565478167.42</f>
        <v>3565478167.4200001</v>
      </c>
      <c r="E95" s="43"/>
      <c r="F95" s="43"/>
      <c r="G95" s="43"/>
      <c r="H95" s="43"/>
      <c r="I95" s="43"/>
      <c r="J95" s="48">
        <f t="shared" si="12"/>
        <v>5.4101039179650305</v>
      </c>
      <c r="K95" s="49">
        <f>IF(C95=0,"",100*D95/C95)</f>
        <v>104.38516409288464</v>
      </c>
    </row>
    <row r="96" spans="2:13" ht="22.5" x14ac:dyDescent="0.2">
      <c r="B96" s="79" t="s">
        <v>111</v>
      </c>
      <c r="C96" s="67">
        <f>3078892417.46</f>
        <v>3078892417.46</v>
      </c>
      <c r="D96" s="67">
        <f>3088218238.99</f>
        <v>3088218238.9899998</v>
      </c>
      <c r="E96" s="43" t="s">
        <v>58</v>
      </c>
      <c r="F96" s="43" t="s">
        <v>58</v>
      </c>
      <c r="G96" s="43" t="s">
        <v>58</v>
      </c>
      <c r="H96" s="43" t="s">
        <v>58</v>
      </c>
      <c r="I96" s="43" t="s">
        <v>58</v>
      </c>
      <c r="J96" s="68">
        <f t="shared" si="12"/>
        <v>4.6859301360918346</v>
      </c>
      <c r="K96" s="66">
        <f>IF(C96=0,"",100*D96/C96)</f>
        <v>100.30289533590438</v>
      </c>
    </row>
    <row r="97" spans="2:11" ht="25.5" x14ac:dyDescent="0.2">
      <c r="B97" s="38" t="s">
        <v>65</v>
      </c>
      <c r="C97" s="26">
        <f>11813356105.91</f>
        <v>11813356105.91</v>
      </c>
      <c r="D97" s="26">
        <f>11498701299.79</f>
        <v>11498701299.790001</v>
      </c>
      <c r="E97" s="43" t="s">
        <v>58</v>
      </c>
      <c r="F97" s="43" t="s">
        <v>58</v>
      </c>
      <c r="G97" s="43" t="s">
        <v>58</v>
      </c>
      <c r="H97" s="43" t="s">
        <v>58</v>
      </c>
      <c r="I97" s="43" t="s">
        <v>58</v>
      </c>
      <c r="J97" s="42">
        <f t="shared" ref="J97:J102" si="13">IF($D$97=0,"",100*$D97/$D$97)</f>
        <v>99.999999999999986</v>
      </c>
      <c r="K97" s="37">
        <f t="shared" si="11"/>
        <v>97.336448649316651</v>
      </c>
    </row>
    <row r="98" spans="2:11" ht="22.5" x14ac:dyDescent="0.2">
      <c r="B98" s="78" t="s">
        <v>91</v>
      </c>
      <c r="C98" s="67">
        <f>9066337892.77</f>
        <v>9066337892.7700005</v>
      </c>
      <c r="D98" s="67">
        <f>8992876385</f>
        <v>8992876385</v>
      </c>
      <c r="E98" s="43" t="s">
        <v>58</v>
      </c>
      <c r="F98" s="43" t="s">
        <v>58</v>
      </c>
      <c r="G98" s="43" t="s">
        <v>58</v>
      </c>
      <c r="H98" s="43" t="s">
        <v>58</v>
      </c>
      <c r="I98" s="43" t="s">
        <v>58</v>
      </c>
      <c r="J98" s="48">
        <f t="shared" si="13"/>
        <v>78.207757124400089</v>
      </c>
      <c r="K98" s="49">
        <f t="shared" si="11"/>
        <v>99.189733400201391</v>
      </c>
    </row>
    <row r="99" spans="2:11" x14ac:dyDescent="0.2">
      <c r="B99" s="79" t="s">
        <v>92</v>
      </c>
      <c r="C99" s="67">
        <f>365839217.78</f>
        <v>365839217.77999997</v>
      </c>
      <c r="D99" s="67">
        <f>354039217.78</f>
        <v>354039217.77999997</v>
      </c>
      <c r="E99" s="43" t="s">
        <v>58</v>
      </c>
      <c r="F99" s="43" t="s">
        <v>58</v>
      </c>
      <c r="G99" s="43" t="s">
        <v>58</v>
      </c>
      <c r="H99" s="43" t="s">
        <v>58</v>
      </c>
      <c r="I99" s="43" t="s">
        <v>58</v>
      </c>
      <c r="J99" s="68">
        <f t="shared" si="13"/>
        <v>3.0789496009124591</v>
      </c>
      <c r="K99" s="66">
        <f t="shared" si="11"/>
        <v>96.774539353215005</v>
      </c>
    </row>
    <row r="100" spans="2:11" x14ac:dyDescent="0.2">
      <c r="B100" s="32" t="s">
        <v>99</v>
      </c>
      <c r="C100" s="67">
        <f>524778934.48</f>
        <v>524778934.48000002</v>
      </c>
      <c r="D100" s="67">
        <f>512114768.82</f>
        <v>512114768.81999999</v>
      </c>
      <c r="E100" s="43" t="s">
        <v>58</v>
      </c>
      <c r="F100" s="43" t="s">
        <v>58</v>
      </c>
      <c r="G100" s="43" t="s">
        <v>58</v>
      </c>
      <c r="H100" s="43" t="s">
        <v>58</v>
      </c>
      <c r="I100" s="43" t="s">
        <v>58</v>
      </c>
      <c r="J100" s="68">
        <f t="shared" si="13"/>
        <v>4.4536748583020644</v>
      </c>
      <c r="K100" s="66">
        <f t="shared" si="11"/>
        <v>97.586761809989795</v>
      </c>
    </row>
    <row r="101" spans="2:11" x14ac:dyDescent="0.2">
      <c r="B101" s="80" t="s">
        <v>112</v>
      </c>
      <c r="C101" s="67">
        <f>2222239278.66</f>
        <v>2222239278.6599998</v>
      </c>
      <c r="D101" s="67">
        <f>1993710145.97</f>
        <v>1993710145.97</v>
      </c>
      <c r="E101" s="43" t="s">
        <v>58</v>
      </c>
      <c r="F101" s="43" t="s">
        <v>58</v>
      </c>
      <c r="G101" s="43" t="s">
        <v>58</v>
      </c>
      <c r="H101" s="43" t="s">
        <v>58</v>
      </c>
      <c r="I101" s="43" t="s">
        <v>58</v>
      </c>
      <c r="J101" s="48">
        <f t="shared" si="13"/>
        <v>17.338568017297838</v>
      </c>
      <c r="K101" s="49">
        <f t="shared" si="11"/>
        <v>89.716267960676049</v>
      </c>
    </row>
    <row r="102" spans="2:11" ht="22.5" x14ac:dyDescent="0.2">
      <c r="B102" s="93" t="s">
        <v>113</v>
      </c>
      <c r="C102" s="67">
        <f>1213986256.19</f>
        <v>1213986256.1900001</v>
      </c>
      <c r="D102" s="67">
        <f>992339647.62</f>
        <v>992339647.62</v>
      </c>
      <c r="E102" s="43" t="s">
        <v>58</v>
      </c>
      <c r="F102" s="43" t="s">
        <v>58</v>
      </c>
      <c r="G102" s="43" t="s">
        <v>58</v>
      </c>
      <c r="H102" s="43" t="s">
        <v>58</v>
      </c>
      <c r="I102" s="43" t="s">
        <v>58</v>
      </c>
      <c r="J102" s="48">
        <f t="shared" si="13"/>
        <v>8.630015005591309</v>
      </c>
      <c r="K102" s="49">
        <f>IF(C102=0,"",100*D102/C102)</f>
        <v>81.742247291528614</v>
      </c>
    </row>
    <row r="104" spans="2:11" ht="18" customHeight="1" x14ac:dyDescent="0.2">
      <c r="B104" s="41" t="s">
        <v>16</v>
      </c>
      <c r="C104" s="73" t="s">
        <v>17</v>
      </c>
      <c r="D104" s="19" t="s">
        <v>1</v>
      </c>
    </row>
    <row r="105" spans="2:11" x14ac:dyDescent="0.2">
      <c r="B105" s="41"/>
      <c r="C105" s="111" t="s">
        <v>78</v>
      </c>
      <c r="D105" s="112"/>
    </row>
    <row r="106" spans="2:11" x14ac:dyDescent="0.2">
      <c r="B106" s="39">
        <v>1</v>
      </c>
      <c r="C106" s="73">
        <v>2</v>
      </c>
      <c r="D106" s="19">
        <v>3</v>
      </c>
    </row>
    <row r="107" spans="2:11" ht="33.75" x14ac:dyDescent="0.2">
      <c r="B107" s="47" t="s">
        <v>114</v>
      </c>
      <c r="C107" s="45">
        <f>44968806680.17</f>
        <v>44968806680.169998</v>
      </c>
      <c r="D107" s="28">
        <f>25861332476.22</f>
        <v>25861332476.220001</v>
      </c>
    </row>
    <row r="108" spans="2:11" ht="33.75" x14ac:dyDescent="0.2">
      <c r="B108" s="86" t="s">
        <v>80</v>
      </c>
      <c r="C108" s="46">
        <f>1556762208.98</f>
        <v>1556762208.98</v>
      </c>
      <c r="D108" s="75">
        <f>1185172297.87</f>
        <v>1185172297.8699999</v>
      </c>
    </row>
    <row r="109" spans="2:11" x14ac:dyDescent="0.2">
      <c r="B109" s="86" t="s">
        <v>81</v>
      </c>
      <c r="C109" s="46">
        <f>18194287724.69</f>
        <v>18194287724.689999</v>
      </c>
      <c r="D109" s="75">
        <f>12028875088.97</f>
        <v>12028875088.969999</v>
      </c>
    </row>
    <row r="110" spans="2:11" ht="22.5" x14ac:dyDescent="0.2">
      <c r="B110" s="86" t="s">
        <v>82</v>
      </c>
      <c r="C110" s="46">
        <f>22960000</f>
        <v>22960000</v>
      </c>
      <c r="D110" s="75">
        <f>21206328</f>
        <v>21206328</v>
      </c>
    </row>
    <row r="111" spans="2:11" ht="56.25" x14ac:dyDescent="0.2">
      <c r="B111" s="86" t="s">
        <v>100</v>
      </c>
      <c r="C111" s="46">
        <f>4580179042.66</f>
        <v>4580179042.6599998</v>
      </c>
      <c r="D111" s="75">
        <f>1806944759.67</f>
        <v>1806944759.6700001</v>
      </c>
    </row>
    <row r="112" spans="2:11" ht="78.75" x14ac:dyDescent="0.2">
      <c r="B112" s="86" t="s">
        <v>83</v>
      </c>
      <c r="C112" s="46">
        <f>12371884178.26</f>
        <v>12371884178.26</v>
      </c>
      <c r="D112" s="75">
        <f>4853150693.85</f>
        <v>4853150693.8500004</v>
      </c>
    </row>
    <row r="113" spans="2:4" ht="146.25" x14ac:dyDescent="0.2">
      <c r="B113" s="86" t="s">
        <v>102</v>
      </c>
      <c r="C113" s="46">
        <f>5357682894.21</f>
        <v>5357682894.21</v>
      </c>
      <c r="D113" s="75">
        <f>3725623595.84</f>
        <v>3725623595.8400002</v>
      </c>
    </row>
    <row r="114" spans="2:4" ht="22.5" x14ac:dyDescent="0.2">
      <c r="B114" s="86" t="s">
        <v>95</v>
      </c>
      <c r="C114" s="46">
        <f>106724684.3</f>
        <v>106724684.3</v>
      </c>
      <c r="D114" s="75">
        <f>59327813.66</f>
        <v>59327813.659999996</v>
      </c>
    </row>
    <row r="115" spans="2:4" ht="22.5" x14ac:dyDescent="0.2">
      <c r="B115" s="86" t="s">
        <v>111</v>
      </c>
      <c r="C115" s="46">
        <f>2778325947.07</f>
        <v>2778325947.0700002</v>
      </c>
      <c r="D115" s="75">
        <f>2181031898.36</f>
        <v>2181031898.3600001</v>
      </c>
    </row>
    <row r="117" spans="2:4" x14ac:dyDescent="0.2">
      <c r="B117" s="33" t="s">
        <v>66</v>
      </c>
      <c r="C117" s="33">
        <f>4</f>
        <v>4</v>
      </c>
      <c r="D117" s="33" t="str">
        <f>IF(C117=1,"I Kwartał",IF(C117=2,"II Kwartały",IF(C117=3,"III Kwartały",IF(C117=4,"IV Kwartały",IF(C117="M1","Styczeń",IF(C117="M11","Listopad",IF(C117="M12","Grudzień","-")))))))</f>
        <v>IV Kwartały</v>
      </c>
    </row>
    <row r="118" spans="2:4" x14ac:dyDescent="0.2">
      <c r="B118" s="33" t="s">
        <v>67</v>
      </c>
      <c r="C118" s="89">
        <f>2023</f>
        <v>2023</v>
      </c>
    </row>
    <row r="119" spans="2:4" x14ac:dyDescent="0.2">
      <c r="B119" s="33" t="s">
        <v>68</v>
      </c>
      <c r="C119" s="113" t="str">
        <f>"Mar 15 2024 12:00AM"</f>
        <v>Mar 15 2024 12:00AM</v>
      </c>
      <c r="D119" s="114"/>
    </row>
  </sheetData>
  <mergeCells count="20">
    <mergeCell ref="C119:D119"/>
    <mergeCell ref="C105:D105"/>
    <mergeCell ref="J84:K84"/>
    <mergeCell ref="J63:K63"/>
    <mergeCell ref="K60:K62"/>
    <mergeCell ref="I60:I62"/>
    <mergeCell ref="J60:J62"/>
    <mergeCell ref="F60:H60"/>
    <mergeCell ref="C60:C62"/>
    <mergeCell ref="G61:H61"/>
    <mergeCell ref="E83:I85"/>
    <mergeCell ref="B3:B4"/>
    <mergeCell ref="J4:L4"/>
    <mergeCell ref="B60:B63"/>
    <mergeCell ref="C4:I4"/>
    <mergeCell ref="D60:D62"/>
    <mergeCell ref="E60:E62"/>
    <mergeCell ref="C63:H63"/>
    <mergeCell ref="C84:D84"/>
    <mergeCell ref="F61:F62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55" orientation="landscape" useFirstPageNumber="1" r:id="rId1"/>
  <headerFooter alignWithMargins="0">
    <oddFooter>&amp;RStrona &amp;P z &amp;N</oddFooter>
  </headerFooter>
  <rowBreaks count="3" manualBreakCount="3">
    <brk id="21" max="16383" man="1"/>
    <brk id="57" max="16383" man="1"/>
    <brk id="8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2018-03-19T09:12:59Z</cp:lastPrinted>
  <dcterms:created xsi:type="dcterms:W3CDTF">2001-05-17T08:58:03Z</dcterms:created>
  <dcterms:modified xsi:type="dcterms:W3CDTF">2024-03-27T09:01:50Z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2024-03-27T10:01:32.7303461+01:00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GRN-ba58a915-5824-4544-854d-460cdde3d80a</vt:lpwstr>
  </property>
  <property fmtid="{D5CDD505-2E9C-101B-9397-08002B2CF9AE}" pid="7" name="MFHash">
    <vt:lpwstr>kmyCNc94qbZIffDAPSreSh8pA1tq6OAIMZZIwG4Qyno=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