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0D2CE853-4054-466F-AE81-290DA4681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30" i="7"/>
  <c r="A1" i="7" l="1"/>
  <c r="A86" i="7"/>
  <c r="A67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<sst xmlns="http://schemas.openxmlformats.org/spreadsheetml/2006/main" count="93" uniqueCount="79">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</sst>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III Kwartały 2024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101491413988.76</f>
        <v>101491413988.75999</v>
      </c>
      <c r="C13" s="21">
        <f>76478147573.45</f>
        <v>76478147573.449997</v>
      </c>
      <c r="D13" s="21">
        <f>3258062264.47</f>
        <v>3258062264.4699998</v>
      </c>
      <c r="E13" s="21">
        <f>644015144.22</f>
        <v>644015144.22000003</v>
      </c>
      <c r="F13" s="21">
        <f>673475210.59</f>
        <v>673475210.59000003</v>
      </c>
      <c r="G13" s="21">
        <f>1937443014.89</f>
        <v>1937443014.8900001</v>
      </c>
      <c r="H13" s="21">
        <f>3128894.77</f>
        <v>3128894.77</v>
      </c>
      <c r="I13" s="21">
        <f>0</f>
        <v>0</v>
      </c>
      <c r="J13" s="21">
        <f>68528174415.14</f>
        <v>68528174415.139999</v>
      </c>
      <c r="K13" s="21">
        <f>3347664710.77</f>
        <v>3347664710.77</v>
      </c>
      <c r="L13" s="21">
        <f>1293020048.24</f>
        <v>1293020048.24</v>
      </c>
      <c r="M13" s="21">
        <f>29604679.43</f>
        <v>29604679.43</v>
      </c>
      <c r="N13" s="21">
        <f>21621455.4</f>
        <v>21621455.399999999</v>
      </c>
      <c r="O13" s="21">
        <f>25013266415.31</f>
        <v>25013266415.310001</v>
      </c>
      <c r="P13" s="21">
        <f>22855758794.68</f>
        <v>22855758794.68</v>
      </c>
      <c r="Q13" s="21">
        <f>2157507620.63</f>
        <v>2157507620.6300001</v>
      </c>
    </row>
    <row r="14" spans="1:17" ht="41.25" customHeight="1" x14ac:dyDescent="0.2">
      <c r="A14" s="19" t="s">
        <v>75</v>
      </c>
      <c r="B14" s="21">
        <f>7455253000</f>
        <v>7455253000</v>
      </c>
      <c r="C14" s="21">
        <f>7455253000</f>
        <v>7455253000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7263203000</f>
        <v>7263203000</v>
      </c>
      <c r="K14" s="21">
        <f>192050000</f>
        <v>192050000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7455253000</f>
        <v>7455253000</v>
      </c>
      <c r="C16" s="22">
        <f>7455253000</f>
        <v>7455253000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7263203000</f>
        <v>7263203000</v>
      </c>
      <c r="K16" s="22">
        <f>192050000</f>
        <v>192050000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93910737842.39</f>
        <v>93910737842.389999</v>
      </c>
      <c r="C17" s="21">
        <f>68897472446.39</f>
        <v>68897472446.389999</v>
      </c>
      <c r="D17" s="21">
        <f>3223929282.81</f>
        <v>3223929282.8099999</v>
      </c>
      <c r="E17" s="21">
        <f>638545992.35</f>
        <v>638545992.35000002</v>
      </c>
      <c r="F17" s="21">
        <f>673435861.59</f>
        <v>673435861.59000003</v>
      </c>
      <c r="G17" s="21">
        <f>1911947428.87</f>
        <v>1911947428.8699999</v>
      </c>
      <c r="H17" s="21">
        <f>0</f>
        <v>0</v>
      </c>
      <c r="I17" s="21">
        <f>0</f>
        <v>0</v>
      </c>
      <c r="J17" s="21">
        <f>61264744955.13</f>
        <v>61264744955.129997</v>
      </c>
      <c r="K17" s="21">
        <f>3154623252.84</f>
        <v>3154623252.8400002</v>
      </c>
      <c r="L17" s="21">
        <f>1233989822.54</f>
        <v>1233989822.54</v>
      </c>
      <c r="M17" s="21">
        <f>4372656.32</f>
        <v>4372656.32</v>
      </c>
      <c r="N17" s="21">
        <f>15812476.75</f>
        <v>15812476.75</v>
      </c>
      <c r="O17" s="21">
        <f>25013265396</f>
        <v>25013265396</v>
      </c>
      <c r="P17" s="21">
        <f>22855758794.68</f>
        <v>22855758794.68</v>
      </c>
      <c r="Q17" s="21">
        <f>2157506601.32</f>
        <v>2157506601.3200002</v>
      </c>
    </row>
    <row r="18" spans="1:17" ht="22.5" x14ac:dyDescent="0.2">
      <c r="A18" s="16" t="s">
        <v>48</v>
      </c>
      <c r="B18" s="22">
        <f>1048145509.02</f>
        <v>1048145509.02</v>
      </c>
      <c r="C18" s="22">
        <f>1048145509.02</f>
        <v>1048145509.02</v>
      </c>
      <c r="D18" s="22">
        <f>65148332.62</f>
        <v>65148332.619999997</v>
      </c>
      <c r="E18" s="22">
        <f>53780916.23</f>
        <v>53780916.229999997</v>
      </c>
      <c r="F18" s="22">
        <f>485267</f>
        <v>485267</v>
      </c>
      <c r="G18" s="22">
        <f>10882149.39</f>
        <v>10882149.390000001</v>
      </c>
      <c r="H18" s="22">
        <f>0</f>
        <v>0</v>
      </c>
      <c r="I18" s="22">
        <f>0</f>
        <v>0</v>
      </c>
      <c r="J18" s="22">
        <f>881964812.01</f>
        <v>881964812.00999999</v>
      </c>
      <c r="K18" s="22">
        <f>91213609</f>
        <v>91213609</v>
      </c>
      <c r="L18" s="22">
        <f>8778755.39</f>
        <v>8778755.3900000006</v>
      </c>
      <c r="M18" s="22">
        <f>1040000</f>
        <v>1040000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92862592333.37</f>
        <v>92862592333.369995</v>
      </c>
      <c r="C19" s="22">
        <f>67849326937.37</f>
        <v>67849326937.370003</v>
      </c>
      <c r="D19" s="22">
        <f>3158780950.19</f>
        <v>3158780950.1900001</v>
      </c>
      <c r="E19" s="22">
        <f>584765076.12</f>
        <v>584765076.12</v>
      </c>
      <c r="F19" s="22">
        <f>672950594.59</f>
        <v>672950594.59000003</v>
      </c>
      <c r="G19" s="22">
        <f>1901065279.48</f>
        <v>1901065279.48</v>
      </c>
      <c r="H19" s="22">
        <f>0</f>
        <v>0</v>
      </c>
      <c r="I19" s="22">
        <f>0</f>
        <v>0</v>
      </c>
      <c r="J19" s="22">
        <f>60382780143.12</f>
        <v>60382780143.120003</v>
      </c>
      <c r="K19" s="22">
        <f>3063409643.84</f>
        <v>3063409643.8400002</v>
      </c>
      <c r="L19" s="22">
        <f>1225211067.15</f>
        <v>1225211067.1500001</v>
      </c>
      <c r="M19" s="22">
        <f>3332656.32</f>
        <v>3332656.32</v>
      </c>
      <c r="N19" s="22">
        <f>15812476.75</f>
        <v>15812476.75</v>
      </c>
      <c r="O19" s="22">
        <f>25013265396</f>
        <v>25013265396</v>
      </c>
      <c r="P19" s="22">
        <f>22855758794.68</f>
        <v>22855758794.68</v>
      </c>
      <c r="Q19" s="22">
        <f>2157506601.32</f>
        <v>2157506601.3200002</v>
      </c>
    </row>
    <row r="20" spans="1:17" ht="24.75" customHeight="1" x14ac:dyDescent="0.2">
      <c r="A20" s="26" t="s">
        <v>50</v>
      </c>
      <c r="B20" s="27">
        <f>1500000</f>
        <v>1500000</v>
      </c>
      <c r="C20" s="27">
        <f>1500000</f>
        <v>1500000</v>
      </c>
      <c r="D20" s="27">
        <f>1500000</f>
        <v>1500000</v>
      </c>
      <c r="E20" s="27">
        <f>0</f>
        <v>0</v>
      </c>
      <c r="F20" s="27">
        <f>0</f>
        <v>0</v>
      </c>
      <c r="G20" s="27">
        <f>1500000</f>
        <v>1500000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123923146.37</f>
        <v>123923146.37</v>
      </c>
      <c r="C21" s="21">
        <f>123922127.06</f>
        <v>123922127.06</v>
      </c>
      <c r="D21" s="21">
        <f>32632981.66</f>
        <v>32632981.66</v>
      </c>
      <c r="E21" s="21">
        <f>5469151.87</f>
        <v>5469151.8700000001</v>
      </c>
      <c r="F21" s="21">
        <f>39349</f>
        <v>39349</v>
      </c>
      <c r="G21" s="21">
        <f>23995586.02</f>
        <v>23995586.02</v>
      </c>
      <c r="H21" s="21">
        <f>3128894.77</f>
        <v>3128894.77</v>
      </c>
      <c r="I21" s="21">
        <f>0</f>
        <v>0</v>
      </c>
      <c r="J21" s="21">
        <f>226460.01</f>
        <v>226460.01</v>
      </c>
      <c r="K21" s="21">
        <f>991457.93</f>
        <v>991457.93</v>
      </c>
      <c r="L21" s="21">
        <f>59030225.7</f>
        <v>59030225.700000003</v>
      </c>
      <c r="M21" s="21">
        <f>25232023.11</f>
        <v>25232023.109999999</v>
      </c>
      <c r="N21" s="21">
        <f>5808978.65</f>
        <v>5808978.6500000004</v>
      </c>
      <c r="O21" s="21">
        <f>1019.31</f>
        <v>1019.31</v>
      </c>
      <c r="P21" s="21">
        <f>0</f>
        <v>0</v>
      </c>
      <c r="Q21" s="21">
        <f>1019.31</f>
        <v>1019.31</v>
      </c>
    </row>
    <row r="22" spans="1:17" ht="33" customHeight="1" x14ac:dyDescent="0.2">
      <c r="A22" s="17" t="s">
        <v>51</v>
      </c>
      <c r="B22" s="22">
        <f>78352912.77</f>
        <v>78352912.769999996</v>
      </c>
      <c r="C22" s="22">
        <f>78352912.77</f>
        <v>78352912.769999996</v>
      </c>
      <c r="D22" s="22">
        <f>8972878</f>
        <v>8972878</v>
      </c>
      <c r="E22" s="22">
        <f>155.48</f>
        <v>155.47999999999999</v>
      </c>
      <c r="F22" s="22">
        <f>1431</f>
        <v>1431</v>
      </c>
      <c r="G22" s="22">
        <f>8971291.52</f>
        <v>8971291.5199999996</v>
      </c>
      <c r="H22" s="22">
        <f>0</f>
        <v>0</v>
      </c>
      <c r="I22" s="22">
        <f>0</f>
        <v>0</v>
      </c>
      <c r="J22" s="22">
        <f>226460</f>
        <v>226460</v>
      </c>
      <c r="K22" s="22">
        <f>991353.92</f>
        <v>991353.92</v>
      </c>
      <c r="L22" s="22">
        <f>44935194.7</f>
        <v>44935194.700000003</v>
      </c>
      <c r="M22" s="22">
        <f>17978939.76</f>
        <v>17978939.760000002</v>
      </c>
      <c r="N22" s="22">
        <f>5248086.39</f>
        <v>5248086.3899999997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45570233.6</f>
        <v>45570233.600000001</v>
      </c>
      <c r="C23" s="22">
        <f>45569214.29</f>
        <v>45569214.289999999</v>
      </c>
      <c r="D23" s="22">
        <f>23660103.66</f>
        <v>23660103.66</v>
      </c>
      <c r="E23" s="22">
        <f>5468996.39</f>
        <v>5468996.3899999997</v>
      </c>
      <c r="F23" s="22">
        <f>37918</f>
        <v>37918</v>
      </c>
      <c r="G23" s="22">
        <f>15024294.5</f>
        <v>15024294.5</v>
      </c>
      <c r="H23" s="22">
        <f>3128894.77</f>
        <v>3128894.77</v>
      </c>
      <c r="I23" s="22">
        <f>0</f>
        <v>0</v>
      </c>
      <c r="J23" s="22">
        <f>0.01</f>
        <v>0.01</v>
      </c>
      <c r="K23" s="22">
        <f>104.01</f>
        <v>104.01</v>
      </c>
      <c r="L23" s="22">
        <f>14095031</f>
        <v>14095031</v>
      </c>
      <c r="M23" s="22">
        <f>7253083.35</f>
        <v>7253083.3499999996</v>
      </c>
      <c r="N23" s="22">
        <f>560892.26</f>
        <v>560892.26</v>
      </c>
      <c r="O23" s="22">
        <f>1019.31</f>
        <v>1019.31</v>
      </c>
      <c r="P23" s="22">
        <f>0</f>
        <v>0</v>
      </c>
      <c r="Q23" s="22">
        <f>1019.31</f>
        <v>1019.31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III Kwartały 2024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4825415.18</f>
        <v>4825415.18</v>
      </c>
      <c r="C40" s="23">
        <f>4825415.18</f>
        <v>4825415.18</v>
      </c>
      <c r="D40" s="23">
        <f>67785.12</f>
        <v>67785.119999999995</v>
      </c>
      <c r="E40" s="23">
        <f>67425.64</f>
        <v>67425.64</v>
      </c>
      <c r="F40" s="23">
        <f>0</f>
        <v>0</v>
      </c>
      <c r="G40" s="23">
        <f>359.48</f>
        <v>359.48</v>
      </c>
      <c r="H40" s="23">
        <f>0</f>
        <v>0</v>
      </c>
      <c r="I40" s="23">
        <f>0</f>
        <v>0</v>
      </c>
      <c r="J40" s="23">
        <f>243750.25</f>
        <v>243750.25</v>
      </c>
      <c r="K40" s="23">
        <f>6125</f>
        <v>6125</v>
      </c>
      <c r="L40" s="23">
        <f>3167817.09</f>
        <v>3167817.09</v>
      </c>
      <c r="M40" s="23">
        <f>899937.72</f>
        <v>899937.72</v>
      </c>
      <c r="N40" s="23">
        <f>440000</f>
        <v>440000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1087431.21</f>
        <v>1087431.21</v>
      </c>
      <c r="C41" s="24">
        <f>1087431.21</f>
        <v>1087431.21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6000</f>
        <v>6000</v>
      </c>
      <c r="K41" s="24">
        <f>0</f>
        <v>0</v>
      </c>
      <c r="L41" s="24">
        <f>635479.48</f>
        <v>635479.48</v>
      </c>
      <c r="M41" s="24">
        <f>5951.73</f>
        <v>5951.73</v>
      </c>
      <c r="N41" s="24">
        <f>440000</f>
        <v>440000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3737983.97</f>
        <v>3737983.97</v>
      </c>
      <c r="C42" s="24">
        <f>3737983.97</f>
        <v>3737983.97</v>
      </c>
      <c r="D42" s="24">
        <f>67785.12</f>
        <v>67785.119999999995</v>
      </c>
      <c r="E42" s="24">
        <f>67425.64</f>
        <v>67425.64</v>
      </c>
      <c r="F42" s="24">
        <f>0</f>
        <v>0</v>
      </c>
      <c r="G42" s="24">
        <f>359.48</f>
        <v>359.48</v>
      </c>
      <c r="H42" s="24">
        <f>0</f>
        <v>0</v>
      </c>
      <c r="I42" s="24">
        <f>0</f>
        <v>0</v>
      </c>
      <c r="J42" s="24">
        <f>237750.25</f>
        <v>237750.25</v>
      </c>
      <c r="K42" s="24">
        <f>6125</f>
        <v>6125</v>
      </c>
      <c r="L42" s="24">
        <f>2532337.61</f>
        <v>2532337.61</v>
      </c>
      <c r="M42" s="24">
        <f>893985.99</f>
        <v>893985.99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1608815549.78</f>
        <v>1608815549.78</v>
      </c>
      <c r="C43" s="23">
        <f>1608667566.96</f>
        <v>1608667566.96</v>
      </c>
      <c r="D43" s="23">
        <f>783583330.02</f>
        <v>783583330.01999998</v>
      </c>
      <c r="E43" s="23">
        <f>147060.06</f>
        <v>147060.06</v>
      </c>
      <c r="F43" s="23">
        <f>2515080.04</f>
        <v>2515080.04</v>
      </c>
      <c r="G43" s="23">
        <f>776618453.92</f>
        <v>776618453.91999996</v>
      </c>
      <c r="H43" s="23">
        <f>4302736</f>
        <v>4302736</v>
      </c>
      <c r="I43" s="23">
        <f>0</f>
        <v>0</v>
      </c>
      <c r="J43" s="23">
        <f>27724796.3</f>
        <v>27724796.300000001</v>
      </c>
      <c r="K43" s="23">
        <f>331021.14</f>
        <v>331021.14</v>
      </c>
      <c r="L43" s="23">
        <f>409936875.75</f>
        <v>409936875.75</v>
      </c>
      <c r="M43" s="23">
        <f>329257478.49</f>
        <v>329257478.49000001</v>
      </c>
      <c r="N43" s="23">
        <f>57834065.26</f>
        <v>57834065.259999998</v>
      </c>
      <c r="O43" s="23">
        <f>147982.82</f>
        <v>147982.82</v>
      </c>
      <c r="P43" s="23">
        <f>10182.82</f>
        <v>10182.82</v>
      </c>
      <c r="Q43" s="23">
        <f>137800</f>
        <v>137800</v>
      </c>
    </row>
    <row r="44" spans="1:17" ht="32.25" customHeight="1" x14ac:dyDescent="0.2">
      <c r="A44" s="18" t="s">
        <v>31</v>
      </c>
      <c r="B44" s="24">
        <f>221212312.14</f>
        <v>221212312.13999999</v>
      </c>
      <c r="C44" s="24">
        <f>221074512.14</f>
        <v>221074512.13999999</v>
      </c>
      <c r="D44" s="24">
        <f>94175960.06</f>
        <v>94175960.060000002</v>
      </c>
      <c r="E44" s="24">
        <f>28880</f>
        <v>28880</v>
      </c>
      <c r="F44" s="24">
        <f>2500000</f>
        <v>2500000</v>
      </c>
      <c r="G44" s="24">
        <f>87347080.06</f>
        <v>87347080.060000002</v>
      </c>
      <c r="H44" s="24">
        <f>4300000</f>
        <v>4300000</v>
      </c>
      <c r="I44" s="24">
        <f>0</f>
        <v>0</v>
      </c>
      <c r="J44" s="24">
        <f>0</f>
        <v>0</v>
      </c>
      <c r="K44" s="24">
        <f>4560</f>
        <v>4560</v>
      </c>
      <c r="L44" s="24">
        <f>73541874.09</f>
        <v>73541874.090000004</v>
      </c>
      <c r="M44" s="24">
        <f>23365632.11</f>
        <v>23365632.109999999</v>
      </c>
      <c r="N44" s="24">
        <f>29986485.88</f>
        <v>29986485.879999999</v>
      </c>
      <c r="O44" s="24">
        <f>137800</f>
        <v>137800</v>
      </c>
      <c r="P44" s="24">
        <f>0</f>
        <v>0</v>
      </c>
      <c r="Q44" s="24">
        <f>137800</f>
        <v>137800</v>
      </c>
    </row>
    <row r="45" spans="1:17" ht="32.25" customHeight="1" x14ac:dyDescent="0.2">
      <c r="A45" s="18" t="s">
        <v>32</v>
      </c>
      <c r="B45" s="24">
        <f>1387603237.64</f>
        <v>1387603237.6400001</v>
      </c>
      <c r="C45" s="24">
        <f>1387593054.82</f>
        <v>1387593054.8199999</v>
      </c>
      <c r="D45" s="24">
        <f>689407369.96</f>
        <v>689407369.96000004</v>
      </c>
      <c r="E45" s="24">
        <f>118180.06</f>
        <v>118180.06</v>
      </c>
      <c r="F45" s="24">
        <f>15080.04</f>
        <v>15080.04</v>
      </c>
      <c r="G45" s="24">
        <f>689271373.86</f>
        <v>689271373.86000001</v>
      </c>
      <c r="H45" s="24">
        <f>2736</f>
        <v>2736</v>
      </c>
      <c r="I45" s="24">
        <f>0</f>
        <v>0</v>
      </c>
      <c r="J45" s="24">
        <f>27724796.3</f>
        <v>27724796.300000001</v>
      </c>
      <c r="K45" s="24">
        <f>326461.14</f>
        <v>326461.14</v>
      </c>
      <c r="L45" s="24">
        <f>336395001.66</f>
        <v>336395001.66000003</v>
      </c>
      <c r="M45" s="24">
        <f>305891846.38</f>
        <v>305891846.38</v>
      </c>
      <c r="N45" s="24">
        <f>27847579.38</f>
        <v>27847579.379999999</v>
      </c>
      <c r="O45" s="24">
        <f>10182.82</f>
        <v>10182.82</v>
      </c>
      <c r="P45" s="24">
        <f>10182.82</f>
        <v>10182.82</v>
      </c>
      <c r="Q45" s="24">
        <f>0</f>
        <v>0</v>
      </c>
    </row>
    <row r="46" spans="1:17" ht="35.25" customHeight="1" x14ac:dyDescent="0.2">
      <c r="A46" s="28" t="s">
        <v>42</v>
      </c>
      <c r="B46" s="23">
        <f>55931584097.74</f>
        <v>55931584097.739998</v>
      </c>
      <c r="C46" s="23">
        <f>55931317613.86</f>
        <v>55931317613.860001</v>
      </c>
      <c r="D46" s="23">
        <f>35275980.71</f>
        <v>35275980.710000001</v>
      </c>
      <c r="E46" s="23">
        <f>603159.16</f>
        <v>603159.16</v>
      </c>
      <c r="F46" s="23">
        <f>53572.78</f>
        <v>53572.78</v>
      </c>
      <c r="G46" s="23">
        <f>34619248.77</f>
        <v>34619248.770000003</v>
      </c>
      <c r="H46" s="23">
        <f>0</f>
        <v>0</v>
      </c>
      <c r="I46" s="23">
        <f>11289205.83</f>
        <v>11289205.83</v>
      </c>
      <c r="J46" s="23">
        <f>55867127488.95</f>
        <v>55867127488.949997</v>
      </c>
      <c r="K46" s="23">
        <f>427758.88</f>
        <v>427758.88</v>
      </c>
      <c r="L46" s="23">
        <f>16919385.04</f>
        <v>16919385.039999999</v>
      </c>
      <c r="M46" s="23">
        <f>182862.42</f>
        <v>182862.42</v>
      </c>
      <c r="N46" s="23">
        <f>94932.03</f>
        <v>94932.03</v>
      </c>
      <c r="O46" s="23">
        <f>266483.88</f>
        <v>266483.88</v>
      </c>
      <c r="P46" s="23">
        <f>266483.88</f>
        <v>266483.88</v>
      </c>
      <c r="Q46" s="23">
        <f>0</f>
        <v>0</v>
      </c>
    </row>
    <row r="47" spans="1:17" ht="28.5" customHeight="1" x14ac:dyDescent="0.2">
      <c r="A47" s="18" t="s">
        <v>33</v>
      </c>
      <c r="B47" s="24">
        <f>29209941.17</f>
        <v>29209941.170000002</v>
      </c>
      <c r="C47" s="24">
        <f>29209941.17</f>
        <v>29209941.170000002</v>
      </c>
      <c r="D47" s="24">
        <f>29209941.17</f>
        <v>29209941.170000002</v>
      </c>
      <c r="E47" s="24">
        <f>0</f>
        <v>0</v>
      </c>
      <c r="F47" s="24">
        <f>0</f>
        <v>0</v>
      </c>
      <c r="G47" s="24">
        <f>29209941.17</f>
        <v>29209941.170000002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37701385906.79</f>
        <v>37701385906.790001</v>
      </c>
      <c r="C48" s="24">
        <f>37701385906.79</f>
        <v>37701385906.790001</v>
      </c>
      <c r="D48" s="24">
        <f>5430779.68</f>
        <v>5430779.6799999997</v>
      </c>
      <c r="E48" s="24">
        <f>161308.39</f>
        <v>161308.39000000001</v>
      </c>
      <c r="F48" s="24">
        <f>6863</f>
        <v>6863</v>
      </c>
      <c r="G48" s="24">
        <f>5262608.29</f>
        <v>5262608.29</v>
      </c>
      <c r="H48" s="24">
        <f>0</f>
        <v>0</v>
      </c>
      <c r="I48" s="24">
        <f>11205421.3</f>
        <v>11205421.300000001</v>
      </c>
      <c r="J48" s="24">
        <f>37668944192.68</f>
        <v>37668944192.68</v>
      </c>
      <c r="K48" s="24">
        <f>415268.86</f>
        <v>415268.86</v>
      </c>
      <c r="L48" s="24">
        <f>15286834.08</f>
        <v>15286834.08</v>
      </c>
      <c r="M48" s="24">
        <f>9127.07</f>
        <v>9127.07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18200988249.78</f>
        <v>18200988249.779999</v>
      </c>
      <c r="C49" s="24">
        <f>18200721765.9</f>
        <v>18200721765.900002</v>
      </c>
      <c r="D49" s="24">
        <f>635259.86</f>
        <v>635259.86</v>
      </c>
      <c r="E49" s="24">
        <f>441850.77</f>
        <v>441850.77</v>
      </c>
      <c r="F49" s="24">
        <f>46709.78</f>
        <v>46709.78</v>
      </c>
      <c r="G49" s="24">
        <f>146699.31</f>
        <v>146699.31</v>
      </c>
      <c r="H49" s="24">
        <f>0</f>
        <v>0</v>
      </c>
      <c r="I49" s="24">
        <f>83784.53</f>
        <v>83784.53</v>
      </c>
      <c r="J49" s="24">
        <f>18198183296.27</f>
        <v>18198183296.27</v>
      </c>
      <c r="K49" s="24">
        <f>12490.02</f>
        <v>12490.02</v>
      </c>
      <c r="L49" s="24">
        <f>1632550.96</f>
        <v>1632550.96</v>
      </c>
      <c r="M49" s="24">
        <f>173735.35</f>
        <v>173735.35</v>
      </c>
      <c r="N49" s="24">
        <f>648.91</f>
        <v>648.91</v>
      </c>
      <c r="O49" s="24">
        <f>266483.88</f>
        <v>266483.88</v>
      </c>
      <c r="P49" s="24">
        <f>266483.88</f>
        <v>266483.88</v>
      </c>
      <c r="Q49" s="24">
        <f>0</f>
        <v>0</v>
      </c>
    </row>
    <row r="50" spans="1:17" ht="35.25" customHeight="1" x14ac:dyDescent="0.2">
      <c r="A50" s="28" t="s">
        <v>43</v>
      </c>
      <c r="B50" s="23">
        <f>29791732643.5</f>
        <v>29791732643.5</v>
      </c>
      <c r="C50" s="23">
        <f>29707485893.53</f>
        <v>29707485893.529999</v>
      </c>
      <c r="D50" s="23">
        <f>481653392.68</f>
        <v>481653392.68000001</v>
      </c>
      <c r="E50" s="23">
        <f>130941051.34</f>
        <v>130941051.34</v>
      </c>
      <c r="F50" s="23">
        <f>13192459.1</f>
        <v>13192459.1</v>
      </c>
      <c r="G50" s="23">
        <f>336422395.88</f>
        <v>336422395.88</v>
      </c>
      <c r="H50" s="23">
        <f>1097486.36</f>
        <v>1097486.3600000001</v>
      </c>
      <c r="I50" s="23">
        <f>0</f>
        <v>0</v>
      </c>
      <c r="J50" s="23">
        <f>12863418.88</f>
        <v>12863418.880000001</v>
      </c>
      <c r="K50" s="23">
        <f>36095312.69</f>
        <v>36095312.689999998</v>
      </c>
      <c r="L50" s="23">
        <f>7448699541.24</f>
        <v>7448699541.2399998</v>
      </c>
      <c r="M50" s="23">
        <f>21470634790.45</f>
        <v>21470634790.450001</v>
      </c>
      <c r="N50" s="23">
        <f>257539437.59</f>
        <v>257539437.59</v>
      </c>
      <c r="O50" s="23">
        <f>84246749.97</f>
        <v>84246749.969999999</v>
      </c>
      <c r="P50" s="23">
        <f>32677596.29</f>
        <v>32677596.289999999</v>
      </c>
      <c r="Q50" s="23">
        <f>51569153.68</f>
        <v>51569153.68</v>
      </c>
    </row>
    <row r="51" spans="1:17" ht="28.5" customHeight="1" x14ac:dyDescent="0.2">
      <c r="A51" s="18" t="s">
        <v>36</v>
      </c>
      <c r="B51" s="24">
        <f>7036461397.83</f>
        <v>7036461397.8299999</v>
      </c>
      <c r="C51" s="24">
        <f>7005579455.21</f>
        <v>7005579455.21</v>
      </c>
      <c r="D51" s="24">
        <f>84190716.49</f>
        <v>84190716.489999995</v>
      </c>
      <c r="E51" s="24">
        <f>2996144.55</f>
        <v>2996144.55</v>
      </c>
      <c r="F51" s="24">
        <f>4618798.86</f>
        <v>4618798.8600000003</v>
      </c>
      <c r="G51" s="24">
        <f>76271633.16</f>
        <v>76271633.159999996</v>
      </c>
      <c r="H51" s="24">
        <f>304139.92</f>
        <v>304139.92</v>
      </c>
      <c r="I51" s="24">
        <f>0</f>
        <v>0</v>
      </c>
      <c r="J51" s="24">
        <f>1020827.34</f>
        <v>1020827.34</v>
      </c>
      <c r="K51" s="24">
        <f>1571116.6</f>
        <v>1571116.6</v>
      </c>
      <c r="L51" s="24">
        <f>1178913324</f>
        <v>1178913324</v>
      </c>
      <c r="M51" s="24">
        <f>5621639566.07</f>
        <v>5621639566.0699997</v>
      </c>
      <c r="N51" s="24">
        <f>118243904.71</f>
        <v>118243904.70999999</v>
      </c>
      <c r="O51" s="24">
        <f>30881942.62</f>
        <v>30881942.620000001</v>
      </c>
      <c r="P51" s="24">
        <f>928506.35</f>
        <v>928506.35</v>
      </c>
      <c r="Q51" s="24">
        <f>29953436.27</f>
        <v>29953436.27</v>
      </c>
    </row>
    <row r="52" spans="1:17" ht="28.5" customHeight="1" x14ac:dyDescent="0.2">
      <c r="A52" s="18" t="s">
        <v>37</v>
      </c>
      <c r="B52" s="24">
        <f>22755271245.67</f>
        <v>22755271245.669998</v>
      </c>
      <c r="C52" s="24">
        <f>22701906438.32</f>
        <v>22701906438.32</v>
      </c>
      <c r="D52" s="24">
        <f>397462676.19</f>
        <v>397462676.19</v>
      </c>
      <c r="E52" s="24">
        <f>127944906.79</f>
        <v>127944906.79000001</v>
      </c>
      <c r="F52" s="24">
        <f>8573660.24</f>
        <v>8573660.2400000002</v>
      </c>
      <c r="G52" s="24">
        <f>260150762.72</f>
        <v>260150762.72</v>
      </c>
      <c r="H52" s="24">
        <f>793346.44</f>
        <v>793346.44</v>
      </c>
      <c r="I52" s="24">
        <f>0</f>
        <v>0</v>
      </c>
      <c r="J52" s="24">
        <f>11842591.54</f>
        <v>11842591.539999999</v>
      </c>
      <c r="K52" s="24">
        <f>34524196.09</f>
        <v>34524196.090000004</v>
      </c>
      <c r="L52" s="24">
        <f>6269786217.24</f>
        <v>6269786217.2399998</v>
      </c>
      <c r="M52" s="24">
        <f>15848995224.38</f>
        <v>15848995224.379999</v>
      </c>
      <c r="N52" s="24">
        <f>139295532.88</f>
        <v>139295532.88</v>
      </c>
      <c r="O52" s="24">
        <f>53364807.35</f>
        <v>53364807.350000001</v>
      </c>
      <c r="P52" s="24">
        <f>31749089.94</f>
        <v>31749089.940000001</v>
      </c>
      <c r="Q52" s="24">
        <f>21615717.41</f>
        <v>21615717.41</v>
      </c>
    </row>
    <row r="53" spans="1:17" ht="35.25" customHeight="1" x14ac:dyDescent="0.2">
      <c r="A53" s="28" t="s">
        <v>44</v>
      </c>
      <c r="B53" s="23">
        <f>18509747654.32</f>
        <v>18509747654.32</v>
      </c>
      <c r="C53" s="23">
        <f>18492495576.27</f>
        <v>18492495576.27</v>
      </c>
      <c r="D53" s="23">
        <f>1713329498.48</f>
        <v>1713329498.48</v>
      </c>
      <c r="E53" s="23">
        <f>700633407.64</f>
        <v>700633407.63999999</v>
      </c>
      <c r="F53" s="23">
        <f>79416766.96</f>
        <v>79416766.959999993</v>
      </c>
      <c r="G53" s="23">
        <f>913670012.32</f>
        <v>913670012.32000005</v>
      </c>
      <c r="H53" s="23">
        <f>19609311.56</f>
        <v>19609311.559999999</v>
      </c>
      <c r="I53" s="23">
        <f>1519313.86</f>
        <v>1519313.86</v>
      </c>
      <c r="J53" s="23">
        <f>13239274.13</f>
        <v>13239274.130000001</v>
      </c>
      <c r="K53" s="23">
        <f>49764498.59</f>
        <v>49764498.590000004</v>
      </c>
      <c r="L53" s="23">
        <f>10688543987.81</f>
        <v>10688543987.809999</v>
      </c>
      <c r="M53" s="23">
        <f>5723565457.93</f>
        <v>5723565457.9300003</v>
      </c>
      <c r="N53" s="23">
        <f>302533545.47</f>
        <v>302533545.47000003</v>
      </c>
      <c r="O53" s="23">
        <f>17252078.05</f>
        <v>17252078.050000001</v>
      </c>
      <c r="P53" s="23">
        <f>13084271.96</f>
        <v>13084271.960000001</v>
      </c>
      <c r="Q53" s="23">
        <f>4167806.09</f>
        <v>4167806.09</v>
      </c>
    </row>
    <row r="54" spans="1:17" ht="28.5" customHeight="1" x14ac:dyDescent="0.2">
      <c r="A54" s="18" t="s">
        <v>38</v>
      </c>
      <c r="B54" s="24">
        <f>1569948327.66</f>
        <v>1569948327.6600001</v>
      </c>
      <c r="C54" s="24">
        <f>1568262907.49</f>
        <v>1568262907.49</v>
      </c>
      <c r="D54" s="24">
        <f>147310613.85</f>
        <v>147310613.84999999</v>
      </c>
      <c r="E54" s="24">
        <f>9056420.31</f>
        <v>9056420.3100000005</v>
      </c>
      <c r="F54" s="24">
        <f>2464066.4</f>
        <v>2464066.4</v>
      </c>
      <c r="G54" s="24">
        <f>130222130.41</f>
        <v>130222130.41</v>
      </c>
      <c r="H54" s="24">
        <f>5567996.73</f>
        <v>5567996.7300000004</v>
      </c>
      <c r="I54" s="24">
        <f>2783.49</f>
        <v>2783.49</v>
      </c>
      <c r="J54" s="24">
        <f>694460.79</f>
        <v>694460.79</v>
      </c>
      <c r="K54" s="24">
        <f>2534156.4</f>
        <v>2534156.4</v>
      </c>
      <c r="L54" s="24">
        <f>615521441</f>
        <v>615521441</v>
      </c>
      <c r="M54" s="24">
        <f>775001800.3</f>
        <v>775001800.29999995</v>
      </c>
      <c r="N54" s="24">
        <f>27197651.66</f>
        <v>27197651.66</v>
      </c>
      <c r="O54" s="24">
        <f>1685420.17</f>
        <v>1685420.17</v>
      </c>
      <c r="P54" s="24">
        <f>273392.51</f>
        <v>273392.51</v>
      </c>
      <c r="Q54" s="24">
        <f>1412027.66</f>
        <v>1412027.66</v>
      </c>
    </row>
    <row r="55" spans="1:17" ht="47.25" customHeight="1" x14ac:dyDescent="0.2">
      <c r="A55" s="18" t="s">
        <v>78</v>
      </c>
      <c r="B55" s="24">
        <f>8508251835.98</f>
        <v>8508251835.9799995</v>
      </c>
      <c r="C55" s="24">
        <f>8497937613.15</f>
        <v>8497937613.1499996</v>
      </c>
      <c r="D55" s="24">
        <f>404199808.78</f>
        <v>404199808.77999997</v>
      </c>
      <c r="E55" s="24">
        <f>177879061.11</f>
        <v>177879061.11000001</v>
      </c>
      <c r="F55" s="24">
        <f>49855870.83</f>
        <v>49855870.829999998</v>
      </c>
      <c r="G55" s="24">
        <f>172717571.7</f>
        <v>172717571.69999999</v>
      </c>
      <c r="H55" s="24">
        <f>3747305.14</f>
        <v>3747305.14</v>
      </c>
      <c r="I55" s="24">
        <f>1488438.47</f>
        <v>1488438.47</v>
      </c>
      <c r="J55" s="24">
        <f>9758657.14</f>
        <v>9758657.1400000006</v>
      </c>
      <c r="K55" s="24">
        <f>15359606.14</f>
        <v>15359606.140000001</v>
      </c>
      <c r="L55" s="24">
        <f>5955307276.32</f>
        <v>5955307276.3199997</v>
      </c>
      <c r="M55" s="24">
        <f>2064178386.44</f>
        <v>2064178386.4400001</v>
      </c>
      <c r="N55" s="24">
        <f>47645439.86</f>
        <v>47645439.859999999</v>
      </c>
      <c r="O55" s="24">
        <f>10314222.83</f>
        <v>10314222.83</v>
      </c>
      <c r="P55" s="24">
        <f>9184205.7</f>
        <v>9184205.6999999993</v>
      </c>
      <c r="Q55" s="24">
        <f>1130017.13</f>
        <v>1130017.1299999999</v>
      </c>
    </row>
    <row r="56" spans="1:17" ht="35.25" customHeight="1" x14ac:dyDescent="0.2">
      <c r="A56" s="18" t="s">
        <v>39</v>
      </c>
      <c r="B56" s="24">
        <f>8431547490.68</f>
        <v>8431547490.6800003</v>
      </c>
      <c r="C56" s="24">
        <f>8426295055.63</f>
        <v>8426295055.6300001</v>
      </c>
      <c r="D56" s="24">
        <f>1161819075.85</f>
        <v>1161819075.8499999</v>
      </c>
      <c r="E56" s="24">
        <f>513697926.22</f>
        <v>513697926.22000003</v>
      </c>
      <c r="F56" s="24">
        <f>27096829.73</f>
        <v>27096829.73</v>
      </c>
      <c r="G56" s="24">
        <f>610730310.21</f>
        <v>610730310.21000004</v>
      </c>
      <c r="H56" s="24">
        <f>10294009.69</f>
        <v>10294009.689999999</v>
      </c>
      <c r="I56" s="24">
        <f>28091.9</f>
        <v>28091.9</v>
      </c>
      <c r="J56" s="24">
        <f>2786156.2</f>
        <v>2786156.2</v>
      </c>
      <c r="K56" s="24">
        <f>31870736.05</f>
        <v>31870736.050000001</v>
      </c>
      <c r="L56" s="24">
        <f>4117715270.49</f>
        <v>4117715270.4899998</v>
      </c>
      <c r="M56" s="24">
        <f>2884385271.19</f>
        <v>2884385271.1900001</v>
      </c>
      <c r="N56" s="24">
        <f>227690453.95</f>
        <v>227690453.94999999</v>
      </c>
      <c r="O56" s="24">
        <f>5252435.05</f>
        <v>5252435.05</v>
      </c>
      <c r="P56" s="24">
        <f>3626673.75</f>
        <v>3626673.75</v>
      </c>
      <c r="Q56" s="24">
        <f>1625761.3</f>
        <v>1625761.3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III Kwartały 2024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4421064401.59</f>
        <v>4421064401.5900002</v>
      </c>
      <c r="G77" s="22">
        <f>1196379170.71</f>
        <v>1196379170.71</v>
      </c>
      <c r="H77" s="22">
        <f>70231199.63</f>
        <v>70231199.629999995</v>
      </c>
      <c r="I77" s="22">
        <f>215144939.73</f>
        <v>215144939.72999999</v>
      </c>
      <c r="J77" s="22">
        <f>854380089.3</f>
        <v>854380089.29999995</v>
      </c>
      <c r="K77" s="22">
        <f>56622942.05</f>
        <v>56622942.049999997</v>
      </c>
      <c r="L77" s="22">
        <f>3224685230.88</f>
        <v>3224685230.8800001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2041409</f>
        <v>2041409</v>
      </c>
      <c r="G78" s="25">
        <f>1401409</f>
        <v>1401409</v>
      </c>
      <c r="H78" s="25">
        <f>0</f>
        <v>0</v>
      </c>
      <c r="I78" s="25">
        <f>0</f>
        <v>0</v>
      </c>
      <c r="J78" s="25">
        <f>1401409</f>
        <v>1401409</v>
      </c>
      <c r="K78" s="25">
        <f>0</f>
        <v>0</v>
      </c>
      <c r="L78" s="25">
        <f>640000</f>
        <v>640000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399276293.2</f>
        <v>399276293.19999999</v>
      </c>
      <c r="G79" s="25">
        <f>83781769.64</f>
        <v>83781769.640000001</v>
      </c>
      <c r="H79" s="25">
        <f>47200</f>
        <v>47200</v>
      </c>
      <c r="I79" s="25">
        <f>0</f>
        <v>0</v>
      </c>
      <c r="J79" s="25">
        <f>73865983.6</f>
        <v>73865983.599999994</v>
      </c>
      <c r="K79" s="25">
        <f>9868586.04</f>
        <v>9868586.0399999991</v>
      </c>
      <c r="L79" s="25">
        <f>315494523.56</f>
        <v>315494523.56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103686688.39</f>
        <v>103686688.39</v>
      </c>
      <c r="G80" s="25">
        <f>63870094.33</f>
        <v>63870094.329999998</v>
      </c>
      <c r="H80" s="25">
        <f>0</f>
        <v>0</v>
      </c>
      <c r="I80" s="25">
        <f>0</f>
        <v>0</v>
      </c>
      <c r="J80" s="25">
        <f>63868878.62</f>
        <v>63868878.619999997</v>
      </c>
      <c r="K80" s="25">
        <f>1215.71</f>
        <v>1215.71</v>
      </c>
      <c r="L80" s="25">
        <f>39816594.06</f>
        <v>39816594.060000002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20230544.26</f>
        <v>20230544.260000002</v>
      </c>
      <c r="G81" s="25">
        <f>19981046.91</f>
        <v>19981046.91</v>
      </c>
      <c r="H81" s="25">
        <f>0</f>
        <v>0</v>
      </c>
      <c r="I81" s="25">
        <f>0</f>
        <v>0</v>
      </c>
      <c r="J81" s="25">
        <f>19981046.91</f>
        <v>19981046.91</v>
      </c>
      <c r="K81" s="25">
        <f>0</f>
        <v>0</v>
      </c>
      <c r="L81" s="25">
        <f>249497.35</f>
        <v>249497.35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37305775.14</f>
        <v>37305775.140000001</v>
      </c>
      <c r="G82" s="25">
        <f>29126388.24</f>
        <v>29126388.239999998</v>
      </c>
      <c r="H82" s="25">
        <f>0</f>
        <v>0</v>
      </c>
      <c r="I82" s="25">
        <f>0</f>
        <v>0</v>
      </c>
      <c r="J82" s="25">
        <f>29126388.24</f>
        <v>29126388.239999998</v>
      </c>
      <c r="K82" s="25">
        <f>0</f>
        <v>0</v>
      </c>
      <c r="L82" s="25">
        <f>8179386.9</f>
        <v>8179386.9000000004</v>
      </c>
    </row>
    <row r="83" spans="1:13" ht="33" customHeight="1" x14ac:dyDescent="0.2">
      <c r="B83" s="55" t="s">
        <v>59</v>
      </c>
      <c r="C83" s="56"/>
      <c r="D83" s="56"/>
      <c r="E83" s="57"/>
      <c r="F83" s="22">
        <f>2057574.25</f>
        <v>2057574.25</v>
      </c>
      <c r="G83" s="22">
        <f>1176426.99</f>
        <v>1176426.99</v>
      </c>
      <c r="H83" s="22">
        <f>0</f>
        <v>0</v>
      </c>
      <c r="I83" s="22">
        <f>0</f>
        <v>0</v>
      </c>
      <c r="J83" s="22">
        <f>1176426.99</f>
        <v>1176426.99</v>
      </c>
      <c r="K83" s="22">
        <f>0</f>
        <v>0</v>
      </c>
      <c r="L83" s="22">
        <f>881147.26</f>
        <v>881147.26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III Kwartały 2024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1965</f>
        <v>1965</v>
      </c>
      <c r="H89" s="59"/>
      <c r="I89" s="41">
        <f>24451419176.75</f>
        <v>24451419176.75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842</f>
        <v>842</v>
      </c>
      <c r="H90" s="62"/>
      <c r="I90" s="63">
        <f>-3386220554.45</f>
        <v>-3386220554.4499998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3</f>
        <v>3</v>
      </c>
      <c r="C94" s="7" t="str">
        <f>IF(B94=1,"I Kwartał",IF(B94=2,"II Kwartały",IF(B94=3,"III Kwartały",IF(B94=4,"IV Kwartały","-"))))</f>
        <v>III Kwartały</v>
      </c>
    </row>
    <row r="95" spans="1:13" ht="13.5" customHeight="1" x14ac:dyDescent="0.2">
      <c r="A95" s="7" t="s">
        <v>9</v>
      </c>
      <c r="B95" s="7">
        <f>2024</f>
        <v>2024</v>
      </c>
      <c r="C95" s="8"/>
    </row>
    <row r="96" spans="1:13" ht="13.5" customHeight="1" x14ac:dyDescent="0.2">
      <c r="A96" s="7" t="s">
        <v>10</v>
      </c>
      <c r="B96" s="9" t="str">
        <f>"Nov 14 2024 12:00AM"</f>
        <v>Nov 14 2024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2024-12-09T09:13:18Z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2024-12-09T10:13:17.5590896+01:00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GRN-397f0371-6185-472d-b085-62f643c3b9ba</vt:lpwstr>
  </property>
  <property fmtid="{D5CDD505-2E9C-101B-9397-08002B2CF9AE}" pid="7" name="MFHash">
    <vt:lpwstr>F+c6EFmp1eUOg8nYXuHaw4eHdZEXtXel0ZOQDi+KF7c=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