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 z SubRozw - podmianka\"/>
    </mc:Choice>
  </mc:AlternateContent>
  <xr:revisionPtr revIDLastSave="0" documentId="13_ncr:1_{E813D7FD-D7B0-45C9-BB0A-403D998944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1" i="4" l="1"/>
  <c r="C140" i="4"/>
  <c r="C139" i="4"/>
  <c r="C138" i="4"/>
  <c r="D136" i="4"/>
  <c r="C136" i="4"/>
  <c r="D135" i="4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E114" i="4" s="1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I99" i="4"/>
  <c r="H99" i="4"/>
  <c r="G99" i="4"/>
  <c r="F99" i="4"/>
  <c r="E99" i="4"/>
  <c r="D99" i="4"/>
  <c r="C99" i="4"/>
  <c r="I98" i="4"/>
  <c r="H98" i="4"/>
  <c r="G98" i="4"/>
  <c r="F98" i="4"/>
  <c r="E98" i="4"/>
  <c r="D98" i="4"/>
  <c r="C98" i="4"/>
  <c r="I92" i="4"/>
  <c r="H92" i="4"/>
  <c r="G92" i="4"/>
  <c r="F92" i="4"/>
  <c r="E92" i="4"/>
  <c r="D92" i="4"/>
  <c r="C92" i="4"/>
  <c r="I91" i="4"/>
  <c r="I93" i="4" s="1"/>
  <c r="H91" i="4"/>
  <c r="G91" i="4"/>
  <c r="F91" i="4"/>
  <c r="E91" i="4"/>
  <c r="D91" i="4"/>
  <c r="C91" i="4"/>
  <c r="I90" i="4"/>
  <c r="H90" i="4"/>
  <c r="G90" i="4"/>
  <c r="F90" i="4"/>
  <c r="E90" i="4"/>
  <c r="D90" i="4"/>
  <c r="C90" i="4"/>
  <c r="I89" i="4"/>
  <c r="H89" i="4"/>
  <c r="G89" i="4"/>
  <c r="F89" i="4"/>
  <c r="E89" i="4"/>
  <c r="D89" i="4"/>
  <c r="C89" i="4"/>
  <c r="I88" i="4"/>
  <c r="H88" i="4"/>
  <c r="G88" i="4"/>
  <c r="F88" i="4"/>
  <c r="E88" i="4"/>
  <c r="D88" i="4"/>
  <c r="C88" i="4"/>
  <c r="I86" i="4"/>
  <c r="H86" i="4"/>
  <c r="G86" i="4"/>
  <c r="F86" i="4"/>
  <c r="E86" i="4"/>
  <c r="D86" i="4"/>
  <c r="C86" i="4"/>
  <c r="I85" i="4"/>
  <c r="H85" i="4"/>
  <c r="G85" i="4"/>
  <c r="F85" i="4"/>
  <c r="E85" i="4"/>
  <c r="D85" i="4"/>
  <c r="C85" i="4"/>
  <c r="I84" i="4"/>
  <c r="H84" i="4"/>
  <c r="G84" i="4"/>
  <c r="F84" i="4"/>
  <c r="E84" i="4"/>
  <c r="D84" i="4"/>
  <c r="C84" i="4"/>
  <c r="I73" i="4"/>
  <c r="H73" i="4"/>
  <c r="G73" i="4"/>
  <c r="F73" i="4"/>
  <c r="E73" i="4"/>
  <c r="D73" i="4"/>
  <c r="C73" i="4"/>
  <c r="K73" i="4" s="1"/>
  <c r="D70" i="4"/>
  <c r="C70" i="4"/>
  <c r="K70" i="4" s="1"/>
  <c r="D69" i="4"/>
  <c r="C69" i="4"/>
  <c r="K69" i="4" s="1"/>
  <c r="D67" i="4"/>
  <c r="K67" i="4" s="1"/>
  <c r="C67" i="4"/>
  <c r="D66" i="4"/>
  <c r="C66" i="4"/>
  <c r="D65" i="4"/>
  <c r="C65" i="4"/>
  <c r="D63" i="4"/>
  <c r="C63" i="4"/>
  <c r="D62" i="4"/>
  <c r="C62" i="4"/>
  <c r="D61" i="4"/>
  <c r="C61" i="4"/>
  <c r="D59" i="4"/>
  <c r="C59" i="4"/>
  <c r="K59" i="4" s="1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8" i="4"/>
  <c r="C38" i="4"/>
  <c r="D37" i="4"/>
  <c r="C37" i="4"/>
  <c r="D36" i="4"/>
  <c r="C36" i="4"/>
  <c r="D35" i="4"/>
  <c r="C35" i="4"/>
  <c r="D34" i="4"/>
  <c r="C34" i="4"/>
  <c r="D33" i="4"/>
  <c r="C33" i="4"/>
  <c r="D31" i="4"/>
  <c r="C31" i="4"/>
  <c r="D30" i="4"/>
  <c r="C30" i="4"/>
  <c r="D29" i="4"/>
  <c r="C29" i="4"/>
  <c r="D28" i="4"/>
  <c r="C28" i="4"/>
  <c r="D27" i="4"/>
  <c r="C27" i="4"/>
  <c r="D26" i="4"/>
  <c r="C26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K19" i="4" s="1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K9" i="4" s="1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E5" i="4"/>
  <c r="E6" i="4" s="1"/>
  <c r="D5" i="4"/>
  <c r="J48" i="4" s="1"/>
  <c r="C5" i="4"/>
  <c r="D68" i="4"/>
  <c r="D64" i="4"/>
  <c r="C64" i="4"/>
  <c r="K62" i="4"/>
  <c r="K63" i="4"/>
  <c r="E72" i="4"/>
  <c r="E74" i="4" s="1"/>
  <c r="K48" i="4"/>
  <c r="F6" i="4"/>
  <c r="F72" i="4"/>
  <c r="F74" i="4"/>
  <c r="G72" i="4"/>
  <c r="G74" i="4"/>
  <c r="G6" i="4"/>
  <c r="G22" i="4" s="1"/>
  <c r="K28" i="4"/>
  <c r="F110" i="4"/>
  <c r="K30" i="4"/>
  <c r="E122" i="4"/>
  <c r="E118" i="4"/>
  <c r="E121" i="4"/>
  <c r="E119" i="4"/>
  <c r="E123" i="4"/>
  <c r="E120" i="4"/>
  <c r="C39" i="4"/>
  <c r="K40" i="4"/>
  <c r="F119" i="4"/>
  <c r="K17" i="4"/>
  <c r="K51" i="4"/>
  <c r="K61" i="4"/>
  <c r="D39" i="4"/>
  <c r="K39" i="4" s="1"/>
  <c r="F121" i="4"/>
  <c r="H6" i="4"/>
  <c r="H72" i="4"/>
  <c r="H74" i="4"/>
  <c r="K15" i="4"/>
  <c r="K41" i="4"/>
  <c r="F111" i="4"/>
  <c r="I72" i="4"/>
  <c r="I74" i="4"/>
  <c r="I6" i="4"/>
  <c r="K31" i="4"/>
  <c r="K65" i="4"/>
  <c r="K90" i="4"/>
  <c r="K7" i="4"/>
  <c r="F112" i="4"/>
  <c r="K13" i="4"/>
  <c r="C32" i="4"/>
  <c r="C24" i="4" s="1"/>
  <c r="K33" i="4"/>
  <c r="K45" i="4"/>
  <c r="K66" i="4"/>
  <c r="F87" i="4"/>
  <c r="F93" i="4"/>
  <c r="K99" i="4"/>
  <c r="K8" i="4"/>
  <c r="K35" i="4"/>
  <c r="K54" i="4"/>
  <c r="G87" i="4"/>
  <c r="G93" i="4"/>
  <c r="K88" i="4"/>
  <c r="K52" i="4"/>
  <c r="J98" i="4"/>
  <c r="D100" i="4"/>
  <c r="K100" i="4" s="1"/>
  <c r="J100" i="4"/>
  <c r="J99" i="4"/>
  <c r="F123" i="4"/>
  <c r="D138" i="4"/>
  <c r="K10" i="4"/>
  <c r="K44" i="4"/>
  <c r="F100" i="4"/>
  <c r="K53" i="4"/>
  <c r="E87" i="4"/>
  <c r="E93" i="4" s="1"/>
  <c r="I100" i="4"/>
  <c r="K46" i="4"/>
  <c r="H87" i="4"/>
  <c r="H93" i="4"/>
  <c r="K11" i="4"/>
  <c r="K37" i="4"/>
  <c r="K56" i="4"/>
  <c r="I87" i="4"/>
  <c r="F117" i="4"/>
  <c r="K14" i="4"/>
  <c r="K27" i="4"/>
  <c r="K47" i="4"/>
  <c r="K58" i="4"/>
  <c r="K85" i="4"/>
  <c r="J7" i="4"/>
  <c r="J9" i="4"/>
  <c r="J28" i="4"/>
  <c r="J38" i="4"/>
  <c r="J10" i="4"/>
  <c r="J11" i="4"/>
  <c r="J5" i="4"/>
  <c r="J25" i="4"/>
  <c r="J36" i="4"/>
  <c r="J70" i="4"/>
  <c r="J18" i="4"/>
  <c r="J66" i="4"/>
  <c r="J15" i="4"/>
  <c r="J13" i="4"/>
  <c r="K38" i="4"/>
  <c r="E109" i="4"/>
  <c r="E117" i="4"/>
  <c r="E111" i="4"/>
  <c r="E112" i="4"/>
  <c r="E108" i="4"/>
  <c r="E110" i="4"/>
  <c r="E113" i="4"/>
  <c r="E107" i="4"/>
  <c r="E115" i="4"/>
  <c r="E116" i="4"/>
  <c r="F118" i="4"/>
  <c r="D32" i="4"/>
  <c r="J32" i="4" s="1"/>
  <c r="F113" i="4"/>
  <c r="K18" i="4"/>
  <c r="K20" i="4"/>
  <c r="C25" i="4"/>
  <c r="K26" i="4"/>
  <c r="K34" i="4"/>
  <c r="K42" i="4"/>
  <c r="K50" i="4"/>
  <c r="K57" i="4"/>
  <c r="F122" i="4"/>
  <c r="D25" i="4"/>
  <c r="K25" i="4" s="1"/>
  <c r="K86" i="4"/>
  <c r="K89" i="4"/>
  <c r="K91" i="4"/>
  <c r="C100" i="4"/>
  <c r="K98" i="4"/>
  <c r="F107" i="4"/>
  <c r="F115" i="4"/>
  <c r="E100" i="4"/>
  <c r="F109" i="4"/>
  <c r="F116" i="4"/>
  <c r="K21" i="4"/>
  <c r="K84" i="4"/>
  <c r="C87" i="4"/>
  <c r="G100" i="4"/>
  <c r="F108" i="4"/>
  <c r="F120" i="4"/>
  <c r="K16" i="4"/>
  <c r="K29" i="4"/>
  <c r="K36" i="4"/>
  <c r="K43" i="4"/>
  <c r="K49" i="4"/>
  <c r="K55" i="4"/>
  <c r="D87" i="4"/>
  <c r="D93" i="4" s="1"/>
  <c r="J84" i="4"/>
  <c r="J90" i="4"/>
  <c r="J86" i="4"/>
  <c r="J85" i="4"/>
  <c r="J89" i="4"/>
  <c r="J92" i="4"/>
  <c r="J91" i="4"/>
  <c r="J88" i="4"/>
  <c r="K92" i="4"/>
  <c r="H100" i="4"/>
  <c r="J87" i="4"/>
  <c r="K64" i="4"/>
  <c r="K87" i="4"/>
  <c r="C93" i="4"/>
  <c r="H22" i="4" l="1"/>
  <c r="D60" i="4"/>
  <c r="J60" i="4" s="1"/>
  <c r="I22" i="4"/>
  <c r="B102" i="4"/>
  <c r="B1" i="4"/>
  <c r="B77" i="4"/>
  <c r="F114" i="4"/>
  <c r="J93" i="4"/>
  <c r="K93" i="4"/>
  <c r="C68" i="4"/>
  <c r="K32" i="4"/>
  <c r="D24" i="4"/>
  <c r="D23" i="4" s="1"/>
  <c r="J23" i="4" s="1"/>
  <c r="K24" i="4"/>
  <c r="C23" i="4"/>
  <c r="F22" i="4"/>
  <c r="E22" i="4"/>
  <c r="K12" i="4"/>
  <c r="J63" i="4"/>
  <c r="J8" i="4"/>
  <c r="J17" i="4"/>
  <c r="J64" i="4"/>
  <c r="J12" i="4"/>
  <c r="J54" i="4"/>
  <c r="J62" i="4"/>
  <c r="D6" i="4"/>
  <c r="J20" i="4"/>
  <c r="J50" i="4"/>
  <c r="J39" i="4"/>
  <c r="J43" i="4"/>
  <c r="J49" i="4"/>
  <c r="J68" i="4"/>
  <c r="J55" i="4"/>
  <c r="J57" i="4"/>
  <c r="J61" i="4"/>
  <c r="J37" i="4"/>
  <c r="J35" i="4"/>
  <c r="J59" i="4"/>
  <c r="J41" i="4"/>
  <c r="J46" i="4"/>
  <c r="J21" i="4"/>
  <c r="J19" i="4"/>
  <c r="J42" i="4"/>
  <c r="J47" i="4"/>
  <c r="J69" i="4"/>
  <c r="J51" i="4"/>
  <c r="J45" i="4"/>
  <c r="J74" i="4"/>
  <c r="J30" i="4"/>
  <c r="J34" i="4"/>
  <c r="J73" i="4"/>
  <c r="J40" i="4"/>
  <c r="D94" i="4"/>
  <c r="J53" i="4"/>
  <c r="J26" i="4"/>
  <c r="J52" i="4"/>
  <c r="D72" i="4"/>
  <c r="D74" i="4" s="1"/>
  <c r="D95" i="4" s="1"/>
  <c r="J44" i="4"/>
  <c r="J65" i="4"/>
  <c r="J14" i="4"/>
  <c r="J33" i="4"/>
  <c r="J67" i="4"/>
  <c r="J27" i="4"/>
  <c r="J31" i="4"/>
  <c r="J58" i="4"/>
  <c r="J16" i="4"/>
  <c r="J56" i="4"/>
  <c r="J29" i="4"/>
  <c r="K5" i="4"/>
  <c r="C72" i="4"/>
  <c r="C94" i="4"/>
  <c r="J24" i="4" l="1"/>
  <c r="K23" i="4"/>
  <c r="K68" i="4"/>
  <c r="C60" i="4"/>
  <c r="L6" i="4"/>
  <c r="L20" i="4"/>
  <c r="L9" i="4"/>
  <c r="L21" i="4"/>
  <c r="L15" i="4"/>
  <c r="L13" i="4"/>
  <c r="L18" i="4"/>
  <c r="L8" i="4"/>
  <c r="L16" i="4"/>
  <c r="L11" i="4"/>
  <c r="L10" i="4"/>
  <c r="L14" i="4"/>
  <c r="D22" i="4"/>
  <c r="J22" i="4" s="1"/>
  <c r="L17" i="4"/>
  <c r="L19" i="4"/>
  <c r="J6" i="4"/>
  <c r="L12" i="4"/>
  <c r="L7" i="4"/>
  <c r="J72" i="4"/>
  <c r="C74" i="4"/>
  <c r="K72" i="4"/>
  <c r="K60" i="4" l="1"/>
  <c r="C6" i="4"/>
  <c r="L22" i="4"/>
  <c r="C95" i="4"/>
  <c r="K74" i="4"/>
  <c r="C22" i="4" l="1"/>
  <c r="K22" i="4" s="1"/>
  <c r="K6" i="4"/>
</calcChain>
</file>

<file path=xl/sharedStrings.xml><?xml version="1.0" encoding="utf-8"?>
<sst xmlns="http://schemas.openxmlformats.org/spreadsheetml/2006/main" count="395" uniqueCount="126">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</sst>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1" applyNumberFormat="0" applyAlignment="0" applyProtection="0"/>
    <xf numFmtId="0" fontId="23" fillId="0" borderId="7" applyNumberFormat="0" applyFill="0" applyAlignment="0" applyProtection="0"/>
    <xf numFmtId="0" fontId="24" fillId="8" borderId="0" applyNumberFormat="0" applyBorder="0" applyAlignment="0" applyProtection="0"/>
    <xf numFmtId="0" fontId="35" fillId="0" borderId="0"/>
    <xf numFmtId="0" fontId="35" fillId="0" borderId="0"/>
    <xf numFmtId="0" fontId="1" fillId="4" borderId="8" applyNumberFormat="0" applyFont="0" applyAlignment="0" applyProtection="0"/>
    <xf numFmtId="0" fontId="29" fillId="4" borderId="8" applyNumberFormat="0" applyFont="0" applyAlignment="0" applyProtection="0"/>
    <xf numFmtId="0" fontId="25" fillId="16" borderId="3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1" fillId="21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5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21" borderId="10" xfId="0" applyNumberFormat="1" applyFont="1" applyFill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5" fontId="32" fillId="20" borderId="10" xfId="0" applyNumberFormat="1" applyFont="1" applyFill="1" applyBorder="1" applyAlignment="1">
      <alignment horizontal="center" vertical="center"/>
    </xf>
    <xf numFmtId="4" fontId="32" fillId="22" borderId="10" xfId="0" applyNumberFormat="1" applyFont="1" applyFill="1" applyBorder="1" applyAlignment="1">
      <alignment horizontal="center" vertical="center"/>
    </xf>
    <xf numFmtId="165" fontId="32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3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165" fontId="33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5" fontId="34" fillId="21" borderId="1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65" fontId="34" fillId="0" borderId="10" xfId="0" applyNumberFormat="1" applyFont="1" applyFill="1" applyBorder="1" applyAlignment="1">
      <alignment horizontal="center" vertical="center"/>
    </xf>
    <xf numFmtId="165" fontId="34" fillId="20" borderId="10" xfId="28" applyNumberFormat="1" applyFont="1" applyFill="1" applyBorder="1" applyAlignment="1">
      <alignment horizontal="center" vertical="center"/>
    </xf>
    <xf numFmtId="165" fontId="34" fillId="22" borderId="10" xfId="28" applyNumberFormat="1" applyFont="1" applyFill="1" applyBorder="1" applyAlignment="1">
      <alignment horizontal="center" vertical="center"/>
    </xf>
    <xf numFmtId="165" fontId="34" fillId="22" borderId="10" xfId="0" applyNumberFormat="1" applyFont="1" applyFill="1" applyBorder="1" applyAlignment="1">
      <alignment horizontal="center" vertical="center"/>
    </xf>
    <xf numFmtId="165" fontId="34" fillId="0" borderId="10" xfId="28" applyNumberFormat="1" applyFont="1" applyFill="1" applyBorder="1" applyAlignment="1">
      <alignment horizontal="center" vertical="center"/>
    </xf>
    <xf numFmtId="165" fontId="34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center" vertical="center"/>
    </xf>
    <xf numFmtId="165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 wrapText="1"/>
    </xf>
    <xf numFmtId="165" fontId="34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6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1" fillId="21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4" fontId="31" fillId="21" borderId="10" xfId="0" applyNumberFormat="1" applyFont="1" applyFill="1" applyBorder="1" applyAlignment="1">
      <alignment horizontal="right" vertical="center" wrapText="1"/>
    </xf>
    <xf numFmtId="4" fontId="32" fillId="0" borderId="10" xfId="0" applyNumberFormat="1" applyFont="1" applyFill="1" applyBorder="1" applyAlignment="1">
      <alignment horizontal="right" vertical="center" wrapText="1"/>
    </xf>
    <xf numFmtId="4" fontId="32" fillId="0" borderId="13" xfId="0" applyNumberFormat="1" applyFont="1" applyFill="1" applyBorder="1" applyAlignment="1">
      <alignment horizontal="right" vertical="center" wrapText="1"/>
    </xf>
    <xf numFmtId="4" fontId="32" fillId="21" borderId="15" xfId="0" applyNumberFormat="1" applyFont="1" applyFill="1" applyBorder="1" applyAlignment="1">
      <alignment horizontal="right" vertical="center" wrapText="1"/>
    </xf>
    <xf numFmtId="4" fontId="32" fillId="21" borderId="11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20" borderId="13" xfId="0" applyNumberFormat="1" applyFont="1" applyFill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Fill="1" applyBorder="1" applyAlignment="1">
      <alignment horizontal="right" vertical="center"/>
    </xf>
    <xf numFmtId="4" fontId="34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30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1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6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37" fillId="0" borderId="0" xfId="0" applyFont="1"/>
    <xf numFmtId="0" fontId="37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6" fillId="0" borderId="10" xfId="46" applyFont="1" applyBorder="1" applyAlignment="1">
      <alignment horizontal="left" vertical="center" wrapText="1" inden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11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6" fontId="6" fillId="0" borderId="13" xfId="0" applyNumberFormat="1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Dziesiętny 3 3" xfId="32" xr:uid="{00000000-0005-0000-0000-00001F000000}"/>
    <cellStyle name="Dziesiętny 3 4" xfId="33" xr:uid="{00000000-0005-0000-0000-000020000000}"/>
    <cellStyle name="Dziesiętny 4" xfId="34" xr:uid="{00000000-0005-0000-0000-000021000000}"/>
    <cellStyle name="Dziesiętny 5" xfId="35" xr:uid="{00000000-0005-0000-0000-000022000000}"/>
    <cellStyle name="Explanatory Text" xfId="36" xr:uid="{00000000-0005-0000-0000-000023000000}"/>
    <cellStyle name="Good" xfId="37" xr:uid="{00000000-0005-0000-0000-000024000000}"/>
    <cellStyle name="Heading 1" xfId="38" xr:uid="{00000000-0005-0000-0000-000025000000}"/>
    <cellStyle name="Heading 2" xfId="39" xr:uid="{00000000-0005-0000-0000-000026000000}"/>
    <cellStyle name="Heading 3" xfId="40" xr:uid="{00000000-0005-0000-0000-000027000000}"/>
    <cellStyle name="Heading 4" xfId="41" xr:uid="{00000000-0005-0000-0000-000028000000}"/>
    <cellStyle name="Input" xfId="42" xr:uid="{00000000-0005-0000-0000-000029000000}"/>
    <cellStyle name="Linked Cell" xfId="43" xr:uid="{00000000-0005-0000-0000-00002A000000}"/>
    <cellStyle name="Neutral" xfId="44" xr:uid="{00000000-0005-0000-0000-00002B000000}"/>
    <cellStyle name="Normalny" xfId="0" builtinId="0"/>
    <cellStyle name="Normalny 2" xfId="45" xr:uid="{00000000-0005-0000-0000-00002D000000}"/>
    <cellStyle name="Normalny 2 2" xfId="46" xr:uid="{00000000-0005-0000-0000-00002E000000}"/>
    <cellStyle name="Note" xfId="47" xr:uid="{00000000-0005-0000-0000-00002F000000}"/>
    <cellStyle name="Note 2" xfId="48" xr:uid="{00000000-0005-0000-0000-000030000000}"/>
    <cellStyle name="Output" xfId="49" xr:uid="{00000000-0005-0000-0000-000031000000}"/>
    <cellStyle name="Title" xfId="50" xr:uid="{00000000-0005-0000-0000-000032000000}"/>
    <cellStyle name="Total" xfId="51" xr:uid="{00000000-0005-0000-0000-000033000000}"/>
    <cellStyle name="Warning Text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41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4" width="14.5703125" style="15" customWidth="1"/>
    <col min="5" max="5" width="14.5703125" style="15" customWidth="1" outlineLevel="1"/>
    <col min="6" max="6" width="13.85546875" style="15" customWidth="1" outlineLevel="1"/>
    <col min="7" max="7" width="13" style="15" customWidth="1" outlineLevel="1"/>
    <col min="8" max="9" width="12.28515625" style="15" customWidth="1" outlineLevel="1"/>
    <col min="10" max="10" width="13" style="15" customWidth="1"/>
    <col min="11" max="11" width="7.42578125" style="15" customWidth="1"/>
    <col min="12" max="12" width="8.85546875" style="15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",$D$138," ",$C$139," rok    ",$C$141,"")</f>
        <v xml:space="preserve">Informacja z wykonania budżetów miast na prawach powiatu za I Kwartał 2024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10" t="s">
        <v>0</v>
      </c>
      <c r="C2" s="5" t="s">
        <v>28</v>
      </c>
      <c r="D2" s="5" t="s">
        <v>29</v>
      </c>
      <c r="E2" s="5" t="s">
        <v>30</v>
      </c>
      <c r="F2" s="5" t="s">
        <v>31</v>
      </c>
      <c r="G2" s="5" t="s">
        <v>32</v>
      </c>
      <c r="H2" s="5" t="s">
        <v>33</v>
      </c>
      <c r="I2" s="5" t="s">
        <v>34</v>
      </c>
      <c r="J2" s="6" t="s">
        <v>2</v>
      </c>
      <c r="K2" s="5" t="s">
        <v>16</v>
      </c>
      <c r="L2" s="5" t="s">
        <v>3</v>
      </c>
    </row>
    <row r="3" spans="2:13" x14ac:dyDescent="0.2">
      <c r="B3" s="110"/>
      <c r="C3" s="119" t="s">
        <v>78</v>
      </c>
      <c r="D3" s="120"/>
      <c r="E3" s="120"/>
      <c r="F3" s="120"/>
      <c r="G3" s="120"/>
      <c r="H3" s="120"/>
      <c r="I3" s="121"/>
      <c r="J3" s="122" t="s">
        <v>4</v>
      </c>
      <c r="K3" s="122"/>
      <c r="L3" s="122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129160212416.57</f>
        <v>129160212416.57001</v>
      </c>
      <c r="D5" s="67">
        <f>38613208158.27</f>
        <v>38613208158.269997</v>
      </c>
      <c r="E5" s="67">
        <f>306385655.09</f>
        <v>306385655.08999997</v>
      </c>
      <c r="F5" s="67">
        <f>84931468.8</f>
        <v>84931468.799999997</v>
      </c>
      <c r="G5" s="67">
        <f>7292356.04</f>
        <v>7292356.04</v>
      </c>
      <c r="H5" s="67">
        <f>38537198.69</f>
        <v>38537198.689999998</v>
      </c>
      <c r="I5" s="67">
        <f>2933259.53</f>
        <v>2933259.53</v>
      </c>
      <c r="J5" s="16">
        <f t="shared" ref="J5:J74" si="0">IF($D$5=0,"",100*$D5/$D$5)</f>
        <v>100</v>
      </c>
      <c r="K5" s="16">
        <f t="shared" ref="K5:K49" si="1">IF(C5=0,"",100*D5/C5)</f>
        <v>29.895590473120262</v>
      </c>
      <c r="L5" s="16"/>
    </row>
    <row r="6" spans="2:13" ht="25.5" customHeight="1" x14ac:dyDescent="0.2">
      <c r="B6" s="88" t="s">
        <v>57</v>
      </c>
      <c r="C6" s="67">
        <f>C5-C23-C60</f>
        <v>79197569160.87001</v>
      </c>
      <c r="D6" s="67">
        <f>D5-D23-D60</f>
        <v>21362447802.699997</v>
      </c>
      <c r="E6" s="67">
        <f>E5</f>
        <v>306385655.08999997</v>
      </c>
      <c r="F6" s="67">
        <f>F5</f>
        <v>84931468.799999997</v>
      </c>
      <c r="G6" s="67">
        <f>G5</f>
        <v>7292356.04</v>
      </c>
      <c r="H6" s="67">
        <f>H5</f>
        <v>38537198.689999998</v>
      </c>
      <c r="I6" s="67">
        <f>I5</f>
        <v>2933259.53</v>
      </c>
      <c r="J6" s="16">
        <f t="shared" si="0"/>
        <v>55.32419817368811</v>
      </c>
      <c r="K6" s="16">
        <f t="shared" si="1"/>
        <v>26.97361551502615</v>
      </c>
      <c r="L6" s="16">
        <f t="shared" ref="L6:L22" si="2">IF($D$6=0,"",100*$D6/$D$6)</f>
        <v>100</v>
      </c>
    </row>
    <row r="7" spans="2:13" ht="33.75" outlineLevel="1" x14ac:dyDescent="0.2">
      <c r="B7" s="89" t="s">
        <v>58</v>
      </c>
      <c r="C7" s="68">
        <f>5294432179</f>
        <v>5294432179</v>
      </c>
      <c r="D7" s="68">
        <f>1323607956</f>
        <v>1323607956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3.4278632082957756</v>
      </c>
      <c r="K7" s="18">
        <f t="shared" si="1"/>
        <v>24.999998323710702</v>
      </c>
      <c r="L7" s="18">
        <f t="shared" si="2"/>
        <v>6.1959564195293639</v>
      </c>
    </row>
    <row r="8" spans="2:13" ht="33.75" outlineLevel="1" x14ac:dyDescent="0.2">
      <c r="B8" s="10" t="s">
        <v>59</v>
      </c>
      <c r="C8" s="69">
        <f>1105433584</f>
        <v>1105433584</v>
      </c>
      <c r="D8" s="69">
        <f>276358299</f>
        <v>276358299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0.71570924090856947</v>
      </c>
      <c r="K8" s="18">
        <f t="shared" si="1"/>
        <v>24.99999122516256</v>
      </c>
      <c r="L8" s="18">
        <f t="shared" si="2"/>
        <v>1.2936640105684476</v>
      </c>
    </row>
    <row r="9" spans="2:13" ht="33.75" outlineLevel="1" x14ac:dyDescent="0.2">
      <c r="B9" s="10" t="s">
        <v>60</v>
      </c>
      <c r="C9" s="69">
        <f>25282663771</f>
        <v>25282663771</v>
      </c>
      <c r="D9" s="69">
        <f>6320665857</f>
        <v>6320665857</v>
      </c>
      <c r="E9" s="69">
        <f>0</f>
        <v>0</v>
      </c>
      <c r="F9" s="69">
        <f>0</f>
        <v>0</v>
      </c>
      <c r="G9" s="69">
        <f>0</f>
        <v>0</v>
      </c>
      <c r="H9" s="69">
        <f>0</f>
        <v>0</v>
      </c>
      <c r="I9" s="69">
        <f>0</f>
        <v>0</v>
      </c>
      <c r="J9" s="18">
        <f t="shared" si="0"/>
        <v>16.369180802311213</v>
      </c>
      <c r="K9" s="18">
        <f t="shared" si="1"/>
        <v>24.999999660834789</v>
      </c>
      <c r="L9" s="18">
        <f t="shared" si="2"/>
        <v>29.587741607968407</v>
      </c>
    </row>
    <row r="10" spans="2:13" ht="33.75" outlineLevel="1" x14ac:dyDescent="0.2">
      <c r="B10" s="10" t="s">
        <v>61</v>
      </c>
      <c r="C10" s="69">
        <f>6738549300</f>
        <v>6738549300</v>
      </c>
      <c r="D10" s="69">
        <f>1684637232</f>
        <v>1684637232</v>
      </c>
      <c r="E10" s="69">
        <f>0</f>
        <v>0</v>
      </c>
      <c r="F10" s="69">
        <f>0</f>
        <v>0</v>
      </c>
      <c r="G10" s="69">
        <f>0</f>
        <v>0</v>
      </c>
      <c r="H10" s="69">
        <f>0</f>
        <v>0</v>
      </c>
      <c r="I10" s="69">
        <f>0</f>
        <v>0</v>
      </c>
      <c r="J10" s="18">
        <f t="shared" si="0"/>
        <v>4.3628522786682575</v>
      </c>
      <c r="K10" s="18">
        <f t="shared" si="1"/>
        <v>24.999998619880987</v>
      </c>
      <c r="L10" s="18">
        <f t="shared" si="2"/>
        <v>7.885974713942093</v>
      </c>
    </row>
    <row r="11" spans="2:13" ht="12.95" customHeight="1" outlineLevel="1" x14ac:dyDescent="0.2">
      <c r="B11" s="10" t="s">
        <v>17</v>
      </c>
      <c r="C11" s="69">
        <f>30044827</f>
        <v>30044827</v>
      </c>
      <c r="D11" s="69">
        <f>17845461.97</f>
        <v>17845461.969999999</v>
      </c>
      <c r="E11" s="69">
        <f>638855.71</f>
        <v>638855.71</v>
      </c>
      <c r="F11" s="69">
        <f>2913.95</f>
        <v>2913.95</v>
      </c>
      <c r="G11" s="69">
        <f>4350.26</f>
        <v>4350.26</v>
      </c>
      <c r="H11" s="69">
        <f>26059.79</f>
        <v>26059.79</v>
      </c>
      <c r="I11" s="69">
        <f>0</f>
        <v>0</v>
      </c>
      <c r="J11" s="18">
        <f t="shared" si="0"/>
        <v>4.6215952574709701E-2</v>
      </c>
      <c r="K11" s="18">
        <f t="shared" si="1"/>
        <v>59.396121568614788</v>
      </c>
      <c r="L11" s="18">
        <f t="shared" si="2"/>
        <v>8.3536597185948483E-2</v>
      </c>
    </row>
    <row r="12" spans="2:13" ht="12.95" customHeight="1" outlineLevel="1" x14ac:dyDescent="0.2">
      <c r="B12" s="10" t="s">
        <v>18</v>
      </c>
      <c r="C12" s="69">
        <f>12848949940.43</f>
        <v>12848949940.43</v>
      </c>
      <c r="D12" s="70">
        <f>3790666204.64</f>
        <v>3790666204.6399999</v>
      </c>
      <c r="E12" s="69">
        <f>124863033.39</f>
        <v>124863033.39</v>
      </c>
      <c r="F12" s="69">
        <f>84473149.37</f>
        <v>84473149.370000005</v>
      </c>
      <c r="G12" s="69">
        <f>5598448.84</f>
        <v>5598448.8399999999</v>
      </c>
      <c r="H12" s="69">
        <f>30099550.3</f>
        <v>30099550.300000001</v>
      </c>
      <c r="I12" s="69">
        <f>2897147.11</f>
        <v>2897147.11</v>
      </c>
      <c r="J12" s="18">
        <f t="shared" si="0"/>
        <v>9.8170195781262297</v>
      </c>
      <c r="K12" s="18">
        <f t="shared" si="1"/>
        <v>29.501758682337449</v>
      </c>
      <c r="L12" s="18">
        <f t="shared" si="2"/>
        <v>17.744531149472948</v>
      </c>
    </row>
    <row r="13" spans="2:13" ht="12.95" customHeight="1" outlineLevel="1" x14ac:dyDescent="0.2">
      <c r="B13" s="10" t="s">
        <v>19</v>
      </c>
      <c r="C13" s="69">
        <f>7562082</f>
        <v>7562082</v>
      </c>
      <c r="D13" s="70">
        <f>2582557.3</f>
        <v>2582557.2999999998</v>
      </c>
      <c r="E13" s="69">
        <f>0</f>
        <v>0</v>
      </c>
      <c r="F13" s="69">
        <f>10958.48</f>
        <v>10958.48</v>
      </c>
      <c r="G13" s="69">
        <f>36.22</f>
        <v>36.22</v>
      </c>
      <c r="H13" s="69">
        <f>748.19</f>
        <v>748.19</v>
      </c>
      <c r="I13" s="69">
        <f>0</f>
        <v>0</v>
      </c>
      <c r="J13" s="18">
        <f t="shared" si="0"/>
        <v>6.6882743578686029E-3</v>
      </c>
      <c r="K13" s="18">
        <f t="shared" si="1"/>
        <v>34.151405657859826</v>
      </c>
      <c r="L13" s="18">
        <f t="shared" si="2"/>
        <v>1.2089238667085663E-2</v>
      </c>
    </row>
    <row r="14" spans="2:13" ht="12.95" customHeight="1" outlineLevel="1" x14ac:dyDescent="0.2">
      <c r="B14" s="10" t="s">
        <v>20</v>
      </c>
      <c r="C14" s="69">
        <f>418726339</f>
        <v>418726339</v>
      </c>
      <c r="D14" s="70">
        <f>193689120.46</f>
        <v>193689120.46000001</v>
      </c>
      <c r="E14" s="69">
        <f>177565289.72</f>
        <v>177565289.72</v>
      </c>
      <c r="F14" s="69">
        <f>444447</f>
        <v>444447</v>
      </c>
      <c r="G14" s="69">
        <f>44009.47</f>
        <v>44009.47</v>
      </c>
      <c r="H14" s="69">
        <f>568215.59</f>
        <v>568215.59</v>
      </c>
      <c r="I14" s="69">
        <f>0</f>
        <v>0</v>
      </c>
      <c r="J14" s="18">
        <f t="shared" si="0"/>
        <v>0.5016136438756813</v>
      </c>
      <c r="K14" s="18">
        <f t="shared" si="1"/>
        <v>46.256732003667913</v>
      </c>
      <c r="L14" s="18">
        <f t="shared" si="2"/>
        <v>0.90668036850870459</v>
      </c>
    </row>
    <row r="15" spans="2:13" ht="33.75" outlineLevel="1" x14ac:dyDescent="0.2">
      <c r="B15" s="10" t="s">
        <v>36</v>
      </c>
      <c r="C15" s="69">
        <f>91678710</f>
        <v>91678710</v>
      </c>
      <c r="D15" s="70">
        <f>15312277.39</f>
        <v>15312277.390000001</v>
      </c>
      <c r="E15" s="69">
        <f>0</f>
        <v>0</v>
      </c>
      <c r="F15" s="69">
        <f>0</f>
        <v>0</v>
      </c>
      <c r="G15" s="69">
        <f>25975.44</f>
        <v>25975.439999999999</v>
      </c>
      <c r="H15" s="69">
        <f>49469.38</f>
        <v>49469.38</v>
      </c>
      <c r="I15" s="69">
        <f>0</f>
        <v>0</v>
      </c>
      <c r="J15" s="18">
        <f t="shared" si="0"/>
        <v>3.9655543065049592E-2</v>
      </c>
      <c r="K15" s="18">
        <f t="shared" si="1"/>
        <v>16.702108253922859</v>
      </c>
      <c r="L15" s="18">
        <f t="shared" si="2"/>
        <v>7.1678477726062284E-2</v>
      </c>
    </row>
    <row r="16" spans="2:13" ht="12.95" customHeight="1" outlineLevel="1" x14ac:dyDescent="0.2">
      <c r="B16" s="10" t="s">
        <v>25</v>
      </c>
      <c r="C16" s="69">
        <f>275356564</f>
        <v>275356564</v>
      </c>
      <c r="D16" s="70">
        <f>82249423.87</f>
        <v>82249423.870000005</v>
      </c>
      <c r="E16" s="69">
        <f>0</f>
        <v>0</v>
      </c>
      <c r="F16" s="69">
        <f>0</f>
        <v>0</v>
      </c>
      <c r="G16" s="69">
        <f>407805.13</f>
        <v>407805.13</v>
      </c>
      <c r="H16" s="69">
        <f>3857958.9</f>
        <v>3857958.9</v>
      </c>
      <c r="I16" s="69">
        <f>0</f>
        <v>0</v>
      </c>
      <c r="J16" s="18">
        <f t="shared" si="0"/>
        <v>0.21300852167701637</v>
      </c>
      <c r="K16" s="18">
        <f t="shared" si="1"/>
        <v>29.870151876967785</v>
      </c>
      <c r="L16" s="18">
        <f t="shared" si="2"/>
        <v>0.38501872364834755</v>
      </c>
    </row>
    <row r="17" spans="2:12" ht="22.5" customHeight="1" outlineLevel="1" x14ac:dyDescent="0.2">
      <c r="B17" s="10" t="s">
        <v>26</v>
      </c>
      <c r="C17" s="69">
        <f>1830299630</f>
        <v>1830299630</v>
      </c>
      <c r="D17" s="70">
        <f>490736693.39</f>
        <v>490736693.38999999</v>
      </c>
      <c r="E17" s="69">
        <f>0</f>
        <v>0</v>
      </c>
      <c r="F17" s="69">
        <f>0</f>
        <v>0</v>
      </c>
      <c r="G17" s="69">
        <f>17880.2</f>
        <v>17880.2</v>
      </c>
      <c r="H17" s="69">
        <f>193797.24</f>
        <v>193797.24</v>
      </c>
      <c r="I17" s="69">
        <f>0</f>
        <v>0</v>
      </c>
      <c r="J17" s="18">
        <f t="shared" si="0"/>
        <v>1.2709037057437464</v>
      </c>
      <c r="K17" s="18">
        <f t="shared" si="1"/>
        <v>26.81182279373569</v>
      </c>
      <c r="L17" s="18">
        <f t="shared" si="2"/>
        <v>2.2971931771225949</v>
      </c>
    </row>
    <row r="18" spans="2:12" ht="12.95" customHeight="1" outlineLevel="1" x14ac:dyDescent="0.2">
      <c r="B18" s="10" t="s">
        <v>50</v>
      </c>
      <c r="C18" s="69">
        <f>409283194</f>
        <v>409283194</v>
      </c>
      <c r="D18" s="70">
        <f>128198953.7</f>
        <v>128198953.7</v>
      </c>
      <c r="E18" s="69">
        <f>0</f>
        <v>0</v>
      </c>
      <c r="F18" s="69">
        <f>0</f>
        <v>0</v>
      </c>
      <c r="G18" s="69">
        <f>2161</f>
        <v>2161</v>
      </c>
      <c r="H18" s="69">
        <f>37</f>
        <v>37</v>
      </c>
      <c r="I18" s="69">
        <f>0</f>
        <v>0</v>
      </c>
      <c r="J18" s="18">
        <f t="shared" si="0"/>
        <v>0.33200803511205518</v>
      </c>
      <c r="K18" s="18">
        <f t="shared" si="1"/>
        <v>31.322799367129647</v>
      </c>
      <c r="L18" s="18">
        <f t="shared" si="2"/>
        <v>0.60011359598873759</v>
      </c>
    </row>
    <row r="19" spans="2:12" ht="12.95" customHeight="1" outlineLevel="1" x14ac:dyDescent="0.2">
      <c r="B19" s="10" t="s">
        <v>51</v>
      </c>
      <c r="C19" s="69">
        <f>9588000</f>
        <v>9588000</v>
      </c>
      <c r="D19" s="70">
        <f>4803507.82</f>
        <v>4803507.82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1.2440064032781506E-2</v>
      </c>
      <c r="K19" s="18">
        <f t="shared" si="1"/>
        <v>50.099163746349603</v>
      </c>
      <c r="L19" s="18">
        <f t="shared" si="2"/>
        <v>2.2485755679144997E-2</v>
      </c>
    </row>
    <row r="20" spans="2:12" ht="12.95" customHeight="1" outlineLevel="1" x14ac:dyDescent="0.2">
      <c r="B20" s="10" t="s">
        <v>52</v>
      </c>
      <c r="C20" s="69">
        <f>13249000</f>
        <v>13249000</v>
      </c>
      <c r="D20" s="70">
        <f>2198754.1</f>
        <v>2198754.1</v>
      </c>
      <c r="E20" s="69">
        <f>0</f>
        <v>0</v>
      </c>
      <c r="F20" s="69">
        <f>0</f>
        <v>0</v>
      </c>
      <c r="G20" s="69">
        <f>0</f>
        <v>0</v>
      </c>
      <c r="H20" s="69">
        <f>0</f>
        <v>0</v>
      </c>
      <c r="I20" s="69">
        <f>0</f>
        <v>0</v>
      </c>
      <c r="J20" s="18">
        <f t="shared" si="0"/>
        <v>5.6943056660498726E-3</v>
      </c>
      <c r="K20" s="18">
        <f t="shared" si="1"/>
        <v>16.595623065891765</v>
      </c>
      <c r="L20" s="18">
        <f t="shared" si="2"/>
        <v>1.0292613095218891E-2</v>
      </c>
    </row>
    <row r="21" spans="2:12" ht="12.95" customHeight="1" outlineLevel="1" x14ac:dyDescent="0.2">
      <c r="B21" s="10" t="s">
        <v>21</v>
      </c>
      <c r="C21" s="69">
        <f>5523530624.81</f>
        <v>5523530624.8100004</v>
      </c>
      <c r="D21" s="70">
        <f>1392397799.65</f>
        <v>1392397799.6500001</v>
      </c>
      <c r="E21" s="69">
        <f>0</f>
        <v>0</v>
      </c>
      <c r="F21" s="69">
        <f>0</f>
        <v>0</v>
      </c>
      <c r="G21" s="69">
        <f>0</f>
        <v>0</v>
      </c>
      <c r="H21" s="69">
        <f>0</f>
        <v>0</v>
      </c>
      <c r="I21" s="69">
        <f>0</f>
        <v>0</v>
      </c>
      <c r="J21" s="18">
        <f t="shared" si="0"/>
        <v>3.6060142786964535</v>
      </c>
      <c r="K21" s="18">
        <f t="shared" si="1"/>
        <v>25.208474329729928</v>
      </c>
      <c r="L21" s="18">
        <f t="shared" si="2"/>
        <v>6.5179693474734437</v>
      </c>
    </row>
    <row r="22" spans="2:12" ht="12.95" customHeight="1" outlineLevel="1" x14ac:dyDescent="0.2">
      <c r="B22" s="10" t="s">
        <v>22</v>
      </c>
      <c r="C22" s="69">
        <f>C6-SUM(C7:C21)</f>
        <v>19318221415.630013</v>
      </c>
      <c r="D22" s="69">
        <f t="shared" ref="D22:I22" si="3">D6-SUM(D7:D21)</f>
        <v>5636497704.4099998</v>
      </c>
      <c r="E22" s="69">
        <f t="shared" si="3"/>
        <v>3318476.2699999809</v>
      </c>
      <c r="F22" s="69">
        <f t="shared" si="3"/>
        <v>0</v>
      </c>
      <c r="G22" s="69">
        <f t="shared" si="3"/>
        <v>1191689.4800000004</v>
      </c>
      <c r="H22" s="69">
        <f t="shared" si="3"/>
        <v>3741362.299999997</v>
      </c>
      <c r="I22" s="69">
        <f t="shared" si="3"/>
        <v>36112.419999999925</v>
      </c>
      <c r="J22" s="18">
        <f t="shared" si="0"/>
        <v>14.597330740576657</v>
      </c>
      <c r="K22" s="18">
        <f t="shared" si="1"/>
        <v>29.177104781756022</v>
      </c>
      <c r="L22" s="18">
        <f t="shared" si="2"/>
        <v>26.385074203423468</v>
      </c>
    </row>
    <row r="23" spans="2:12" ht="26.25" customHeight="1" x14ac:dyDescent="0.2">
      <c r="B23" s="88" t="s">
        <v>106</v>
      </c>
      <c r="C23" s="67">
        <f>C24+C56+C58</f>
        <v>16302796973.749998</v>
      </c>
      <c r="D23" s="67">
        <f>D24+D56+D58</f>
        <v>4442333104.5699987</v>
      </c>
      <c r="E23" s="20" t="s">
        <v>56</v>
      </c>
      <c r="F23" s="20" t="s">
        <v>56</v>
      </c>
      <c r="G23" s="20" t="s">
        <v>56</v>
      </c>
      <c r="H23" s="20" t="s">
        <v>56</v>
      </c>
      <c r="I23" s="20" t="s">
        <v>56</v>
      </c>
      <c r="J23" s="16">
        <f t="shared" si="0"/>
        <v>11.504698305205601</v>
      </c>
      <c r="K23" s="16">
        <f t="shared" si="1"/>
        <v>27.248901594756017</v>
      </c>
      <c r="L23" s="21"/>
    </row>
    <row r="24" spans="2:12" ht="25.5" customHeight="1" outlineLevel="1" x14ac:dyDescent="0.2">
      <c r="B24" s="90" t="s">
        <v>62</v>
      </c>
      <c r="C24" s="67">
        <f>C25+C32+C39</f>
        <v>13621151244.309999</v>
      </c>
      <c r="D24" s="67">
        <f>D25+D32+D39</f>
        <v>3811654297.75</v>
      </c>
      <c r="E24" s="20" t="s">
        <v>56</v>
      </c>
      <c r="F24" s="20" t="s">
        <v>56</v>
      </c>
      <c r="G24" s="20" t="s">
        <v>56</v>
      </c>
      <c r="H24" s="20" t="s">
        <v>56</v>
      </c>
      <c r="I24" s="20" t="s">
        <v>56</v>
      </c>
      <c r="J24" s="16">
        <f t="shared" si="0"/>
        <v>9.8713742772332616</v>
      </c>
      <c r="K24" s="16">
        <f t="shared" si="1"/>
        <v>27.9833490531298</v>
      </c>
      <c r="L24" s="22"/>
    </row>
    <row r="25" spans="2:12" ht="13.5" customHeight="1" outlineLevel="1" x14ac:dyDescent="0.2">
      <c r="B25" s="91" t="s">
        <v>53</v>
      </c>
      <c r="C25" s="67">
        <f>C26+C28+C30</f>
        <v>6263831867.6800003</v>
      </c>
      <c r="D25" s="67">
        <f>D26+D28+D30</f>
        <v>1911367529.51</v>
      </c>
      <c r="E25" s="20" t="s">
        <v>56</v>
      </c>
      <c r="F25" s="20" t="s">
        <v>56</v>
      </c>
      <c r="G25" s="20" t="s">
        <v>56</v>
      </c>
      <c r="H25" s="20" t="s">
        <v>56</v>
      </c>
      <c r="I25" s="20" t="s">
        <v>56</v>
      </c>
      <c r="J25" s="16">
        <f t="shared" si="0"/>
        <v>4.9500355465818302</v>
      </c>
      <c r="K25" s="16">
        <f t="shared" si="1"/>
        <v>30.514349201680165</v>
      </c>
      <c r="L25" s="22"/>
    </row>
    <row r="26" spans="2:12" ht="22.5" customHeight="1" outlineLevel="1" x14ac:dyDescent="0.2">
      <c r="B26" s="93" t="s">
        <v>112</v>
      </c>
      <c r="C26" s="68">
        <f>4153099952.21</f>
        <v>4153099952.21</v>
      </c>
      <c r="D26" s="71">
        <f>1371497172.62</f>
        <v>1371497172.6199999</v>
      </c>
      <c r="E26" s="17" t="s">
        <v>56</v>
      </c>
      <c r="F26" s="17" t="s">
        <v>56</v>
      </c>
      <c r="G26" s="17" t="s">
        <v>56</v>
      </c>
      <c r="H26" s="17" t="s">
        <v>56</v>
      </c>
      <c r="I26" s="17" t="s">
        <v>56</v>
      </c>
      <c r="J26" s="18">
        <f t="shared" si="0"/>
        <v>3.5518860981414178</v>
      </c>
      <c r="K26" s="18">
        <f t="shared" si="1"/>
        <v>33.023456897303454</v>
      </c>
      <c r="L26" s="22"/>
    </row>
    <row r="27" spans="2:12" ht="12.95" customHeight="1" outlineLevel="1" x14ac:dyDescent="0.2">
      <c r="B27" s="95" t="s">
        <v>6</v>
      </c>
      <c r="C27" s="69">
        <f>0</f>
        <v>0</v>
      </c>
      <c r="D27" s="69">
        <f>0</f>
        <v>0</v>
      </c>
      <c r="E27" s="19" t="s">
        <v>56</v>
      </c>
      <c r="F27" s="19" t="s">
        <v>56</v>
      </c>
      <c r="G27" s="19" t="s">
        <v>56</v>
      </c>
      <c r="H27" s="19" t="s">
        <v>56</v>
      </c>
      <c r="I27" s="19" t="s">
        <v>56</v>
      </c>
      <c r="J27" s="18">
        <f t="shared" si="0"/>
        <v>0</v>
      </c>
      <c r="K27" s="18" t="str">
        <f t="shared" si="1"/>
        <v/>
      </c>
      <c r="L27" s="22"/>
    </row>
    <row r="28" spans="2:12" ht="13.5" customHeight="1" outlineLevel="1" x14ac:dyDescent="0.2">
      <c r="B28" s="93" t="s">
        <v>113</v>
      </c>
      <c r="C28" s="69">
        <f>2092680051.59</f>
        <v>2092680051.5899999</v>
      </c>
      <c r="D28" s="70">
        <f>539115197.51</f>
        <v>539115197.50999999</v>
      </c>
      <c r="E28" s="19" t="s">
        <v>56</v>
      </c>
      <c r="F28" s="19" t="s">
        <v>56</v>
      </c>
      <c r="G28" s="19" t="s">
        <v>56</v>
      </c>
      <c r="H28" s="19" t="s">
        <v>56</v>
      </c>
      <c r="I28" s="19" t="s">
        <v>56</v>
      </c>
      <c r="J28" s="18">
        <f t="shared" si="0"/>
        <v>1.3961937461923501</v>
      </c>
      <c r="K28" s="18">
        <f t="shared" si="1"/>
        <v>25.761950428130902</v>
      </c>
      <c r="L28" s="22"/>
    </row>
    <row r="29" spans="2:12" ht="12.95" customHeight="1" outlineLevel="1" x14ac:dyDescent="0.2">
      <c r="B29" s="95" t="s">
        <v>6</v>
      </c>
      <c r="C29" s="69">
        <f>193950290.08</f>
        <v>193950290.08000001</v>
      </c>
      <c r="D29" s="69">
        <f>1843653.57</f>
        <v>1843653.57</v>
      </c>
      <c r="E29" s="19" t="s">
        <v>56</v>
      </c>
      <c r="F29" s="19" t="s">
        <v>56</v>
      </c>
      <c r="G29" s="19" t="s">
        <v>56</v>
      </c>
      <c r="H29" s="19" t="s">
        <v>56</v>
      </c>
      <c r="I29" s="19" t="s">
        <v>56</v>
      </c>
      <c r="J29" s="18">
        <f t="shared" si="0"/>
        <v>4.7746707873718465E-3</v>
      </c>
      <c r="K29" s="18">
        <f t="shared" si="1"/>
        <v>0.95058046535508434</v>
      </c>
      <c r="L29" s="22"/>
    </row>
    <row r="30" spans="2:12" ht="33.75" outlineLevel="1" x14ac:dyDescent="0.2">
      <c r="B30" s="93" t="s">
        <v>8</v>
      </c>
      <c r="C30" s="69">
        <f>18051863.88</f>
        <v>18051863.879999999</v>
      </c>
      <c r="D30" s="70">
        <f>755159.38</f>
        <v>755159.38</v>
      </c>
      <c r="E30" s="19" t="s">
        <v>56</v>
      </c>
      <c r="F30" s="19" t="s">
        <v>56</v>
      </c>
      <c r="G30" s="19" t="s">
        <v>56</v>
      </c>
      <c r="H30" s="19" t="s">
        <v>56</v>
      </c>
      <c r="I30" s="19" t="s">
        <v>56</v>
      </c>
      <c r="J30" s="18">
        <f t="shared" si="0"/>
        <v>1.9557022480616222E-3</v>
      </c>
      <c r="K30" s="18">
        <f t="shared" si="1"/>
        <v>4.183276502747483</v>
      </c>
      <c r="L30" s="22"/>
    </row>
    <row r="31" spans="2:12" ht="12.95" customHeight="1" outlineLevel="1" x14ac:dyDescent="0.2">
      <c r="B31" s="95" t="s">
        <v>6</v>
      </c>
      <c r="C31" s="69">
        <f>7496029</f>
        <v>7496029</v>
      </c>
      <c r="D31" s="69">
        <f>0</f>
        <v>0</v>
      </c>
      <c r="E31" s="19" t="s">
        <v>56</v>
      </c>
      <c r="F31" s="19" t="s">
        <v>56</v>
      </c>
      <c r="G31" s="19" t="s">
        <v>56</v>
      </c>
      <c r="H31" s="19" t="s">
        <v>56</v>
      </c>
      <c r="I31" s="19" t="s">
        <v>56</v>
      </c>
      <c r="J31" s="18">
        <f t="shared" si="0"/>
        <v>0</v>
      </c>
      <c r="K31" s="18">
        <f t="shared" si="1"/>
        <v>0</v>
      </c>
      <c r="L31" s="22"/>
    </row>
    <row r="32" spans="2:12" ht="13.5" customHeight="1" outlineLevel="1" x14ac:dyDescent="0.2">
      <c r="B32" s="92" t="s">
        <v>54</v>
      </c>
      <c r="C32" s="67">
        <f>C33+C35+C37</f>
        <v>2397158129.5500002</v>
      </c>
      <c r="D32" s="67">
        <f>D33+D35+D37</f>
        <v>826103995.66000009</v>
      </c>
      <c r="E32" s="20" t="s">
        <v>56</v>
      </c>
      <c r="F32" s="20" t="s">
        <v>56</v>
      </c>
      <c r="G32" s="20" t="s">
        <v>56</v>
      </c>
      <c r="H32" s="20" t="s">
        <v>56</v>
      </c>
      <c r="I32" s="20" t="s">
        <v>56</v>
      </c>
      <c r="J32" s="16">
        <f t="shared" si="0"/>
        <v>2.1394337198657993</v>
      </c>
      <c r="K32" s="16">
        <f t="shared" si="1"/>
        <v>34.461806481455532</v>
      </c>
      <c r="L32" s="22"/>
    </row>
    <row r="33" spans="2:12" ht="22.5" outlineLevel="1" x14ac:dyDescent="0.2">
      <c r="B33" s="93" t="s">
        <v>112</v>
      </c>
      <c r="C33" s="69">
        <f>2152053074.15</f>
        <v>2152053074.1500001</v>
      </c>
      <c r="D33" s="69">
        <f>779388197.33</f>
        <v>779388197.33000004</v>
      </c>
      <c r="E33" s="19" t="s">
        <v>56</v>
      </c>
      <c r="F33" s="19" t="s">
        <v>56</v>
      </c>
      <c r="G33" s="19" t="s">
        <v>56</v>
      </c>
      <c r="H33" s="19" t="s">
        <v>56</v>
      </c>
      <c r="I33" s="19" t="s">
        <v>56</v>
      </c>
      <c r="J33" s="18">
        <f t="shared" si="0"/>
        <v>2.0184497339236867</v>
      </c>
      <c r="K33" s="18">
        <f t="shared" si="1"/>
        <v>36.216030482326104</v>
      </c>
      <c r="L33" s="22"/>
    </row>
    <row r="34" spans="2:12" ht="12.95" customHeight="1" outlineLevel="1" x14ac:dyDescent="0.2">
      <c r="B34" s="95" t="s">
        <v>6</v>
      </c>
      <c r="C34" s="69">
        <f>89672818</f>
        <v>89672818</v>
      </c>
      <c r="D34" s="70">
        <f>3901395.05</f>
        <v>3901395.05</v>
      </c>
      <c r="E34" s="19" t="s">
        <v>56</v>
      </c>
      <c r="F34" s="19" t="s">
        <v>56</v>
      </c>
      <c r="G34" s="19" t="s">
        <v>56</v>
      </c>
      <c r="H34" s="19" t="s">
        <v>56</v>
      </c>
      <c r="I34" s="19" t="s">
        <v>56</v>
      </c>
      <c r="J34" s="18">
        <f t="shared" si="0"/>
        <v>1.0103783746765464E-2</v>
      </c>
      <c r="K34" s="18">
        <f t="shared" si="1"/>
        <v>4.3506997293204277</v>
      </c>
      <c r="L34" s="22"/>
    </row>
    <row r="35" spans="2:12" ht="12.95" customHeight="1" outlineLevel="1" x14ac:dyDescent="0.2">
      <c r="B35" s="93" t="s">
        <v>113</v>
      </c>
      <c r="C35" s="69">
        <f>177498260</f>
        <v>177498260</v>
      </c>
      <c r="D35" s="69">
        <f>38564882.33</f>
        <v>38564882.329999998</v>
      </c>
      <c r="E35" s="19" t="s">
        <v>56</v>
      </c>
      <c r="F35" s="19" t="s">
        <v>56</v>
      </c>
      <c r="G35" s="19" t="s">
        <v>56</v>
      </c>
      <c r="H35" s="19" t="s">
        <v>56</v>
      </c>
      <c r="I35" s="19" t="s">
        <v>56</v>
      </c>
      <c r="J35" s="18">
        <f t="shared" si="0"/>
        <v>9.9874846378804075E-2</v>
      </c>
      <c r="K35" s="18">
        <f t="shared" si="1"/>
        <v>21.726907255316192</v>
      </c>
      <c r="L35" s="22"/>
    </row>
    <row r="36" spans="2:12" ht="12.95" customHeight="1" outlineLevel="1" x14ac:dyDescent="0.2">
      <c r="B36" s="95" t="s">
        <v>6</v>
      </c>
      <c r="C36" s="69">
        <f>26701860</f>
        <v>26701860</v>
      </c>
      <c r="D36" s="70">
        <f>0</f>
        <v>0</v>
      </c>
      <c r="E36" s="19" t="s">
        <v>56</v>
      </c>
      <c r="F36" s="19" t="s">
        <v>56</v>
      </c>
      <c r="G36" s="19" t="s">
        <v>56</v>
      </c>
      <c r="H36" s="19" t="s">
        <v>56</v>
      </c>
      <c r="I36" s="19" t="s">
        <v>56</v>
      </c>
      <c r="J36" s="18">
        <f t="shared" si="0"/>
        <v>0</v>
      </c>
      <c r="K36" s="18">
        <f t="shared" si="1"/>
        <v>0</v>
      </c>
      <c r="L36" s="22"/>
    </row>
    <row r="37" spans="2:12" ht="33.75" outlineLevel="1" x14ac:dyDescent="0.2">
      <c r="B37" s="93" t="s">
        <v>8</v>
      </c>
      <c r="C37" s="69">
        <f>67606795.4</f>
        <v>67606795.400000006</v>
      </c>
      <c r="D37" s="69">
        <f>8150916</f>
        <v>8150916</v>
      </c>
      <c r="E37" s="19" t="s">
        <v>56</v>
      </c>
      <c r="F37" s="19" t="s">
        <v>56</v>
      </c>
      <c r="G37" s="19" t="s">
        <v>56</v>
      </c>
      <c r="H37" s="19" t="s">
        <v>56</v>
      </c>
      <c r="I37" s="19" t="s">
        <v>56</v>
      </c>
      <c r="J37" s="18">
        <f t="shared" si="0"/>
        <v>2.1109139563308402E-2</v>
      </c>
      <c r="K37" s="18">
        <f t="shared" si="1"/>
        <v>12.056356098191868</v>
      </c>
      <c r="L37" s="22"/>
    </row>
    <row r="38" spans="2:12" ht="12.95" customHeight="1" outlineLevel="1" x14ac:dyDescent="0.2">
      <c r="B38" s="95" t="s">
        <v>6</v>
      </c>
      <c r="C38" s="69">
        <f>5608590.38</f>
        <v>5608590.3799999999</v>
      </c>
      <c r="D38" s="70">
        <f>800000</f>
        <v>800000</v>
      </c>
      <c r="E38" s="19" t="s">
        <v>56</v>
      </c>
      <c r="F38" s="19" t="s">
        <v>56</v>
      </c>
      <c r="G38" s="19" t="s">
        <v>56</v>
      </c>
      <c r="H38" s="19" t="s">
        <v>56</v>
      </c>
      <c r="I38" s="19" t="s">
        <v>56</v>
      </c>
      <c r="J38" s="18">
        <f t="shared" si="0"/>
        <v>2.0718299207900955E-3</v>
      </c>
      <c r="K38" s="18">
        <f t="shared" si="1"/>
        <v>14.263833615889775</v>
      </c>
      <c r="L38" s="22"/>
    </row>
    <row r="39" spans="2:12" ht="13.5" customHeight="1" outlineLevel="1" x14ac:dyDescent="0.2">
      <c r="B39" s="91" t="s">
        <v>55</v>
      </c>
      <c r="C39" s="67">
        <f>C40+C42+C44+C48+C50+C46+C52+C54</f>
        <v>4960161247.0799999</v>
      </c>
      <c r="D39" s="67">
        <f>D40+D42+D44+D48+D50+D46+D52+D54</f>
        <v>1074182772.5799999</v>
      </c>
      <c r="E39" s="20" t="s">
        <v>56</v>
      </c>
      <c r="F39" s="20" t="s">
        <v>56</v>
      </c>
      <c r="G39" s="20" t="s">
        <v>56</v>
      </c>
      <c r="H39" s="20" t="s">
        <v>56</v>
      </c>
      <c r="I39" s="20" t="s">
        <v>56</v>
      </c>
      <c r="J39" s="16">
        <f t="shared" si="0"/>
        <v>2.7819050107856333</v>
      </c>
      <c r="K39" s="16">
        <f t="shared" si="1"/>
        <v>21.656206705222765</v>
      </c>
      <c r="L39" s="22"/>
    </row>
    <row r="40" spans="2:12" ht="33.75" outlineLevel="1" x14ac:dyDescent="0.2">
      <c r="B40" s="93" t="s">
        <v>117</v>
      </c>
      <c r="C40" s="68">
        <f>0</f>
        <v>0</v>
      </c>
      <c r="D40" s="71">
        <f>0</f>
        <v>0</v>
      </c>
      <c r="E40" s="19" t="s">
        <v>56</v>
      </c>
      <c r="F40" s="19" t="s">
        <v>56</v>
      </c>
      <c r="G40" s="19" t="s">
        <v>56</v>
      </c>
      <c r="H40" s="19" t="s">
        <v>56</v>
      </c>
      <c r="I40" s="19" t="s">
        <v>56</v>
      </c>
      <c r="J40" s="18">
        <f t="shared" si="0"/>
        <v>0</v>
      </c>
      <c r="K40" s="18" t="str">
        <f t="shared" si="1"/>
        <v/>
      </c>
      <c r="L40" s="22"/>
    </row>
    <row r="41" spans="2:12" ht="13.5" customHeight="1" outlineLevel="1" x14ac:dyDescent="0.2">
      <c r="B41" s="95" t="s">
        <v>6</v>
      </c>
      <c r="C41" s="68">
        <f>0</f>
        <v>0</v>
      </c>
      <c r="D41" s="71">
        <f>0</f>
        <v>0</v>
      </c>
      <c r="E41" s="19" t="s">
        <v>56</v>
      </c>
      <c r="F41" s="19" t="s">
        <v>56</v>
      </c>
      <c r="G41" s="19" t="s">
        <v>56</v>
      </c>
      <c r="H41" s="19" t="s">
        <v>56</v>
      </c>
      <c r="I41" s="19" t="s">
        <v>56</v>
      </c>
      <c r="J41" s="18">
        <f t="shared" si="0"/>
        <v>0</v>
      </c>
      <c r="K41" s="18" t="str">
        <f t="shared" si="1"/>
        <v/>
      </c>
      <c r="L41" s="22"/>
    </row>
    <row r="42" spans="2:12" ht="22.5" outlineLevel="1" x14ac:dyDescent="0.2">
      <c r="B42" s="93" t="s">
        <v>118</v>
      </c>
      <c r="C42" s="68">
        <f>0</f>
        <v>0</v>
      </c>
      <c r="D42" s="71">
        <f>202763.2</f>
        <v>202763.2</v>
      </c>
      <c r="E42" s="19" t="s">
        <v>56</v>
      </c>
      <c r="F42" s="19" t="s">
        <v>56</v>
      </c>
      <c r="G42" s="19" t="s">
        <v>56</v>
      </c>
      <c r="H42" s="19" t="s">
        <v>56</v>
      </c>
      <c r="I42" s="19" t="s">
        <v>56</v>
      </c>
      <c r="J42" s="18">
        <f t="shared" si="0"/>
        <v>5.2511358074393288E-4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56</v>
      </c>
      <c r="F43" s="19" t="s">
        <v>56</v>
      </c>
      <c r="G43" s="19" t="s">
        <v>56</v>
      </c>
      <c r="H43" s="19" t="s">
        <v>56</v>
      </c>
      <c r="I43" s="19" t="s">
        <v>56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</v>
      </c>
      <c r="C44" s="68">
        <f>761485240.78</f>
        <v>761485240.77999997</v>
      </c>
      <c r="D44" s="71">
        <f>190739057.27</f>
        <v>190739057.27000001</v>
      </c>
      <c r="E44" s="17" t="s">
        <v>56</v>
      </c>
      <c r="F44" s="17" t="s">
        <v>56</v>
      </c>
      <c r="G44" s="17" t="s">
        <v>56</v>
      </c>
      <c r="H44" s="17" t="s">
        <v>56</v>
      </c>
      <c r="I44" s="17" t="s">
        <v>56</v>
      </c>
      <c r="J44" s="18">
        <f t="shared" si="0"/>
        <v>0.49397360739410201</v>
      </c>
      <c r="K44" s="18">
        <f t="shared" si="1"/>
        <v>25.048293394974184</v>
      </c>
      <c r="L44" s="22"/>
    </row>
    <row r="45" spans="2:12" ht="12.95" customHeight="1" outlineLevel="1" x14ac:dyDescent="0.2">
      <c r="B45" s="95" t="s">
        <v>6</v>
      </c>
      <c r="C45" s="69">
        <f>1927219.3</f>
        <v>1927219.3</v>
      </c>
      <c r="D45" s="69">
        <f>1672989</f>
        <v>1672989</v>
      </c>
      <c r="E45" s="19" t="s">
        <v>56</v>
      </c>
      <c r="F45" s="19" t="s">
        <v>56</v>
      </c>
      <c r="G45" s="19" t="s">
        <v>56</v>
      </c>
      <c r="H45" s="19" t="s">
        <v>56</v>
      </c>
      <c r="I45" s="19" t="s">
        <v>56</v>
      </c>
      <c r="J45" s="18">
        <f t="shared" si="0"/>
        <v>4.3326858341908763E-3</v>
      </c>
      <c r="K45" s="18">
        <f t="shared" si="1"/>
        <v>86.808439496221311</v>
      </c>
      <c r="L45" s="22"/>
    </row>
    <row r="46" spans="2:12" ht="33.75" outlineLevel="1" x14ac:dyDescent="0.2">
      <c r="B46" s="93" t="s">
        <v>79</v>
      </c>
      <c r="C46" s="69">
        <f>413461679</f>
        <v>413461679</v>
      </c>
      <c r="D46" s="69">
        <f>112183792.53</f>
        <v>112183792.53</v>
      </c>
      <c r="E46" s="19" t="s">
        <v>56</v>
      </c>
      <c r="F46" s="19" t="s">
        <v>56</v>
      </c>
      <c r="G46" s="19" t="s">
        <v>56</v>
      </c>
      <c r="H46" s="19" t="s">
        <v>56</v>
      </c>
      <c r="I46" s="19" t="s">
        <v>56</v>
      </c>
      <c r="J46" s="18">
        <f>IF($D$5=0,"",100*$D46/$D$5)</f>
        <v>0.29053217248920304</v>
      </c>
      <c r="K46" s="18">
        <f>IF(C46=0,"",100*D46/C46)</f>
        <v>27.132815017180832</v>
      </c>
      <c r="L46" s="22"/>
    </row>
    <row r="47" spans="2:12" ht="12.95" customHeight="1" outlineLevel="1" x14ac:dyDescent="0.2">
      <c r="B47" s="95" t="s">
        <v>6</v>
      </c>
      <c r="C47" s="69">
        <f>329793643.5</f>
        <v>329793643.5</v>
      </c>
      <c r="D47" s="69">
        <f>64887503.14</f>
        <v>64887503.140000001</v>
      </c>
      <c r="E47" s="19" t="s">
        <v>56</v>
      </c>
      <c r="F47" s="19" t="s">
        <v>56</v>
      </c>
      <c r="G47" s="19" t="s">
        <v>56</v>
      </c>
      <c r="H47" s="19" t="s">
        <v>56</v>
      </c>
      <c r="I47" s="19" t="s">
        <v>56</v>
      </c>
      <c r="J47" s="18">
        <f>IF($D$5=0,"",100*$D47/$D$5)</f>
        <v>0.16804483811351659</v>
      </c>
      <c r="K47" s="18">
        <f>IF(C47=0,"",100*D47/C47)</f>
        <v>19.6751830785362</v>
      </c>
      <c r="L47" s="22"/>
    </row>
    <row r="48" spans="2:12" ht="12.95" customHeight="1" outlineLevel="1" x14ac:dyDescent="0.2">
      <c r="B48" s="93" t="s">
        <v>7</v>
      </c>
      <c r="C48" s="69">
        <f>240342630.23</f>
        <v>240342630.22999999</v>
      </c>
      <c r="D48" s="70">
        <f>9658516.94</f>
        <v>9658516.9399999995</v>
      </c>
      <c r="E48" s="19" t="s">
        <v>56</v>
      </c>
      <c r="F48" s="19" t="s">
        <v>56</v>
      </c>
      <c r="G48" s="19" t="s">
        <v>56</v>
      </c>
      <c r="H48" s="19" t="s">
        <v>56</v>
      </c>
      <c r="I48" s="19" t="s">
        <v>56</v>
      </c>
      <c r="J48" s="18">
        <f t="shared" si="0"/>
        <v>2.5013505483437497E-2</v>
      </c>
      <c r="K48" s="18">
        <f t="shared" si="1"/>
        <v>4.0186449365046544</v>
      </c>
      <c r="L48" s="22"/>
    </row>
    <row r="49" spans="2:12" ht="12.95" customHeight="1" outlineLevel="1" x14ac:dyDescent="0.2">
      <c r="B49" s="95" t="s">
        <v>6</v>
      </c>
      <c r="C49" s="69">
        <f>226209571.87</f>
        <v>226209571.87</v>
      </c>
      <c r="D49" s="69">
        <f>4872678.4</f>
        <v>4872678.4000000004</v>
      </c>
      <c r="E49" s="19" t="s">
        <v>56</v>
      </c>
      <c r="F49" s="19" t="s">
        <v>56</v>
      </c>
      <c r="G49" s="19" t="s">
        <v>56</v>
      </c>
      <c r="H49" s="19" t="s">
        <v>56</v>
      </c>
      <c r="I49" s="19" t="s">
        <v>56</v>
      </c>
      <c r="J49" s="18">
        <f t="shared" si="0"/>
        <v>1.2619201129384514E-2</v>
      </c>
      <c r="K49" s="18">
        <f t="shared" si="1"/>
        <v>2.1540549145286709</v>
      </c>
      <c r="L49" s="22"/>
    </row>
    <row r="50" spans="2:12" ht="67.5" outlineLevel="1" x14ac:dyDescent="0.2">
      <c r="B50" s="93" t="s">
        <v>100</v>
      </c>
      <c r="C50" s="69">
        <f>1550000</f>
        <v>1550000</v>
      </c>
      <c r="D50" s="69">
        <f>0</f>
        <v>0</v>
      </c>
      <c r="E50" s="19" t="s">
        <v>56</v>
      </c>
      <c r="F50" s="19" t="s">
        <v>56</v>
      </c>
      <c r="G50" s="19" t="s">
        <v>56</v>
      </c>
      <c r="H50" s="19" t="s">
        <v>56</v>
      </c>
      <c r="I50" s="19" t="s">
        <v>56</v>
      </c>
      <c r="J50" s="18">
        <f t="shared" si="0"/>
        <v>0</v>
      </c>
      <c r="K50" s="18">
        <f>IF(C50=0,"",100*D50/C50)</f>
        <v>0</v>
      </c>
      <c r="L50" s="22"/>
    </row>
    <row r="51" spans="2:12" ht="12.95" customHeight="1" outlineLevel="1" x14ac:dyDescent="0.2">
      <c r="B51" s="95" t="s">
        <v>99</v>
      </c>
      <c r="C51" s="69">
        <f>1550000</f>
        <v>1550000</v>
      </c>
      <c r="D51" s="69">
        <f>0</f>
        <v>0</v>
      </c>
      <c r="E51" s="19" t="s">
        <v>56</v>
      </c>
      <c r="F51" s="19" t="s">
        <v>56</v>
      </c>
      <c r="G51" s="19" t="s">
        <v>56</v>
      </c>
      <c r="H51" s="19" t="s">
        <v>56</v>
      </c>
      <c r="I51" s="19" t="s">
        <v>56</v>
      </c>
      <c r="J51" s="18">
        <f t="shared" si="0"/>
        <v>0</v>
      </c>
      <c r="K51" s="18">
        <f>IF(C51=0,"",100*D51/C51)</f>
        <v>0</v>
      </c>
      <c r="L51" s="22"/>
    </row>
    <row r="52" spans="2:12" ht="45" outlineLevel="1" x14ac:dyDescent="0.2">
      <c r="B52" s="94" t="s">
        <v>98</v>
      </c>
      <c r="C52" s="72">
        <f>2915152046.57</f>
        <v>2915152046.5700002</v>
      </c>
      <c r="D52" s="72">
        <f>220759636.88</f>
        <v>220759636.88</v>
      </c>
      <c r="E52" s="24" t="s">
        <v>56</v>
      </c>
      <c r="F52" s="24" t="s">
        <v>56</v>
      </c>
      <c r="G52" s="24" t="s">
        <v>56</v>
      </c>
      <c r="H52" s="24" t="s">
        <v>56</v>
      </c>
      <c r="I52" s="24" t="s">
        <v>56</v>
      </c>
      <c r="J52" s="25">
        <f>IF($D$5=0,"",100*$D52/$D$5)</f>
        <v>0.57172052623842584</v>
      </c>
      <c r="K52" s="25">
        <f>IF(C52=0,"",100*D52/C52)</f>
        <v>7.5728343960565692</v>
      </c>
      <c r="L52" s="22"/>
    </row>
    <row r="53" spans="2:12" ht="12.95" customHeight="1" outlineLevel="1" x14ac:dyDescent="0.2">
      <c r="B53" s="95" t="s">
        <v>99</v>
      </c>
      <c r="C53" s="69">
        <f>2888248325.68</f>
        <v>2888248325.6799998</v>
      </c>
      <c r="D53" s="69">
        <f>209417608.26</f>
        <v>209417608.25999999</v>
      </c>
      <c r="E53" s="19" t="s">
        <v>56</v>
      </c>
      <c r="F53" s="19" t="s">
        <v>56</v>
      </c>
      <c r="G53" s="19" t="s">
        <v>56</v>
      </c>
      <c r="H53" s="19" t="s">
        <v>56</v>
      </c>
      <c r="I53" s="19" t="s">
        <v>56</v>
      </c>
      <c r="J53" s="18">
        <f t="shared" si="0"/>
        <v>0.54234708341670879</v>
      </c>
      <c r="K53" s="18">
        <f t="shared" ref="K53:K69" si="4">IF(C53=0,"",100*D53/C53)</f>
        <v>7.2506787729443376</v>
      </c>
      <c r="L53" s="22"/>
    </row>
    <row r="54" spans="2:12" ht="22.5" outlineLevel="1" x14ac:dyDescent="0.2">
      <c r="B54" s="94" t="s">
        <v>114</v>
      </c>
      <c r="C54" s="69">
        <f>628169650.5</f>
        <v>628169650.5</v>
      </c>
      <c r="D54" s="69">
        <f>540639005.76</f>
        <v>540639005.75999999</v>
      </c>
      <c r="E54" s="19" t="s">
        <v>56</v>
      </c>
      <c r="F54" s="19" t="s">
        <v>56</v>
      </c>
      <c r="G54" s="19" t="s">
        <v>56</v>
      </c>
      <c r="H54" s="19" t="s">
        <v>56</v>
      </c>
      <c r="I54" s="19" t="s">
        <v>56</v>
      </c>
      <c r="J54" s="18">
        <f t="shared" si="0"/>
        <v>1.400140085599721</v>
      </c>
      <c r="K54" s="18">
        <f t="shared" si="4"/>
        <v>86.065763497117572</v>
      </c>
      <c r="L54" s="22"/>
    </row>
    <row r="55" spans="2:12" ht="12.95" customHeight="1" outlineLevel="1" x14ac:dyDescent="0.2">
      <c r="B55" s="95" t="s">
        <v>6</v>
      </c>
      <c r="C55" s="69">
        <f>600000</f>
        <v>600000</v>
      </c>
      <c r="D55" s="69">
        <f>0</f>
        <v>0</v>
      </c>
      <c r="E55" s="19" t="s">
        <v>56</v>
      </c>
      <c r="F55" s="19" t="s">
        <v>56</v>
      </c>
      <c r="G55" s="19" t="s">
        <v>56</v>
      </c>
      <c r="H55" s="19" t="s">
        <v>56</v>
      </c>
      <c r="I55" s="19" t="s">
        <v>56</v>
      </c>
      <c r="J55" s="18">
        <f t="shared" si="0"/>
        <v>0</v>
      </c>
      <c r="K55" s="18">
        <f t="shared" si="4"/>
        <v>0</v>
      </c>
      <c r="L55" s="22"/>
    </row>
    <row r="56" spans="2:12" ht="13.5" customHeight="1" outlineLevel="1" x14ac:dyDescent="0.2">
      <c r="B56" s="90" t="s">
        <v>85</v>
      </c>
      <c r="C56" s="67">
        <f>95047602.63</f>
        <v>95047602.629999995</v>
      </c>
      <c r="D56" s="67">
        <f>1065966.77</f>
        <v>1065966.77</v>
      </c>
      <c r="E56" s="20" t="s">
        <v>56</v>
      </c>
      <c r="F56" s="20" t="s">
        <v>56</v>
      </c>
      <c r="G56" s="20" t="s">
        <v>56</v>
      </c>
      <c r="H56" s="20" t="s">
        <v>56</v>
      </c>
      <c r="I56" s="20" t="s">
        <v>56</v>
      </c>
      <c r="J56" s="16">
        <f t="shared" si="0"/>
        <v>2.7606273108174676E-3</v>
      </c>
      <c r="K56" s="16">
        <f t="shared" si="4"/>
        <v>1.1215083184681478</v>
      </c>
      <c r="L56" s="22"/>
    </row>
    <row r="57" spans="2:12" ht="12.95" customHeight="1" outlineLevel="1" x14ac:dyDescent="0.2">
      <c r="B57" s="93" t="s">
        <v>86</v>
      </c>
      <c r="C57" s="69">
        <f>62670412.72</f>
        <v>62670412.719999999</v>
      </c>
      <c r="D57" s="69">
        <f>-3760204.85</f>
        <v>-3760204.85</v>
      </c>
      <c r="E57" s="19" t="s">
        <v>56</v>
      </c>
      <c r="F57" s="19" t="s">
        <v>56</v>
      </c>
      <c r="G57" s="19" t="s">
        <v>56</v>
      </c>
      <c r="H57" s="19" t="s">
        <v>56</v>
      </c>
      <c r="I57" s="19" t="s">
        <v>56</v>
      </c>
      <c r="J57" s="18">
        <f t="shared" si="0"/>
        <v>-9.7381311456625416E-3</v>
      </c>
      <c r="K57" s="18">
        <f t="shared" si="4"/>
        <v>-5.9999682255164188</v>
      </c>
      <c r="L57" s="22"/>
    </row>
    <row r="58" spans="2:12" ht="13.5" customHeight="1" outlineLevel="1" x14ac:dyDescent="0.2">
      <c r="B58" s="90" t="s">
        <v>87</v>
      </c>
      <c r="C58" s="73">
        <f>2586598126.81</f>
        <v>2586598126.8099999</v>
      </c>
      <c r="D58" s="73">
        <f>629612840.049999</f>
        <v>629612840.049999</v>
      </c>
      <c r="E58" s="20" t="s">
        <v>56</v>
      </c>
      <c r="F58" s="20" t="s">
        <v>56</v>
      </c>
      <c r="G58" s="20" t="s">
        <v>56</v>
      </c>
      <c r="H58" s="20" t="s">
        <v>56</v>
      </c>
      <c r="I58" s="20" t="s">
        <v>56</v>
      </c>
      <c r="J58" s="23">
        <f t="shared" si="0"/>
        <v>1.6305634006615206</v>
      </c>
      <c r="K58" s="23">
        <f t="shared" si="4"/>
        <v>24.34134756087866</v>
      </c>
      <c r="L58" s="22"/>
    </row>
    <row r="59" spans="2:12" ht="12.95" customHeight="1" outlineLevel="1" x14ac:dyDescent="0.2">
      <c r="B59" s="94" t="s">
        <v>88</v>
      </c>
      <c r="C59" s="72">
        <f>2298116079.15</f>
        <v>2298116079.1500001</v>
      </c>
      <c r="D59" s="72">
        <f>571627656.12</f>
        <v>571627656.12</v>
      </c>
      <c r="E59" s="24" t="s">
        <v>56</v>
      </c>
      <c r="F59" s="24" t="s">
        <v>56</v>
      </c>
      <c r="G59" s="24" t="s">
        <v>56</v>
      </c>
      <c r="H59" s="24" t="s">
        <v>56</v>
      </c>
      <c r="I59" s="24" t="s">
        <v>56</v>
      </c>
      <c r="J59" s="25">
        <f t="shared" si="0"/>
        <v>1.4803941018756595</v>
      </c>
      <c r="K59" s="25">
        <f t="shared" si="4"/>
        <v>24.873750342995155</v>
      </c>
      <c r="L59" s="22"/>
    </row>
    <row r="60" spans="2:12" s="26" customFormat="1" ht="25.5" customHeight="1" x14ac:dyDescent="0.2">
      <c r="B60" s="88" t="s">
        <v>63</v>
      </c>
      <c r="C60" s="67">
        <f>C61+C62+C63+C64+C68</f>
        <v>33659846281.950001</v>
      </c>
      <c r="D60" s="67">
        <f>D61+D62+D63+D64+D68</f>
        <v>12808427251</v>
      </c>
      <c r="E60" s="20" t="s">
        <v>56</v>
      </c>
      <c r="F60" s="20" t="s">
        <v>56</v>
      </c>
      <c r="G60" s="20" t="s">
        <v>56</v>
      </c>
      <c r="H60" s="20" t="s">
        <v>56</v>
      </c>
      <c r="I60" s="20" t="s">
        <v>56</v>
      </c>
      <c r="J60" s="16">
        <f t="shared" si="0"/>
        <v>33.171103521106289</v>
      </c>
      <c r="K60" s="16">
        <f t="shared" si="4"/>
        <v>38.052542319150412</v>
      </c>
      <c r="L60" s="27"/>
    </row>
    <row r="61" spans="2:12" ht="12.95" customHeight="1" outlineLevel="1" x14ac:dyDescent="0.2">
      <c r="B61" s="10" t="s">
        <v>39</v>
      </c>
      <c r="C61" s="69">
        <f>30672474624</f>
        <v>30672474624</v>
      </c>
      <c r="D61" s="69">
        <f>12010466980</f>
        <v>12010466980</v>
      </c>
      <c r="E61" s="19" t="s">
        <v>56</v>
      </c>
      <c r="F61" s="19" t="s">
        <v>56</v>
      </c>
      <c r="G61" s="19" t="s">
        <v>56</v>
      </c>
      <c r="H61" s="19" t="s">
        <v>56</v>
      </c>
      <c r="I61" s="19" t="s">
        <v>56</v>
      </c>
      <c r="J61" s="18">
        <f t="shared" si="0"/>
        <v>31.104556064781825</v>
      </c>
      <c r="K61" s="18">
        <f t="shared" si="4"/>
        <v>39.1571502698458</v>
      </c>
      <c r="L61" s="22"/>
    </row>
    <row r="62" spans="2:12" ht="12.95" customHeight="1" outlineLevel="1" x14ac:dyDescent="0.2">
      <c r="B62" s="10" t="s">
        <v>125</v>
      </c>
      <c r="C62" s="69">
        <f>921899525.95</f>
        <v>921899525.95000005</v>
      </c>
      <c r="D62" s="69">
        <f>282890658</f>
        <v>282890658</v>
      </c>
      <c r="E62" s="19" t="s">
        <v>56</v>
      </c>
      <c r="F62" s="19" t="s">
        <v>56</v>
      </c>
      <c r="G62" s="19" t="s">
        <v>56</v>
      </c>
      <c r="H62" s="19" t="s">
        <v>56</v>
      </c>
      <c r="I62" s="19" t="s">
        <v>56</v>
      </c>
      <c r="J62" s="18">
        <f t="shared" si="0"/>
        <v>0.73262666194549753</v>
      </c>
      <c r="K62" s="18">
        <f>IF(C62=0,"",100*D62/C62)</f>
        <v>30.685627884284518</v>
      </c>
      <c r="L62" s="22"/>
    </row>
    <row r="63" spans="2:12" s="26" customFormat="1" ht="12.95" customHeight="1" outlineLevel="1" x14ac:dyDescent="0.2">
      <c r="B63" s="10" t="s">
        <v>35</v>
      </c>
      <c r="C63" s="69">
        <f>2000000</f>
        <v>2000000</v>
      </c>
      <c r="D63" s="69">
        <f>0</f>
        <v>0</v>
      </c>
      <c r="E63" s="19" t="s">
        <v>56</v>
      </c>
      <c r="F63" s="19" t="s">
        <v>56</v>
      </c>
      <c r="G63" s="19" t="s">
        <v>56</v>
      </c>
      <c r="H63" s="19" t="s">
        <v>56</v>
      </c>
      <c r="I63" s="19" t="s">
        <v>56</v>
      </c>
      <c r="J63" s="18">
        <f t="shared" si="0"/>
        <v>0</v>
      </c>
      <c r="K63" s="18">
        <f>IF(C63=0,"",100*D63/C63)</f>
        <v>0</v>
      </c>
      <c r="L63" s="27"/>
    </row>
    <row r="64" spans="2:12" s="26" customFormat="1" ht="25.5" customHeight="1" outlineLevel="1" x14ac:dyDescent="0.2">
      <c r="B64" s="90" t="s">
        <v>107</v>
      </c>
      <c r="C64" s="67">
        <f>C65+C66+C67</f>
        <v>495532317</v>
      </c>
      <c r="D64" s="67">
        <f>D65+D66+D67</f>
        <v>123084642</v>
      </c>
      <c r="E64" s="20" t="s">
        <v>56</v>
      </c>
      <c r="F64" s="20" t="s">
        <v>56</v>
      </c>
      <c r="G64" s="20" t="s">
        <v>56</v>
      </c>
      <c r="H64" s="20" t="s">
        <v>56</v>
      </c>
      <c r="I64" s="20" t="s">
        <v>56</v>
      </c>
      <c r="J64" s="16">
        <f t="shared" si="0"/>
        <v>0.31876305510667158</v>
      </c>
      <c r="K64" s="16">
        <f t="shared" si="4"/>
        <v>24.838872819671213</v>
      </c>
      <c r="L64" s="27"/>
    </row>
    <row r="65" spans="1:26" ht="12.95" customHeight="1" outlineLevel="1" x14ac:dyDescent="0.2">
      <c r="B65" s="93" t="s">
        <v>40</v>
      </c>
      <c r="C65" s="68">
        <f>381048734</f>
        <v>381048734</v>
      </c>
      <c r="D65" s="71">
        <f>95262183</f>
        <v>95262183</v>
      </c>
      <c r="E65" s="17" t="s">
        <v>56</v>
      </c>
      <c r="F65" s="17" t="s">
        <v>56</v>
      </c>
      <c r="G65" s="17" t="s">
        <v>56</v>
      </c>
      <c r="H65" s="17" t="s">
        <v>56</v>
      </c>
      <c r="I65" s="17" t="s">
        <v>56</v>
      </c>
      <c r="J65" s="18">
        <f t="shared" si="0"/>
        <v>0.24670880132397699</v>
      </c>
      <c r="K65" s="18">
        <f t="shared" si="4"/>
        <v>24.999999868783188</v>
      </c>
      <c r="L65" s="22"/>
    </row>
    <row r="66" spans="1:26" ht="12.95" customHeight="1" outlineLevel="1" x14ac:dyDescent="0.2">
      <c r="B66" s="93" t="s">
        <v>38</v>
      </c>
      <c r="C66" s="69">
        <f>3193822</f>
        <v>3193822</v>
      </c>
      <c r="D66" s="69">
        <f>0</f>
        <v>0</v>
      </c>
      <c r="E66" s="19" t="s">
        <v>56</v>
      </c>
      <c r="F66" s="19" t="s">
        <v>56</v>
      </c>
      <c r="G66" s="19" t="s">
        <v>56</v>
      </c>
      <c r="H66" s="19" t="s">
        <v>56</v>
      </c>
      <c r="I66" s="19" t="s">
        <v>56</v>
      </c>
      <c r="J66" s="18">
        <f t="shared" si="0"/>
        <v>0</v>
      </c>
      <c r="K66" s="18">
        <f t="shared" si="4"/>
        <v>0</v>
      </c>
      <c r="L66" s="22"/>
    </row>
    <row r="67" spans="1:26" ht="12.95" customHeight="1" outlineLevel="1" x14ac:dyDescent="0.2">
      <c r="B67" s="93" t="s">
        <v>37</v>
      </c>
      <c r="C67" s="69">
        <f>111289761</f>
        <v>111289761</v>
      </c>
      <c r="D67" s="69">
        <f>27822459</f>
        <v>27822459</v>
      </c>
      <c r="E67" s="19" t="s">
        <v>56</v>
      </c>
      <c r="F67" s="19" t="s">
        <v>56</v>
      </c>
      <c r="G67" s="19" t="s">
        <v>56</v>
      </c>
      <c r="H67" s="19" t="s">
        <v>56</v>
      </c>
      <c r="I67" s="19" t="s">
        <v>56</v>
      </c>
      <c r="J67" s="18">
        <f t="shared" si="0"/>
        <v>7.2054253782694602E-2</v>
      </c>
      <c r="K67" s="18">
        <f>IF(C67=0,"",100*D67/C67)</f>
        <v>25.000016847911102</v>
      </c>
      <c r="L67" s="22"/>
    </row>
    <row r="68" spans="1:26" s="26" customFormat="1" ht="40.5" customHeight="1" outlineLevel="1" x14ac:dyDescent="0.2">
      <c r="B68" s="90" t="s">
        <v>108</v>
      </c>
      <c r="C68" s="67">
        <f>C69+C70</f>
        <v>1567939815</v>
      </c>
      <c r="D68" s="67">
        <f>D69+D70</f>
        <v>391984971</v>
      </c>
      <c r="E68" s="20" t="s">
        <v>56</v>
      </c>
      <c r="F68" s="20" t="s">
        <v>56</v>
      </c>
      <c r="G68" s="20" t="s">
        <v>56</v>
      </c>
      <c r="H68" s="20" t="s">
        <v>56</v>
      </c>
      <c r="I68" s="20" t="s">
        <v>56</v>
      </c>
      <c r="J68" s="16">
        <f t="shared" si="0"/>
        <v>1.0151577392722975</v>
      </c>
      <c r="K68" s="16">
        <f t="shared" si="4"/>
        <v>25.000001100169779</v>
      </c>
      <c r="L68" s="27"/>
    </row>
    <row r="69" spans="1:26" ht="12.95" customHeight="1" outlineLevel="1" x14ac:dyDescent="0.2">
      <c r="B69" s="93" t="s">
        <v>37</v>
      </c>
      <c r="C69" s="68">
        <f>1380938821</f>
        <v>1380938821</v>
      </c>
      <c r="D69" s="71">
        <f>345234720</f>
        <v>345234720</v>
      </c>
      <c r="E69" s="17" t="s">
        <v>56</v>
      </c>
      <c r="F69" s="17" t="s">
        <v>56</v>
      </c>
      <c r="G69" s="17" t="s">
        <v>56</v>
      </c>
      <c r="H69" s="17" t="s">
        <v>56</v>
      </c>
      <c r="I69" s="17" t="s">
        <v>56</v>
      </c>
      <c r="J69" s="18">
        <f t="shared" si="0"/>
        <v>0.89408452823948859</v>
      </c>
      <c r="K69" s="18">
        <f t="shared" si="4"/>
        <v>25.000001068113935</v>
      </c>
      <c r="L69" s="22"/>
    </row>
    <row r="70" spans="1:26" ht="12.95" customHeight="1" outlineLevel="1" x14ac:dyDescent="0.2">
      <c r="B70" s="93" t="s">
        <v>40</v>
      </c>
      <c r="C70" s="68">
        <f>187000994</f>
        <v>187000994</v>
      </c>
      <c r="D70" s="71">
        <f>46750251</f>
        <v>46750251</v>
      </c>
      <c r="E70" s="17" t="s">
        <v>56</v>
      </c>
      <c r="F70" s="17" t="s">
        <v>56</v>
      </c>
      <c r="G70" s="17" t="s">
        <v>56</v>
      </c>
      <c r="H70" s="17" t="s">
        <v>56</v>
      </c>
      <c r="I70" s="17" t="s">
        <v>56</v>
      </c>
      <c r="J70" s="18">
        <f t="shared" si="0"/>
        <v>0.12107321103280885</v>
      </c>
      <c r="K70" s="18">
        <f>IF(C70=0,"",100*D70/C70)</f>
        <v>25.000001336891291</v>
      </c>
      <c r="L70" s="22"/>
    </row>
    <row r="71" spans="1:26" ht="11.25" customHeight="1" x14ac:dyDescent="0.2">
      <c r="B71" s="28"/>
      <c r="C71" s="29"/>
      <c r="D71" s="29"/>
      <c r="E71" s="29"/>
      <c r="F71" s="29"/>
      <c r="G71" s="29"/>
      <c r="H71" s="29"/>
      <c r="I71" s="29"/>
      <c r="J71" s="21"/>
      <c r="K71" s="21"/>
      <c r="L71" s="22"/>
    </row>
    <row r="72" spans="1:26" ht="13.5" customHeight="1" x14ac:dyDescent="0.2">
      <c r="B72" s="65" t="s">
        <v>5</v>
      </c>
      <c r="C72" s="20">
        <f t="shared" ref="C72:I72" si="5">+C5</f>
        <v>129160212416.57001</v>
      </c>
      <c r="D72" s="20">
        <f t="shared" si="5"/>
        <v>38613208158.269997</v>
      </c>
      <c r="E72" s="20">
        <f t="shared" si="5"/>
        <v>306385655.08999997</v>
      </c>
      <c r="F72" s="20">
        <f t="shared" si="5"/>
        <v>84931468.799999997</v>
      </c>
      <c r="G72" s="20">
        <f t="shared" si="5"/>
        <v>7292356.04</v>
      </c>
      <c r="H72" s="20">
        <f t="shared" si="5"/>
        <v>38537198.689999998</v>
      </c>
      <c r="I72" s="20">
        <f t="shared" si="5"/>
        <v>2933259.53</v>
      </c>
      <c r="J72" s="16">
        <f t="shared" si="0"/>
        <v>100</v>
      </c>
      <c r="K72" s="16">
        <f>IF(C72=0,"",100*D72/C72)</f>
        <v>29.895590473120262</v>
      </c>
      <c r="L72" s="22"/>
    </row>
    <row r="73" spans="1:26" x14ac:dyDescent="0.2">
      <c r="B73" s="100" t="s">
        <v>74</v>
      </c>
      <c r="C73" s="19">
        <f>10091399452.91</f>
        <v>10091399452.91</v>
      </c>
      <c r="D73" s="19">
        <f>1699012472.9</f>
        <v>1699012472.9000001</v>
      </c>
      <c r="E73" s="19">
        <f>0</f>
        <v>0</v>
      </c>
      <c r="F73" s="19">
        <f>0</f>
        <v>0</v>
      </c>
      <c r="G73" s="19">
        <f>0</f>
        <v>0</v>
      </c>
      <c r="H73" s="19">
        <f>0</f>
        <v>0</v>
      </c>
      <c r="I73" s="19">
        <f>0</f>
        <v>0</v>
      </c>
      <c r="J73" s="18">
        <f t="shared" si="0"/>
        <v>4.4000810964372397</v>
      </c>
      <c r="K73" s="18">
        <f>IF(C73=0,"",100*D73/C73)</f>
        <v>16.836242394607275</v>
      </c>
      <c r="L73" s="22"/>
    </row>
    <row r="74" spans="1:26" s="26" customFormat="1" x14ac:dyDescent="0.2">
      <c r="A74" s="9"/>
      <c r="B74" s="100" t="s">
        <v>75</v>
      </c>
      <c r="C74" s="19">
        <f>C72-C73</f>
        <v>119068812963.66</v>
      </c>
      <c r="D74" s="19">
        <f t="shared" ref="D74:I74" si="6">D72-D73</f>
        <v>36914195685.369995</v>
      </c>
      <c r="E74" s="19">
        <f t="shared" si="6"/>
        <v>306385655.08999997</v>
      </c>
      <c r="F74" s="19">
        <f t="shared" si="6"/>
        <v>84931468.799999997</v>
      </c>
      <c r="G74" s="19">
        <f t="shared" si="6"/>
        <v>7292356.04</v>
      </c>
      <c r="H74" s="19">
        <f t="shared" si="6"/>
        <v>38537198.689999998</v>
      </c>
      <c r="I74" s="19">
        <f t="shared" si="6"/>
        <v>2933259.53</v>
      </c>
      <c r="J74" s="18">
        <f t="shared" si="0"/>
        <v>95.599918903562752</v>
      </c>
      <c r="K74" s="18">
        <f>IF(C74=0,"",100*D74/C74)</f>
        <v>31.002405051805017</v>
      </c>
      <c r="L74" s="30"/>
    </row>
    <row r="75" spans="1:26" s="26" customFormat="1" x14ac:dyDescent="0.2">
      <c r="A75" s="9"/>
      <c r="B75" s="106" t="s">
        <v>116</v>
      </c>
      <c r="C75" s="29"/>
      <c r="D75" s="29"/>
      <c r="E75" s="29"/>
      <c r="F75" s="29"/>
      <c r="G75" s="29"/>
      <c r="H75" s="29"/>
      <c r="I75" s="29"/>
      <c r="J75" s="21"/>
      <c r="K75" s="21"/>
      <c r="L75" s="30"/>
    </row>
    <row r="76" spans="1:26" s="26" customFormat="1" x14ac:dyDescent="0.2">
      <c r="A76" s="9"/>
      <c r="B76" s="105" t="s">
        <v>115</v>
      </c>
      <c r="C76" s="29"/>
      <c r="D76" s="29"/>
      <c r="E76" s="29"/>
      <c r="F76" s="29"/>
      <c r="G76" s="29"/>
      <c r="H76" s="29"/>
      <c r="I76" s="29"/>
      <c r="J76" s="21"/>
      <c r="K76" s="21"/>
      <c r="L76" s="30"/>
    </row>
    <row r="77" spans="1:26" ht="18" x14ac:dyDescent="0.2">
      <c r="B77" s="87" t="str">
        <f>CONCATENATE("Informacja z wykonania budżetów miast na prawach powiatu za ",$D$138," ",$C$139," rok    ",$C$141,"")</f>
        <v xml:space="preserve">Informacja z wykonania budżetów miast na prawach powiatu za I Kwartał 2024 rok    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</row>
    <row r="78" spans="1:26" s="26" customFormat="1" x14ac:dyDescent="0.2">
      <c r="B78" s="31"/>
      <c r="C78" s="32"/>
      <c r="D78" s="32"/>
      <c r="E78" s="32"/>
      <c r="F78" s="33"/>
      <c r="G78" s="33"/>
      <c r="H78" s="33"/>
      <c r="I78" s="33"/>
      <c r="J78" s="33"/>
      <c r="K78" s="1"/>
      <c r="L78" s="1"/>
      <c r="M78" s="34"/>
    </row>
    <row r="79" spans="1:26" ht="29.25" customHeight="1" x14ac:dyDescent="0.2">
      <c r="B79" s="112" t="s">
        <v>0</v>
      </c>
      <c r="C79" s="111" t="s">
        <v>46</v>
      </c>
      <c r="D79" s="111" t="s">
        <v>48</v>
      </c>
      <c r="E79" s="111" t="s">
        <v>47</v>
      </c>
      <c r="F79" s="111" t="s">
        <v>10</v>
      </c>
      <c r="G79" s="111"/>
      <c r="H79" s="111"/>
      <c r="I79" s="116" t="s">
        <v>84</v>
      </c>
      <c r="J79" s="111" t="s">
        <v>2</v>
      </c>
      <c r="K79" s="113" t="s">
        <v>16</v>
      </c>
      <c r="M79" s="35"/>
      <c r="N79" s="52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8" customHeight="1" x14ac:dyDescent="0.2">
      <c r="B80" s="112"/>
      <c r="C80" s="111"/>
      <c r="D80" s="111"/>
      <c r="E80" s="115"/>
      <c r="F80" s="114" t="s">
        <v>49</v>
      </c>
      <c r="G80" s="123" t="s">
        <v>27</v>
      </c>
      <c r="H80" s="115"/>
      <c r="I80" s="117"/>
      <c r="J80" s="111"/>
      <c r="K80" s="113"/>
      <c r="L80" s="2"/>
      <c r="M80" s="3"/>
      <c r="N80" s="52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2:26" ht="58.5" customHeight="1" x14ac:dyDescent="0.2">
      <c r="B81" s="112"/>
      <c r="C81" s="111"/>
      <c r="D81" s="111"/>
      <c r="E81" s="115"/>
      <c r="F81" s="115"/>
      <c r="G81" s="7" t="s">
        <v>44</v>
      </c>
      <c r="H81" s="7" t="s">
        <v>45</v>
      </c>
      <c r="I81" s="118"/>
      <c r="J81" s="111"/>
      <c r="K81" s="113"/>
      <c r="L81" s="2"/>
      <c r="M81" s="35"/>
      <c r="N81" s="52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2:26" ht="13.5" customHeight="1" x14ac:dyDescent="0.2">
      <c r="B82" s="112"/>
      <c r="C82" s="119" t="s">
        <v>78</v>
      </c>
      <c r="D82" s="120"/>
      <c r="E82" s="120"/>
      <c r="F82" s="120"/>
      <c r="G82" s="120"/>
      <c r="H82" s="120"/>
      <c r="I82" s="121"/>
      <c r="J82" s="122" t="s">
        <v>4</v>
      </c>
      <c r="K82" s="122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2:26" ht="11.25" customHeight="1" x14ac:dyDescent="0.2">
      <c r="B83" s="6">
        <v>1</v>
      </c>
      <c r="C83" s="8">
        <v>2</v>
      </c>
      <c r="D83" s="8">
        <v>3</v>
      </c>
      <c r="E83" s="8">
        <v>4</v>
      </c>
      <c r="F83" s="6">
        <v>5</v>
      </c>
      <c r="G83" s="6">
        <v>6</v>
      </c>
      <c r="H83" s="8">
        <v>7</v>
      </c>
      <c r="I83" s="8">
        <v>8</v>
      </c>
      <c r="J83" s="6">
        <v>9</v>
      </c>
      <c r="K83" s="8">
        <v>10</v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2:26" ht="25.5" customHeight="1" x14ac:dyDescent="0.2">
      <c r="B84" s="65" t="s">
        <v>64</v>
      </c>
      <c r="C84" s="74">
        <f>140495331653.94</f>
        <v>140495331653.94</v>
      </c>
      <c r="D84" s="74">
        <f>30843683722.05</f>
        <v>30843683722.049999</v>
      </c>
      <c r="E84" s="74">
        <f>101485282471.73</f>
        <v>101485282471.73</v>
      </c>
      <c r="F84" s="74">
        <f>5175292630.98</f>
        <v>5175292630.9799995</v>
      </c>
      <c r="G84" s="74">
        <f>2787262.78</f>
        <v>2787262.78</v>
      </c>
      <c r="H84" s="74">
        <f>4160568.61</f>
        <v>4160568.61</v>
      </c>
      <c r="I84" s="74">
        <f>0</f>
        <v>0</v>
      </c>
      <c r="J84" s="43">
        <f>IF($D$84=0,"",100*$D84/$D$84)</f>
        <v>100</v>
      </c>
      <c r="K84" s="43">
        <f>IF(C84=0,"",100*D84/C84)</f>
        <v>21.953529244674396</v>
      </c>
      <c r="N84" s="53"/>
      <c r="O84" s="54"/>
    </row>
    <row r="85" spans="2:26" x14ac:dyDescent="0.2">
      <c r="B85" s="88" t="s">
        <v>12</v>
      </c>
      <c r="C85" s="75">
        <f>21808079893.04</f>
        <v>21808079893.040001</v>
      </c>
      <c r="D85" s="75">
        <f>2113100813.24</f>
        <v>2113100813.24</v>
      </c>
      <c r="E85" s="75">
        <f>11050400907.74</f>
        <v>11050400907.74</v>
      </c>
      <c r="F85" s="75">
        <f>525020908.93</f>
        <v>525020908.93000001</v>
      </c>
      <c r="G85" s="75">
        <f>125751.01</f>
        <v>125751.01</v>
      </c>
      <c r="H85" s="75">
        <f>693135.74</f>
        <v>693135.74</v>
      </c>
      <c r="I85" s="75">
        <f>0</f>
        <v>0</v>
      </c>
      <c r="J85" s="43">
        <f t="shared" ref="J85:J93" si="7">IF($D$84=0,"",100*$D85/$D$84)</f>
        <v>6.8510001343625326</v>
      </c>
      <c r="K85" s="43">
        <f t="shared" ref="K85:K93" si="8">IF(C85=0,"",100*D85/C85)</f>
        <v>9.689531694692624</v>
      </c>
      <c r="N85" s="55"/>
      <c r="O85" s="54"/>
    </row>
    <row r="86" spans="2:26" ht="12.95" customHeight="1" outlineLevel="1" x14ac:dyDescent="0.2">
      <c r="B86" s="10" t="s">
        <v>11</v>
      </c>
      <c r="C86" s="69">
        <f>20217625980.93</f>
        <v>20217625980.93</v>
      </c>
      <c r="D86" s="69">
        <f>1747443575.11</f>
        <v>1747443575.1099999</v>
      </c>
      <c r="E86" s="69">
        <f>10313866448.81</f>
        <v>10313866448.809999</v>
      </c>
      <c r="F86" s="69">
        <f>486830934.51</f>
        <v>486830934.50999999</v>
      </c>
      <c r="G86" s="69">
        <f>125751.01</f>
        <v>125751.01</v>
      </c>
      <c r="H86" s="69">
        <f>693135.74</f>
        <v>693135.74</v>
      </c>
      <c r="I86" s="69">
        <f>0</f>
        <v>0</v>
      </c>
      <c r="J86" s="43">
        <f t="shared" si="7"/>
        <v>5.6654827317554197</v>
      </c>
      <c r="K86" s="43">
        <f t="shared" si="8"/>
        <v>8.6431689692857727</v>
      </c>
      <c r="N86" s="29"/>
      <c r="O86" s="54"/>
    </row>
    <row r="87" spans="2:26" ht="25.5" customHeight="1" x14ac:dyDescent="0.2">
      <c r="B87" s="88" t="s">
        <v>65</v>
      </c>
      <c r="C87" s="75">
        <f t="shared" ref="C87:I87" si="9">C84-C85</f>
        <v>118687251760.89999</v>
      </c>
      <c r="D87" s="75">
        <f t="shared" si="9"/>
        <v>28730582908.809998</v>
      </c>
      <c r="E87" s="75">
        <f>E84-E85</f>
        <v>90434881563.98999</v>
      </c>
      <c r="F87" s="75">
        <f t="shared" si="9"/>
        <v>4650271722.0499992</v>
      </c>
      <c r="G87" s="75">
        <f t="shared" si="9"/>
        <v>2661511.77</v>
      </c>
      <c r="H87" s="75">
        <f t="shared" si="9"/>
        <v>3467432.87</v>
      </c>
      <c r="I87" s="75">
        <f t="shared" si="9"/>
        <v>0</v>
      </c>
      <c r="J87" s="43">
        <f t="shared" si="7"/>
        <v>93.148999865637464</v>
      </c>
      <c r="K87" s="43">
        <f t="shared" si="8"/>
        <v>24.20696619270354</v>
      </c>
      <c r="N87" s="55"/>
      <c r="O87" s="54"/>
    </row>
    <row r="88" spans="2:26" ht="24" customHeight="1" outlineLevel="1" x14ac:dyDescent="0.2">
      <c r="B88" s="10" t="s">
        <v>105</v>
      </c>
      <c r="C88" s="69">
        <f>49554778446.53</f>
        <v>49554778446.529999</v>
      </c>
      <c r="D88" s="69">
        <f>13710989171.48</f>
        <v>13710989171.48</v>
      </c>
      <c r="E88" s="69">
        <f>42886504691.3</f>
        <v>42886504691.300003</v>
      </c>
      <c r="F88" s="69">
        <f>2127880942.92</f>
        <v>2127880942.9200001</v>
      </c>
      <c r="G88" s="69">
        <f>11998.18</f>
        <v>11998.18</v>
      </c>
      <c r="H88" s="69">
        <f>775.56</f>
        <v>775.56</v>
      </c>
      <c r="I88" s="69">
        <f>0</f>
        <v>0</v>
      </c>
      <c r="J88" s="43">
        <f t="shared" si="7"/>
        <v>44.453150586802579</v>
      </c>
      <c r="K88" s="43">
        <f t="shared" si="8"/>
        <v>27.668349251675632</v>
      </c>
      <c r="N88" s="29"/>
      <c r="O88" s="54"/>
    </row>
    <row r="89" spans="2:26" ht="12.95" customHeight="1" outlineLevel="1" x14ac:dyDescent="0.2">
      <c r="B89" s="10" t="s">
        <v>43</v>
      </c>
      <c r="C89" s="76">
        <f>15509962908.16</f>
        <v>15509962908.16</v>
      </c>
      <c r="D89" s="76">
        <f>4155118276.52</f>
        <v>4155118276.52</v>
      </c>
      <c r="E89" s="76">
        <f>10285403830.84</f>
        <v>10285403830.84</v>
      </c>
      <c r="F89" s="76">
        <f>474094672.85</f>
        <v>474094672.85000002</v>
      </c>
      <c r="G89" s="76">
        <f>0</f>
        <v>0</v>
      </c>
      <c r="H89" s="76">
        <f>0</f>
        <v>0</v>
      </c>
      <c r="I89" s="76">
        <f>0</f>
        <v>0</v>
      </c>
      <c r="J89" s="43">
        <f t="shared" si="7"/>
        <v>13.471537038066327</v>
      </c>
      <c r="K89" s="43">
        <f t="shared" si="8"/>
        <v>26.789994928575467</v>
      </c>
      <c r="N89" s="56"/>
      <c r="O89" s="54"/>
    </row>
    <row r="90" spans="2:26" ht="12.95" customHeight="1" outlineLevel="1" x14ac:dyDescent="0.2">
      <c r="B90" s="10" t="s">
        <v>42</v>
      </c>
      <c r="C90" s="69">
        <f>3186077979.81</f>
        <v>3186077979.8099999</v>
      </c>
      <c r="D90" s="69">
        <f>522071857.59</f>
        <v>522071857.58999997</v>
      </c>
      <c r="E90" s="69">
        <f>2087731052.98</f>
        <v>2087731052.98</v>
      </c>
      <c r="F90" s="69">
        <f>224679658.69</f>
        <v>224679658.69</v>
      </c>
      <c r="G90" s="69">
        <f>0</f>
        <v>0</v>
      </c>
      <c r="H90" s="69">
        <f>0</f>
        <v>0</v>
      </c>
      <c r="I90" s="69">
        <f>0</f>
        <v>0</v>
      </c>
      <c r="J90" s="43">
        <f t="shared" si="7"/>
        <v>1.6926378259311918</v>
      </c>
      <c r="K90" s="43">
        <f t="shared" si="8"/>
        <v>16.386035147235582</v>
      </c>
      <c r="N90" s="29"/>
      <c r="O90" s="54"/>
    </row>
    <row r="91" spans="2:26" ht="22.5" customHeight="1" outlineLevel="1" x14ac:dyDescent="0.2">
      <c r="B91" s="10" t="s">
        <v>71</v>
      </c>
      <c r="C91" s="76">
        <f>134313641.43</f>
        <v>134313641.43000001</v>
      </c>
      <c r="D91" s="76">
        <f>2593050.72</f>
        <v>2593050.7200000002</v>
      </c>
      <c r="E91" s="76">
        <f>14602792.64</f>
        <v>14602792.640000001</v>
      </c>
      <c r="F91" s="76">
        <f>113433.62</f>
        <v>113433.62</v>
      </c>
      <c r="G91" s="76">
        <f>0</f>
        <v>0</v>
      </c>
      <c r="H91" s="76">
        <f>0</f>
        <v>0</v>
      </c>
      <c r="I91" s="76">
        <f>0</f>
        <v>0</v>
      </c>
      <c r="J91" s="43">
        <f t="shared" si="7"/>
        <v>8.4070720714408079E-3</v>
      </c>
      <c r="K91" s="43">
        <f t="shared" si="8"/>
        <v>1.930593715122686</v>
      </c>
      <c r="N91" s="56"/>
      <c r="O91" s="54"/>
    </row>
    <row r="92" spans="2:26" ht="22.5" customHeight="1" outlineLevel="1" x14ac:dyDescent="0.2">
      <c r="B92" s="10" t="s">
        <v>72</v>
      </c>
      <c r="C92" s="76">
        <f>5564746786.41</f>
        <v>5564746786.4099998</v>
      </c>
      <c r="D92" s="76">
        <f>1624271161.43</f>
        <v>1624271161.4300001</v>
      </c>
      <c r="E92" s="76">
        <f>4095143504.42</f>
        <v>4095143504.4200001</v>
      </c>
      <c r="F92" s="76">
        <f>69254611.61</f>
        <v>69254611.609999999</v>
      </c>
      <c r="G92" s="76">
        <f>326727.56</f>
        <v>326727.56</v>
      </c>
      <c r="H92" s="76">
        <f>15861.04</f>
        <v>15861.04</v>
      </c>
      <c r="I92" s="77">
        <f>0</f>
        <v>0</v>
      </c>
      <c r="J92" s="43">
        <f t="shared" si="7"/>
        <v>5.2661386884499031</v>
      </c>
      <c r="K92" s="43">
        <f t="shared" si="8"/>
        <v>29.188590672206857</v>
      </c>
      <c r="N92" s="56"/>
      <c r="O92" s="54"/>
    </row>
    <row r="93" spans="2:26" ht="12.95" customHeight="1" outlineLevel="1" x14ac:dyDescent="0.2">
      <c r="B93" s="10" t="s">
        <v>41</v>
      </c>
      <c r="C93" s="69">
        <f t="shared" ref="C93:I93" si="10">C87-C88-C89-C90-C91-C92</f>
        <v>44737371998.559998</v>
      </c>
      <c r="D93" s="69">
        <f t="shared" si="10"/>
        <v>8715539391.0699978</v>
      </c>
      <c r="E93" s="69">
        <f>E87-E88-E89-E90-E91-E92</f>
        <v>31065495691.80999</v>
      </c>
      <c r="F93" s="69">
        <f t="shared" si="10"/>
        <v>1754248402.3599994</v>
      </c>
      <c r="G93" s="69">
        <f t="shared" si="10"/>
        <v>2322786.0299999998</v>
      </c>
      <c r="H93" s="69">
        <f t="shared" si="10"/>
        <v>3450796.27</v>
      </c>
      <c r="I93" s="77">
        <f t="shared" si="10"/>
        <v>0</v>
      </c>
      <c r="J93" s="43">
        <f t="shared" si="7"/>
        <v>28.257128654316023</v>
      </c>
      <c r="K93" s="43">
        <f t="shared" si="8"/>
        <v>19.481563180221073</v>
      </c>
      <c r="N93" s="29"/>
      <c r="O93" s="54"/>
    </row>
    <row r="94" spans="2:26" x14ac:dyDescent="0.2">
      <c r="B94" s="65" t="s">
        <v>13</v>
      </c>
      <c r="C94" s="75">
        <f>C5-C84</f>
        <v>-11335119237.369995</v>
      </c>
      <c r="D94" s="75">
        <f>D5-D84</f>
        <v>7769524436.2199974</v>
      </c>
      <c r="E94" s="61"/>
      <c r="F94" s="55"/>
      <c r="G94" s="55"/>
      <c r="H94" s="55"/>
      <c r="I94" s="124"/>
      <c r="J94" s="124"/>
      <c r="K94" s="37"/>
      <c r="L94" s="37"/>
      <c r="M94" s="4"/>
      <c r="N94" s="54"/>
      <c r="O94" s="55"/>
    </row>
    <row r="95" spans="2:26" ht="38.25" x14ac:dyDescent="0.2">
      <c r="B95" s="96" t="s">
        <v>109</v>
      </c>
      <c r="C95" s="75">
        <f>+C74-C87</f>
        <v>381561202.76000977</v>
      </c>
      <c r="D95" s="75">
        <f>+D74-D87</f>
        <v>8183612776.5599976</v>
      </c>
      <c r="E95" s="61"/>
      <c r="F95" s="55"/>
      <c r="G95" s="55"/>
      <c r="H95" s="55"/>
      <c r="I95" s="55"/>
      <c r="J95" s="55"/>
      <c r="K95" s="37"/>
      <c r="L95" s="37"/>
      <c r="M95" s="4"/>
      <c r="N95" s="54"/>
      <c r="O95" s="55"/>
    </row>
    <row r="96" spans="2:26" ht="8.25" customHeight="1" x14ac:dyDescent="0.2">
      <c r="B96" s="38"/>
      <c r="C96" s="39"/>
      <c r="D96" s="39"/>
      <c r="E96" s="39"/>
      <c r="F96" s="40"/>
      <c r="G96" s="40"/>
      <c r="H96" s="40"/>
      <c r="I96" s="40"/>
      <c r="J96" s="41"/>
      <c r="K96" s="41"/>
      <c r="L96" s="42"/>
      <c r="M96" s="35"/>
    </row>
    <row r="97" spans="2:13" x14ac:dyDescent="0.2">
      <c r="B97" s="104" t="s">
        <v>111</v>
      </c>
      <c r="C97" s="57"/>
      <c r="D97" s="57"/>
      <c r="E97" s="57"/>
      <c r="F97" s="58"/>
      <c r="G97" s="58"/>
      <c r="H97" s="58"/>
      <c r="I97" s="58"/>
      <c r="J97" s="59"/>
      <c r="K97" s="59"/>
      <c r="L97" s="42"/>
      <c r="M97" s="35"/>
    </row>
    <row r="98" spans="2:13" ht="26.25" customHeight="1" x14ac:dyDescent="0.2">
      <c r="B98" s="65" t="s">
        <v>89</v>
      </c>
      <c r="C98" s="78">
        <f>1861782251.5</f>
        <v>1861782251.5</v>
      </c>
      <c r="D98" s="79">
        <f>187028027.5</f>
        <v>187028027.5</v>
      </c>
      <c r="E98" s="79">
        <f>884416708.209998</f>
        <v>884416708.20999801</v>
      </c>
      <c r="F98" s="79">
        <f>38974017.2</f>
        <v>38974017.200000003</v>
      </c>
      <c r="G98" s="79">
        <f>0</f>
        <v>0</v>
      </c>
      <c r="H98" s="79">
        <f>0</f>
        <v>0</v>
      </c>
      <c r="I98" s="79">
        <f>0</f>
        <v>0</v>
      </c>
      <c r="J98" s="62">
        <f>IF($D$98=0,"",100*$D98/$D$98)</f>
        <v>100</v>
      </c>
      <c r="K98" s="43">
        <f>IF(C98=0,"",100*D98/C98)</f>
        <v>10.04564456178027</v>
      </c>
      <c r="L98" s="35"/>
    </row>
    <row r="99" spans="2:13" ht="15" customHeight="1" x14ac:dyDescent="0.2">
      <c r="B99" s="101" t="s">
        <v>76</v>
      </c>
      <c r="C99" s="80">
        <f>1445440964.41</f>
        <v>1445440964.4100001</v>
      </c>
      <c r="D99" s="76">
        <f>126714430.06</f>
        <v>126714430.06</v>
      </c>
      <c r="E99" s="76">
        <f>772314159.97</f>
        <v>772314159.97000003</v>
      </c>
      <c r="F99" s="76">
        <f>36014783.47</f>
        <v>36014783.469999999</v>
      </c>
      <c r="G99" s="76">
        <f>0</f>
        <v>0</v>
      </c>
      <c r="H99" s="76">
        <f>0</f>
        <v>0</v>
      </c>
      <c r="I99" s="76">
        <f>0</f>
        <v>0</v>
      </c>
      <c r="J99" s="62">
        <f>IF($D$98=0,"",100*$D99/$D$98)</f>
        <v>67.751572720831902</v>
      </c>
      <c r="K99" s="62">
        <f>IF(C99=0,"",100*D99/C99)</f>
        <v>8.7664894782971832</v>
      </c>
      <c r="L99" s="35"/>
    </row>
    <row r="100" spans="2:13" x14ac:dyDescent="0.2">
      <c r="B100" s="102" t="s">
        <v>77</v>
      </c>
      <c r="C100" s="80">
        <f>C98-C99</f>
        <v>416341287.08999991</v>
      </c>
      <c r="D100" s="76">
        <f t="shared" ref="D100:I100" si="11">D98-D99</f>
        <v>60313597.439999998</v>
      </c>
      <c r="E100" s="76">
        <f t="shared" si="11"/>
        <v>112102548.23999798</v>
      </c>
      <c r="F100" s="76">
        <f t="shared" si="11"/>
        <v>2959233.7300000042</v>
      </c>
      <c r="G100" s="76">
        <f t="shared" si="11"/>
        <v>0</v>
      </c>
      <c r="H100" s="76">
        <f t="shared" si="11"/>
        <v>0</v>
      </c>
      <c r="I100" s="76">
        <f t="shared" si="11"/>
        <v>0</v>
      </c>
      <c r="J100" s="62">
        <f>IF($D$98=0,"",100*$D100/$D$98)</f>
        <v>32.248427279168091</v>
      </c>
      <c r="K100" s="62">
        <f>IF(C100=0,"",100*D100/C100)</f>
        <v>14.486576112006421</v>
      </c>
    </row>
    <row r="101" spans="2:13" ht="6" customHeight="1" x14ac:dyDescent="0.2"/>
    <row r="102" spans="2:13" ht="18" x14ac:dyDescent="0.2">
      <c r="B102" s="87" t="str">
        <f>CONCATENATE("Informacja z wykonania budżetów miast na prawach powiatu za ",$D$138," ",$C$139," rok    ",$C$141,"")</f>
        <v xml:space="preserve">Informacja z wykonania budżetów miast na prawach powiatu za I Kwartał 2024 rok    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</row>
    <row r="103" spans="2:13" ht="6.75" customHeight="1" x14ac:dyDescent="0.2"/>
    <row r="104" spans="2:13" x14ac:dyDescent="0.2">
      <c r="B104" s="13" t="s">
        <v>14</v>
      </c>
      <c r="C104" s="51" t="s">
        <v>15</v>
      </c>
      <c r="D104" s="8" t="s">
        <v>1</v>
      </c>
      <c r="E104" s="8" t="s">
        <v>23</v>
      </c>
      <c r="F104" s="8" t="s">
        <v>24</v>
      </c>
    </row>
    <row r="105" spans="2:13" x14ac:dyDescent="0.2">
      <c r="B105" s="13"/>
      <c r="C105" s="114" t="s">
        <v>78</v>
      </c>
      <c r="D105" s="125"/>
      <c r="E105" s="128" t="s">
        <v>4</v>
      </c>
      <c r="F105" s="129"/>
    </row>
    <row r="106" spans="2:13" x14ac:dyDescent="0.2">
      <c r="B106" s="11">
        <v>1</v>
      </c>
      <c r="C106" s="14">
        <v>2</v>
      </c>
      <c r="D106" s="12">
        <v>3</v>
      </c>
      <c r="E106" s="12">
        <v>4</v>
      </c>
      <c r="F106" s="12">
        <v>5</v>
      </c>
    </row>
    <row r="107" spans="2:13" ht="25.5" x14ac:dyDescent="0.2">
      <c r="B107" s="63" t="s">
        <v>66</v>
      </c>
      <c r="C107" s="81">
        <f>15025355065.59</f>
        <v>15025355065.59</v>
      </c>
      <c r="D107" s="74">
        <f>5845182402.61</f>
        <v>5845182402.6099997</v>
      </c>
      <c r="E107" s="44">
        <f>IF($D$107=0,"",100*$D107/$D$107)</f>
        <v>100</v>
      </c>
      <c r="F107" s="36">
        <f t="shared" ref="F107:F114" si="12">IF(C107=0,"",100*D107/C107)</f>
        <v>38.902124955411011</v>
      </c>
    </row>
    <row r="108" spans="2:13" ht="22.5" x14ac:dyDescent="0.2">
      <c r="B108" s="97" t="s">
        <v>90</v>
      </c>
      <c r="C108" s="82">
        <f>11670373389.19</f>
        <v>11670373389.190001</v>
      </c>
      <c r="D108" s="71">
        <f>145384478.5</f>
        <v>145384478.5</v>
      </c>
      <c r="E108" s="45">
        <f t="shared" ref="E108:E117" si="13">IF($D$107=0,"",100*$D108/$D$107)</f>
        <v>2.4872530656200342</v>
      </c>
      <c r="F108" s="46">
        <f t="shared" si="12"/>
        <v>1.2457568721380099</v>
      </c>
    </row>
    <row r="109" spans="2:13" ht="11.25" customHeight="1" x14ac:dyDescent="0.2">
      <c r="B109" s="99" t="s">
        <v>91</v>
      </c>
      <c r="C109" s="83">
        <f>961500000</f>
        <v>961500000</v>
      </c>
      <c r="D109" s="70">
        <f>0</f>
        <v>0</v>
      </c>
      <c r="E109" s="47">
        <f t="shared" si="13"/>
        <v>0</v>
      </c>
      <c r="F109" s="43">
        <f t="shared" si="12"/>
        <v>0</v>
      </c>
    </row>
    <row r="110" spans="2:13" ht="12.95" customHeight="1" x14ac:dyDescent="0.2">
      <c r="B110" s="98" t="s">
        <v>92</v>
      </c>
      <c r="C110" s="83">
        <f>57849013.13</f>
        <v>57849013.130000003</v>
      </c>
      <c r="D110" s="70">
        <f>13870704.12</f>
        <v>13870704.119999999</v>
      </c>
      <c r="E110" s="47">
        <f t="shared" si="13"/>
        <v>0.23730147606354307</v>
      </c>
      <c r="F110" s="43">
        <f t="shared" si="12"/>
        <v>23.977425662957025</v>
      </c>
    </row>
    <row r="111" spans="2:13" ht="45.75" customHeight="1" x14ac:dyDescent="0.2">
      <c r="B111" s="98" t="s">
        <v>101</v>
      </c>
      <c r="C111" s="83">
        <f>34105905.21</f>
        <v>34105905.210000001</v>
      </c>
      <c r="D111" s="70">
        <f>87293865.46</f>
        <v>87293865.459999993</v>
      </c>
      <c r="E111" s="47">
        <f t="shared" si="13"/>
        <v>1.4934327014503672</v>
      </c>
      <c r="F111" s="43">
        <f t="shared" si="12"/>
        <v>255.94941674324789</v>
      </c>
    </row>
    <row r="112" spans="2:13" ht="35.25" customHeight="1" x14ac:dyDescent="0.2">
      <c r="B112" s="98" t="s">
        <v>97</v>
      </c>
      <c r="C112" s="83">
        <f>757277913.57</f>
        <v>757277913.57000005</v>
      </c>
      <c r="D112" s="70">
        <f>1270339690.64</f>
        <v>1270339690.6400001</v>
      </c>
      <c r="E112" s="47">
        <f t="shared" si="13"/>
        <v>21.733106054530754</v>
      </c>
      <c r="F112" s="43">
        <f t="shared" si="12"/>
        <v>167.75079107368876</v>
      </c>
    </row>
    <row r="113" spans="2:8" ht="12.95" customHeight="1" x14ac:dyDescent="0.2">
      <c r="B113" s="98" t="s">
        <v>93</v>
      </c>
      <c r="C113" s="83">
        <f>0</f>
        <v>0</v>
      </c>
      <c r="D113" s="70">
        <f>0</f>
        <v>0</v>
      </c>
      <c r="E113" s="47">
        <f t="shared" si="13"/>
        <v>0</v>
      </c>
      <c r="F113" s="43" t="str">
        <f t="shared" si="12"/>
        <v/>
      </c>
    </row>
    <row r="114" spans="2:8" ht="35.25" customHeight="1" x14ac:dyDescent="0.2">
      <c r="B114" s="98" t="s">
        <v>96</v>
      </c>
      <c r="C114" s="83">
        <f>2320963939.74</f>
        <v>2320963939.7399998</v>
      </c>
      <c r="D114" s="70">
        <f>4115844816.58</f>
        <v>4115844816.5799999</v>
      </c>
      <c r="E114" s="47">
        <f t="shared" si="13"/>
        <v>70.414309307818812</v>
      </c>
      <c r="F114" s="43">
        <f t="shared" si="12"/>
        <v>177.33342367400448</v>
      </c>
    </row>
    <row r="115" spans="2:8" ht="56.25" x14ac:dyDescent="0.2">
      <c r="B115" s="107" t="s">
        <v>123</v>
      </c>
      <c r="C115" s="83">
        <f>0</f>
        <v>0</v>
      </c>
      <c r="D115" s="70">
        <f>54663942.56</f>
        <v>54663942.560000002</v>
      </c>
      <c r="E115" s="47">
        <f t="shared" si="13"/>
        <v>0.93519652244883533</v>
      </c>
      <c r="F115" s="43" t="str">
        <f t="shared" ref="F115:F123" si="14">IF(C115=0,"",100*D115/C115)</f>
        <v/>
      </c>
    </row>
    <row r="116" spans="2:8" x14ac:dyDescent="0.2">
      <c r="B116" s="107" t="s">
        <v>119</v>
      </c>
      <c r="C116" s="83">
        <f>184784904.75</f>
        <v>184784904.75</v>
      </c>
      <c r="D116" s="70">
        <f>157784904.75</f>
        <v>157784904.75</v>
      </c>
      <c r="E116" s="47">
        <f t="shared" si="13"/>
        <v>2.6994008720676645</v>
      </c>
      <c r="F116" s="43">
        <f t="shared" si="14"/>
        <v>85.388416853352297</v>
      </c>
    </row>
    <row r="117" spans="2:8" ht="22.5" x14ac:dyDescent="0.2">
      <c r="B117" s="108" t="s">
        <v>120</v>
      </c>
      <c r="C117" s="83">
        <f>164795971.96</f>
        <v>164795971.96000001</v>
      </c>
      <c r="D117" s="70">
        <f>137795971.96</f>
        <v>137795971.96000001</v>
      </c>
      <c r="E117" s="47">
        <f t="shared" si="13"/>
        <v>2.3574280915249304</v>
      </c>
      <c r="F117" s="43">
        <f t="shared" si="14"/>
        <v>83.616104399351727</v>
      </c>
    </row>
    <row r="118" spans="2:8" ht="25.5" x14ac:dyDescent="0.2">
      <c r="B118" s="66" t="s">
        <v>67</v>
      </c>
      <c r="C118" s="84">
        <f>3690235828.22</f>
        <v>3690235828.2199998</v>
      </c>
      <c r="D118" s="74">
        <f>1049260693.99</f>
        <v>1049260693.99</v>
      </c>
      <c r="E118" s="48">
        <f t="shared" ref="E118:E123" si="15">IF($D$118=0,"",100*$D118/$D$118)</f>
        <v>100</v>
      </c>
      <c r="F118" s="36">
        <f t="shared" si="14"/>
        <v>28.433431976517205</v>
      </c>
    </row>
    <row r="119" spans="2:8" ht="22.5" x14ac:dyDescent="0.2">
      <c r="B119" s="98" t="s">
        <v>94</v>
      </c>
      <c r="C119" s="83">
        <f>3612235303.75</f>
        <v>3612235303.75</v>
      </c>
      <c r="D119" s="70">
        <f>732014620.12</f>
        <v>732014620.12</v>
      </c>
      <c r="E119" s="47">
        <f t="shared" si="15"/>
        <v>69.764799569150398</v>
      </c>
      <c r="F119" s="43">
        <f t="shared" si="14"/>
        <v>20.264865341415259</v>
      </c>
    </row>
    <row r="120" spans="2:8" ht="12.95" customHeight="1" x14ac:dyDescent="0.2">
      <c r="B120" s="99" t="s">
        <v>95</v>
      </c>
      <c r="C120" s="83">
        <f>321345000</f>
        <v>321345000</v>
      </c>
      <c r="D120" s="70">
        <f>0</f>
        <v>0</v>
      </c>
      <c r="E120" s="47">
        <f t="shared" si="15"/>
        <v>0</v>
      </c>
      <c r="F120" s="43">
        <f t="shared" si="14"/>
        <v>0</v>
      </c>
    </row>
    <row r="121" spans="2:8" ht="12.95" customHeight="1" x14ac:dyDescent="0.2">
      <c r="B121" s="98" t="s">
        <v>110</v>
      </c>
      <c r="C121" s="83">
        <f>60063431</f>
        <v>60063431</v>
      </c>
      <c r="D121" s="70">
        <f>5246073.87</f>
        <v>5246073.87</v>
      </c>
      <c r="E121" s="47">
        <f t="shared" si="15"/>
        <v>0.49997811793090935</v>
      </c>
      <c r="F121" s="43">
        <f t="shared" si="14"/>
        <v>8.7342227752523822</v>
      </c>
    </row>
    <row r="122" spans="2:8" ht="12.95" customHeight="1" x14ac:dyDescent="0.2">
      <c r="B122" s="98" t="s">
        <v>121</v>
      </c>
      <c r="C122" s="83">
        <f>17937093.47</f>
        <v>17937093.469999999</v>
      </c>
      <c r="D122" s="70">
        <f>312000000</f>
        <v>312000000</v>
      </c>
      <c r="E122" s="47">
        <f t="shared" si="15"/>
        <v>29.73522231291869</v>
      </c>
      <c r="F122" s="43">
        <f t="shared" si="14"/>
        <v>1739.4122438054064</v>
      </c>
    </row>
    <row r="123" spans="2:8" ht="22.5" x14ac:dyDescent="0.2">
      <c r="B123" s="108" t="s">
        <v>122</v>
      </c>
      <c r="C123" s="83">
        <f>2559660.68</f>
        <v>2559660.6800000002</v>
      </c>
      <c r="D123" s="70">
        <f>0</f>
        <v>0</v>
      </c>
      <c r="E123" s="47">
        <f t="shared" si="15"/>
        <v>0</v>
      </c>
      <c r="F123" s="43">
        <f t="shared" si="14"/>
        <v>0</v>
      </c>
    </row>
    <row r="124" spans="2:8" x14ac:dyDescent="0.2">
      <c r="B124" s="26"/>
      <c r="C124" s="26"/>
      <c r="D124" s="26"/>
      <c r="E124" s="26"/>
      <c r="F124" s="26"/>
      <c r="G124" s="26"/>
      <c r="H124" s="26"/>
    </row>
    <row r="125" spans="2:8" x14ac:dyDescent="0.2">
      <c r="B125" s="13" t="s">
        <v>14</v>
      </c>
      <c r="C125" s="11" t="s">
        <v>15</v>
      </c>
      <c r="D125" s="11" t="s">
        <v>1</v>
      </c>
      <c r="E125" s="60"/>
    </row>
    <row r="126" spans="2:8" x14ac:dyDescent="0.2">
      <c r="B126" s="13"/>
      <c r="C126" s="126" t="s">
        <v>78</v>
      </c>
      <c r="D126" s="127"/>
      <c r="E126" s="60"/>
    </row>
    <row r="127" spans="2:8" x14ac:dyDescent="0.2">
      <c r="B127" s="11">
        <v>1</v>
      </c>
      <c r="C127" s="11">
        <v>2</v>
      </c>
      <c r="D127" s="11">
        <v>3</v>
      </c>
      <c r="E127" s="60"/>
    </row>
    <row r="128" spans="2:8" ht="36" customHeight="1" x14ac:dyDescent="0.2">
      <c r="B128" s="64" t="s">
        <v>124</v>
      </c>
      <c r="C128" s="83">
        <f>11430135353.9</f>
        <v>11430135353.9</v>
      </c>
      <c r="D128" s="70">
        <f>0</f>
        <v>0</v>
      </c>
      <c r="E128" s="60"/>
    </row>
    <row r="129" spans="2:8" ht="33.75" x14ac:dyDescent="0.2">
      <c r="B129" s="103" t="s">
        <v>80</v>
      </c>
      <c r="C129" s="83">
        <f>538857958</f>
        <v>538857958</v>
      </c>
      <c r="D129" s="70">
        <f>0</f>
        <v>0</v>
      </c>
      <c r="E129" s="60"/>
    </row>
    <row r="130" spans="2:8" ht="12.95" customHeight="1" x14ac:dyDescent="0.2">
      <c r="B130" s="103" t="s">
        <v>81</v>
      </c>
      <c r="C130" s="83">
        <f>8244044242.54</f>
        <v>8244044242.54</v>
      </c>
      <c r="D130" s="70">
        <f>0</f>
        <v>0</v>
      </c>
      <c r="E130" s="60"/>
    </row>
    <row r="131" spans="2:8" ht="22.5" x14ac:dyDescent="0.2">
      <c r="B131" s="103" t="s">
        <v>82</v>
      </c>
      <c r="C131" s="83">
        <f>0</f>
        <v>0</v>
      </c>
      <c r="D131" s="70">
        <f>0</f>
        <v>0</v>
      </c>
      <c r="E131" s="60"/>
    </row>
    <row r="132" spans="2:8" ht="58.5" customHeight="1" x14ac:dyDescent="0.2">
      <c r="B132" s="103" t="s">
        <v>104</v>
      </c>
      <c r="C132" s="83">
        <f>34105905.21</f>
        <v>34105905.210000001</v>
      </c>
      <c r="D132" s="70">
        <f>0</f>
        <v>0</v>
      </c>
      <c r="E132" s="60"/>
    </row>
    <row r="133" spans="2:8" ht="78.75" x14ac:dyDescent="0.2">
      <c r="B133" s="103" t="s">
        <v>83</v>
      </c>
      <c r="C133" s="83">
        <f>1734913270.34</f>
        <v>1734913270.3399999</v>
      </c>
      <c r="D133" s="70">
        <f>0</f>
        <v>0</v>
      </c>
      <c r="E133" s="60"/>
    </row>
    <row r="134" spans="2:8" ht="147" customHeight="1" x14ac:dyDescent="0.2">
      <c r="B134" s="103" t="s">
        <v>102</v>
      </c>
      <c r="C134" s="83">
        <f>712066164.85</f>
        <v>712066164.85000002</v>
      </c>
      <c r="D134" s="70">
        <f>0</f>
        <v>0</v>
      </c>
      <c r="E134" s="35"/>
    </row>
    <row r="135" spans="2:8" ht="22.5" x14ac:dyDescent="0.2">
      <c r="B135" s="103" t="s">
        <v>103</v>
      </c>
      <c r="C135" s="83">
        <f>10233904</f>
        <v>10233904</v>
      </c>
      <c r="D135" s="70">
        <f>0</f>
        <v>0</v>
      </c>
      <c r="E135" s="35"/>
    </row>
    <row r="136" spans="2:8" ht="22.5" x14ac:dyDescent="0.2">
      <c r="B136" s="109" t="s">
        <v>120</v>
      </c>
      <c r="C136" s="83">
        <f>155913908.96</f>
        <v>155913908.96000001</v>
      </c>
      <c r="D136" s="70">
        <f>0</f>
        <v>0</v>
      </c>
      <c r="E136" s="35"/>
    </row>
    <row r="137" spans="2:8" x14ac:dyDescent="0.2">
      <c r="B137" s="49"/>
      <c r="C137" s="41"/>
      <c r="D137" s="41"/>
      <c r="E137" s="41"/>
      <c r="F137" s="41"/>
      <c r="G137" s="41"/>
      <c r="H137" s="41"/>
    </row>
    <row r="138" spans="2:8" ht="12" customHeight="1" x14ac:dyDescent="0.2">
      <c r="B138" s="50" t="s">
        <v>68</v>
      </c>
      <c r="C138" s="50">
        <f>1</f>
        <v>1</v>
      </c>
      <c r="D138" s="50" t="str">
        <f>IF(C138=1,"I Kwartał",IF(C138=2,"II Kwartały",IF(C138=3,"III Kwartały",IF(C138=4,"IV Kwartały",IF(C138="M1","Styczeń",IF(C138="M11","Listopad",IF(C138="M12","Grudzień","-")))))))</f>
        <v>I Kwartał</v>
      </c>
    </row>
    <row r="139" spans="2:8" x14ac:dyDescent="0.2">
      <c r="B139" s="50" t="s">
        <v>69</v>
      </c>
      <c r="C139" s="85">
        <f>2024</f>
        <v>2024</v>
      </c>
      <c r="D139" s="49"/>
    </row>
    <row r="140" spans="2:8" x14ac:dyDescent="0.2">
      <c r="B140" s="50" t="s">
        <v>70</v>
      </c>
      <c r="C140" s="130" t="str">
        <f>"May 21 2024 12:00AM"</f>
        <v>May 21 2024 12:00AM</v>
      </c>
      <c r="D140" s="131"/>
    </row>
    <row r="141" spans="2:8" hidden="1" x14ac:dyDescent="0.2">
      <c r="B141" s="50" t="s">
        <v>73</v>
      </c>
      <c r="C141" s="86" t="str">
        <f>""</f>
        <v/>
      </c>
      <c r="D141" s="49"/>
    </row>
  </sheetData>
  <mergeCells count="20">
    <mergeCell ref="C140:D140"/>
    <mergeCell ref="I94:J94"/>
    <mergeCell ref="D79:D81"/>
    <mergeCell ref="E79:E81"/>
    <mergeCell ref="C105:D105"/>
    <mergeCell ref="C126:D126"/>
    <mergeCell ref="E105:F105"/>
    <mergeCell ref="J82:K82"/>
    <mergeCell ref="B2:B3"/>
    <mergeCell ref="C79:C81"/>
    <mergeCell ref="B79:B82"/>
    <mergeCell ref="J79:J81"/>
    <mergeCell ref="K79:K81"/>
    <mergeCell ref="F80:F81"/>
    <mergeCell ref="F79:H79"/>
    <mergeCell ref="I79:I81"/>
    <mergeCell ref="C82:I82"/>
    <mergeCell ref="J3:L3"/>
    <mergeCell ref="C3:I3"/>
    <mergeCell ref="G80:H80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9" max="12" man="1"/>
    <brk id="76" max="16383" man="1"/>
    <brk id="101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2022-10-25T14:05:09Z</cp:lastPrinted>
  <dcterms:created xsi:type="dcterms:W3CDTF">2001-05-17T08:58:03Z</dcterms:created>
  <dcterms:modified xsi:type="dcterms:W3CDTF">2024-06-03T10:51:48Z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