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V kwartał\2025.03.18 dane ostateczne\Zbiorówki_2024_k4_2025.03.18\Publikacja\"/>
    </mc:Choice>
  </mc:AlternateContent>
  <xr:revisionPtr revIDLastSave="0" documentId="13_ncr:1_{3E7CC50B-4FE3-4488-8668-B1FE88E64B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doch_wyd!$A$1:$M$120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1" i="4" l="1"/>
  <c r="C120" i="4"/>
  <c r="C119" i="4"/>
  <c r="C118" i="4"/>
  <c r="D116" i="4"/>
  <c r="C116" i="4"/>
  <c r="D115" i="4"/>
  <c r="C115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3" i="4"/>
  <c r="C103" i="4"/>
  <c r="D102" i="4"/>
  <c r="C102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K90" i="4" s="1"/>
  <c r="C90" i="4"/>
  <c r="D89" i="4"/>
  <c r="C89" i="4"/>
  <c r="D88" i="4"/>
  <c r="C88" i="4"/>
  <c r="D87" i="4"/>
  <c r="C87" i="4"/>
  <c r="I80" i="4"/>
  <c r="H80" i="4"/>
  <c r="G80" i="4"/>
  <c r="F80" i="4"/>
  <c r="E80" i="4"/>
  <c r="D80" i="4"/>
  <c r="K80" i="4" s="1"/>
  <c r="C80" i="4"/>
  <c r="I79" i="4"/>
  <c r="H79" i="4"/>
  <c r="G79" i="4"/>
  <c r="F79" i="4"/>
  <c r="E79" i="4"/>
  <c r="D79" i="4"/>
  <c r="C79" i="4"/>
  <c r="I73" i="4"/>
  <c r="H73" i="4"/>
  <c r="G73" i="4"/>
  <c r="F73" i="4"/>
  <c r="E73" i="4"/>
  <c r="D73" i="4"/>
  <c r="C73" i="4"/>
  <c r="I72" i="4"/>
  <c r="H72" i="4"/>
  <c r="G72" i="4"/>
  <c r="F72" i="4"/>
  <c r="E72" i="4"/>
  <c r="D72" i="4"/>
  <c r="C72" i="4"/>
  <c r="I71" i="4"/>
  <c r="H71" i="4"/>
  <c r="G71" i="4"/>
  <c r="F71" i="4"/>
  <c r="E71" i="4"/>
  <c r="D71" i="4"/>
  <c r="C71" i="4"/>
  <c r="I70" i="4"/>
  <c r="H70" i="4"/>
  <c r="G70" i="4"/>
  <c r="F70" i="4"/>
  <c r="E70" i="4"/>
  <c r="D70" i="4"/>
  <c r="C70" i="4"/>
  <c r="I69" i="4"/>
  <c r="H69" i="4"/>
  <c r="G69" i="4"/>
  <c r="F69" i="4"/>
  <c r="E69" i="4"/>
  <c r="D69" i="4"/>
  <c r="C69" i="4"/>
  <c r="I67" i="4"/>
  <c r="H67" i="4"/>
  <c r="G67" i="4"/>
  <c r="F67" i="4"/>
  <c r="E67" i="4"/>
  <c r="D67" i="4"/>
  <c r="C67" i="4"/>
  <c r="I66" i="4"/>
  <c r="H66" i="4"/>
  <c r="G66" i="4"/>
  <c r="F66" i="4"/>
  <c r="E66" i="4"/>
  <c r="D66" i="4"/>
  <c r="C66" i="4"/>
  <c r="I65" i="4"/>
  <c r="H65" i="4"/>
  <c r="G65" i="4"/>
  <c r="F65" i="4"/>
  <c r="E65" i="4"/>
  <c r="D65" i="4"/>
  <c r="C65" i="4"/>
  <c r="I55" i="4"/>
  <c r="H55" i="4"/>
  <c r="G55" i="4"/>
  <c r="G56" i="4" s="1"/>
  <c r="F55" i="4"/>
  <c r="E55" i="4"/>
  <c r="D55" i="4"/>
  <c r="C55" i="4"/>
  <c r="D52" i="4"/>
  <c r="C52" i="4"/>
  <c r="K52" i="4" s="1"/>
  <c r="D51" i="4"/>
  <c r="C51" i="4"/>
  <c r="D50" i="4"/>
  <c r="C50" i="4"/>
  <c r="D49" i="4"/>
  <c r="C49" i="4"/>
  <c r="D48" i="4"/>
  <c r="C48" i="4"/>
  <c r="D47" i="4"/>
  <c r="C47" i="4"/>
  <c r="D45" i="4"/>
  <c r="C45" i="4"/>
  <c r="D44" i="4"/>
  <c r="C44" i="4"/>
  <c r="D43" i="4"/>
  <c r="C43" i="4"/>
  <c r="K43" i="4" s="1"/>
  <c r="D42" i="4"/>
  <c r="C42" i="4"/>
  <c r="K42" i="4" s="1"/>
  <c r="D41" i="4"/>
  <c r="K41" i="4" s="1"/>
  <c r="C41" i="4"/>
  <c r="D40" i="4"/>
  <c r="C40" i="4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K30" i="4" s="1"/>
  <c r="D29" i="4"/>
  <c r="C29" i="4"/>
  <c r="D28" i="4"/>
  <c r="C28" i="4"/>
  <c r="D27" i="4"/>
  <c r="C27" i="4"/>
  <c r="D26" i="4"/>
  <c r="C26" i="4"/>
  <c r="D25" i="4"/>
  <c r="C25" i="4"/>
  <c r="D24" i="4"/>
  <c r="C24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K13" i="4" s="1"/>
  <c r="I12" i="4"/>
  <c r="H12" i="4"/>
  <c r="G12" i="4"/>
  <c r="F12" i="4"/>
  <c r="E12" i="4"/>
  <c r="D12" i="4"/>
  <c r="K12" i="4" s="1"/>
  <c r="C12" i="4"/>
  <c r="I11" i="4"/>
  <c r="H11" i="4"/>
  <c r="G11" i="4"/>
  <c r="F11" i="4"/>
  <c r="E11" i="4"/>
  <c r="D11" i="4"/>
  <c r="C11" i="4"/>
  <c r="K11" i="4" s="1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6" i="4"/>
  <c r="H6" i="4"/>
  <c r="G6" i="4"/>
  <c r="F6" i="4"/>
  <c r="F7" i="4" s="1"/>
  <c r="F21" i="4" s="1"/>
  <c r="E6" i="4"/>
  <c r="D6" i="4"/>
  <c r="C6" i="4"/>
  <c r="C54" i="4" s="1"/>
  <c r="I68" i="4"/>
  <c r="I74" i="4"/>
  <c r="K66" i="4"/>
  <c r="K91" i="4"/>
  <c r="K103" i="4"/>
  <c r="K35" i="4"/>
  <c r="D46" i="4"/>
  <c r="J46" i="4" s="1"/>
  <c r="C75" i="4"/>
  <c r="K6" i="4"/>
  <c r="K48" i="4"/>
  <c r="J32" i="4"/>
  <c r="J9" i="4"/>
  <c r="J18" i="4"/>
  <c r="J36" i="4"/>
  <c r="J30" i="4"/>
  <c r="J8" i="4"/>
  <c r="J51" i="4"/>
  <c r="J42" i="4"/>
  <c r="J44" i="4"/>
  <c r="J27" i="4"/>
  <c r="J52" i="4"/>
  <c r="J17" i="4"/>
  <c r="J47" i="4"/>
  <c r="J40" i="4"/>
  <c r="J33" i="4"/>
  <c r="D75" i="4"/>
  <c r="J43" i="4"/>
  <c r="J11" i="4"/>
  <c r="J20" i="4"/>
  <c r="J16" i="4"/>
  <c r="J29" i="4"/>
  <c r="J34" i="4"/>
  <c r="J48" i="4"/>
  <c r="J38" i="4"/>
  <c r="J25" i="4"/>
  <c r="J55" i="4"/>
  <c r="J31" i="4"/>
  <c r="D54" i="4"/>
  <c r="D56" i="4" s="1"/>
  <c r="J50" i="4"/>
  <c r="J24" i="4"/>
  <c r="J15" i="4"/>
  <c r="J49" i="4"/>
  <c r="J28" i="4"/>
  <c r="J39" i="4"/>
  <c r="J13" i="4"/>
  <c r="J35" i="4"/>
  <c r="J19" i="4"/>
  <c r="J45" i="4"/>
  <c r="J10" i="4"/>
  <c r="J26" i="4"/>
  <c r="J14" i="4"/>
  <c r="J6" i="4"/>
  <c r="J37" i="4"/>
  <c r="K14" i="4"/>
  <c r="K36" i="4"/>
  <c r="K55" i="4"/>
  <c r="K72" i="4"/>
  <c r="K19" i="4"/>
  <c r="K98" i="4"/>
  <c r="C81" i="4"/>
  <c r="K79" i="4"/>
  <c r="J79" i="4"/>
  <c r="K28" i="4"/>
  <c r="K97" i="4"/>
  <c r="K69" i="4"/>
  <c r="J100" i="4"/>
  <c r="J103" i="4"/>
  <c r="J99" i="4"/>
  <c r="J101" i="4"/>
  <c r="J102" i="4"/>
  <c r="J98" i="4"/>
  <c r="K92" i="4"/>
  <c r="E54" i="4"/>
  <c r="E56" i="4"/>
  <c r="E7" i="4"/>
  <c r="K24" i="4"/>
  <c r="C23" i="4"/>
  <c r="K49" i="4"/>
  <c r="K40" i="4"/>
  <c r="K29" i="4"/>
  <c r="G68" i="4"/>
  <c r="G74" i="4"/>
  <c r="K70" i="4"/>
  <c r="K102" i="4"/>
  <c r="K17" i="4"/>
  <c r="K34" i="4"/>
  <c r="K47" i="4"/>
  <c r="H68" i="4"/>
  <c r="H74" i="4"/>
  <c r="E81" i="4"/>
  <c r="K87" i="4"/>
  <c r="K93" i="4"/>
  <c r="G54" i="4"/>
  <c r="G7" i="4"/>
  <c r="K25" i="4"/>
  <c r="K31" i="4"/>
  <c r="K37" i="4"/>
  <c r="K50" i="4"/>
  <c r="K71" i="4"/>
  <c r="F81" i="4"/>
  <c r="J97" i="4"/>
  <c r="J93" i="4"/>
  <c r="J88" i="4"/>
  <c r="J91" i="4"/>
  <c r="J92" i="4"/>
  <c r="J94" i="4"/>
  <c r="J89" i="4"/>
  <c r="J87" i="4"/>
  <c r="H7" i="4"/>
  <c r="H21" i="4" s="1"/>
  <c r="H54" i="4"/>
  <c r="H56" i="4"/>
  <c r="K18" i="4"/>
  <c r="C68" i="4"/>
  <c r="C74" i="4" s="1"/>
  <c r="K65" i="4"/>
  <c r="G81" i="4"/>
  <c r="K88" i="4"/>
  <c r="K94" i="4"/>
  <c r="K100" i="4"/>
  <c r="K16" i="4"/>
  <c r="D118" i="4"/>
  <c r="B82" i="4" s="1"/>
  <c r="I7" i="4"/>
  <c r="I21" i="4" s="1"/>
  <c r="I54" i="4"/>
  <c r="I56" i="4"/>
  <c r="K26" i="4"/>
  <c r="K32" i="4"/>
  <c r="K38" i="4"/>
  <c r="K44" i="4"/>
  <c r="K51" i="4"/>
  <c r="J67" i="4"/>
  <c r="J71" i="4"/>
  <c r="J73" i="4"/>
  <c r="D68" i="4"/>
  <c r="D74" i="4"/>
  <c r="J74" i="4" s="1"/>
  <c r="J72" i="4"/>
  <c r="J69" i="4"/>
  <c r="J66" i="4"/>
  <c r="J65" i="4"/>
  <c r="J70" i="4"/>
  <c r="K73" i="4"/>
  <c r="H81" i="4"/>
  <c r="K101" i="4"/>
  <c r="D23" i="4"/>
  <c r="J23" i="4" s="1"/>
  <c r="D22" i="4"/>
  <c r="J22" i="4" s="1"/>
  <c r="K99" i="4"/>
  <c r="K8" i="4"/>
  <c r="E68" i="4"/>
  <c r="E74" i="4"/>
  <c r="K67" i="4"/>
  <c r="I81" i="4"/>
  <c r="K89" i="4"/>
  <c r="K15" i="4"/>
  <c r="K27" i="4"/>
  <c r="K33" i="4"/>
  <c r="K39" i="4"/>
  <c r="K45" i="4"/>
  <c r="F68" i="4"/>
  <c r="F74" i="4"/>
  <c r="J68" i="4"/>
  <c r="K74" i="4" l="1"/>
  <c r="B58" i="4"/>
  <c r="B1" i="4"/>
  <c r="J90" i="4"/>
  <c r="J80" i="4"/>
  <c r="D81" i="4"/>
  <c r="K68" i="4"/>
  <c r="C46" i="4"/>
  <c r="K46" i="4" s="1"/>
  <c r="J41" i="4"/>
  <c r="K23" i="4"/>
  <c r="D7" i="4"/>
  <c r="L12" i="4" s="1"/>
  <c r="C22" i="4"/>
  <c r="K22" i="4" s="1"/>
  <c r="K20" i="4"/>
  <c r="E21" i="4"/>
  <c r="G21" i="4"/>
  <c r="J12" i="4"/>
  <c r="K10" i="4"/>
  <c r="K9" i="4"/>
  <c r="F54" i="4"/>
  <c r="F56" i="4" s="1"/>
  <c r="J56" i="4"/>
  <c r="D76" i="4"/>
  <c r="L11" i="4"/>
  <c r="J54" i="4"/>
  <c r="C56" i="4"/>
  <c r="K54" i="4"/>
  <c r="L7" i="4" l="1"/>
  <c r="L10" i="4"/>
  <c r="K81" i="4"/>
  <c r="J81" i="4"/>
  <c r="L13" i="4"/>
  <c r="D21" i="4"/>
  <c r="J21" i="4" s="1"/>
  <c r="L16" i="4"/>
  <c r="J7" i="4"/>
  <c r="L14" i="4"/>
  <c r="L19" i="4"/>
  <c r="L20" i="4"/>
  <c r="L15" i="4"/>
  <c r="L18" i="4"/>
  <c r="L8" i="4"/>
  <c r="L9" i="4"/>
  <c r="L17" i="4"/>
  <c r="C7" i="4"/>
  <c r="K7" i="4" s="1"/>
  <c r="L21" i="4"/>
  <c r="C76" i="4"/>
  <c r="K56" i="4"/>
  <c r="C21" i="4" l="1"/>
  <c r="K21" i="4" s="1"/>
</calcChain>
</file>

<file path=xl/sharedStrings.xml><?xml version="1.0" encoding="utf-8"?>
<sst xmlns="http://schemas.openxmlformats.org/spreadsheetml/2006/main" count="376" uniqueCount="116">
  <si>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</si>
  <si>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</si>
  <si>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</si>
  <si>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</si>
  <si>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</si>
  <si>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</si>
  <si>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</si>
  <si>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</si>
  <si>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</si>
  <si>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</si>
  <si>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</si>
  <si>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</si>
  <si>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</si>
  <si>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</si>
  <si>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</si>
  <si>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</si>
  <si>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</si>
  <si>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</si>
  <si>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</si>
  <si>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</si>
  <si>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</si>
  <si>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</si>
  <si>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</si>
  <si>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</si>
  <si>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</si>
  <si>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</si>
  <si>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</si>
  <si>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</si>
  <si>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</si>
  <si>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</si>
  <si>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 xml:space="preserve">wpływy z opłaty skarbowej        </t>
  </si>
  <si>
    <t>wpływy z opłaty eksploatacyjnej</t>
  </si>
  <si>
    <t>wpływy z opłaty targowej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</si>
  <si>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</si>
  <si>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</si>
  <si>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</si>
  <si>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</si>
  <si>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</si>
  <si>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</si>
  <si>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</si>
  <si>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</si>
  <si>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</si>
  <si>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</si>
  <si>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</si>
  <si>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</si>
  <si>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</si>
  <si>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</si>
  <si>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</si>
  <si>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</si>
  <si>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</si>
  <si>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</si>
  <si>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</si>
  <si>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</si>
  <si>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</si>
  <si>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</si>
  <si>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</si>
  <si>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</si>
  <si>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#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</si>
  <si>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</si>
  <si>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</si>
  <si>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</si>
  <si>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</si>
  <si>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</si>
  <si>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</si>
  <si>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</si>
  <si>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</si>
  <si>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</si>
  <si>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</si>
  <si>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</si>
  <si>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</si>
  <si>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</si>
  <si>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</si>
  <si>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</si>
  <si>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</si>
  <si>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</si>
  <si>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</si>
  <si>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</si>
  <si>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</si>
  <si>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</si>
  <si>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</si>
  <si>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</si>
  <si>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ze sprzedaży papierów wartościowych</t>
  </si>
  <si>
    <t>spłata  udzielonych pożyczek</t>
  </si>
  <si>
    <t>prywatyzacja majątku JST</t>
  </si>
  <si>
    <t>wykup papierów wartościowych</t>
  </si>
  <si>
    <t>udzielone pożyczki</t>
  </si>
  <si>
    <t>Dotacje §§ 200 i 620</t>
  </si>
  <si>
    <t>w tym: inwestycyjne § 620</t>
  </si>
  <si>
    <t>Dotacje §§ 205 i 625</t>
  </si>
  <si>
    <t>w tym: inwestycyjne § 625</t>
  </si>
  <si>
    <t>otrzymane ze środków z Funduszu Przeciwdziałania COVID-19 (m.in. z Rządowego Funduszu Inwestycji Lokalnych)</t>
  </si>
  <si>
    <t>wolne środki, o których mowa w art. 217 ust. 2 pkt 6 ustawy o finansach publicznych</t>
  </si>
  <si>
    <t>na finansowanie lub dofinansowanie zadań inwestycyjnych obiektów zabytkowych oraz prac remontowych i konserwatorskich przy zabytkach</t>
  </si>
  <si>
    <t>w tym: inwestycyjne</t>
  </si>
  <si>
    <t>spłaty udzielonych pożyczek w latach ubiegłych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</si>
  <si>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</si>
  <si>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</si>
  <si>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nadwyżka z lat ubiegłych, pomniejszona o niewykorzystane środki pieniężne, o których mowa w art. 217 ust. 2 pkt 8 ustawy o finansach publicznych</t>
  </si>
  <si>
    <t>Dotacje ogółem 
z tego:</t>
  </si>
  <si>
    <t>spłaty kredytów i pożyczek, wykup papierów wartościowych 
w tym: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</si>
  <si>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</si>
  <si>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Dochody bieżące 
minus 
wydatki bieżące</t>
  </si>
  <si>
    <t>Wydatki ogółem UE 
z tego:</t>
  </si>
  <si>
    <t>kredyty, pożyczki, emisja papierów wartościowych
w tym: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</si>
  <si>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</si>
  <si>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</si>
  <si>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</si>
  <si>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tytuł</t>
  </si>
  <si>
    <t>inne źródła, w tym:</t>
  </si>
  <si>
    <t>środki z lokat dokonanych w latach ubiegłych</t>
  </si>
  <si>
    <t>lokaty na okres wykraczający poza rok budżetowy</t>
  </si>
  <si>
    <t>FINANSOWANIE DEFICYTU (E1+E2+E3+E4+E5+E6+E7+E8)  
z tego:</t>
  </si>
  <si>
    <t>inne cele, w tym:</t>
  </si>
  <si>
    <t>niewykorzystane środki pieniężne o których mowa w art. 217 ust. 2 pkt 8 ustawy o finansach publicznych</t>
  </si>
  <si>
    <t>stan niespłaconych na koniec okresu sprawozdawczego zobowiązań przeznaczonych na cel , o którym mowa w art.. 89 ust. 1 pkt 1 ustawy o finansach publicznych</t>
  </si>
  <si>
    <t>część rozwojowa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</si>
</sst>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"/>
    <numFmt numFmtId="166" formatCode="dd/mm/yy\ h:mm;@"/>
  </numFmts>
  <fonts count="1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5" fillId="0" borderId="0"/>
    <xf numFmtId="0" fontId="15" fillId="0" borderId="0"/>
  </cellStyleXfs>
  <cellXfs count="132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 indent="2"/>
    </xf>
    <xf numFmtId="0" fontId="2" fillId="0" borderId="1" xfId="0" applyFont="1" applyBorder="1"/>
    <xf numFmtId="165" fontId="12" fillId="3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vertical="center"/>
    </xf>
    <xf numFmtId="165" fontId="11" fillId="3" borderId="1" xfId="0" applyNumberFormat="1" applyFont="1" applyFill="1" applyBorder="1" applyAlignment="1">
      <alignment horizontal="right" vertical="center"/>
    </xf>
    <xf numFmtId="165" fontId="11" fillId="3" borderId="1" xfId="1" applyNumberFormat="1" applyFont="1" applyFill="1" applyBorder="1" applyAlignment="1">
      <alignment horizontal="right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/>
    </xf>
    <xf numFmtId="4" fontId="11" fillId="3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12" fillId="4" borderId="1" xfId="0" applyNumberFormat="1" applyFont="1" applyFill="1" applyBorder="1" applyAlignment="1">
      <alignment horizontal="right" vertical="center"/>
    </xf>
    <xf numFmtId="165" fontId="12" fillId="4" borderId="1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 vertical="center"/>
    </xf>
    <xf numFmtId="4" fontId="6" fillId="5" borderId="3" xfId="0" applyNumberFormat="1" applyFont="1" applyFill="1" applyBorder="1" applyAlignment="1">
      <alignment horizontal="right" vertical="center"/>
    </xf>
    <xf numFmtId="4" fontId="11" fillId="4" borderId="3" xfId="0" applyNumberFormat="1" applyFont="1" applyFill="1" applyBorder="1" applyAlignment="1">
      <alignment horizontal="right" vertical="center"/>
    </xf>
    <xf numFmtId="165" fontId="11" fillId="5" borderId="1" xfId="1" applyNumberFormat="1" applyFont="1" applyFill="1" applyBorder="1" applyAlignment="1">
      <alignment horizontal="right" vertical="center"/>
    </xf>
    <xf numFmtId="165" fontId="11" fillId="5" borderId="1" xfId="0" applyNumberFormat="1" applyFont="1" applyFill="1" applyBorder="1" applyAlignment="1">
      <alignment horizontal="right" vertical="center"/>
    </xf>
    <xf numFmtId="165" fontId="11" fillId="4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 indent="2"/>
    </xf>
    <xf numFmtId="165" fontId="4" fillId="4" borderId="1" xfId="0" applyNumberFormat="1" applyFont="1" applyFill="1" applyBorder="1" applyAlignment="1">
      <alignment horizontal="right" vertical="center"/>
    </xf>
    <xf numFmtId="165" fontId="5" fillId="4" borderId="1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165" fontId="11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4" fontId="12" fillId="0" borderId="0" xfId="0" applyNumberFormat="1" applyFont="1" applyFill="1" applyBorder="1" applyAlignment="1">
      <alignment horizontal="right" vertical="center" wrapText="1"/>
    </xf>
    <xf numFmtId="165" fontId="6" fillId="4" borderId="1" xfId="0" applyNumberFormat="1" applyFont="1" applyFill="1" applyBorder="1" applyAlignment="1">
      <alignment horizontal="right" vertical="center"/>
    </xf>
    <xf numFmtId="4" fontId="6" fillId="0" borderId="3" xfId="0" applyNumberFormat="1" applyFont="1" applyFill="1" applyBorder="1" applyAlignment="1">
      <alignment horizontal="right" vertical="center"/>
    </xf>
    <xf numFmtId="165" fontId="11" fillId="0" borderId="1" xfId="1" applyNumberFormat="1" applyFont="1" applyFill="1" applyBorder="1" applyAlignment="1">
      <alignment horizontal="right" vertical="center"/>
    </xf>
    <xf numFmtId="0" fontId="6" fillId="0" borderId="1" xfId="0" applyFont="1" applyBorder="1"/>
    <xf numFmtId="4" fontId="4" fillId="0" borderId="1" xfId="0" applyNumberFormat="1" applyFont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4" fontId="11" fillId="4" borderId="1" xfId="0" applyNumberFormat="1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/>
    </xf>
    <xf numFmtId="4" fontId="4" fillId="0" borderId="3" xfId="0" applyNumberFormat="1" applyFont="1" applyFill="1" applyBorder="1" applyAlignment="1">
      <alignment vertical="center" wrapText="1"/>
    </xf>
    <xf numFmtId="4" fontId="6" fillId="5" borderId="1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165" fontId="5" fillId="4" borderId="3" xfId="0" applyNumberFormat="1" applyFont="1" applyFill="1" applyBorder="1" applyAlignment="1">
      <alignment horizontal="center" vertical="center"/>
    </xf>
    <xf numFmtId="165" fontId="5" fillId="0" borderId="3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 indent="3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right" vertical="center" wrapText="1" inden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vertical="center"/>
    </xf>
    <xf numFmtId="0" fontId="2" fillId="0" borderId="4" xfId="0" applyFont="1" applyBorder="1"/>
    <xf numFmtId="0" fontId="7" fillId="4" borderId="1" xfId="0" applyFont="1" applyFill="1" applyBorder="1" applyAlignment="1">
      <alignment horizontal="left" vertical="center" wrapText="1" indent="2"/>
    </xf>
    <xf numFmtId="0" fontId="4" fillId="0" borderId="1" xfId="0" applyFont="1" applyFill="1" applyBorder="1" applyAlignment="1">
      <alignment horizontal="left" vertical="center" wrapText="1" indent="4"/>
    </xf>
    <xf numFmtId="0" fontId="4" fillId="0" borderId="1" xfId="0" applyFont="1" applyBorder="1" applyAlignment="1">
      <alignment horizontal="left" vertical="center" wrapText="1" indent="4"/>
    </xf>
    <xf numFmtId="0" fontId="4" fillId="5" borderId="1" xfId="0" applyFont="1" applyFill="1" applyBorder="1" applyAlignment="1">
      <alignment horizontal="left" vertical="center" wrapText="1" indent="3"/>
    </xf>
    <xf numFmtId="0" fontId="16" fillId="0" borderId="1" xfId="4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2"/>
    </xf>
    <xf numFmtId="0" fontId="6" fillId="0" borderId="1" xfId="0" applyFont="1" applyFill="1" applyBorder="1" applyAlignment="1">
      <alignment horizontal="left" vertical="center" wrapText="1" indent="1"/>
    </xf>
    <xf numFmtId="0" fontId="16" fillId="4" borderId="1" xfId="3" applyFont="1" applyFill="1" applyBorder="1" applyAlignment="1">
      <alignment horizontal="left" vertical="center" wrapText="1"/>
    </xf>
    <xf numFmtId="0" fontId="16" fillId="0" borderId="1" xfId="3" applyFont="1" applyBorder="1" applyAlignment="1">
      <alignment horizontal="left" vertical="center" wrapText="1" indent="1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</cellXfs>
  <cellStyles count="5">
    <cellStyle name="Dziesiętny" xfId="1" builtinId="3"/>
    <cellStyle name="Dziesiętny 3" xfId="2" xr:uid="{00000000-0005-0000-0000-000001000000}"/>
    <cellStyle name="Normalny" xfId="0" builtinId="0"/>
    <cellStyle name="Normalny 2" xfId="3" xr:uid="{00000000-0005-0000-0000-000003000000}"/>
    <cellStyle name="Normalny 2 2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21"/>
  <sheetViews>
    <sheetView tabSelected="1" topLeftCell="B1" zoomScaleNormal="100" workbookViewId="0"/>
  </sheetViews>
  <sheetFormatPr defaultRowHeight="12.75" outlineLevelRow="1" outlineLevelCol="1" x14ac:dyDescent="0.2"/>
  <cols>
    <col min="1" max="1" width="3.7109375" style="1" hidden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7" width="13" style="1" customWidth="1" outlineLevel="1"/>
    <col min="8" max="8" width="11.85546875" style="1" customWidth="1" outlineLevel="1"/>
    <col min="9" max="9" width="13" style="1" customWidth="1" outlineLevel="1"/>
    <col min="10" max="10" width="12.7109375" style="1" customWidth="1"/>
    <col min="11" max="11" width="7.42578125" style="1" customWidth="1"/>
    <col min="12" max="13" width="8.140625" style="1" customWidth="1"/>
    <col min="14" max="16384" width="9.140625" style="1"/>
  </cols>
  <sheetData>
    <row r="1" spans="2:13" ht="15" x14ac:dyDescent="0.2">
      <c r="B1" s="91" t="str">
        <f>CONCATENATE("Informacja z wykonania budżetów gmin za ",$D$118," ",$C$119," rok     ",$C$121,"")</f>
        <v xml:space="preserve">Informacja z wykonania budżetów gmin za IV Kwartały 2024 rok     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2:13" ht="0.75" customHeight="1" x14ac:dyDescent="0.2"/>
    <row r="3" spans="2:13" ht="69" customHeight="1" x14ac:dyDescent="0.2">
      <c r="B3" s="106" t="s">
        <v>0</v>
      </c>
      <c r="C3" s="15" t="s">
        <v>35</v>
      </c>
      <c r="D3" s="15" t="s">
        <v>36</v>
      </c>
      <c r="E3" s="15" t="s">
        <v>37</v>
      </c>
      <c r="F3" s="15" t="s">
        <v>38</v>
      </c>
      <c r="G3" s="15" t="s">
        <v>39</v>
      </c>
      <c r="H3" s="15" t="s">
        <v>40</v>
      </c>
      <c r="I3" s="15" t="s">
        <v>41</v>
      </c>
      <c r="J3" s="17" t="s">
        <v>2</v>
      </c>
      <c r="K3" s="15" t="s">
        <v>18</v>
      </c>
      <c r="L3" s="15" t="s">
        <v>3</v>
      </c>
    </row>
    <row r="4" spans="2:13" x14ac:dyDescent="0.2">
      <c r="B4" s="106"/>
      <c r="C4" s="113" t="s">
        <v>74</v>
      </c>
      <c r="D4" s="114"/>
      <c r="E4" s="114"/>
      <c r="F4" s="114"/>
      <c r="G4" s="114"/>
      <c r="H4" s="114"/>
      <c r="I4" s="115"/>
      <c r="J4" s="109" t="s">
        <v>4</v>
      </c>
      <c r="K4" s="109"/>
      <c r="L4" s="109"/>
    </row>
    <row r="5" spans="2:13" x14ac:dyDescent="0.2">
      <c r="B5" s="17">
        <v>1</v>
      </c>
      <c r="C5" s="19">
        <v>2</v>
      </c>
      <c r="D5" s="19">
        <v>3</v>
      </c>
      <c r="E5" s="19">
        <v>4</v>
      </c>
      <c r="F5" s="19">
        <v>5</v>
      </c>
      <c r="G5" s="19">
        <v>6</v>
      </c>
      <c r="H5" s="19">
        <v>7</v>
      </c>
      <c r="I5" s="19">
        <v>8</v>
      </c>
      <c r="J5" s="19">
        <v>9</v>
      </c>
      <c r="K5" s="19">
        <v>10</v>
      </c>
      <c r="L5" s="19">
        <v>11</v>
      </c>
    </row>
    <row r="6" spans="2:13" x14ac:dyDescent="0.2">
      <c r="B6" s="84" t="s">
        <v>5</v>
      </c>
      <c r="C6" s="45">
        <f>206922651001.42</f>
        <v>206922651001.42001</v>
      </c>
      <c r="D6" s="45">
        <f>201841692803.58</f>
        <v>201841692803.57999</v>
      </c>
      <c r="E6" s="45">
        <f>5769600305.29</f>
        <v>5769600305.29</v>
      </c>
      <c r="F6" s="45">
        <f>704379513.26</f>
        <v>704379513.25999999</v>
      </c>
      <c r="G6" s="45">
        <f>98894207.76</f>
        <v>98894207.760000005</v>
      </c>
      <c r="H6" s="45">
        <f>117241858.86</f>
        <v>117241858.86</v>
      </c>
      <c r="I6" s="45">
        <f>5732692.26</f>
        <v>5732692.2599999998</v>
      </c>
      <c r="J6" s="46">
        <f t="shared" ref="J6:J56" si="0">IF($D$6=0,"",100*$D6/$D$6)</f>
        <v>100</v>
      </c>
      <c r="K6" s="46">
        <f t="shared" ref="K6:K52" si="1">IF(C6=0,"",100*D6/C6)</f>
        <v>97.544513288781928</v>
      </c>
      <c r="L6" s="46"/>
    </row>
    <row r="7" spans="2:13" ht="25.5" customHeight="1" x14ac:dyDescent="0.2">
      <c r="B7" s="85" t="s">
        <v>58</v>
      </c>
      <c r="C7" s="25">
        <f>C6-C22-C46</f>
        <v>92599506556.110001</v>
      </c>
      <c r="D7" s="25">
        <f>D6-D22-D46</f>
        <v>92275055375.97998</v>
      </c>
      <c r="E7" s="25">
        <f>E6</f>
        <v>5769600305.29</v>
      </c>
      <c r="F7" s="25">
        <f>F6</f>
        <v>704379513.25999999</v>
      </c>
      <c r="G7" s="25">
        <f>G6</f>
        <v>98894207.760000005</v>
      </c>
      <c r="H7" s="25">
        <f>H6</f>
        <v>117241858.86</v>
      </c>
      <c r="I7" s="25">
        <f>I6</f>
        <v>5732692.2599999998</v>
      </c>
      <c r="J7" s="34">
        <f t="shared" si="0"/>
        <v>45.716548496140703</v>
      </c>
      <c r="K7" s="34">
        <f t="shared" si="1"/>
        <v>99.649618888699564</v>
      </c>
      <c r="L7" s="34">
        <f t="shared" ref="L7:L21" si="2">IF($D$7=0,"",100*$D7/$D$7)</f>
        <v>100</v>
      </c>
    </row>
    <row r="8" spans="2:13" ht="22.5" customHeight="1" outlineLevel="1" x14ac:dyDescent="0.2">
      <c r="B8" s="54" t="s">
        <v>34</v>
      </c>
      <c r="C8" s="24">
        <f>2861377193.4</f>
        <v>2861377193.4000001</v>
      </c>
      <c r="D8" s="24">
        <f>2860617984</f>
        <v>2860617984</v>
      </c>
      <c r="E8" s="24">
        <f>0</f>
        <v>0</v>
      </c>
      <c r="F8" s="24">
        <f>0</f>
        <v>0</v>
      </c>
      <c r="G8" s="24">
        <f>0</f>
        <v>0</v>
      </c>
      <c r="H8" s="24">
        <f>0</f>
        <v>0</v>
      </c>
      <c r="I8" s="24">
        <f>0</f>
        <v>0</v>
      </c>
      <c r="J8" s="35">
        <f t="shared" si="0"/>
        <v>1.4172582206708793</v>
      </c>
      <c r="K8" s="35">
        <f t="shared" si="1"/>
        <v>99.973466993385173</v>
      </c>
      <c r="L8" s="35">
        <f t="shared" si="2"/>
        <v>3.1000989079272276</v>
      </c>
    </row>
    <row r="9" spans="2:13" ht="22.5" customHeight="1" outlineLevel="1" x14ac:dyDescent="0.2">
      <c r="B9" s="54" t="s">
        <v>19</v>
      </c>
      <c r="C9" s="24">
        <f>33078608649.25</f>
        <v>33078608649.25</v>
      </c>
      <c r="D9" s="24">
        <f>33469074405</f>
        <v>33469074405</v>
      </c>
      <c r="E9" s="24">
        <f>0</f>
        <v>0</v>
      </c>
      <c r="F9" s="24">
        <f>0</f>
        <v>0</v>
      </c>
      <c r="G9" s="24">
        <f>0</f>
        <v>0</v>
      </c>
      <c r="H9" s="24">
        <f>0</f>
        <v>0</v>
      </c>
      <c r="I9" s="24">
        <f>0</f>
        <v>0</v>
      </c>
      <c r="J9" s="35">
        <f t="shared" si="0"/>
        <v>16.581843889691342</v>
      </c>
      <c r="K9" s="35">
        <f t="shared" si="1"/>
        <v>101.18041771312184</v>
      </c>
      <c r="L9" s="35">
        <f t="shared" si="2"/>
        <v>36.27098815452166</v>
      </c>
    </row>
    <row r="10" spans="2:13" ht="13.5" customHeight="1" outlineLevel="1" x14ac:dyDescent="0.2">
      <c r="B10" s="54" t="s">
        <v>20</v>
      </c>
      <c r="C10" s="24">
        <f>2232572310.5</f>
        <v>2232572310.5</v>
      </c>
      <c r="D10" s="24">
        <f>2196020785.54</f>
        <v>2196020785.54</v>
      </c>
      <c r="E10" s="24">
        <f>454730224.6</f>
        <v>454730224.60000002</v>
      </c>
      <c r="F10" s="24">
        <f>2206305.74</f>
        <v>2206305.7400000002</v>
      </c>
      <c r="G10" s="24">
        <f>3092415.34</f>
        <v>3092415.34</v>
      </c>
      <c r="H10" s="24">
        <f>1049158.15</f>
        <v>1049158.1499999999</v>
      </c>
      <c r="I10" s="24">
        <f>5203.51</f>
        <v>5203.51</v>
      </c>
      <c r="J10" s="35">
        <f t="shared" si="0"/>
        <v>1.0879916607105715</v>
      </c>
      <c r="K10" s="35">
        <f t="shared" si="1"/>
        <v>98.362806669773036</v>
      </c>
      <c r="L10" s="35">
        <f t="shared" si="2"/>
        <v>2.3798639584578822</v>
      </c>
    </row>
    <row r="11" spans="2:13" ht="13.5" customHeight="1" outlineLevel="1" x14ac:dyDescent="0.2">
      <c r="B11" s="54" t="s">
        <v>21</v>
      </c>
      <c r="C11" s="24">
        <f>21644239779.77</f>
        <v>21644239779.77</v>
      </c>
      <c r="D11" s="53">
        <f>21758144591.99</f>
        <v>21758144591.990002</v>
      </c>
      <c r="E11" s="24">
        <f>3808594092.15</f>
        <v>3808594092.1500001</v>
      </c>
      <c r="F11" s="24">
        <f>694048006.65</f>
        <v>694048006.64999998</v>
      </c>
      <c r="G11" s="24">
        <f>72170243.6</f>
        <v>72170243.599999994</v>
      </c>
      <c r="H11" s="24">
        <f>87044342.93</f>
        <v>87044342.930000007</v>
      </c>
      <c r="I11" s="24">
        <f>3809671.14</f>
        <v>3809671.14</v>
      </c>
      <c r="J11" s="35">
        <f t="shared" si="0"/>
        <v>10.779806832656572</v>
      </c>
      <c r="K11" s="35">
        <f t="shared" si="1"/>
        <v>100.52625924208465</v>
      </c>
      <c r="L11" s="35">
        <f t="shared" si="2"/>
        <v>23.579660292085656</v>
      </c>
    </row>
    <row r="12" spans="2:13" ht="13.5" customHeight="1" outlineLevel="1" x14ac:dyDescent="0.2">
      <c r="B12" s="54" t="s">
        <v>22</v>
      </c>
      <c r="C12" s="24">
        <f>500282886.23</f>
        <v>500282886.23000002</v>
      </c>
      <c r="D12" s="53">
        <f>498817862.59</f>
        <v>498817862.58999997</v>
      </c>
      <c r="E12" s="24">
        <f>3535313.74</f>
        <v>3535313.74</v>
      </c>
      <c r="F12" s="24">
        <f>927854.47</f>
        <v>927854.47</v>
      </c>
      <c r="G12" s="24">
        <f>150260.21</f>
        <v>150260.21</v>
      </c>
      <c r="H12" s="24">
        <f>30370.46</f>
        <v>30370.46</v>
      </c>
      <c r="I12" s="24">
        <f>0</f>
        <v>0</v>
      </c>
      <c r="J12" s="35">
        <f t="shared" si="0"/>
        <v>0.24713321398637847</v>
      </c>
      <c r="K12" s="35">
        <f t="shared" si="1"/>
        <v>99.70716095226841</v>
      </c>
      <c r="L12" s="35">
        <f t="shared" si="2"/>
        <v>0.54057714791666955</v>
      </c>
    </row>
    <row r="13" spans="2:13" ht="13.5" customHeight="1" outlineLevel="1" x14ac:dyDescent="0.2">
      <c r="B13" s="54" t="s">
        <v>23</v>
      </c>
      <c r="C13" s="24">
        <f>1113848084.11</f>
        <v>1113848084.1099999</v>
      </c>
      <c r="D13" s="53">
        <f>1099323888.61</f>
        <v>1099323888.6099999</v>
      </c>
      <c r="E13" s="24">
        <f>1475842581.85</f>
        <v>1475842581.8499999</v>
      </c>
      <c r="F13" s="24">
        <f>3903303.52</f>
        <v>3903303.52</v>
      </c>
      <c r="G13" s="24">
        <f>2792210.89</f>
        <v>2792210.89</v>
      </c>
      <c r="H13" s="24">
        <f>2947330.77</f>
        <v>2947330.77</v>
      </c>
      <c r="I13" s="24">
        <f>7624</f>
        <v>7624</v>
      </c>
      <c r="J13" s="35">
        <f t="shared" si="0"/>
        <v>0.54464658581703174</v>
      </c>
      <c r="K13" s="35">
        <f t="shared" si="1"/>
        <v>98.696034431696731</v>
      </c>
      <c r="L13" s="35">
        <f t="shared" si="2"/>
        <v>1.1913554363427277</v>
      </c>
    </row>
    <row r="14" spans="2:13" ht="33.950000000000003" customHeight="1" outlineLevel="1" x14ac:dyDescent="0.2">
      <c r="B14" s="54" t="s">
        <v>43</v>
      </c>
      <c r="C14" s="24">
        <f>92765852.47</f>
        <v>92765852.469999999</v>
      </c>
      <c r="D14" s="53">
        <f>102227141.32</f>
        <v>102227141.31999999</v>
      </c>
      <c r="E14" s="24">
        <f>0</f>
        <v>0</v>
      </c>
      <c r="F14" s="24">
        <f>0</f>
        <v>0</v>
      </c>
      <c r="G14" s="24">
        <f>61344.84</f>
        <v>61344.84</v>
      </c>
      <c r="H14" s="24">
        <f>116315.34</f>
        <v>116315.34</v>
      </c>
      <c r="I14" s="24">
        <f>0</f>
        <v>0</v>
      </c>
      <c r="J14" s="35">
        <f t="shared" si="0"/>
        <v>5.0647187853047393E-2</v>
      </c>
      <c r="K14" s="35">
        <f t="shared" si="1"/>
        <v>110.19910732029302</v>
      </c>
      <c r="L14" s="35">
        <f t="shared" si="2"/>
        <v>0.11078523974162863</v>
      </c>
    </row>
    <row r="15" spans="2:13" ht="13.5" customHeight="1" outlineLevel="1" x14ac:dyDescent="0.2">
      <c r="B15" s="54" t="s">
        <v>28</v>
      </c>
      <c r="C15" s="24">
        <f>248156895.13</f>
        <v>248156895.13</v>
      </c>
      <c r="D15" s="53">
        <f>266511367.86</f>
        <v>266511367.86000001</v>
      </c>
      <c r="E15" s="24">
        <f>0</f>
        <v>0</v>
      </c>
      <c r="F15" s="24">
        <f>0</f>
        <v>0</v>
      </c>
      <c r="G15" s="24">
        <f>4578326.56</f>
        <v>4578326.5599999996</v>
      </c>
      <c r="H15" s="24">
        <f>8773262</f>
        <v>8773262</v>
      </c>
      <c r="I15" s="24">
        <f>0</f>
        <v>0</v>
      </c>
      <c r="J15" s="35">
        <f t="shared" si="0"/>
        <v>0.13203980018110162</v>
      </c>
      <c r="K15" s="35">
        <f t="shared" si="1"/>
        <v>107.39631784979611</v>
      </c>
      <c r="L15" s="35">
        <f t="shared" si="2"/>
        <v>0.28882276664487949</v>
      </c>
    </row>
    <row r="16" spans="2:13" ht="22.5" customHeight="1" outlineLevel="1" x14ac:dyDescent="0.2">
      <c r="B16" s="54" t="s">
        <v>29</v>
      </c>
      <c r="C16" s="24">
        <f>1837669341.28</f>
        <v>1837669341.28</v>
      </c>
      <c r="D16" s="53">
        <f>2030838823.11</f>
        <v>2030838823.1099999</v>
      </c>
      <c r="E16" s="24">
        <f>0</f>
        <v>0</v>
      </c>
      <c r="F16" s="24">
        <f>0</f>
        <v>0</v>
      </c>
      <c r="G16" s="24">
        <f>123743.28</f>
        <v>123743.28</v>
      </c>
      <c r="H16" s="24">
        <f>698960.71</f>
        <v>698960.71</v>
      </c>
      <c r="I16" s="24">
        <f>0</f>
        <v>0</v>
      </c>
      <c r="J16" s="35">
        <f t="shared" si="0"/>
        <v>1.0061542761070124</v>
      </c>
      <c r="K16" s="35">
        <f t="shared" si="1"/>
        <v>110.51165612282843</v>
      </c>
      <c r="L16" s="35">
        <f t="shared" si="2"/>
        <v>2.2008535403584766</v>
      </c>
    </row>
    <row r="17" spans="2:12" ht="13.5" customHeight="1" outlineLevel="1" x14ac:dyDescent="0.2">
      <c r="B17" s="54" t="s">
        <v>30</v>
      </c>
      <c r="C17" s="24">
        <f>198244230.75</f>
        <v>198244230.75</v>
      </c>
      <c r="D17" s="53">
        <f>192243189.06</f>
        <v>192243189.06</v>
      </c>
      <c r="E17" s="24">
        <f>0</f>
        <v>0</v>
      </c>
      <c r="F17" s="24">
        <f>0</f>
        <v>0</v>
      </c>
      <c r="G17" s="24">
        <f>81</f>
        <v>81</v>
      </c>
      <c r="H17" s="24">
        <f>0</f>
        <v>0</v>
      </c>
      <c r="I17" s="24">
        <f>0</f>
        <v>0</v>
      </c>
      <c r="J17" s="35">
        <f t="shared" si="0"/>
        <v>9.5244538623186908E-2</v>
      </c>
      <c r="K17" s="35">
        <f t="shared" si="1"/>
        <v>96.97290475122692</v>
      </c>
      <c r="L17" s="35">
        <f t="shared" si="2"/>
        <v>0.20833711589409962</v>
      </c>
    </row>
    <row r="18" spans="2:12" ht="13.5" customHeight="1" outlineLevel="1" x14ac:dyDescent="0.2">
      <c r="B18" s="54" t="s">
        <v>31</v>
      </c>
      <c r="C18" s="24">
        <f>436258760.45</f>
        <v>436258760.44999999</v>
      </c>
      <c r="D18" s="53">
        <f>424769074.34</f>
        <v>424769074.33999997</v>
      </c>
      <c r="E18" s="24">
        <f>0</f>
        <v>0</v>
      </c>
      <c r="F18" s="24">
        <f>3294042.88</f>
        <v>3294042.88</v>
      </c>
      <c r="G18" s="24">
        <f>38863.25</f>
        <v>38863.25</v>
      </c>
      <c r="H18" s="24">
        <f>3359459.54</f>
        <v>3359459.54</v>
      </c>
      <c r="I18" s="24">
        <f>0</f>
        <v>0</v>
      </c>
      <c r="J18" s="35">
        <f t="shared" si="0"/>
        <v>0.21044664679529781</v>
      </c>
      <c r="K18" s="35">
        <f t="shared" si="1"/>
        <v>97.366313951346584</v>
      </c>
      <c r="L18" s="35">
        <f t="shared" si="2"/>
        <v>0.4603292543247513</v>
      </c>
    </row>
    <row r="19" spans="2:12" ht="13.5" customHeight="1" outlineLevel="1" x14ac:dyDescent="0.2">
      <c r="B19" s="54" t="s">
        <v>32</v>
      </c>
      <c r="C19" s="24">
        <f>117348514.01</f>
        <v>117348514.01000001</v>
      </c>
      <c r="D19" s="53">
        <f>111707718.3</f>
        <v>111707718.3</v>
      </c>
      <c r="E19" s="24">
        <f>2616112.45</f>
        <v>2616112.4500000002</v>
      </c>
      <c r="F19" s="24">
        <f>0</f>
        <v>0</v>
      </c>
      <c r="G19" s="24">
        <f>0</f>
        <v>0</v>
      </c>
      <c r="H19" s="24">
        <f>35732.69</f>
        <v>35732.69</v>
      </c>
      <c r="I19" s="24">
        <f>0</f>
        <v>0</v>
      </c>
      <c r="J19" s="35">
        <f t="shared" si="0"/>
        <v>5.5344223856023209E-2</v>
      </c>
      <c r="K19" s="35">
        <f t="shared" si="1"/>
        <v>95.1931255733504</v>
      </c>
      <c r="L19" s="35">
        <f t="shared" si="2"/>
        <v>0.1210594974393031</v>
      </c>
    </row>
    <row r="20" spans="2:12" ht="13.5" customHeight="1" outlineLevel="1" x14ac:dyDescent="0.2">
      <c r="B20" s="54" t="s">
        <v>24</v>
      </c>
      <c r="C20" s="24">
        <f>5031167319.61</f>
        <v>5031167319.6099997</v>
      </c>
      <c r="D20" s="53">
        <f>4366123042.57</f>
        <v>4366123042.5699997</v>
      </c>
      <c r="E20" s="24">
        <f>0</f>
        <v>0</v>
      </c>
      <c r="F20" s="24">
        <f>0</f>
        <v>0</v>
      </c>
      <c r="G20" s="24">
        <f>1393.2</f>
        <v>1393.2</v>
      </c>
      <c r="H20" s="24">
        <f>9177.78</f>
        <v>9177.7800000000007</v>
      </c>
      <c r="I20" s="24">
        <f>538000</f>
        <v>538000</v>
      </c>
      <c r="J20" s="35">
        <f t="shared" si="0"/>
        <v>2.1631423032201997</v>
      </c>
      <c r="K20" s="35">
        <f t="shared" si="1"/>
        <v>86.781511430799483</v>
      </c>
      <c r="L20" s="35">
        <f t="shared" si="2"/>
        <v>4.7316395799276219</v>
      </c>
    </row>
    <row r="21" spans="2:12" ht="13.5" customHeight="1" outlineLevel="1" x14ac:dyDescent="0.2">
      <c r="B21" s="54" t="s">
        <v>25</v>
      </c>
      <c r="C21" s="24">
        <f>C7-C8-C9-C10-C11-C12-C13-C14-C15-C16-C17-C18-C19-C20</f>
        <v>23206966739.150005</v>
      </c>
      <c r="D21" s="24">
        <f t="shared" ref="D21:I21" si="3">D7-D8-D9-D10-D11-D12-D13-D14-D15-D16-D17-D18-D19-D20</f>
        <v>22898635501.689976</v>
      </c>
      <c r="E21" s="24">
        <f t="shared" si="3"/>
        <v>24281980.499999572</v>
      </c>
      <c r="F21" s="24">
        <f t="shared" si="3"/>
        <v>5.1222741603851318E-9</v>
      </c>
      <c r="G21" s="24">
        <f t="shared" si="3"/>
        <v>15885325.590000009</v>
      </c>
      <c r="H21" s="24">
        <f t="shared" si="3"/>
        <v>13177748.489999987</v>
      </c>
      <c r="I21" s="24">
        <f t="shared" si="3"/>
        <v>1372193.6099999999</v>
      </c>
      <c r="J21" s="35">
        <f t="shared" si="0"/>
        <v>11.344849115972055</v>
      </c>
      <c r="K21" s="35">
        <f t="shared" si="1"/>
        <v>98.671385015863024</v>
      </c>
      <c r="L21" s="35">
        <f t="shared" si="2"/>
        <v>24.815629108417415</v>
      </c>
    </row>
    <row r="22" spans="2:12" ht="27" customHeight="1" x14ac:dyDescent="0.2">
      <c r="B22" s="85" t="s">
        <v>98</v>
      </c>
      <c r="C22" s="45">
        <f>C23+C42+C44</f>
        <v>59811495783.860001</v>
      </c>
      <c r="D22" s="45">
        <f>D23+D42+D44</f>
        <v>54608311749.599991</v>
      </c>
      <c r="E22" s="41" t="s">
        <v>57</v>
      </c>
      <c r="F22" s="41" t="s">
        <v>57</v>
      </c>
      <c r="G22" s="41" t="s">
        <v>57</v>
      </c>
      <c r="H22" s="41" t="s">
        <v>57</v>
      </c>
      <c r="I22" s="41" t="s">
        <v>57</v>
      </c>
      <c r="J22" s="46">
        <f t="shared" si="0"/>
        <v>27.055020690270105</v>
      </c>
      <c r="K22" s="46">
        <f t="shared" si="1"/>
        <v>91.300695683882097</v>
      </c>
      <c r="L22" s="29"/>
    </row>
    <row r="23" spans="2:12" ht="27" customHeight="1" outlineLevel="1" x14ac:dyDescent="0.2">
      <c r="B23" s="93" t="s">
        <v>59</v>
      </c>
      <c r="C23" s="45">
        <f>C24+C26+C28+C30+C32+C34+C36+C38+C40</f>
        <v>54579911677</v>
      </c>
      <c r="D23" s="45">
        <f>D24+D26+D28+D30+D32+D34+D36+D38+D40</f>
        <v>50327290518.239998</v>
      </c>
      <c r="E23" s="41" t="s">
        <v>57</v>
      </c>
      <c r="F23" s="41" t="s">
        <v>57</v>
      </c>
      <c r="G23" s="41" t="s">
        <v>57</v>
      </c>
      <c r="H23" s="41" t="s">
        <v>57</v>
      </c>
      <c r="I23" s="41" t="s">
        <v>57</v>
      </c>
      <c r="J23" s="46">
        <f t="shared" si="0"/>
        <v>24.934041039387957</v>
      </c>
      <c r="K23" s="46">
        <f t="shared" si="1"/>
        <v>92.208449907492138</v>
      </c>
      <c r="L23" s="29"/>
    </row>
    <row r="24" spans="2:12" ht="22.5" customHeight="1" outlineLevel="1" x14ac:dyDescent="0.2">
      <c r="B24" s="83" t="s">
        <v>9</v>
      </c>
      <c r="C24" s="24">
        <f>20016976466.31</f>
        <v>20016976466.310001</v>
      </c>
      <c r="D24" s="24">
        <f>19620194547.62</f>
        <v>19620194547.619999</v>
      </c>
      <c r="E24" s="24" t="s">
        <v>57</v>
      </c>
      <c r="F24" s="24" t="s">
        <v>57</v>
      </c>
      <c r="G24" s="24" t="s">
        <v>57</v>
      </c>
      <c r="H24" s="24" t="s">
        <v>57</v>
      </c>
      <c r="I24" s="24" t="s">
        <v>57</v>
      </c>
      <c r="J24" s="35">
        <f t="shared" si="0"/>
        <v>9.7205856109783895</v>
      </c>
      <c r="K24" s="35">
        <f t="shared" si="1"/>
        <v>98.017772967072162</v>
      </c>
      <c r="L24" s="29"/>
    </row>
    <row r="25" spans="2:12" ht="13.5" customHeight="1" outlineLevel="1" x14ac:dyDescent="0.2">
      <c r="B25" s="94" t="s">
        <v>6</v>
      </c>
      <c r="C25" s="24">
        <f>11038600.77</f>
        <v>11038600.77</v>
      </c>
      <c r="D25" s="24">
        <f>8031151.48</f>
        <v>8031151.4800000004</v>
      </c>
      <c r="E25" s="24" t="s">
        <v>57</v>
      </c>
      <c r="F25" s="24" t="s">
        <v>57</v>
      </c>
      <c r="G25" s="24" t="s">
        <v>57</v>
      </c>
      <c r="H25" s="24" t="s">
        <v>57</v>
      </c>
      <c r="I25" s="24" t="s">
        <v>57</v>
      </c>
      <c r="J25" s="35">
        <f t="shared" si="0"/>
        <v>3.9789358523738827E-3</v>
      </c>
      <c r="K25" s="35">
        <f t="shared" si="1"/>
        <v>72.755158442060406</v>
      </c>
      <c r="L25" s="29"/>
    </row>
    <row r="26" spans="2:12" ht="13.5" customHeight="1" outlineLevel="1" x14ac:dyDescent="0.2">
      <c r="B26" s="83" t="s">
        <v>7</v>
      </c>
      <c r="C26" s="24">
        <f>6975990470.16</f>
        <v>6975990470.1599998</v>
      </c>
      <c r="D26" s="24">
        <f>6591774919.7</f>
        <v>6591774919.6999998</v>
      </c>
      <c r="E26" s="24" t="s">
        <v>57</v>
      </c>
      <c r="F26" s="24" t="s">
        <v>57</v>
      </c>
      <c r="G26" s="24" t="s">
        <v>57</v>
      </c>
      <c r="H26" s="24" t="s">
        <v>57</v>
      </c>
      <c r="I26" s="24" t="s">
        <v>57</v>
      </c>
      <c r="J26" s="35">
        <f t="shared" si="0"/>
        <v>3.2658143261386106</v>
      </c>
      <c r="K26" s="35">
        <f t="shared" si="1"/>
        <v>94.492315433865727</v>
      </c>
      <c r="L26" s="29"/>
    </row>
    <row r="27" spans="2:12" ht="13.5" customHeight="1" outlineLevel="1" x14ac:dyDescent="0.2">
      <c r="B27" s="94" t="s">
        <v>6</v>
      </c>
      <c r="C27" s="24">
        <f>863786269.73</f>
        <v>863786269.73000002</v>
      </c>
      <c r="D27" s="24">
        <f>717341381.87</f>
        <v>717341381.87</v>
      </c>
      <c r="E27" s="24" t="s">
        <v>57</v>
      </c>
      <c r="F27" s="24" t="s">
        <v>57</v>
      </c>
      <c r="G27" s="24" t="s">
        <v>57</v>
      </c>
      <c r="H27" s="24" t="s">
        <v>57</v>
      </c>
      <c r="I27" s="24" t="s">
        <v>57</v>
      </c>
      <c r="J27" s="35">
        <f t="shared" si="0"/>
        <v>0.35539802104616358</v>
      </c>
      <c r="K27" s="35">
        <f t="shared" si="1"/>
        <v>83.04616628071949</v>
      </c>
      <c r="L27" s="29"/>
    </row>
    <row r="28" spans="2:12" ht="35.1" customHeight="1" outlineLevel="1" x14ac:dyDescent="0.2">
      <c r="B28" s="83" t="s">
        <v>10</v>
      </c>
      <c r="C28" s="24">
        <f>113446101.49</f>
        <v>113446101.48999999</v>
      </c>
      <c r="D28" s="24">
        <f>104141542.9</f>
        <v>104141542.90000001</v>
      </c>
      <c r="E28" s="24" t="s">
        <v>57</v>
      </c>
      <c r="F28" s="24" t="s">
        <v>57</v>
      </c>
      <c r="G28" s="24" t="s">
        <v>57</v>
      </c>
      <c r="H28" s="24" t="s">
        <v>57</v>
      </c>
      <c r="I28" s="24" t="s">
        <v>57</v>
      </c>
      <c r="J28" s="35">
        <f t="shared" si="0"/>
        <v>5.1595654720030609E-2</v>
      </c>
      <c r="K28" s="35">
        <f t="shared" si="1"/>
        <v>91.798256204669869</v>
      </c>
      <c r="L28" s="29"/>
    </row>
    <row r="29" spans="2:12" ht="13.5" customHeight="1" outlineLevel="1" x14ac:dyDescent="0.2">
      <c r="B29" s="94" t="s">
        <v>6</v>
      </c>
      <c r="C29" s="24">
        <f>27073598.01</f>
        <v>27073598.010000002</v>
      </c>
      <c r="D29" s="24">
        <f>22298073.51</f>
        <v>22298073.510000002</v>
      </c>
      <c r="E29" s="24" t="s">
        <v>57</v>
      </c>
      <c r="F29" s="24" t="s">
        <v>57</v>
      </c>
      <c r="G29" s="24" t="s">
        <v>57</v>
      </c>
      <c r="H29" s="24" t="s">
        <v>57</v>
      </c>
      <c r="I29" s="24" t="s">
        <v>57</v>
      </c>
      <c r="J29" s="35">
        <f t="shared" si="0"/>
        <v>1.1047308016634167E-2</v>
      </c>
      <c r="K29" s="35">
        <f t="shared" si="1"/>
        <v>82.360953655897177</v>
      </c>
      <c r="L29" s="29"/>
    </row>
    <row r="30" spans="2:12" ht="24" customHeight="1" outlineLevel="1" x14ac:dyDescent="0.2">
      <c r="B30" s="83" t="s">
        <v>11</v>
      </c>
      <c r="C30" s="24">
        <f>830973116</f>
        <v>830973116</v>
      </c>
      <c r="D30" s="24">
        <f>799463089.909999</f>
        <v>799463089.90999901</v>
      </c>
      <c r="E30" s="24" t="s">
        <v>57</v>
      </c>
      <c r="F30" s="24" t="s">
        <v>57</v>
      </c>
      <c r="G30" s="24" t="s">
        <v>57</v>
      </c>
      <c r="H30" s="24" t="s">
        <v>57</v>
      </c>
      <c r="I30" s="24" t="s">
        <v>57</v>
      </c>
      <c r="J30" s="35">
        <f t="shared" si="0"/>
        <v>0.39608421768835828</v>
      </c>
      <c r="K30" s="35">
        <f t="shared" si="1"/>
        <v>96.208057097962609</v>
      </c>
      <c r="L30" s="29"/>
    </row>
    <row r="31" spans="2:12" ht="13.5" customHeight="1" outlineLevel="1" x14ac:dyDescent="0.2">
      <c r="B31" s="94" t="s">
        <v>6</v>
      </c>
      <c r="C31" s="24">
        <f>301552129.92</f>
        <v>301552129.92000002</v>
      </c>
      <c r="D31" s="24">
        <f>279141519.62</f>
        <v>279141519.62</v>
      </c>
      <c r="E31" s="24" t="s">
        <v>57</v>
      </c>
      <c r="F31" s="24" t="s">
        <v>57</v>
      </c>
      <c r="G31" s="24" t="s">
        <v>57</v>
      </c>
      <c r="H31" s="24" t="s">
        <v>57</v>
      </c>
      <c r="I31" s="24" t="s">
        <v>57</v>
      </c>
      <c r="J31" s="35">
        <f t="shared" si="0"/>
        <v>0.13829725451799668</v>
      </c>
      <c r="K31" s="35">
        <f t="shared" si="1"/>
        <v>92.568246722069105</v>
      </c>
      <c r="L31" s="29"/>
    </row>
    <row r="32" spans="2:12" ht="35.1" customHeight="1" outlineLevel="1" x14ac:dyDescent="0.2">
      <c r="B32" s="83" t="s">
        <v>75</v>
      </c>
      <c r="C32" s="24">
        <f>1115138154.47</f>
        <v>1115138154.47</v>
      </c>
      <c r="D32" s="24">
        <f>1030713338.28</f>
        <v>1030713338.28</v>
      </c>
      <c r="E32" s="24" t="s">
        <v>57</v>
      </c>
      <c r="F32" s="24" t="s">
        <v>57</v>
      </c>
      <c r="G32" s="24" t="s">
        <v>57</v>
      </c>
      <c r="H32" s="24" t="s">
        <v>57</v>
      </c>
      <c r="I32" s="24" t="s">
        <v>57</v>
      </c>
      <c r="J32" s="35">
        <f t="shared" si="0"/>
        <v>0.51065432714291947</v>
      </c>
      <c r="K32" s="35">
        <f t="shared" si="1"/>
        <v>92.429205668231731</v>
      </c>
      <c r="L32" s="29"/>
    </row>
    <row r="33" spans="2:12" ht="13.5" customHeight="1" outlineLevel="1" x14ac:dyDescent="0.2">
      <c r="B33" s="94" t="s">
        <v>6</v>
      </c>
      <c r="C33" s="24">
        <f>919065730.730001</f>
        <v>919065730.73000097</v>
      </c>
      <c r="D33" s="24">
        <f>844589468.42</f>
        <v>844589468.41999996</v>
      </c>
      <c r="E33" s="24" t="s">
        <v>57</v>
      </c>
      <c r="F33" s="24" t="s">
        <v>57</v>
      </c>
      <c r="G33" s="24" t="s">
        <v>57</v>
      </c>
      <c r="H33" s="24" t="s">
        <v>57</v>
      </c>
      <c r="I33" s="24" t="s">
        <v>57</v>
      </c>
      <c r="J33" s="35">
        <f t="shared" si="0"/>
        <v>0.41844153043340898</v>
      </c>
      <c r="K33" s="35">
        <f t="shared" si="1"/>
        <v>91.89652493616039</v>
      </c>
      <c r="L33" s="29"/>
    </row>
    <row r="34" spans="2:12" ht="13.5" customHeight="1" outlineLevel="1" x14ac:dyDescent="0.2">
      <c r="B34" s="83" t="s">
        <v>8</v>
      </c>
      <c r="C34" s="24">
        <f>508162177.21</f>
        <v>508162177.20999998</v>
      </c>
      <c r="D34" s="24">
        <f>441131624.54</f>
        <v>441131624.54000002</v>
      </c>
      <c r="E34" s="24" t="s">
        <v>57</v>
      </c>
      <c r="F34" s="24" t="s">
        <v>57</v>
      </c>
      <c r="G34" s="24" t="s">
        <v>57</v>
      </c>
      <c r="H34" s="24" t="s">
        <v>57</v>
      </c>
      <c r="I34" s="24" t="s">
        <v>57</v>
      </c>
      <c r="J34" s="35">
        <f t="shared" si="0"/>
        <v>0.21855327232579363</v>
      </c>
      <c r="K34" s="35">
        <f t="shared" si="1"/>
        <v>86.809220426828546</v>
      </c>
      <c r="L34" s="29"/>
    </row>
    <row r="35" spans="2:12" ht="13.5" customHeight="1" outlineLevel="1" x14ac:dyDescent="0.2">
      <c r="B35" s="95" t="s">
        <v>6</v>
      </c>
      <c r="C35" s="22">
        <f>464505228.64</f>
        <v>464505228.63999999</v>
      </c>
      <c r="D35" s="22">
        <f>399992660.22</f>
        <v>399992660.22000003</v>
      </c>
      <c r="E35" s="24" t="s">
        <v>57</v>
      </c>
      <c r="F35" s="24" t="s">
        <v>57</v>
      </c>
      <c r="G35" s="24" t="s">
        <v>57</v>
      </c>
      <c r="H35" s="24" t="s">
        <v>57</v>
      </c>
      <c r="I35" s="24" t="s">
        <v>57</v>
      </c>
      <c r="J35" s="35">
        <f t="shared" si="0"/>
        <v>0.19817147521114403</v>
      </c>
      <c r="K35" s="35">
        <f t="shared" si="1"/>
        <v>86.111551723780835</v>
      </c>
      <c r="L35" s="29"/>
    </row>
    <row r="36" spans="2:12" ht="71.099999999999994" customHeight="1" outlineLevel="1" x14ac:dyDescent="0.2">
      <c r="B36" s="83" t="s">
        <v>92</v>
      </c>
      <c r="C36" s="22">
        <f>7271927.47</f>
        <v>7271927.4699999997</v>
      </c>
      <c r="D36" s="22">
        <f>7191767.62</f>
        <v>7191767.6200000001</v>
      </c>
      <c r="E36" s="24" t="s">
        <v>57</v>
      </c>
      <c r="F36" s="24" t="s">
        <v>57</v>
      </c>
      <c r="G36" s="24" t="s">
        <v>57</v>
      </c>
      <c r="H36" s="24" t="s">
        <v>57</v>
      </c>
      <c r="I36" s="24" t="s">
        <v>57</v>
      </c>
      <c r="J36" s="35">
        <f t="shared" si="0"/>
        <v>3.5630733770146234E-3</v>
      </c>
      <c r="K36" s="35">
        <f>IF(C36=0,"",100*D36/C36)</f>
        <v>98.897680837292512</v>
      </c>
      <c r="L36" s="29"/>
    </row>
    <row r="37" spans="2:12" ht="13.5" customHeight="1" outlineLevel="1" x14ac:dyDescent="0.2">
      <c r="B37" s="95" t="s">
        <v>93</v>
      </c>
      <c r="C37" s="22">
        <f>6242081.02</f>
        <v>6242081.0199999996</v>
      </c>
      <c r="D37" s="22">
        <f>6104955.3</f>
        <v>6104955.2999999998</v>
      </c>
      <c r="E37" s="24" t="s">
        <v>57</v>
      </c>
      <c r="F37" s="24" t="s">
        <v>57</v>
      </c>
      <c r="G37" s="24" t="s">
        <v>57</v>
      </c>
      <c r="H37" s="24" t="s">
        <v>57</v>
      </c>
      <c r="I37" s="24" t="s">
        <v>57</v>
      </c>
      <c r="J37" s="35">
        <f t="shared" si="0"/>
        <v>3.0246254949620193E-3</v>
      </c>
      <c r="K37" s="35">
        <f>IF(C37=0,"",100*D37/C37)</f>
        <v>97.803205059968931</v>
      </c>
      <c r="L37" s="29"/>
    </row>
    <row r="38" spans="2:12" ht="48" customHeight="1" outlineLevel="1" x14ac:dyDescent="0.2">
      <c r="B38" s="96" t="s">
        <v>90</v>
      </c>
      <c r="C38" s="22">
        <f>23558939887.64</f>
        <v>23558939887.639999</v>
      </c>
      <c r="D38" s="22">
        <f>20313781841.67</f>
        <v>20313781841.669998</v>
      </c>
      <c r="E38" s="24" t="s">
        <v>57</v>
      </c>
      <c r="F38" s="24" t="s">
        <v>57</v>
      </c>
      <c r="G38" s="24" t="s">
        <v>57</v>
      </c>
      <c r="H38" s="24" t="s">
        <v>57</v>
      </c>
      <c r="I38" s="24" t="s">
        <v>57</v>
      </c>
      <c r="J38" s="35">
        <f t="shared" si="0"/>
        <v>10.064214959511922</v>
      </c>
      <c r="K38" s="35">
        <f t="shared" si="1"/>
        <v>86.225364717397383</v>
      </c>
      <c r="L38" s="29"/>
    </row>
    <row r="39" spans="2:12" ht="13.5" customHeight="1" outlineLevel="1" x14ac:dyDescent="0.2">
      <c r="B39" s="95" t="s">
        <v>6</v>
      </c>
      <c r="C39" s="22">
        <f>23349967511.89</f>
        <v>23349967511.889999</v>
      </c>
      <c r="D39" s="22">
        <f>20136686811.53</f>
        <v>20136686811.529999</v>
      </c>
      <c r="E39" s="24" t="s">
        <v>57</v>
      </c>
      <c r="F39" s="24" t="s">
        <v>57</v>
      </c>
      <c r="G39" s="24" t="s">
        <v>57</v>
      </c>
      <c r="H39" s="24" t="s">
        <v>57</v>
      </c>
      <c r="I39" s="24" t="s">
        <v>57</v>
      </c>
      <c r="J39" s="35">
        <f t="shared" si="0"/>
        <v>9.9764753911005855</v>
      </c>
      <c r="K39" s="35">
        <f t="shared" si="1"/>
        <v>86.238607403955612</v>
      </c>
      <c r="L39" s="29"/>
    </row>
    <row r="40" spans="2:12" ht="22.5" outlineLevel="1" x14ac:dyDescent="0.2">
      <c r="B40" s="96" t="s">
        <v>104</v>
      </c>
      <c r="C40" s="22">
        <f>1453013376.25</f>
        <v>1453013376.25</v>
      </c>
      <c r="D40" s="22">
        <f>1418897846</f>
        <v>1418897846</v>
      </c>
      <c r="E40" s="24" t="s">
        <v>57</v>
      </c>
      <c r="F40" s="24" t="s">
        <v>57</v>
      </c>
      <c r="G40" s="24" t="s">
        <v>57</v>
      </c>
      <c r="H40" s="24" t="s">
        <v>57</v>
      </c>
      <c r="I40" s="24" t="s">
        <v>57</v>
      </c>
      <c r="J40" s="35">
        <f t="shared" si="0"/>
        <v>0.70297559750491434</v>
      </c>
      <c r="K40" s="35">
        <f t="shared" si="1"/>
        <v>97.652084226640312</v>
      </c>
      <c r="L40" s="29"/>
    </row>
    <row r="41" spans="2:12" ht="13.5" customHeight="1" outlineLevel="1" x14ac:dyDescent="0.2">
      <c r="B41" s="95" t="s">
        <v>6</v>
      </c>
      <c r="C41" s="22">
        <f>956248.81</f>
        <v>956248.81</v>
      </c>
      <c r="D41" s="22">
        <f>956248.81</f>
        <v>956248.81</v>
      </c>
      <c r="E41" s="24" t="s">
        <v>57</v>
      </c>
      <c r="F41" s="24" t="s">
        <v>57</v>
      </c>
      <c r="G41" s="24" t="s">
        <v>57</v>
      </c>
      <c r="H41" s="24" t="s">
        <v>57</v>
      </c>
      <c r="I41" s="24" t="s">
        <v>57</v>
      </c>
      <c r="J41" s="35">
        <f t="shared" si="0"/>
        <v>4.737617866347182E-4</v>
      </c>
      <c r="K41" s="35">
        <f t="shared" si="1"/>
        <v>100</v>
      </c>
      <c r="L41" s="29"/>
    </row>
    <row r="42" spans="2:12" outlineLevel="1" x14ac:dyDescent="0.2">
      <c r="B42" s="93" t="s">
        <v>86</v>
      </c>
      <c r="C42" s="45">
        <f>686076791.36</f>
        <v>686076791.36000001</v>
      </c>
      <c r="D42" s="45">
        <f>552504997.45</f>
        <v>552504997.45000005</v>
      </c>
      <c r="E42" s="41" t="s">
        <v>57</v>
      </c>
      <c r="F42" s="41" t="s">
        <v>57</v>
      </c>
      <c r="G42" s="41" t="s">
        <v>57</v>
      </c>
      <c r="H42" s="41" t="s">
        <v>57</v>
      </c>
      <c r="I42" s="41" t="s">
        <v>57</v>
      </c>
      <c r="J42" s="46">
        <f t="shared" si="0"/>
        <v>0.27373184884436347</v>
      </c>
      <c r="K42" s="46">
        <f t="shared" si="1"/>
        <v>80.531072382550278</v>
      </c>
      <c r="L42" s="29"/>
    </row>
    <row r="43" spans="2:12" ht="13.5" customHeight="1" outlineLevel="1" x14ac:dyDescent="0.2">
      <c r="B43" s="95" t="s">
        <v>87</v>
      </c>
      <c r="C43" s="22">
        <f>541684434.53</f>
        <v>541684434.52999997</v>
      </c>
      <c r="D43" s="22">
        <f>427316658.84</f>
        <v>427316658.83999997</v>
      </c>
      <c r="E43" s="24" t="s">
        <v>57</v>
      </c>
      <c r="F43" s="24" t="s">
        <v>57</v>
      </c>
      <c r="G43" s="24" t="s">
        <v>57</v>
      </c>
      <c r="H43" s="24" t="s">
        <v>57</v>
      </c>
      <c r="I43" s="24" t="s">
        <v>57</v>
      </c>
      <c r="J43" s="35">
        <f t="shared" si="0"/>
        <v>0.21170881640189101</v>
      </c>
      <c r="K43" s="35">
        <f t="shared" si="1"/>
        <v>78.886641668182179</v>
      </c>
      <c r="L43" s="29"/>
    </row>
    <row r="44" spans="2:12" ht="13.5" customHeight="1" outlineLevel="1" x14ac:dyDescent="0.2">
      <c r="B44" s="93" t="s">
        <v>88</v>
      </c>
      <c r="C44" s="41">
        <f>4545507315.5</f>
        <v>4545507315.5</v>
      </c>
      <c r="D44" s="41">
        <f>3728516233.91</f>
        <v>3728516233.9099998</v>
      </c>
      <c r="E44" s="41" t="s">
        <v>57</v>
      </c>
      <c r="F44" s="41" t="s">
        <v>57</v>
      </c>
      <c r="G44" s="41" t="s">
        <v>57</v>
      </c>
      <c r="H44" s="41" t="s">
        <v>57</v>
      </c>
      <c r="I44" s="41" t="s">
        <v>57</v>
      </c>
      <c r="J44" s="55">
        <f t="shared" si="0"/>
        <v>1.8472478020377903</v>
      </c>
      <c r="K44" s="55">
        <f t="shared" si="1"/>
        <v>82.026404867855064</v>
      </c>
      <c r="L44" s="29"/>
    </row>
    <row r="45" spans="2:12" ht="13.5" customHeight="1" outlineLevel="1" x14ac:dyDescent="0.2">
      <c r="B45" s="95" t="s">
        <v>89</v>
      </c>
      <c r="C45" s="22">
        <f>3686502096.61</f>
        <v>3686502096.6100001</v>
      </c>
      <c r="D45" s="22">
        <f>2944051480.69</f>
        <v>2944051480.6900001</v>
      </c>
      <c r="E45" s="24" t="s">
        <v>57</v>
      </c>
      <c r="F45" s="24" t="s">
        <v>57</v>
      </c>
      <c r="G45" s="24" t="s">
        <v>57</v>
      </c>
      <c r="H45" s="24" t="s">
        <v>57</v>
      </c>
      <c r="I45" s="24" t="s">
        <v>57</v>
      </c>
      <c r="J45" s="35">
        <f t="shared" si="0"/>
        <v>1.4585943269683985</v>
      </c>
      <c r="K45" s="35">
        <f t="shared" si="1"/>
        <v>79.860295845139049</v>
      </c>
      <c r="L45" s="29"/>
    </row>
    <row r="46" spans="2:12" s="5" customFormat="1" ht="25.5" customHeight="1" x14ac:dyDescent="0.2">
      <c r="B46" s="85" t="s">
        <v>60</v>
      </c>
      <c r="C46" s="25">
        <f>C47+C48+C49+C50+C51+C52</f>
        <v>54511648661.449997</v>
      </c>
      <c r="D46" s="45">
        <f>D47+D48+D49+D50+D51+D52</f>
        <v>54958325678</v>
      </c>
      <c r="E46" s="23" t="s">
        <v>57</v>
      </c>
      <c r="F46" s="23" t="s">
        <v>57</v>
      </c>
      <c r="G46" s="23" t="s">
        <v>57</v>
      </c>
      <c r="H46" s="23" t="s">
        <v>57</v>
      </c>
      <c r="I46" s="23" t="s">
        <v>57</v>
      </c>
      <c r="J46" s="34">
        <f t="shared" si="0"/>
        <v>27.228430813589185</v>
      </c>
      <c r="K46" s="34">
        <f t="shared" si="1"/>
        <v>100.81941571667394</v>
      </c>
      <c r="L46" s="30"/>
    </row>
    <row r="47" spans="2:12" ht="13.5" customHeight="1" outlineLevel="1" x14ac:dyDescent="0.2">
      <c r="B47" s="32" t="s">
        <v>47</v>
      </c>
      <c r="C47" s="22">
        <f>12653705069</f>
        <v>12653705069</v>
      </c>
      <c r="D47" s="22">
        <f>12645648243</f>
        <v>12645648243</v>
      </c>
      <c r="E47" s="24" t="s">
        <v>57</v>
      </c>
      <c r="F47" s="24" t="s">
        <v>57</v>
      </c>
      <c r="G47" s="24" t="s">
        <v>57</v>
      </c>
      <c r="H47" s="24" t="s">
        <v>57</v>
      </c>
      <c r="I47" s="24" t="s">
        <v>57</v>
      </c>
      <c r="J47" s="35">
        <f t="shared" si="0"/>
        <v>6.2651318800154794</v>
      </c>
      <c r="K47" s="35">
        <f t="shared" si="1"/>
        <v>99.936328324739151</v>
      </c>
      <c r="L47" s="29"/>
    </row>
    <row r="48" spans="2:12" ht="13.5" customHeight="1" outlineLevel="1" x14ac:dyDescent="0.2">
      <c r="B48" s="54" t="s">
        <v>46</v>
      </c>
      <c r="C48" s="24">
        <f>38268162289.35</f>
        <v>38268162289.349998</v>
      </c>
      <c r="D48" s="24">
        <f>38355902704</f>
        <v>38355902704</v>
      </c>
      <c r="E48" s="24" t="s">
        <v>57</v>
      </c>
      <c r="F48" s="24" t="s">
        <v>57</v>
      </c>
      <c r="G48" s="24" t="s">
        <v>57</v>
      </c>
      <c r="H48" s="24" t="s">
        <v>57</v>
      </c>
      <c r="I48" s="24" t="s">
        <v>57</v>
      </c>
      <c r="J48" s="35">
        <f t="shared" si="0"/>
        <v>19.002963248690953</v>
      </c>
      <c r="K48" s="35">
        <f t="shared" si="1"/>
        <v>100.22927783672125</v>
      </c>
      <c r="L48" s="29"/>
    </row>
    <row r="49" spans="1:26" ht="13.5" customHeight="1" outlineLevel="1" x14ac:dyDescent="0.2">
      <c r="B49" s="54" t="s">
        <v>45</v>
      </c>
      <c r="C49" s="24">
        <f>835112</f>
        <v>835112</v>
      </c>
      <c r="D49" s="24">
        <f>236436</f>
        <v>236436</v>
      </c>
      <c r="E49" s="24" t="s">
        <v>57</v>
      </c>
      <c r="F49" s="24" t="s">
        <v>57</v>
      </c>
      <c r="G49" s="24" t="s">
        <v>57</v>
      </c>
      <c r="H49" s="24" t="s">
        <v>57</v>
      </c>
      <c r="I49" s="24" t="s">
        <v>57</v>
      </c>
      <c r="J49" s="35">
        <f t="shared" si="0"/>
        <v>1.171393267247739E-4</v>
      </c>
      <c r="K49" s="35">
        <f t="shared" si="1"/>
        <v>28.311891099636934</v>
      </c>
      <c r="L49" s="29"/>
    </row>
    <row r="50" spans="1:26" ht="13.5" customHeight="1" outlineLevel="1" x14ac:dyDescent="0.2">
      <c r="B50" s="54" t="s">
        <v>44</v>
      </c>
      <c r="C50" s="24">
        <f>479691833</f>
        <v>479691833</v>
      </c>
      <c r="D50" s="24">
        <f>479691833</f>
        <v>479691833</v>
      </c>
      <c r="E50" s="24" t="s">
        <v>57</v>
      </c>
      <c r="F50" s="24" t="s">
        <v>57</v>
      </c>
      <c r="G50" s="24" t="s">
        <v>57</v>
      </c>
      <c r="H50" s="24" t="s">
        <v>57</v>
      </c>
      <c r="I50" s="24" t="s">
        <v>57</v>
      </c>
      <c r="J50" s="35">
        <f t="shared" si="0"/>
        <v>0.23765745636448204</v>
      </c>
      <c r="K50" s="35">
        <f t="shared" si="1"/>
        <v>100</v>
      </c>
      <c r="L50" s="29"/>
    </row>
    <row r="51" spans="1:26" ht="13.5" customHeight="1" outlineLevel="1" x14ac:dyDescent="0.2">
      <c r="B51" s="54" t="s">
        <v>115</v>
      </c>
      <c r="C51" s="22">
        <f>1561549840.51</f>
        <v>1561549840.51</v>
      </c>
      <c r="D51" s="22">
        <f>1562550298</f>
        <v>1562550298</v>
      </c>
      <c r="E51" s="24" t="s">
        <v>57</v>
      </c>
      <c r="F51" s="24" t="s">
        <v>57</v>
      </c>
      <c r="G51" s="24" t="s">
        <v>57</v>
      </c>
      <c r="H51" s="24" t="s">
        <v>57</v>
      </c>
      <c r="I51" s="24" t="s">
        <v>57</v>
      </c>
      <c r="J51" s="35">
        <f t="shared" si="0"/>
        <v>0.77414644927724552</v>
      </c>
      <c r="K51" s="35">
        <f>IF(C51=0,"",100*D51/C51)</f>
        <v>100.06406823938923</v>
      </c>
      <c r="L51" s="29"/>
    </row>
    <row r="52" spans="1:26" s="5" customFormat="1" ht="13.5" customHeight="1" outlineLevel="1" x14ac:dyDescent="0.2">
      <c r="B52" s="54" t="s">
        <v>42</v>
      </c>
      <c r="C52" s="24">
        <f>1547704517.59</f>
        <v>1547704517.5899999</v>
      </c>
      <c r="D52" s="24">
        <f>1914296164</f>
        <v>1914296164</v>
      </c>
      <c r="E52" s="24" t="s">
        <v>57</v>
      </c>
      <c r="F52" s="24" t="s">
        <v>57</v>
      </c>
      <c r="G52" s="24" t="s">
        <v>57</v>
      </c>
      <c r="H52" s="24" t="s">
        <v>57</v>
      </c>
      <c r="I52" s="24" t="s">
        <v>57</v>
      </c>
      <c r="J52" s="35">
        <f t="shared" si="0"/>
        <v>0.94841463991429964</v>
      </c>
      <c r="K52" s="35">
        <f t="shared" si="1"/>
        <v>123.6861521203567</v>
      </c>
      <c r="L52" s="30"/>
    </row>
    <row r="53" spans="1:26" s="5" customFormat="1" x14ac:dyDescent="0.2">
      <c r="A53" s="2"/>
      <c r="B53" s="20"/>
      <c r="C53" s="7"/>
      <c r="D53" s="8"/>
      <c r="E53" s="16"/>
      <c r="F53" s="16"/>
      <c r="G53" s="16"/>
      <c r="H53" s="16"/>
      <c r="I53" s="16"/>
      <c r="J53" s="9"/>
      <c r="K53" s="9"/>
      <c r="L53" s="3"/>
    </row>
    <row r="54" spans="1:26" s="5" customFormat="1" ht="13.5" customHeight="1" x14ac:dyDescent="0.2">
      <c r="A54" s="2"/>
      <c r="B54" s="84" t="s">
        <v>5</v>
      </c>
      <c r="C54" s="41">
        <f t="shared" ref="C54:I54" si="4">+C6</f>
        <v>206922651001.42001</v>
      </c>
      <c r="D54" s="41">
        <f t="shared" si="4"/>
        <v>201841692803.57999</v>
      </c>
      <c r="E54" s="41">
        <f t="shared" si="4"/>
        <v>5769600305.29</v>
      </c>
      <c r="F54" s="41">
        <f t="shared" si="4"/>
        <v>704379513.25999999</v>
      </c>
      <c r="G54" s="41">
        <f t="shared" si="4"/>
        <v>98894207.760000005</v>
      </c>
      <c r="H54" s="41">
        <f t="shared" si="4"/>
        <v>117241858.86</v>
      </c>
      <c r="I54" s="41">
        <f t="shared" si="4"/>
        <v>5732692.2599999998</v>
      </c>
      <c r="J54" s="56">
        <f t="shared" si="0"/>
        <v>100</v>
      </c>
      <c r="K54" s="78">
        <f>IF(C54=0,"",100*D54/C54)</f>
        <v>97.544513288781928</v>
      </c>
      <c r="L54" s="80"/>
    </row>
    <row r="55" spans="1:26" s="5" customFormat="1" ht="13.5" customHeight="1" x14ac:dyDescent="0.2">
      <c r="A55" s="2"/>
      <c r="B55" s="86" t="s">
        <v>70</v>
      </c>
      <c r="C55" s="24">
        <f>37326524934.16</f>
        <v>37326524934.160004</v>
      </c>
      <c r="D55" s="24">
        <f>32356748989.6</f>
        <v>32356748989.599998</v>
      </c>
      <c r="E55" s="24">
        <f>0</f>
        <v>0</v>
      </c>
      <c r="F55" s="24">
        <f>0</f>
        <v>0</v>
      </c>
      <c r="G55" s="24">
        <f>0</f>
        <v>0</v>
      </c>
      <c r="H55" s="24">
        <f>0</f>
        <v>0</v>
      </c>
      <c r="I55" s="24">
        <f>538000</f>
        <v>538000</v>
      </c>
      <c r="J55" s="38">
        <f t="shared" si="0"/>
        <v>16.030755856317363</v>
      </c>
      <c r="K55" s="79">
        <f>IF(C55=0,"",100*D55/C55)</f>
        <v>86.685672043336055</v>
      </c>
      <c r="L55" s="80"/>
    </row>
    <row r="56" spans="1:26" s="5" customFormat="1" ht="13.5" customHeight="1" x14ac:dyDescent="0.2">
      <c r="A56" s="2"/>
      <c r="B56" s="86" t="s">
        <v>71</v>
      </c>
      <c r="C56" s="24">
        <f>C54-C55</f>
        <v>169596126067.26001</v>
      </c>
      <c r="D56" s="24">
        <f t="shared" ref="D56:I56" si="5">D54-D55</f>
        <v>169484943813.97998</v>
      </c>
      <c r="E56" s="24">
        <f t="shared" si="5"/>
        <v>5769600305.29</v>
      </c>
      <c r="F56" s="24">
        <f t="shared" si="5"/>
        <v>704379513.25999999</v>
      </c>
      <c r="G56" s="24">
        <f t="shared" si="5"/>
        <v>98894207.760000005</v>
      </c>
      <c r="H56" s="24">
        <f t="shared" si="5"/>
        <v>117241858.86</v>
      </c>
      <c r="I56" s="24">
        <f t="shared" si="5"/>
        <v>5194692.26</v>
      </c>
      <c r="J56" s="38">
        <f t="shared" si="0"/>
        <v>83.96924414368263</v>
      </c>
      <c r="K56" s="79">
        <f>IF(C56=0,"",100*D56/C56)</f>
        <v>99.934442928704669</v>
      </c>
      <c r="L56" s="80"/>
    </row>
    <row r="57" spans="1:26" s="5" customFormat="1" ht="13.5" customHeight="1" x14ac:dyDescent="0.2">
      <c r="A57" s="2"/>
      <c r="B57" s="105" t="s">
        <v>105</v>
      </c>
      <c r="C57" s="105"/>
      <c r="D57" s="105"/>
      <c r="E57" s="105"/>
      <c r="F57" s="76"/>
      <c r="G57" s="76"/>
      <c r="H57" s="76"/>
      <c r="I57" s="76"/>
      <c r="J57" s="9"/>
      <c r="K57" s="9"/>
      <c r="L57" s="9"/>
    </row>
    <row r="58" spans="1:26" ht="15" x14ac:dyDescent="0.2">
      <c r="B58" s="91" t="str">
        <f>CONCATENATE("Informacja z wykonania budżetów gmin za ",$D$118," ",$C$119," rok     ",$C$121,"")</f>
        <v xml:space="preserve">Informacja z wykonania budżetów gmin za IV Kwartały 2024 rok     </v>
      </c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</row>
    <row r="59" spans="1:26" s="5" customFormat="1" ht="7.5" customHeight="1" x14ac:dyDescent="0.2">
      <c r="B59" s="6"/>
      <c r="C59" s="7"/>
      <c r="D59" s="8"/>
      <c r="E59" s="8"/>
      <c r="F59" s="4"/>
      <c r="G59" s="4"/>
      <c r="H59" s="4"/>
      <c r="I59" s="4"/>
      <c r="J59" s="4"/>
      <c r="K59" s="9"/>
      <c r="L59" s="9"/>
      <c r="M59" s="3"/>
    </row>
    <row r="60" spans="1:26" ht="29.25" customHeight="1" x14ac:dyDescent="0.2">
      <c r="B60" s="106" t="s">
        <v>0</v>
      </c>
      <c r="C60" s="117" t="s">
        <v>53</v>
      </c>
      <c r="D60" s="117" t="s">
        <v>55</v>
      </c>
      <c r="E60" s="117" t="s">
        <v>54</v>
      </c>
      <c r="F60" s="117" t="s">
        <v>12</v>
      </c>
      <c r="G60" s="117"/>
      <c r="H60" s="117"/>
      <c r="I60" s="110" t="s">
        <v>80</v>
      </c>
      <c r="J60" s="117" t="s">
        <v>2</v>
      </c>
      <c r="K60" s="118" t="s">
        <v>18</v>
      </c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8" customHeight="1" x14ac:dyDescent="0.2">
      <c r="B61" s="106"/>
      <c r="C61" s="117"/>
      <c r="D61" s="117"/>
      <c r="E61" s="121"/>
      <c r="F61" s="107" t="s">
        <v>56</v>
      </c>
      <c r="G61" s="122" t="s">
        <v>33</v>
      </c>
      <c r="H61" s="121"/>
      <c r="I61" s="111"/>
      <c r="J61" s="117"/>
      <c r="K61" s="118"/>
      <c r="L61" s="11"/>
      <c r="M61" s="12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57.75" customHeight="1" x14ac:dyDescent="0.2">
      <c r="B62" s="106"/>
      <c r="C62" s="117"/>
      <c r="D62" s="117"/>
      <c r="E62" s="121"/>
      <c r="F62" s="121"/>
      <c r="G62" s="18" t="s">
        <v>51</v>
      </c>
      <c r="H62" s="18" t="s">
        <v>52</v>
      </c>
      <c r="I62" s="112"/>
      <c r="J62" s="117"/>
      <c r="K62" s="118"/>
      <c r="L62" s="11"/>
      <c r="M62" s="10"/>
      <c r="N62" s="21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 x14ac:dyDescent="0.2">
      <c r="B63" s="106"/>
      <c r="C63" s="113" t="s">
        <v>74</v>
      </c>
      <c r="D63" s="114"/>
      <c r="E63" s="114"/>
      <c r="F63" s="114"/>
      <c r="G63" s="114"/>
      <c r="H63" s="114"/>
      <c r="I63" s="115"/>
      <c r="J63" s="109" t="s">
        <v>4</v>
      </c>
      <c r="K63" s="109"/>
      <c r="N63" s="21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1.25" customHeight="1" x14ac:dyDescent="0.2">
      <c r="B64" s="17">
        <v>1</v>
      </c>
      <c r="C64" s="19">
        <v>2</v>
      </c>
      <c r="D64" s="19">
        <v>3</v>
      </c>
      <c r="E64" s="19">
        <v>4</v>
      </c>
      <c r="F64" s="17">
        <v>5</v>
      </c>
      <c r="G64" s="17">
        <v>6</v>
      </c>
      <c r="H64" s="19">
        <v>7</v>
      </c>
      <c r="I64" s="19">
        <v>8</v>
      </c>
      <c r="J64" s="17">
        <v>9</v>
      </c>
      <c r="K64" s="19">
        <v>10</v>
      </c>
      <c r="M64" s="10"/>
      <c r="N64" s="21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2:14" ht="25.5" customHeight="1" x14ac:dyDescent="0.2">
      <c r="B65" s="84" t="s">
        <v>61</v>
      </c>
      <c r="C65" s="57">
        <f>222880527068.75</f>
        <v>222880527068.75</v>
      </c>
      <c r="D65" s="68">
        <f>203750813721.3</f>
        <v>203750813721.29999</v>
      </c>
      <c r="E65" s="68">
        <f>204043782699.09</f>
        <v>204043782699.09</v>
      </c>
      <c r="F65" s="57">
        <f>8621556797.42</f>
        <v>8621556797.4200001</v>
      </c>
      <c r="G65" s="57">
        <f>1680704.85</f>
        <v>1680704.85</v>
      </c>
      <c r="H65" s="57">
        <f>28224681.46</f>
        <v>28224681.460000001</v>
      </c>
      <c r="I65" s="69">
        <f>726972756.25</f>
        <v>726972756.25</v>
      </c>
      <c r="J65" s="52">
        <f>IF($D$65=0,"",100*$D65/$D$65)</f>
        <v>100</v>
      </c>
      <c r="K65" s="52">
        <f>IF(C65=0,"",100*D65/C65)</f>
        <v>91.417054868346924</v>
      </c>
      <c r="N65" s="77"/>
    </row>
    <row r="66" spans="2:14" ht="13.5" customHeight="1" x14ac:dyDescent="0.2">
      <c r="B66" s="85" t="s">
        <v>14</v>
      </c>
      <c r="C66" s="26">
        <f>56700325755.6701</f>
        <v>56700325755.670097</v>
      </c>
      <c r="D66" s="26">
        <f>47480918361.66</f>
        <v>47480918361.660004</v>
      </c>
      <c r="E66" s="26">
        <f>47625808315.73</f>
        <v>47625808315.730003</v>
      </c>
      <c r="F66" s="26">
        <f>1012685186.2</f>
        <v>1012685186.2</v>
      </c>
      <c r="G66" s="26">
        <f>129267.08</f>
        <v>129267.08</v>
      </c>
      <c r="H66" s="26">
        <f>4572787.76</f>
        <v>4572787.76</v>
      </c>
      <c r="I66" s="70">
        <f>674388184.4</f>
        <v>674388184.39999998</v>
      </c>
      <c r="J66" s="52">
        <f t="shared" ref="J66:J74" si="6">IF($D$65=0,"",100*$D66/$D$65)</f>
        <v>23.303425146859365</v>
      </c>
      <c r="K66" s="52">
        <f t="shared" ref="K66:K74" si="7">IF(C66=0,"",100*D66/C66)</f>
        <v>83.740115649885581</v>
      </c>
      <c r="N66" s="61"/>
    </row>
    <row r="67" spans="2:14" ht="13.5" customHeight="1" outlineLevel="1" x14ac:dyDescent="0.2">
      <c r="B67" s="32" t="s">
        <v>13</v>
      </c>
      <c r="C67" s="22">
        <f>54926873071.4401</f>
        <v>54926873071.440102</v>
      </c>
      <c r="D67" s="22">
        <f>45861419036.74</f>
        <v>45861419036.739998</v>
      </c>
      <c r="E67" s="22">
        <f>46006308090.45</f>
        <v>46006308090.449997</v>
      </c>
      <c r="F67" s="22">
        <f>1009306793.96</f>
        <v>1009306793.96</v>
      </c>
      <c r="G67" s="22">
        <f>129267.08</f>
        <v>129267.08</v>
      </c>
      <c r="H67" s="22">
        <f>1622787.76</f>
        <v>1622787.76</v>
      </c>
      <c r="I67" s="66">
        <f>674388184.4</f>
        <v>674388184.39999998</v>
      </c>
      <c r="J67" s="52">
        <f t="shared" si="6"/>
        <v>22.50858202680428</v>
      </c>
      <c r="K67" s="52">
        <f t="shared" si="7"/>
        <v>83.495412122024121</v>
      </c>
      <c r="N67" s="76"/>
    </row>
    <row r="68" spans="2:14" ht="27" customHeight="1" x14ac:dyDescent="0.2">
      <c r="B68" s="85" t="s">
        <v>62</v>
      </c>
      <c r="C68" s="26">
        <f t="shared" ref="C68:I68" si="8">C65-C66</f>
        <v>166180201313.0799</v>
      </c>
      <c r="D68" s="26">
        <f>D65-D66</f>
        <v>156269895359.63998</v>
      </c>
      <c r="E68" s="26">
        <f>E65-E66</f>
        <v>156417974383.35999</v>
      </c>
      <c r="F68" s="26">
        <f t="shared" si="8"/>
        <v>7608871611.2200003</v>
      </c>
      <c r="G68" s="26">
        <f t="shared" si="8"/>
        <v>1551437.77</v>
      </c>
      <c r="H68" s="26">
        <f t="shared" si="8"/>
        <v>23651893.700000003</v>
      </c>
      <c r="I68" s="70">
        <f t="shared" si="8"/>
        <v>52584571.850000024</v>
      </c>
      <c r="J68" s="52">
        <f t="shared" si="6"/>
        <v>76.696574853140632</v>
      </c>
      <c r="K68" s="52">
        <f t="shared" si="7"/>
        <v>94.036409948277097</v>
      </c>
      <c r="N68" s="61"/>
    </row>
    <row r="69" spans="2:14" ht="22.5" outlineLevel="1" x14ac:dyDescent="0.2">
      <c r="B69" s="32" t="s">
        <v>96</v>
      </c>
      <c r="C69" s="22">
        <f>75262727816.6301</f>
        <v>75262727816.630096</v>
      </c>
      <c r="D69" s="22">
        <f>72663393309.8799</f>
        <v>72663393309.879898</v>
      </c>
      <c r="E69" s="22">
        <f>72722780646.1299</f>
        <v>72722780646.129898</v>
      </c>
      <c r="F69" s="22">
        <f>5854323128.04001</f>
        <v>5854323128.0400105</v>
      </c>
      <c r="G69" s="22">
        <f>785435.41</f>
        <v>785435.41</v>
      </c>
      <c r="H69" s="22">
        <f>5539707.91</f>
        <v>5539707.9100000001</v>
      </c>
      <c r="I69" s="66">
        <f>494097.2</f>
        <v>494097.2</v>
      </c>
      <c r="J69" s="52">
        <f t="shared" si="6"/>
        <v>35.662872693736738</v>
      </c>
      <c r="K69" s="52">
        <f t="shared" si="7"/>
        <v>96.546319031801232</v>
      </c>
      <c r="N69" s="76"/>
    </row>
    <row r="70" spans="2:14" ht="13.5" customHeight="1" outlineLevel="1" x14ac:dyDescent="0.2">
      <c r="B70" s="54" t="s">
        <v>50</v>
      </c>
      <c r="C70" s="59">
        <f>15657967156.43</f>
        <v>15657967156.43</v>
      </c>
      <c r="D70" s="59">
        <f>15266370893.38</f>
        <v>15266370893.379999</v>
      </c>
      <c r="E70" s="59">
        <f>15270551940.85</f>
        <v>15270551940.85</v>
      </c>
      <c r="F70" s="59">
        <f>9688452.23</f>
        <v>9688452.2300000004</v>
      </c>
      <c r="G70" s="59">
        <f>0</f>
        <v>0</v>
      </c>
      <c r="H70" s="59">
        <f>251241.33</f>
        <v>251241.33</v>
      </c>
      <c r="I70" s="71">
        <f>1527603</f>
        <v>1527603</v>
      </c>
      <c r="J70" s="52">
        <f t="shared" si="6"/>
        <v>7.4926674473369541</v>
      </c>
      <c r="K70" s="52">
        <f t="shared" si="7"/>
        <v>97.499060643455309</v>
      </c>
      <c r="N70" s="75"/>
    </row>
    <row r="71" spans="2:14" ht="13.5" customHeight="1" outlineLevel="1" x14ac:dyDescent="0.2">
      <c r="B71" s="54" t="s">
        <v>49</v>
      </c>
      <c r="C71" s="24">
        <f>2746838199.87</f>
        <v>2746838199.8699999</v>
      </c>
      <c r="D71" s="24">
        <f>2553524237.63</f>
        <v>2553524237.6300001</v>
      </c>
      <c r="E71" s="24">
        <f>2557059374.42</f>
        <v>2557059374.4200001</v>
      </c>
      <c r="F71" s="24">
        <f>53447896.08</f>
        <v>53447896.079999998</v>
      </c>
      <c r="G71" s="24">
        <f>0</f>
        <v>0</v>
      </c>
      <c r="H71" s="24">
        <f>0</f>
        <v>0</v>
      </c>
      <c r="I71" s="72">
        <f>0</f>
        <v>0</v>
      </c>
      <c r="J71" s="52">
        <f t="shared" si="6"/>
        <v>1.2532584243431937</v>
      </c>
      <c r="K71" s="52">
        <f t="shared" si="7"/>
        <v>92.962309820463801</v>
      </c>
      <c r="N71" s="76"/>
    </row>
    <row r="72" spans="2:14" ht="24" customHeight="1" outlineLevel="1" x14ac:dyDescent="0.2">
      <c r="B72" s="54" t="s">
        <v>68</v>
      </c>
      <c r="C72" s="59">
        <f>56659903.72</f>
        <v>56659903.719999999</v>
      </c>
      <c r="D72" s="59">
        <f>1455629.03</f>
        <v>1455629.03</v>
      </c>
      <c r="E72" s="59">
        <f>1456486.41</f>
        <v>1456486.41</v>
      </c>
      <c r="F72" s="59">
        <f>87.57</f>
        <v>87.57</v>
      </c>
      <c r="G72" s="59">
        <f>0</f>
        <v>0</v>
      </c>
      <c r="H72" s="59">
        <f>0</f>
        <v>0</v>
      </c>
      <c r="I72" s="71">
        <f>0</f>
        <v>0</v>
      </c>
      <c r="J72" s="52">
        <f t="shared" si="6"/>
        <v>7.1441630264656433E-4</v>
      </c>
      <c r="K72" s="52">
        <f t="shared" si="7"/>
        <v>2.5690637195456216</v>
      </c>
      <c r="N72" s="75"/>
    </row>
    <row r="73" spans="2:14" ht="22.5" outlineLevel="1" x14ac:dyDescent="0.2">
      <c r="B73" s="54" t="s">
        <v>69</v>
      </c>
      <c r="C73" s="59">
        <f>20467645058.19</f>
        <v>20467645058.189999</v>
      </c>
      <c r="D73" s="59">
        <f>19763496550.07</f>
        <v>19763496550.07</v>
      </c>
      <c r="E73" s="59">
        <f>19766660170.89</f>
        <v>19766660170.889999</v>
      </c>
      <c r="F73" s="59">
        <f>207532827.68</f>
        <v>207532827.68000001</v>
      </c>
      <c r="G73" s="59">
        <f>6338.49</f>
        <v>6338.49</v>
      </c>
      <c r="H73" s="59">
        <f>214523.01</f>
        <v>214523.01</v>
      </c>
      <c r="I73" s="73">
        <f>0</f>
        <v>0</v>
      </c>
      <c r="J73" s="52">
        <f t="shared" si="6"/>
        <v>9.6998368689233541</v>
      </c>
      <c r="K73" s="52">
        <f t="shared" si="7"/>
        <v>96.559699437243083</v>
      </c>
      <c r="N73" s="75"/>
    </row>
    <row r="74" spans="2:14" ht="13.5" customHeight="1" outlineLevel="1" x14ac:dyDescent="0.2">
      <c r="B74" s="54" t="s">
        <v>48</v>
      </c>
      <c r="C74" s="24">
        <f t="shared" ref="C74:I74" si="9">C68-C69-C70-C71-C72-C73</f>
        <v>51988363178.239807</v>
      </c>
      <c r="D74" s="24">
        <f>D68-D69-D70-D71-D72-D73</f>
        <v>46021654739.650093</v>
      </c>
      <c r="E74" s="24">
        <f>E68-E69-E70-E71-E72-E73</f>
        <v>46099465764.660088</v>
      </c>
      <c r="F74" s="24">
        <f t="shared" si="9"/>
        <v>1483879219.6199899</v>
      </c>
      <c r="G74" s="24">
        <f t="shared" si="9"/>
        <v>759663.87</v>
      </c>
      <c r="H74" s="24">
        <f t="shared" si="9"/>
        <v>17646421.450000003</v>
      </c>
      <c r="I74" s="71">
        <f t="shared" si="9"/>
        <v>50562871.650000021</v>
      </c>
      <c r="J74" s="52">
        <f t="shared" si="6"/>
        <v>22.587225002497757</v>
      </c>
      <c r="K74" s="52">
        <f t="shared" si="7"/>
        <v>88.522992312465945</v>
      </c>
      <c r="N74" s="76"/>
    </row>
    <row r="75" spans="2:14" ht="18" customHeight="1" x14ac:dyDescent="0.2">
      <c r="B75" s="84" t="s">
        <v>15</v>
      </c>
      <c r="C75" s="26">
        <f>C6-C65</f>
        <v>-15957876067.329987</v>
      </c>
      <c r="D75" s="26">
        <f>D6-D65</f>
        <v>-1909120917.7200012</v>
      </c>
      <c r="E75" s="81"/>
      <c r="F75" s="61"/>
      <c r="G75" s="61"/>
      <c r="H75" s="61"/>
      <c r="I75" s="82"/>
      <c r="J75" s="28"/>
      <c r="K75" s="28"/>
      <c r="L75" s="13"/>
      <c r="N75" s="61"/>
    </row>
    <row r="76" spans="2:14" ht="38.25" x14ac:dyDescent="0.2">
      <c r="B76" s="87" t="s">
        <v>101</v>
      </c>
      <c r="C76" s="26">
        <f>+C56-C68</f>
        <v>3415924754.1801147</v>
      </c>
      <c r="D76" s="26">
        <f>+D56-D68</f>
        <v>13215048454.339996</v>
      </c>
      <c r="E76" s="81"/>
      <c r="F76" s="61"/>
      <c r="G76" s="61"/>
      <c r="H76" s="61"/>
      <c r="I76" s="61"/>
      <c r="J76" s="28"/>
      <c r="K76" s="28"/>
      <c r="L76" s="13"/>
      <c r="N76" s="61"/>
    </row>
    <row r="77" spans="2:14" x14ac:dyDescent="0.2">
      <c r="B77" s="60"/>
      <c r="C77" s="61"/>
      <c r="D77" s="61"/>
      <c r="E77" s="61"/>
      <c r="F77" s="61"/>
      <c r="G77" s="61"/>
      <c r="H77" s="61"/>
      <c r="I77" s="61"/>
      <c r="J77" s="61"/>
      <c r="K77" s="28"/>
      <c r="L77" s="28"/>
      <c r="M77" s="13"/>
    </row>
    <row r="78" spans="2:14" ht="14.25" customHeight="1" x14ac:dyDescent="0.2">
      <c r="B78" s="103" t="s">
        <v>106</v>
      </c>
      <c r="C78" s="104"/>
      <c r="D78" s="104"/>
      <c r="E78" s="104"/>
      <c r="F78" s="104"/>
      <c r="G78" s="61"/>
      <c r="H78" s="61"/>
      <c r="I78" s="61"/>
      <c r="J78" s="61"/>
      <c r="K78" s="28"/>
      <c r="L78" s="28"/>
      <c r="M78" s="13"/>
    </row>
    <row r="79" spans="2:14" ht="27" customHeight="1" x14ac:dyDescent="0.2">
      <c r="B79" s="84" t="s">
        <v>102</v>
      </c>
      <c r="C79" s="41">
        <f>5589516220.84</f>
        <v>5589516220.8400002</v>
      </c>
      <c r="D79" s="41">
        <f>3969063961.29</f>
        <v>3969063961.29</v>
      </c>
      <c r="E79" s="41">
        <f>3985563146.31</f>
        <v>3985563146.3099999</v>
      </c>
      <c r="F79" s="41">
        <f>94165478.87</f>
        <v>94165478.870000005</v>
      </c>
      <c r="G79" s="41">
        <f>0</f>
        <v>0</v>
      </c>
      <c r="H79" s="41">
        <f>3392</f>
        <v>3392</v>
      </c>
      <c r="I79" s="41">
        <f>37889886.17</f>
        <v>37889886.170000002</v>
      </c>
      <c r="J79" s="62">
        <f>IF($D$79=0,"",100*$D79/$D$79)</f>
        <v>100</v>
      </c>
      <c r="K79" s="62">
        <f>IF(C79=0,"",100*D79/C79)</f>
        <v>71.009078504714026</v>
      </c>
      <c r="L79" s="13"/>
    </row>
    <row r="80" spans="2:14" ht="15" customHeight="1" x14ac:dyDescent="0.2">
      <c r="B80" s="88" t="s">
        <v>72</v>
      </c>
      <c r="C80" s="22">
        <f>4556648260.94</f>
        <v>4556648260.9399996</v>
      </c>
      <c r="D80" s="22">
        <f>3424816091.76</f>
        <v>3424816091.7600002</v>
      </c>
      <c r="E80" s="22">
        <f>3436294567.34</f>
        <v>3436294567.3400002</v>
      </c>
      <c r="F80" s="22">
        <f>84865983.41</f>
        <v>84865983.409999996</v>
      </c>
      <c r="G80" s="22">
        <f>0</f>
        <v>0</v>
      </c>
      <c r="H80" s="22">
        <f>0</f>
        <v>0</v>
      </c>
      <c r="I80" s="22">
        <f>37139210.71</f>
        <v>37139210.710000001</v>
      </c>
      <c r="J80" s="62">
        <f>IF($D$79=0,"",100*$D80/$D$79)</f>
        <v>86.28775260771782</v>
      </c>
      <c r="K80" s="62">
        <f>IF(C80=0,"",100*D80/C80)</f>
        <v>75.160861572700995</v>
      </c>
      <c r="L80" s="13"/>
    </row>
    <row r="81" spans="2:13" ht="14.25" customHeight="1" x14ac:dyDescent="0.2">
      <c r="B81" s="89" t="s">
        <v>73</v>
      </c>
      <c r="C81" s="22">
        <f>+C79-C80</f>
        <v>1032867959.9000006</v>
      </c>
      <c r="D81" s="22">
        <f t="shared" ref="D81:I81" si="10">+D79-D80</f>
        <v>544247869.52999973</v>
      </c>
      <c r="E81" s="22">
        <f t="shared" si="10"/>
        <v>549268578.96999979</v>
      </c>
      <c r="F81" s="22">
        <f t="shared" si="10"/>
        <v>9299495.4600000083</v>
      </c>
      <c r="G81" s="22">
        <f t="shared" si="10"/>
        <v>0</v>
      </c>
      <c r="H81" s="22">
        <f t="shared" si="10"/>
        <v>3392</v>
      </c>
      <c r="I81" s="22">
        <f t="shared" si="10"/>
        <v>750675.46000000089</v>
      </c>
      <c r="J81" s="62">
        <f>IF($D$79=0,"",100*$D81/$D$79)</f>
        <v>13.712247392282176</v>
      </c>
      <c r="K81" s="62">
        <f>IF(C81=0,"",100*D81/C81)</f>
        <v>52.692879502496361</v>
      </c>
      <c r="L81" s="10"/>
    </row>
    <row r="82" spans="2:13" ht="15" x14ac:dyDescent="0.2">
      <c r="B82" s="91" t="str">
        <f>CONCATENATE("Informacja z wykonania budżetów gmin za ",$D$118," ",$C$119," rok     ",$C$121,"")</f>
        <v xml:space="preserve">Informacja z wykonania budżetów gmin za IV Kwartały 2024 rok     </v>
      </c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</row>
    <row r="84" spans="2:13" ht="18" customHeight="1" x14ac:dyDescent="0.2">
      <c r="B84" s="40" t="s">
        <v>16</v>
      </c>
      <c r="C84" s="67" t="s">
        <v>17</v>
      </c>
      <c r="D84" s="67" t="s">
        <v>1</v>
      </c>
      <c r="E84" s="123" t="s">
        <v>57</v>
      </c>
      <c r="F84" s="124"/>
      <c r="G84" s="124"/>
      <c r="H84" s="124"/>
      <c r="I84" s="125"/>
      <c r="J84" s="19" t="s">
        <v>26</v>
      </c>
      <c r="K84" s="19" t="s">
        <v>27</v>
      </c>
    </row>
    <row r="85" spans="2:13" ht="13.5" customHeight="1" x14ac:dyDescent="0.2">
      <c r="B85" s="40"/>
      <c r="C85" s="107" t="s">
        <v>74</v>
      </c>
      <c r="D85" s="108"/>
      <c r="E85" s="126"/>
      <c r="F85" s="127"/>
      <c r="G85" s="127"/>
      <c r="H85" s="127"/>
      <c r="I85" s="128"/>
      <c r="J85" s="107" t="s">
        <v>4</v>
      </c>
      <c r="K85" s="116"/>
      <c r="M85" s="14"/>
    </row>
    <row r="86" spans="2:13" ht="11.25" customHeight="1" x14ac:dyDescent="0.2">
      <c r="B86" s="39">
        <v>1</v>
      </c>
      <c r="C86" s="42">
        <v>2</v>
      </c>
      <c r="D86" s="42">
        <v>3</v>
      </c>
      <c r="E86" s="129"/>
      <c r="F86" s="130"/>
      <c r="G86" s="130"/>
      <c r="H86" s="130"/>
      <c r="I86" s="131"/>
      <c r="J86" s="31">
        <v>4</v>
      </c>
      <c r="K86" s="31">
        <v>5</v>
      </c>
      <c r="M86" s="10"/>
    </row>
    <row r="87" spans="2:13" ht="27" customHeight="1" x14ac:dyDescent="0.2">
      <c r="B87" s="90" t="s">
        <v>63</v>
      </c>
      <c r="C87" s="43">
        <f>22328175502.83</f>
        <v>22328175502.830002</v>
      </c>
      <c r="D87" s="43">
        <f>27022379617.92</f>
        <v>27022379617.919998</v>
      </c>
      <c r="E87" s="43" t="s">
        <v>57</v>
      </c>
      <c r="F87" s="43" t="s">
        <v>57</v>
      </c>
      <c r="G87" s="43" t="s">
        <v>57</v>
      </c>
      <c r="H87" s="43" t="s">
        <v>57</v>
      </c>
      <c r="I87" s="43" t="s">
        <v>57</v>
      </c>
      <c r="J87" s="37">
        <f t="shared" ref="J87:J97" si="11">IF($D$87=0,"",100*$D87/$D$87)</f>
        <v>100</v>
      </c>
      <c r="K87" s="36">
        <f t="shared" ref="K87:K102" si="12">IF(C87=0,"",100*D87/C87)</f>
        <v>121.02367976503511</v>
      </c>
    </row>
    <row r="88" spans="2:13" ht="36" customHeight="1" x14ac:dyDescent="0.2">
      <c r="B88" s="98" t="s">
        <v>103</v>
      </c>
      <c r="C88" s="44">
        <f>10487501100.78</f>
        <v>10487501100.780001</v>
      </c>
      <c r="D88" s="44">
        <f>8696454484.99</f>
        <v>8696454484.9899998</v>
      </c>
      <c r="E88" s="43" t="s">
        <v>57</v>
      </c>
      <c r="F88" s="43" t="s">
        <v>57</v>
      </c>
      <c r="G88" s="43" t="s">
        <v>57</v>
      </c>
      <c r="H88" s="43" t="s">
        <v>57</v>
      </c>
      <c r="I88" s="43" t="s">
        <v>57</v>
      </c>
      <c r="J88" s="50">
        <f t="shared" si="11"/>
        <v>32.182415493944553</v>
      </c>
      <c r="K88" s="51">
        <f t="shared" si="12"/>
        <v>82.922084121099232</v>
      </c>
    </row>
    <row r="89" spans="2:13" ht="22.5" x14ac:dyDescent="0.2">
      <c r="B89" s="99" t="s">
        <v>81</v>
      </c>
      <c r="C89" s="63">
        <f>342790236.09</f>
        <v>342790236.08999997</v>
      </c>
      <c r="D89" s="63">
        <f>293353000</f>
        <v>293353000</v>
      </c>
      <c r="E89" s="43" t="s">
        <v>57</v>
      </c>
      <c r="F89" s="43" t="s">
        <v>57</v>
      </c>
      <c r="G89" s="43" t="s">
        <v>57</v>
      </c>
      <c r="H89" s="43" t="s">
        <v>57</v>
      </c>
      <c r="I89" s="43" t="s">
        <v>57</v>
      </c>
      <c r="J89" s="64">
        <f t="shared" si="11"/>
        <v>1.0855927721682284</v>
      </c>
      <c r="K89" s="58">
        <f t="shared" si="12"/>
        <v>85.577991761404732</v>
      </c>
    </row>
    <row r="90" spans="2:13" ht="13.5" customHeight="1" x14ac:dyDescent="0.2">
      <c r="B90" s="100" t="s">
        <v>82</v>
      </c>
      <c r="C90" s="63">
        <f>150348275.08</f>
        <v>150348275.08000001</v>
      </c>
      <c r="D90" s="63">
        <f>138713297.39</f>
        <v>138713297.38999999</v>
      </c>
      <c r="E90" s="43" t="s">
        <v>57</v>
      </c>
      <c r="F90" s="43" t="s">
        <v>57</v>
      </c>
      <c r="G90" s="43" t="s">
        <v>57</v>
      </c>
      <c r="H90" s="43" t="s">
        <v>57</v>
      </c>
      <c r="I90" s="43" t="s">
        <v>57</v>
      </c>
      <c r="J90" s="64">
        <f t="shared" si="11"/>
        <v>0.51332746912493121</v>
      </c>
      <c r="K90" s="58">
        <f t="shared" si="12"/>
        <v>92.261316144924791</v>
      </c>
    </row>
    <row r="91" spans="2:13" ht="50.1" customHeight="1" x14ac:dyDescent="0.2">
      <c r="B91" s="100" t="s">
        <v>97</v>
      </c>
      <c r="C91" s="63">
        <f>3086941776.47</f>
        <v>3086941776.4699998</v>
      </c>
      <c r="D91" s="63">
        <f>5982940336.38</f>
        <v>5982940336.3800001</v>
      </c>
      <c r="E91" s="43" t="s">
        <v>57</v>
      </c>
      <c r="F91" s="43" t="s">
        <v>57</v>
      </c>
      <c r="G91" s="43" t="s">
        <v>57</v>
      </c>
      <c r="H91" s="43" t="s">
        <v>57</v>
      </c>
      <c r="I91" s="43" t="s">
        <v>57</v>
      </c>
      <c r="J91" s="64">
        <f t="shared" si="11"/>
        <v>22.1406864272323</v>
      </c>
      <c r="K91" s="58">
        <f t="shared" si="12"/>
        <v>193.8144859739354</v>
      </c>
    </row>
    <row r="92" spans="2:13" ht="35.1" customHeight="1" x14ac:dyDescent="0.2">
      <c r="B92" s="100" t="s">
        <v>113</v>
      </c>
      <c r="C92" s="63">
        <f>2339285878.36</f>
        <v>2339285878.3600001</v>
      </c>
      <c r="D92" s="63">
        <f>2781102553.91</f>
        <v>2781102553.9099998</v>
      </c>
      <c r="E92" s="43" t="s">
        <v>57</v>
      </c>
      <c r="F92" s="43" t="s">
        <v>57</v>
      </c>
      <c r="G92" s="43" t="s">
        <v>57</v>
      </c>
      <c r="H92" s="43" t="s">
        <v>57</v>
      </c>
      <c r="I92" s="43" t="s">
        <v>57</v>
      </c>
      <c r="J92" s="64">
        <f t="shared" si="11"/>
        <v>10.291849175509698</v>
      </c>
      <c r="K92" s="58">
        <f t="shared" si="12"/>
        <v>118.88681839347244</v>
      </c>
    </row>
    <row r="93" spans="2:13" ht="13.5" customHeight="1" x14ac:dyDescent="0.2">
      <c r="B93" s="100" t="s">
        <v>83</v>
      </c>
      <c r="C93" s="63">
        <f>0</f>
        <v>0</v>
      </c>
      <c r="D93" s="63">
        <f>0</f>
        <v>0</v>
      </c>
      <c r="E93" s="43" t="s">
        <v>57</v>
      </c>
      <c r="F93" s="43" t="s">
        <v>57</v>
      </c>
      <c r="G93" s="43" t="s">
        <v>57</v>
      </c>
      <c r="H93" s="43" t="s">
        <v>57</v>
      </c>
      <c r="I93" s="43" t="s">
        <v>57</v>
      </c>
      <c r="J93" s="64">
        <f t="shared" si="11"/>
        <v>0</v>
      </c>
      <c r="K93" s="58" t="str">
        <f t="shared" si="12"/>
        <v/>
      </c>
    </row>
    <row r="94" spans="2:13" ht="35.1" customHeight="1" x14ac:dyDescent="0.2">
      <c r="B94" s="100" t="s">
        <v>91</v>
      </c>
      <c r="C94" s="63">
        <f>5816129619.24</f>
        <v>5816129619.2399998</v>
      </c>
      <c r="D94" s="63">
        <f>8959301327.64</f>
        <v>8959301327.6399994</v>
      </c>
      <c r="E94" s="43" t="s">
        <v>57</v>
      </c>
      <c r="F94" s="43" t="s">
        <v>57</v>
      </c>
      <c r="G94" s="43" t="s">
        <v>57</v>
      </c>
      <c r="H94" s="43" t="s">
        <v>57</v>
      </c>
      <c r="I94" s="43" t="s">
        <v>57</v>
      </c>
      <c r="J94" s="64">
        <f t="shared" si="11"/>
        <v>33.155116071637906</v>
      </c>
      <c r="K94" s="58">
        <f t="shared" si="12"/>
        <v>154.04232563872472</v>
      </c>
    </row>
    <row r="95" spans="2:13" ht="56.25" x14ac:dyDescent="0.2">
      <c r="B95" s="100" t="s">
        <v>114</v>
      </c>
      <c r="C95" s="63">
        <f>0</f>
        <v>0</v>
      </c>
      <c r="D95" s="63">
        <f>11092622.7</f>
        <v>11092622.699999999</v>
      </c>
      <c r="E95" s="43" t="s">
        <v>57</v>
      </c>
      <c r="F95" s="43" t="s">
        <v>57</v>
      </c>
      <c r="G95" s="43" t="s">
        <v>57</v>
      </c>
      <c r="H95" s="43" t="s">
        <v>57</v>
      </c>
      <c r="I95" s="43" t="s">
        <v>57</v>
      </c>
      <c r="J95" s="64"/>
      <c r="K95" s="58"/>
    </row>
    <row r="96" spans="2:13" x14ac:dyDescent="0.2">
      <c r="B96" s="100" t="s">
        <v>108</v>
      </c>
      <c r="C96" s="63">
        <f>447968852.9</f>
        <v>447968852.89999998</v>
      </c>
      <c r="D96" s="63">
        <f>452774994.91</f>
        <v>452774994.91000003</v>
      </c>
      <c r="E96" s="43" t="s">
        <v>57</v>
      </c>
      <c r="F96" s="43" t="s">
        <v>57</v>
      </c>
      <c r="G96" s="43" t="s">
        <v>57</v>
      </c>
      <c r="H96" s="43" t="s">
        <v>57</v>
      </c>
      <c r="I96" s="43" t="s">
        <v>57</v>
      </c>
      <c r="J96" s="64"/>
      <c r="K96" s="58"/>
    </row>
    <row r="97" spans="2:11" ht="22.5" x14ac:dyDescent="0.2">
      <c r="B97" s="99" t="s">
        <v>109</v>
      </c>
      <c r="C97" s="63">
        <f>439968852.9</f>
        <v>439968852.89999998</v>
      </c>
      <c r="D97" s="63">
        <f>437861457.69</f>
        <v>437861457.69</v>
      </c>
      <c r="E97" s="43" t="s">
        <v>57</v>
      </c>
      <c r="F97" s="43" t="s">
        <v>57</v>
      </c>
      <c r="G97" s="43" t="s">
        <v>57</v>
      </c>
      <c r="H97" s="43" t="s">
        <v>57</v>
      </c>
      <c r="I97" s="43" t="s">
        <v>57</v>
      </c>
      <c r="J97" s="64">
        <f t="shared" si="11"/>
        <v>1.6203660220938885</v>
      </c>
      <c r="K97" s="58">
        <f t="shared" si="12"/>
        <v>99.521012636210642</v>
      </c>
    </row>
    <row r="98" spans="2:11" ht="27" customHeight="1" x14ac:dyDescent="0.2">
      <c r="B98" s="90" t="s">
        <v>64</v>
      </c>
      <c r="C98" s="49">
        <f>6237079783.23</f>
        <v>6237079783.2299995</v>
      </c>
      <c r="D98" s="49">
        <f>5834385667.1</f>
        <v>5834385667.1000004</v>
      </c>
      <c r="E98" s="43" t="s">
        <v>57</v>
      </c>
      <c r="F98" s="43" t="s">
        <v>57</v>
      </c>
      <c r="G98" s="43" t="s">
        <v>57</v>
      </c>
      <c r="H98" s="43" t="s">
        <v>57</v>
      </c>
      <c r="I98" s="43" t="s">
        <v>57</v>
      </c>
      <c r="J98" s="37">
        <f t="shared" ref="J98:J103" si="13">IF($D$98=0,"",100*$D98/$D$98)</f>
        <v>100</v>
      </c>
      <c r="K98" s="36">
        <f t="shared" si="12"/>
        <v>93.543547138634551</v>
      </c>
    </row>
    <row r="99" spans="2:11" ht="36" customHeight="1" x14ac:dyDescent="0.2">
      <c r="B99" s="98" t="s">
        <v>99</v>
      </c>
      <c r="C99" s="44">
        <f>4842189909.71</f>
        <v>4842189909.71</v>
      </c>
      <c r="D99" s="48">
        <f>4797602331.53</f>
        <v>4797602331.5299997</v>
      </c>
      <c r="E99" s="43" t="s">
        <v>57</v>
      </c>
      <c r="F99" s="43" t="s">
        <v>57</v>
      </c>
      <c r="G99" s="43" t="s">
        <v>57</v>
      </c>
      <c r="H99" s="43" t="s">
        <v>57</v>
      </c>
      <c r="I99" s="43" t="s">
        <v>57</v>
      </c>
      <c r="J99" s="50">
        <f t="shared" si="13"/>
        <v>82.229777139752628</v>
      </c>
      <c r="K99" s="51">
        <f t="shared" si="12"/>
        <v>99.079185678145564</v>
      </c>
    </row>
    <row r="100" spans="2:11" ht="13.5" customHeight="1" x14ac:dyDescent="0.2">
      <c r="B100" s="99" t="s">
        <v>84</v>
      </c>
      <c r="C100" s="63">
        <f>129872753.2</f>
        <v>129872753.2</v>
      </c>
      <c r="D100" s="63">
        <f>129465150.15</f>
        <v>129465150.15000001</v>
      </c>
      <c r="E100" s="43" t="s">
        <v>57</v>
      </c>
      <c r="F100" s="43" t="s">
        <v>57</v>
      </c>
      <c r="G100" s="43" t="s">
        <v>57</v>
      </c>
      <c r="H100" s="43" t="s">
        <v>57</v>
      </c>
      <c r="I100" s="43" t="s">
        <v>57</v>
      </c>
      <c r="J100" s="64">
        <f t="shared" si="13"/>
        <v>2.2190022658264046</v>
      </c>
      <c r="K100" s="58">
        <f t="shared" si="12"/>
        <v>99.686151991116787</v>
      </c>
    </row>
    <row r="101" spans="2:11" ht="13.5" customHeight="1" x14ac:dyDescent="0.2">
      <c r="B101" s="100" t="s">
        <v>85</v>
      </c>
      <c r="C101" s="63">
        <f>150773907.28</f>
        <v>150773907.28</v>
      </c>
      <c r="D101" s="63">
        <f>116199615.61</f>
        <v>116199615.61</v>
      </c>
      <c r="E101" s="43" t="s">
        <v>57</v>
      </c>
      <c r="F101" s="43" t="s">
        <v>57</v>
      </c>
      <c r="G101" s="43" t="s">
        <v>57</v>
      </c>
      <c r="H101" s="43" t="s">
        <v>57</v>
      </c>
      <c r="I101" s="43" t="s">
        <v>57</v>
      </c>
      <c r="J101" s="64">
        <f t="shared" si="13"/>
        <v>1.9916341195140324</v>
      </c>
      <c r="K101" s="58">
        <f t="shared" si="12"/>
        <v>77.068783124527911</v>
      </c>
    </row>
    <row r="102" spans="2:11" ht="13.5" customHeight="1" x14ac:dyDescent="0.2">
      <c r="B102" s="100" t="s">
        <v>112</v>
      </c>
      <c r="C102" s="63">
        <f>1244115966.24</f>
        <v>1244115966.24</v>
      </c>
      <c r="D102" s="63">
        <f>920583719.96</f>
        <v>920583719.96000004</v>
      </c>
      <c r="E102" s="43" t="s">
        <v>57</v>
      </c>
      <c r="F102" s="43" t="s">
        <v>57</v>
      </c>
      <c r="G102" s="43" t="s">
        <v>57</v>
      </c>
      <c r="H102" s="43" t="s">
        <v>57</v>
      </c>
      <c r="I102" s="43" t="s">
        <v>57</v>
      </c>
      <c r="J102" s="64">
        <f t="shared" si="13"/>
        <v>15.778588740733333</v>
      </c>
      <c r="K102" s="58">
        <f t="shared" si="12"/>
        <v>73.995008901156723</v>
      </c>
    </row>
    <row r="103" spans="2:11" ht="22.5" x14ac:dyDescent="0.2">
      <c r="B103" s="99" t="s">
        <v>110</v>
      </c>
      <c r="C103" s="63">
        <f>744997659.23</f>
        <v>744997659.23000002</v>
      </c>
      <c r="D103" s="63">
        <f>645116023.16</f>
        <v>645116023.15999997</v>
      </c>
      <c r="E103" s="43" t="s">
        <v>57</v>
      </c>
      <c r="F103" s="43" t="s">
        <v>57</v>
      </c>
      <c r="G103" s="43" t="s">
        <v>57</v>
      </c>
      <c r="H103" s="43" t="s">
        <v>57</v>
      </c>
      <c r="I103" s="43" t="s">
        <v>57</v>
      </c>
      <c r="J103" s="64">
        <f t="shared" si="13"/>
        <v>11.057137117242661</v>
      </c>
      <c r="K103" s="58">
        <f>IF(C103=0,"",100*D103/C103)</f>
        <v>86.593026859542931</v>
      </c>
    </row>
    <row r="104" spans="2:11" ht="7.5" customHeight="1" x14ac:dyDescent="0.2"/>
    <row r="105" spans="2:11" x14ac:dyDescent="0.2">
      <c r="B105" s="40" t="s">
        <v>16</v>
      </c>
      <c r="C105" s="67" t="s">
        <v>17</v>
      </c>
      <c r="D105" s="19" t="s">
        <v>1</v>
      </c>
    </row>
    <row r="106" spans="2:11" x14ac:dyDescent="0.2">
      <c r="B106" s="40"/>
      <c r="C106" s="107" t="s">
        <v>74</v>
      </c>
      <c r="D106" s="108"/>
    </row>
    <row r="107" spans="2:11" x14ac:dyDescent="0.2">
      <c r="B107" s="39">
        <v>1</v>
      </c>
      <c r="C107" s="42">
        <v>2</v>
      </c>
      <c r="D107" s="31">
        <v>3</v>
      </c>
    </row>
    <row r="108" spans="2:11" ht="37.5" customHeight="1" x14ac:dyDescent="0.2">
      <c r="B108" s="101" t="s">
        <v>111</v>
      </c>
      <c r="C108" s="47">
        <f>16323100597.76</f>
        <v>16323100597.76</v>
      </c>
      <c r="D108" s="27">
        <f>6060250080.14</f>
        <v>6060250080.1400003</v>
      </c>
    </row>
    <row r="109" spans="2:11" ht="36" customHeight="1" x14ac:dyDescent="0.2">
      <c r="B109" s="102" t="s">
        <v>76</v>
      </c>
      <c r="C109" s="48">
        <f>265695055.84</f>
        <v>265695055.84</v>
      </c>
      <c r="D109" s="74">
        <f>126157900.13</f>
        <v>126157900.13</v>
      </c>
    </row>
    <row r="110" spans="2:11" ht="13.5" customHeight="1" x14ac:dyDescent="0.2">
      <c r="B110" s="102" t="s">
        <v>77</v>
      </c>
      <c r="C110" s="48">
        <f>7239997686.36</f>
        <v>7239997686.3599997</v>
      </c>
      <c r="D110" s="74">
        <f>3089615257.31</f>
        <v>3089615257.3099999</v>
      </c>
    </row>
    <row r="111" spans="2:11" ht="25.5" customHeight="1" x14ac:dyDescent="0.2">
      <c r="B111" s="102" t="s">
        <v>78</v>
      </c>
      <c r="C111" s="48">
        <f>0</f>
        <v>0</v>
      </c>
      <c r="D111" s="74">
        <f>0</f>
        <v>0</v>
      </c>
    </row>
    <row r="112" spans="2:11" ht="57.95" customHeight="1" x14ac:dyDescent="0.2">
      <c r="B112" s="102" t="s">
        <v>95</v>
      </c>
      <c r="C112" s="48">
        <f>2252867237.08</f>
        <v>2252867237.0799999</v>
      </c>
      <c r="D112" s="74">
        <f>535865702.07</f>
        <v>535865702.06999999</v>
      </c>
    </row>
    <row r="113" spans="2:4" ht="81.95" customHeight="1" x14ac:dyDescent="0.2">
      <c r="B113" s="102" t="s">
        <v>79</v>
      </c>
      <c r="C113" s="48">
        <f>4163932342.31</f>
        <v>4163932342.3099999</v>
      </c>
      <c r="D113" s="74">
        <f>1099309268.61</f>
        <v>1099309268.6099999</v>
      </c>
    </row>
    <row r="114" spans="2:4" ht="150.94999999999999" customHeight="1" x14ac:dyDescent="0.2">
      <c r="B114" s="97" t="s">
        <v>100</v>
      </c>
      <c r="C114" s="48">
        <f>2100451594.69</f>
        <v>2100451594.6900001</v>
      </c>
      <c r="D114" s="74">
        <f>1072282123.92</f>
        <v>1072282123.92</v>
      </c>
    </row>
    <row r="115" spans="2:4" ht="22.5" x14ac:dyDescent="0.2">
      <c r="B115" s="97" t="s">
        <v>94</v>
      </c>
      <c r="C115" s="48">
        <f>54325130.52</f>
        <v>54325130.520000003</v>
      </c>
      <c r="D115" s="74">
        <f>18634606.32</f>
        <v>18634606.32</v>
      </c>
    </row>
    <row r="116" spans="2:4" ht="22.5" x14ac:dyDescent="0.2">
      <c r="B116" s="97" t="s">
        <v>109</v>
      </c>
      <c r="C116" s="48">
        <f>245831550.96</f>
        <v>245831550.96000001</v>
      </c>
      <c r="D116" s="74">
        <f>118385221.78</f>
        <v>118385221.78</v>
      </c>
    </row>
    <row r="117" spans="2:4" ht="28.5" customHeight="1" x14ac:dyDescent="0.2"/>
    <row r="118" spans="2:4" x14ac:dyDescent="0.2">
      <c r="B118" s="65" t="s">
        <v>65</v>
      </c>
      <c r="C118" s="33">
        <f>4</f>
        <v>4</v>
      </c>
      <c r="D118" s="33" t="str">
        <f>IF(C118=1,"I Kwartał",IF(C118=2,"II Kwartały",IF(C118=3,"III Kwartały",IF(C118=4,"IV Kwartały",IF(C118="M1","Styczeń",IF(C118="M11","Listopad",IF(C118="M12","Grudzień","-")))))))</f>
        <v>IV Kwartały</v>
      </c>
    </row>
    <row r="119" spans="2:4" x14ac:dyDescent="0.2">
      <c r="B119" s="65" t="s">
        <v>66</v>
      </c>
      <c r="C119" s="92">
        <f>2024</f>
        <v>2024</v>
      </c>
    </row>
    <row r="120" spans="2:4" x14ac:dyDescent="0.2">
      <c r="B120" s="65" t="s">
        <v>67</v>
      </c>
      <c r="C120" s="119" t="str">
        <f>"Mar 18 2025 12:00AM"</f>
        <v>Mar 18 2025 12:00AM</v>
      </c>
      <c r="D120" s="120"/>
    </row>
    <row r="121" spans="2:4" hidden="1" x14ac:dyDescent="0.2">
      <c r="B121" s="1" t="s">
        <v>107</v>
      </c>
      <c r="C121" s="1" t="str">
        <f>""</f>
        <v/>
      </c>
    </row>
  </sheetData>
  <mergeCells count="20">
    <mergeCell ref="C120:D120"/>
    <mergeCell ref="D60:D62"/>
    <mergeCell ref="E60:E62"/>
    <mergeCell ref="F61:F62"/>
    <mergeCell ref="F60:H60"/>
    <mergeCell ref="G61:H61"/>
    <mergeCell ref="E84:I86"/>
    <mergeCell ref="C60:C62"/>
    <mergeCell ref="C63:I63"/>
    <mergeCell ref="B3:B4"/>
    <mergeCell ref="C106:D106"/>
    <mergeCell ref="B60:B63"/>
    <mergeCell ref="C85:D85"/>
    <mergeCell ref="J4:L4"/>
    <mergeCell ref="I60:I62"/>
    <mergeCell ref="J63:K63"/>
    <mergeCell ref="C4:I4"/>
    <mergeCell ref="J85:K85"/>
    <mergeCell ref="J60:J62"/>
    <mergeCell ref="K60:K62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95" orientation="landscape" useFirstPageNumber="1" r:id="rId1"/>
  <headerFooter alignWithMargins="0">
    <oddFooter>&amp;RStrona &amp;P z &amp;N</oddFooter>
  </headerFooter>
  <rowBreaks count="4" manualBreakCount="4">
    <brk id="21" max="16383" man="1"/>
    <brk id="57" max="16383" man="1"/>
    <brk id="81" max="16383" man="1"/>
    <brk id="10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2022-10-25T14:00:45Z</cp:lastPrinted>
  <dcterms:created xsi:type="dcterms:W3CDTF">2001-05-17T08:58:03Z</dcterms:created>
  <dcterms:modified xsi:type="dcterms:W3CDTF">2025-03-28T13:59:13Z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2022-06-01T15:11:49.7443772+02:00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GRN-a157e64f-b2d8-4344-b63a-be4ab8451fe4</vt:lpwstr>
  </property>
  <property fmtid="{D5CDD505-2E9C-101B-9397-08002B2CF9AE}" pid="7" name="MFHash">
    <vt:lpwstr>lKoZPOlwMDvHqF38lv0pfu8g3MmyOnNc8oYSPpdBgYA=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