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B50CC906-1CD6-4382-8A0E-D0494705F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7" i="4" l="1"/>
  <c r="C116" i="4"/>
  <c r="C115" i="4"/>
  <c r="C114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D40" i="4"/>
  <c r="C40" i="4"/>
  <c r="D38" i="4"/>
  <c r="C38" i="4"/>
  <c r="D37" i="4"/>
  <c r="C37" i="4"/>
  <c r="D36" i="4"/>
  <c r="C36" i="4"/>
  <c r="D35" i="4"/>
  <c r="J35" i="4" s="1"/>
  <c r="C35" i="4"/>
  <c r="D34" i="4"/>
  <c r="J34" i="4" s="1"/>
  <c r="C34" i="4"/>
  <c r="D33" i="4"/>
  <c r="J33" i="4" s="1"/>
  <c r="C33" i="4"/>
  <c r="D32" i="4"/>
  <c r="J32" i="4" s="1"/>
  <c r="C32" i="4"/>
  <c r="D31" i="4"/>
  <c r="C31" i="4"/>
  <c r="D30" i="4"/>
  <c r="C30" i="4"/>
  <c r="D29" i="4"/>
  <c r="J29" i="4" s="1"/>
  <c r="C29" i="4"/>
  <c r="C12" i="4" s="1"/>
  <c r="D28" i="4"/>
  <c r="J28" i="4" s="1"/>
  <c r="C28" i="4"/>
  <c r="K28" i="4" s="1"/>
  <c r="D27" i="4"/>
  <c r="J27" i="4" s="1"/>
  <c r="C27" i="4"/>
  <c r="D26" i="4"/>
  <c r="C26" i="4"/>
  <c r="K26" i="4" s="1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C39" i="4" s="1"/>
  <c r="K20" i="4"/>
  <c r="I78" i="4"/>
  <c r="K37" i="4"/>
  <c r="K77" i="4"/>
  <c r="K38" i="4"/>
  <c r="K97" i="4"/>
  <c r="K13" i="4"/>
  <c r="K40" i="4"/>
  <c r="K85" i="4"/>
  <c r="I53" i="4"/>
  <c r="I59" i="4"/>
  <c r="K99" i="4"/>
  <c r="K15" i="4"/>
  <c r="K57" i="4"/>
  <c r="K87" i="4"/>
  <c r="K92" i="4"/>
  <c r="K21" i="4"/>
  <c r="K54" i="4"/>
  <c r="K93" i="4"/>
  <c r="K25" i="4"/>
  <c r="K98" i="4"/>
  <c r="K14" i="4"/>
  <c r="K51" i="4"/>
  <c r="K86" i="4"/>
  <c r="K19" i="4"/>
  <c r="K91" i="4"/>
  <c r="J37" i="4"/>
  <c r="J38" i="4"/>
  <c r="J31" i="4"/>
  <c r="J13" i="4"/>
  <c r="J22" i="4"/>
  <c r="J17" i="4"/>
  <c r="J20" i="4"/>
  <c r="J5" i="4"/>
  <c r="J30" i="4"/>
  <c r="J23" i="4"/>
  <c r="D39" i="4"/>
  <c r="J40" i="4" s="1"/>
  <c r="D41" i="4"/>
  <c r="D61" i="4" s="1"/>
  <c r="J26" i="4"/>
  <c r="J9" i="4"/>
  <c r="D60" i="4"/>
  <c r="J18" i="4"/>
  <c r="J15" i="4"/>
  <c r="J25" i="4"/>
  <c r="J8" i="4"/>
  <c r="J24" i="4"/>
  <c r="J16" i="4"/>
  <c r="J19" i="4"/>
  <c r="J14" i="4"/>
  <c r="J21" i="4"/>
  <c r="J36" i="4"/>
  <c r="J7" i="4"/>
  <c r="K16" i="4"/>
  <c r="K76" i="4"/>
  <c r="C78" i="4"/>
  <c r="K88" i="4"/>
  <c r="K23" i="4"/>
  <c r="K52" i="4"/>
  <c r="E78" i="4"/>
  <c r="K83" i="4"/>
  <c r="K89" i="4"/>
  <c r="K95" i="4"/>
  <c r="F53" i="4"/>
  <c r="F59" i="4" s="1"/>
  <c r="F78" i="4"/>
  <c r="J93" i="4"/>
  <c r="J89" i="4"/>
  <c r="J86" i="4"/>
  <c r="J85" i="4"/>
  <c r="J84" i="4"/>
  <c r="J91" i="4"/>
  <c r="J92" i="4"/>
  <c r="J83" i="4"/>
  <c r="J87" i="4"/>
  <c r="J88" i="4"/>
  <c r="J90" i="4"/>
  <c r="K56" i="4"/>
  <c r="K50" i="4"/>
  <c r="C53" i="4"/>
  <c r="K94" i="4"/>
  <c r="J52" i="4"/>
  <c r="J54" i="4"/>
  <c r="J56" i="4"/>
  <c r="D53" i="4"/>
  <c r="J53" i="4" s="1"/>
  <c r="D59" i="4"/>
  <c r="J59" i="4" s="1"/>
  <c r="J51" i="4"/>
  <c r="J55" i="4"/>
  <c r="J57" i="4"/>
  <c r="J50" i="4"/>
  <c r="J58" i="4"/>
  <c r="J99" i="4"/>
  <c r="J98" i="4"/>
  <c r="J97" i="4"/>
  <c r="J94" i="4"/>
  <c r="J95" i="4"/>
  <c r="J96" i="4"/>
  <c r="K17" i="4"/>
  <c r="D114" i="4"/>
  <c r="B43" i="4" s="1"/>
  <c r="K9" i="4"/>
  <c r="K18" i="4"/>
  <c r="K24" i="4"/>
  <c r="K30" i="4"/>
  <c r="K36" i="4"/>
  <c r="G53" i="4"/>
  <c r="G59" i="4"/>
  <c r="K55" i="4"/>
  <c r="G78" i="4"/>
  <c r="K84" i="4"/>
  <c r="K90" i="4"/>
  <c r="K96" i="4"/>
  <c r="K7" i="4"/>
  <c r="K22" i="4"/>
  <c r="K58" i="4"/>
  <c r="J77" i="4"/>
  <c r="J76" i="4"/>
  <c r="D78" i="4"/>
  <c r="K78" i="4" s="1"/>
  <c r="J78" i="4"/>
  <c r="K8" i="4"/>
  <c r="E53" i="4"/>
  <c r="E59" i="4"/>
  <c r="H53" i="4"/>
  <c r="H59" i="4"/>
  <c r="H78" i="4"/>
  <c r="C59" i="4"/>
  <c r="K53" i="4" l="1"/>
  <c r="B79" i="4"/>
  <c r="B1" i="4"/>
  <c r="K59" i="4"/>
  <c r="K35" i="4"/>
  <c r="K34" i="4"/>
  <c r="K33" i="4"/>
  <c r="K32" i="4"/>
  <c r="K31" i="4"/>
  <c r="C11" i="4"/>
  <c r="K29" i="4"/>
  <c r="K27" i="4"/>
  <c r="D12" i="4"/>
  <c r="K12" i="4"/>
  <c r="J41" i="4"/>
  <c r="J39" i="4"/>
  <c r="K39" i="4"/>
  <c r="C41" i="4"/>
  <c r="C60" i="4"/>
  <c r="C6" i="4"/>
  <c r="K5" i="4"/>
  <c r="J12" i="4" l="1"/>
  <c r="D11" i="4"/>
  <c r="C10" i="4"/>
  <c r="K41" i="4"/>
  <c r="C61" i="4"/>
  <c r="J11" i="4" l="1"/>
  <c r="K11" i="4"/>
  <c r="D6" i="4"/>
  <c r="L6" i="4" l="1"/>
  <c r="L7" i="4"/>
  <c r="D10" i="4"/>
  <c r="L9" i="4"/>
  <c r="J6" i="4"/>
  <c r="L8" i="4"/>
  <c r="K6" i="4"/>
  <c r="J10" i="4" l="1"/>
  <c r="K10" i="4"/>
  <c r="L10" i="4"/>
</calcChain>
</file>

<file path=xl/sharedStrings.xml><?xml version="1.0" encoding="utf-8"?>
<sst xmlns="http://schemas.openxmlformats.org/spreadsheetml/2006/main" count="416" uniqueCount="111">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</sst>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3" fillId="2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4" fillId="0" borderId="10" xfId="0" applyNumberFormat="1" applyFont="1" applyFill="1" applyBorder="1" applyAlignment="1">
      <alignment horizontal="right" vertical="center"/>
    </xf>
    <xf numFmtId="165" fontId="34" fillId="2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3" fillId="20" borderId="10" xfId="0" applyNumberFormat="1" applyFont="1" applyFill="1" applyBorder="1" applyAlignment="1">
      <alignment horizontal="right" vertical="center" wrapText="1"/>
    </xf>
    <xf numFmtId="165" fontId="36" fillId="20" borderId="10" xfId="0" applyNumberFormat="1" applyFont="1" applyFill="1" applyBorder="1" applyAlignment="1">
      <alignment horizontal="right" vertical="center"/>
    </xf>
    <xf numFmtId="0" fontId="35" fillId="0" borderId="0" xfId="0" applyFont="1"/>
    <xf numFmtId="0" fontId="35" fillId="0" borderId="0" xfId="0" applyFont="1" applyBorder="1"/>
    <xf numFmtId="3" fontId="33" fillId="0" borderId="0" xfId="0" applyNumberFormat="1" applyFont="1" applyBorder="1" applyAlignment="1">
      <alignment horizontal="right" vertical="center"/>
    </xf>
    <xf numFmtId="165" fontId="35" fillId="0" borderId="0" xfId="0" applyNumberFormat="1" applyFont="1"/>
    <xf numFmtId="4" fontId="36" fillId="20" borderId="12" xfId="0" applyNumberFormat="1" applyFont="1" applyFill="1" applyBorder="1" applyAlignment="1">
      <alignment horizontal="right" vertical="center"/>
    </xf>
    <xf numFmtId="165" fontId="36" fillId="20" borderId="10" xfId="28" applyNumberFormat="1" applyFont="1" applyFill="1" applyBorder="1" applyAlignment="1">
      <alignment horizontal="right" vertical="center"/>
    </xf>
    <xf numFmtId="4" fontId="35" fillId="0" borderId="12" xfId="0" applyNumberFormat="1" applyFont="1" applyBorder="1" applyAlignment="1">
      <alignment horizontal="right" vertical="center"/>
    </xf>
    <xf numFmtId="165" fontId="36" fillId="21" borderId="10" xfId="28" applyNumberFormat="1" applyFont="1" applyFill="1" applyBorder="1" applyAlignment="1">
      <alignment horizontal="right" vertical="center"/>
    </xf>
    <xf numFmtId="165" fontId="36" fillId="21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165" fontId="36" fillId="22" borderId="10" xfId="0" applyNumberFormat="1" applyFont="1" applyFill="1" applyBorder="1" applyAlignment="1">
      <alignment horizontal="right" vertical="center"/>
    </xf>
    <xf numFmtId="4" fontId="36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9" fillId="22" borderId="10" xfId="44" applyFont="1" applyFill="1" applyBorder="1" applyAlignment="1">
      <alignment horizontal="left" vertical="top" wrapText="1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0" borderId="10" xfId="0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165" fontId="34" fillId="22" borderId="10" xfId="0" applyNumberFormat="1" applyFont="1" applyFill="1" applyBorder="1" applyAlignment="1">
      <alignment horizontal="right" vertical="center"/>
    </xf>
    <xf numFmtId="4" fontId="36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 wrapText="1"/>
    </xf>
    <xf numFmtId="4" fontId="34" fillId="22" borderId="10" xfId="0" applyNumberFormat="1" applyFont="1" applyFill="1" applyBorder="1" applyAlignment="1">
      <alignment horizontal="right" vertical="center" wrapText="1"/>
    </xf>
    <xf numFmtId="165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 wrapText="1"/>
    </xf>
    <xf numFmtId="4" fontId="33" fillId="20" borderId="11" xfId="0" applyNumberFormat="1" applyFont="1" applyFill="1" applyBorder="1" applyAlignment="1">
      <alignment horizontal="right" vertical="center" wrapText="1"/>
    </xf>
    <xf numFmtId="4" fontId="35" fillId="0" borderId="12" xfId="0" applyNumberFormat="1" applyFont="1" applyFill="1" applyBorder="1" applyAlignment="1">
      <alignment horizontal="right" vertical="center"/>
    </xf>
    <xf numFmtId="165" fontId="36" fillId="0" borderId="10" xfId="28" applyNumberFormat="1" applyFont="1" applyFill="1" applyBorder="1" applyAlignment="1">
      <alignment horizontal="right" vertical="center"/>
    </xf>
    <xf numFmtId="165" fontId="36" fillId="0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165" fontId="34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6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right"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4" fontId="36" fillId="0" borderId="0" xfId="0" applyNumberFormat="1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6" fillId="22" borderId="10" xfId="0" applyNumberFormat="1" applyFont="1" applyFill="1" applyBorder="1" applyAlignment="1">
      <alignment vertical="center"/>
    </xf>
    <xf numFmtId="4" fontId="33" fillId="22" borderId="10" xfId="0" applyNumberFormat="1" applyFont="1" applyFill="1" applyBorder="1" applyAlignment="1">
      <alignment vertical="center" wrapText="1"/>
    </xf>
    <xf numFmtId="4" fontId="34" fillId="0" borderId="10" xfId="0" applyNumberFormat="1" applyFont="1" applyBorder="1" applyAlignment="1">
      <alignment vertical="center"/>
    </xf>
    <xf numFmtId="4" fontId="34" fillId="0" borderId="10" xfId="0" applyNumberFormat="1" applyFont="1" applyFill="1" applyBorder="1" applyAlignment="1">
      <alignment vertical="center" wrapText="1"/>
    </xf>
    <xf numFmtId="4" fontId="34" fillId="0" borderId="10" xfId="0" applyNumberFormat="1" applyFont="1" applyFill="1" applyBorder="1" applyAlignment="1">
      <alignment vertical="center"/>
    </xf>
    <xf numFmtId="4" fontId="34" fillId="0" borderId="12" xfId="0" applyNumberFormat="1" applyFont="1" applyFill="1" applyBorder="1" applyAlignment="1">
      <alignment vertical="center" wrapText="1"/>
    </xf>
    <xf numFmtId="4" fontId="34" fillId="0" borderId="13" xfId="0" applyNumberFormat="1" applyFont="1" applyBorder="1" applyAlignment="1">
      <alignment horizontal="right" vertical="center"/>
    </xf>
    <xf numFmtId="4" fontId="34" fillId="0" borderId="14" xfId="0" applyNumberFormat="1" applyFont="1" applyBorder="1" applyAlignment="1">
      <alignment vertical="center" wrapText="1"/>
    </xf>
    <xf numFmtId="4" fontId="35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5" fillId="0" borderId="0" xfId="0" applyFont="1" applyFill="1" applyBorder="1"/>
    <xf numFmtId="4" fontId="33" fillId="0" borderId="15" xfId="0" applyNumberFormat="1" applyFont="1" applyFill="1" applyBorder="1" applyAlignment="1">
      <alignment horizontal="right" vertical="center" wrapText="1"/>
    </xf>
    <xf numFmtId="4" fontId="33" fillId="0" borderId="14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center" vertical="center"/>
    </xf>
    <xf numFmtId="4" fontId="35" fillId="0" borderId="10" xfId="0" applyNumberFormat="1" applyFont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6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4" fillId="22" borderId="17" xfId="0" applyNumberFormat="1" applyFont="1" applyFill="1" applyBorder="1" applyAlignment="1">
      <alignment horizontal="right" vertical="center" wrapText="1"/>
    </xf>
    <xf numFmtId="4" fontId="34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3" fillId="22" borderId="0" xfId="0" applyNumberFormat="1" applyFont="1" applyFill="1" applyBorder="1" applyAlignment="1">
      <alignment horizontal="center" vertical="center"/>
    </xf>
    <xf numFmtId="0" fontId="40" fillId="0" borderId="0" xfId="0" applyFont="1"/>
    <xf numFmtId="0" fontId="39" fillId="0" borderId="10" xfId="45" applyFont="1" applyBorder="1" applyAlignment="1">
      <alignment horizontal="left" vertical="center" wrapText="1" inden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vertical="center" wrapText="1"/>
    </xf>
    <xf numFmtId="0" fontId="30" fillId="0" borderId="10" xfId="0" applyFont="1" applyBorder="1" applyAlignment="1">
      <alignment horizontal="right" vertical="center" wrapText="1"/>
    </xf>
    <xf numFmtId="167" fontId="30" fillId="0" borderId="10" xfId="0" applyNumberFormat="1" applyFont="1" applyBorder="1" applyAlignment="1">
      <alignment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7109375" style="1" customWidth="1"/>
    <col min="4" max="4" width="15.7109375" style="1" customWidth="1"/>
    <col min="5" max="5" width="14.7109375" style="1" customWidth="1" outlineLevel="1"/>
    <col min="6" max="6" width="15.7109375" style="1" customWidth="1" outlineLevel="1"/>
    <col min="7" max="9" width="14.7109375" style="1" customWidth="1" outlineLevel="1"/>
    <col min="10" max="10" width="7.7109375" style="1" bestFit="1" customWidth="1"/>
    <col min="11" max="11" width="7.5703125" style="1" bestFit="1" customWidth="1"/>
    <col min="12" max="12" width="8.42578125" style="1" bestFit="1" customWidth="1"/>
    <col min="13" max="13" width="9.85546875" style="1" customWidth="1"/>
    <col min="14" max="16384" width="9.140625" style="1"/>
  </cols>
  <sheetData>
    <row r="1" spans="2:13" ht="20.100000000000001" customHeight="1" x14ac:dyDescent="0.2">
      <c r="B1" s="116" t="str">
        <f>CONCATENATE("Informacja z wykonania budżetów powiatów za ",$D$114," ",$C$115," rok     ",$C$117,"")</f>
        <v xml:space="preserve">Informacja z wykonania budżetów powiatów za IV Kwartały 2025 rok     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ht="57.75" customHeight="1" x14ac:dyDescent="0.2">
      <c r="B2" s="155" t="s">
        <v>0</v>
      </c>
      <c r="C2" s="14" t="s">
        <v>24</v>
      </c>
      <c r="D2" s="14" t="s">
        <v>25</v>
      </c>
      <c r="E2" s="14" t="s">
        <v>79</v>
      </c>
      <c r="F2" s="14" t="s">
        <v>80</v>
      </c>
      <c r="G2" s="14" t="s">
        <v>81</v>
      </c>
      <c r="H2" s="14" t="s">
        <v>82</v>
      </c>
      <c r="I2" s="14" t="s">
        <v>83</v>
      </c>
      <c r="J2" s="16" t="s">
        <v>2</v>
      </c>
      <c r="K2" s="14" t="s">
        <v>18</v>
      </c>
      <c r="L2" s="14" t="s">
        <v>3</v>
      </c>
    </row>
    <row r="3" spans="2:13" x14ac:dyDescent="0.2">
      <c r="B3" s="155"/>
      <c r="C3" s="159" t="s">
        <v>52</v>
      </c>
      <c r="D3" s="161"/>
      <c r="E3" s="163" t="s">
        <v>78</v>
      </c>
      <c r="F3" s="164"/>
      <c r="G3" s="164"/>
      <c r="H3" s="164"/>
      <c r="I3" s="165"/>
      <c r="J3" s="159" t="s">
        <v>4</v>
      </c>
      <c r="K3" s="160"/>
      <c r="L3" s="161"/>
    </row>
    <row r="4" spans="2:13" ht="9" customHeight="1" x14ac:dyDescent="0.2">
      <c r="B4" s="16">
        <v>1</v>
      </c>
      <c r="C4" s="18">
        <v>2</v>
      </c>
      <c r="D4" s="18">
        <v>3</v>
      </c>
      <c r="E4" s="166"/>
      <c r="F4" s="167"/>
      <c r="G4" s="167"/>
      <c r="H4" s="167"/>
      <c r="I4" s="168"/>
      <c r="J4" s="18">
        <v>4</v>
      </c>
      <c r="K4" s="18">
        <v>5</v>
      </c>
      <c r="L4" s="18">
        <v>6</v>
      </c>
    </row>
    <row r="5" spans="2:13" ht="12.95" customHeight="1" x14ac:dyDescent="0.2">
      <c r="B5" s="105" t="s">
        <v>5</v>
      </c>
      <c r="C5" s="54">
        <f>61041361040.63</f>
        <v>61041361040.629997</v>
      </c>
      <c r="D5" s="54">
        <f>60590149141.42</f>
        <v>60590149141.419998</v>
      </c>
      <c r="E5" s="97" t="s">
        <v>78</v>
      </c>
      <c r="F5" s="97" t="s">
        <v>78</v>
      </c>
      <c r="G5" s="97" t="s">
        <v>78</v>
      </c>
      <c r="H5" s="97" t="s">
        <v>78</v>
      </c>
      <c r="I5" s="97" t="s">
        <v>78</v>
      </c>
      <c r="J5" s="55">
        <f t="shared" ref="J5:J38" si="0">IF($D$5=0,"",100*$D5/$D$5)</f>
        <v>100</v>
      </c>
      <c r="K5" s="55">
        <f t="shared" ref="K5:K41" si="1">IF(C5=0,"",100*D5/C5)</f>
        <v>99.260809569908403</v>
      </c>
      <c r="L5" s="55"/>
    </row>
    <row r="6" spans="2:13" ht="26.85" customHeight="1" x14ac:dyDescent="0.2">
      <c r="B6" s="106" t="s">
        <v>35</v>
      </c>
      <c r="C6" s="30">
        <f>C5-C11-C35</f>
        <v>34097045344.159996</v>
      </c>
      <c r="D6" s="30">
        <f>D5-D11-D35</f>
        <v>34576727032.919998</v>
      </c>
      <c r="E6" s="97" t="s">
        <v>78</v>
      </c>
      <c r="F6" s="97" t="s">
        <v>78</v>
      </c>
      <c r="G6" s="97" t="s">
        <v>78</v>
      </c>
      <c r="H6" s="97" t="s">
        <v>78</v>
      </c>
      <c r="I6" s="97" t="s">
        <v>78</v>
      </c>
      <c r="J6" s="31">
        <f t="shared" si="0"/>
        <v>57.066581817147274</v>
      </c>
      <c r="K6" s="31">
        <f t="shared" si="1"/>
        <v>101.40681306523283</v>
      </c>
      <c r="L6" s="31">
        <f>IF($D$6=0,"",100*$D6/$D$6)</f>
        <v>100</v>
      </c>
    </row>
    <row r="7" spans="2:13" ht="22.5" outlineLevel="1" x14ac:dyDescent="0.2">
      <c r="B7" s="108" t="s">
        <v>96</v>
      </c>
      <c r="C7" s="32">
        <f>21447616237.19</f>
        <v>21447616237.189999</v>
      </c>
      <c r="D7" s="32">
        <f>21461526453.32</f>
        <v>21461526453.32</v>
      </c>
      <c r="E7" s="97" t="s">
        <v>78</v>
      </c>
      <c r="F7" s="97" t="s">
        <v>78</v>
      </c>
      <c r="G7" s="97" t="s">
        <v>78</v>
      </c>
      <c r="H7" s="97" t="s">
        <v>78</v>
      </c>
      <c r="I7" s="97" t="s">
        <v>78</v>
      </c>
      <c r="J7" s="33">
        <f t="shared" si="0"/>
        <v>35.420818000014954</v>
      </c>
      <c r="K7" s="33">
        <f t="shared" si="1"/>
        <v>100.06485670004614</v>
      </c>
      <c r="L7" s="33">
        <f>IF($D$6=0,"",100*$D7/$D$6)</f>
        <v>62.069282708241275</v>
      </c>
    </row>
    <row r="8" spans="2:13" ht="22.5" outlineLevel="1" x14ac:dyDescent="0.2">
      <c r="B8" s="108" t="s">
        <v>97</v>
      </c>
      <c r="C8" s="32">
        <f>3464730104.3</f>
        <v>3464730104.3000002</v>
      </c>
      <c r="D8" s="32">
        <f>3464994632.38</f>
        <v>3464994632.3800001</v>
      </c>
      <c r="E8" s="97" t="s">
        <v>78</v>
      </c>
      <c r="F8" s="97" t="s">
        <v>78</v>
      </c>
      <c r="G8" s="97" t="s">
        <v>78</v>
      </c>
      <c r="H8" s="97" t="s">
        <v>78</v>
      </c>
      <c r="I8" s="97" t="s">
        <v>78</v>
      </c>
      <c r="J8" s="33">
        <f t="shared" si="0"/>
        <v>5.7187425373265786</v>
      </c>
      <c r="K8" s="33">
        <f t="shared" si="1"/>
        <v>100.00763488271919</v>
      </c>
      <c r="L8" s="33">
        <f>IF($D$6=0,"",100*$D8/$D$6)</f>
        <v>10.021175888281817</v>
      </c>
    </row>
    <row r="9" spans="2:13" ht="12.95" customHeight="1" outlineLevel="1" x14ac:dyDescent="0.2">
      <c r="B9" s="108" t="s">
        <v>19</v>
      </c>
      <c r="C9" s="32">
        <f>351478411.99</f>
        <v>351478411.99000001</v>
      </c>
      <c r="D9" s="56">
        <f>333415195.05</f>
        <v>333415195.05000001</v>
      </c>
      <c r="E9" s="97" t="s">
        <v>78</v>
      </c>
      <c r="F9" s="97" t="s">
        <v>78</v>
      </c>
      <c r="G9" s="97" t="s">
        <v>78</v>
      </c>
      <c r="H9" s="97" t="s">
        <v>78</v>
      </c>
      <c r="I9" s="97" t="s">
        <v>78</v>
      </c>
      <c r="J9" s="33">
        <f t="shared" si="0"/>
        <v>0.55027954176477545</v>
      </c>
      <c r="K9" s="33">
        <f t="shared" si="1"/>
        <v>94.860789077277971</v>
      </c>
      <c r="L9" s="33">
        <f>IF($D$6=0,"",100*$D9/$D$6)</f>
        <v>0.96427633168564586</v>
      </c>
    </row>
    <row r="10" spans="2:13" ht="12.95" customHeight="1" outlineLevel="1" x14ac:dyDescent="0.2">
      <c r="B10" s="108" t="s">
        <v>20</v>
      </c>
      <c r="C10" s="32">
        <f>C6-C8-C7-C9</f>
        <v>8833220590.6799984</v>
      </c>
      <c r="D10" s="32">
        <f>D6-D8-D7-D9</f>
        <v>9316790752.1699982</v>
      </c>
      <c r="E10" s="97" t="s">
        <v>78</v>
      </c>
      <c r="F10" s="97" t="s">
        <v>78</v>
      </c>
      <c r="G10" s="97" t="s">
        <v>78</v>
      </c>
      <c r="H10" s="97" t="s">
        <v>78</v>
      </c>
      <c r="I10" s="97" t="s">
        <v>78</v>
      </c>
      <c r="J10" s="33">
        <f t="shared" si="0"/>
        <v>15.376741738040964</v>
      </c>
      <c r="K10" s="33">
        <f t="shared" si="1"/>
        <v>105.47444905882027</v>
      </c>
      <c r="L10" s="33">
        <f>IF($D$6=0,"",100*$D10/$D$6)</f>
        <v>26.945265071791258</v>
      </c>
    </row>
    <row r="11" spans="2:13" ht="26.85" customHeight="1" x14ac:dyDescent="0.2">
      <c r="B11" s="107" t="s">
        <v>84</v>
      </c>
      <c r="C11" s="54">
        <f>C12+C31+C33</f>
        <v>15402194688.58</v>
      </c>
      <c r="D11" s="54">
        <f>D12+D31+D33</f>
        <v>14410546245.24</v>
      </c>
      <c r="E11" s="97" t="s">
        <v>78</v>
      </c>
      <c r="F11" s="97" t="s">
        <v>78</v>
      </c>
      <c r="G11" s="97" t="s">
        <v>78</v>
      </c>
      <c r="H11" s="97" t="s">
        <v>78</v>
      </c>
      <c r="I11" s="97" t="s">
        <v>78</v>
      </c>
      <c r="J11" s="55">
        <f t="shared" si="0"/>
        <v>23.783645443098628</v>
      </c>
      <c r="K11" s="55">
        <f t="shared" si="1"/>
        <v>93.561641938760445</v>
      </c>
      <c r="L11" s="57"/>
    </row>
    <row r="12" spans="2:13" ht="26.85" customHeight="1" outlineLevel="1" x14ac:dyDescent="0.2">
      <c r="B12" s="109" t="s">
        <v>36</v>
      </c>
      <c r="C12" s="54">
        <f>C13+C15+C17+C19+C21+C23+C25+C27+C29</f>
        <v>13054339692.710001</v>
      </c>
      <c r="D12" s="54">
        <f>D13+D15+D17+D19+D21+D23+D25+D27+D29</f>
        <v>12439025739.800001</v>
      </c>
      <c r="E12" s="97" t="s">
        <v>78</v>
      </c>
      <c r="F12" s="97" t="s">
        <v>78</v>
      </c>
      <c r="G12" s="97" t="s">
        <v>78</v>
      </c>
      <c r="H12" s="97" t="s">
        <v>78</v>
      </c>
      <c r="I12" s="97" t="s">
        <v>78</v>
      </c>
      <c r="J12" s="55">
        <f t="shared" si="0"/>
        <v>20.529782342616095</v>
      </c>
      <c r="K12" s="55">
        <f t="shared" si="1"/>
        <v>95.286517990231147</v>
      </c>
      <c r="L12" s="36"/>
    </row>
    <row r="13" spans="2:13" ht="22.5" outlineLevel="1" x14ac:dyDescent="0.2">
      <c r="B13" s="110" t="s">
        <v>9</v>
      </c>
      <c r="C13" s="32">
        <f>4796787396.11</f>
        <v>4796787396.1099997</v>
      </c>
      <c r="D13" s="32">
        <f>4746823291.56</f>
        <v>4746823291.5600004</v>
      </c>
      <c r="E13" s="97" t="s">
        <v>78</v>
      </c>
      <c r="F13" s="97" t="s">
        <v>78</v>
      </c>
      <c r="G13" s="97" t="s">
        <v>78</v>
      </c>
      <c r="H13" s="97" t="s">
        <v>78</v>
      </c>
      <c r="I13" s="97" t="s">
        <v>78</v>
      </c>
      <c r="J13" s="33">
        <f t="shared" si="0"/>
        <v>7.834315245669246</v>
      </c>
      <c r="K13" s="33">
        <f t="shared" si="1"/>
        <v>98.958384009461881</v>
      </c>
      <c r="L13" s="36"/>
    </row>
    <row r="14" spans="2:13" ht="12.95" customHeight="1" outlineLevel="1" x14ac:dyDescent="0.2">
      <c r="B14" s="113" t="s">
        <v>6</v>
      </c>
      <c r="C14" s="32">
        <f>486235612.22</f>
        <v>486235612.22000003</v>
      </c>
      <c r="D14" s="32">
        <f>465025588.35</f>
        <v>465025588.35000002</v>
      </c>
      <c r="E14" s="97" t="s">
        <v>78</v>
      </c>
      <c r="F14" s="97" t="s">
        <v>78</v>
      </c>
      <c r="G14" s="97" t="s">
        <v>78</v>
      </c>
      <c r="H14" s="97" t="s">
        <v>78</v>
      </c>
      <c r="I14" s="97" t="s">
        <v>78</v>
      </c>
      <c r="J14" s="33">
        <f t="shared" si="0"/>
        <v>0.76749371793855536</v>
      </c>
      <c r="K14" s="33">
        <f t="shared" si="1"/>
        <v>95.637912292527957</v>
      </c>
      <c r="L14" s="36"/>
    </row>
    <row r="15" spans="2:13" ht="12.95" customHeight="1" outlineLevel="1" x14ac:dyDescent="0.2">
      <c r="B15" s="110" t="s">
        <v>7</v>
      </c>
      <c r="C15" s="32">
        <f>2636548281.25</f>
        <v>2636548281.25</v>
      </c>
      <c r="D15" s="32">
        <f>2406175351.71</f>
        <v>2406175351.71</v>
      </c>
      <c r="E15" s="97" t="s">
        <v>78</v>
      </c>
      <c r="F15" s="97" t="s">
        <v>78</v>
      </c>
      <c r="G15" s="97" t="s">
        <v>78</v>
      </c>
      <c r="H15" s="97" t="s">
        <v>78</v>
      </c>
      <c r="I15" s="97" t="s">
        <v>78</v>
      </c>
      <c r="J15" s="33">
        <f t="shared" si="0"/>
        <v>3.9712319342437725</v>
      </c>
      <c r="K15" s="33">
        <f t="shared" si="1"/>
        <v>91.262328432279688</v>
      </c>
      <c r="L15" s="36"/>
    </row>
    <row r="16" spans="2:13" ht="12.95" customHeight="1" outlineLevel="1" x14ac:dyDescent="0.2">
      <c r="B16" s="113" t="s">
        <v>6</v>
      </c>
      <c r="C16" s="32">
        <f>822774894.01</f>
        <v>822774894.00999999</v>
      </c>
      <c r="D16" s="32">
        <f>702818430.72</f>
        <v>702818430.72000003</v>
      </c>
      <c r="E16" s="97" t="s">
        <v>78</v>
      </c>
      <c r="F16" s="97" t="s">
        <v>78</v>
      </c>
      <c r="G16" s="97" t="s">
        <v>78</v>
      </c>
      <c r="H16" s="97" t="s">
        <v>78</v>
      </c>
      <c r="I16" s="97" t="s">
        <v>78</v>
      </c>
      <c r="J16" s="33">
        <f t="shared" si="0"/>
        <v>1.1599549442923334</v>
      </c>
      <c r="K16" s="33">
        <f t="shared" si="1"/>
        <v>85.420500289530949</v>
      </c>
      <c r="L16" s="36"/>
    </row>
    <row r="17" spans="2:12" ht="33.75" outlineLevel="1" x14ac:dyDescent="0.2">
      <c r="B17" s="110" t="s">
        <v>10</v>
      </c>
      <c r="C17" s="32">
        <f>156801514.4</f>
        <v>156801514.40000001</v>
      </c>
      <c r="D17" s="32">
        <f>142070686.82</f>
        <v>142070686.81999999</v>
      </c>
      <c r="E17" s="97" t="s">
        <v>78</v>
      </c>
      <c r="F17" s="97" t="s">
        <v>78</v>
      </c>
      <c r="G17" s="97" t="s">
        <v>78</v>
      </c>
      <c r="H17" s="97" t="s">
        <v>78</v>
      </c>
      <c r="I17" s="97" t="s">
        <v>78</v>
      </c>
      <c r="J17" s="33">
        <f t="shared" si="0"/>
        <v>0.23447819296235919</v>
      </c>
      <c r="K17" s="33">
        <f t="shared" si="1"/>
        <v>90.605430287859505</v>
      </c>
      <c r="L17" s="36"/>
    </row>
    <row r="18" spans="2:12" ht="12.95" customHeight="1" outlineLevel="1" x14ac:dyDescent="0.2">
      <c r="B18" s="113" t="s">
        <v>6</v>
      </c>
      <c r="C18" s="32">
        <f>12381202.52</f>
        <v>12381202.52</v>
      </c>
      <c r="D18" s="32">
        <f>11560240.08</f>
        <v>11560240.08</v>
      </c>
      <c r="E18" s="97" t="s">
        <v>78</v>
      </c>
      <c r="F18" s="97" t="s">
        <v>78</v>
      </c>
      <c r="G18" s="97" t="s">
        <v>78</v>
      </c>
      <c r="H18" s="97" t="s">
        <v>78</v>
      </c>
      <c r="I18" s="97" t="s">
        <v>78</v>
      </c>
      <c r="J18" s="33">
        <f t="shared" si="0"/>
        <v>1.9079405223145936E-2</v>
      </c>
      <c r="K18" s="33">
        <f t="shared" si="1"/>
        <v>93.369283487013021</v>
      </c>
      <c r="L18" s="36"/>
    </row>
    <row r="19" spans="2:12" ht="25.5" customHeight="1" outlineLevel="1" x14ac:dyDescent="0.2">
      <c r="B19" s="110" t="s">
        <v>11</v>
      </c>
      <c r="C19" s="32">
        <f>527227799.14</f>
        <v>527227799.13999999</v>
      </c>
      <c r="D19" s="32">
        <f>514504348.99</f>
        <v>514504348.99000001</v>
      </c>
      <c r="E19" s="97" t="s">
        <v>78</v>
      </c>
      <c r="F19" s="97" t="s">
        <v>78</v>
      </c>
      <c r="G19" s="97" t="s">
        <v>78</v>
      </c>
      <c r="H19" s="97" t="s">
        <v>78</v>
      </c>
      <c r="I19" s="97" t="s">
        <v>78</v>
      </c>
      <c r="J19" s="33">
        <f t="shared" si="0"/>
        <v>0.84915511230897422</v>
      </c>
      <c r="K19" s="33">
        <f t="shared" si="1"/>
        <v>97.586726236599404</v>
      </c>
      <c r="L19" s="36"/>
    </row>
    <row r="20" spans="2:12" ht="12.95" customHeight="1" outlineLevel="1" x14ac:dyDescent="0.2">
      <c r="B20" s="113" t="s">
        <v>6</v>
      </c>
      <c r="C20" s="32">
        <f>92977992.14</f>
        <v>92977992.140000001</v>
      </c>
      <c r="D20" s="32">
        <f>86385175.73</f>
        <v>86385175.730000004</v>
      </c>
      <c r="E20" s="97" t="s">
        <v>78</v>
      </c>
      <c r="F20" s="97" t="s">
        <v>78</v>
      </c>
      <c r="G20" s="97" t="s">
        <v>78</v>
      </c>
      <c r="H20" s="97" t="s">
        <v>78</v>
      </c>
      <c r="I20" s="97" t="s">
        <v>78</v>
      </c>
      <c r="J20" s="33">
        <f t="shared" si="0"/>
        <v>0.14257297094346691</v>
      </c>
      <c r="K20" s="33">
        <f t="shared" si="1"/>
        <v>92.909272121005813</v>
      </c>
      <c r="L20" s="36"/>
    </row>
    <row r="21" spans="2:12" ht="35.25" customHeight="1" outlineLevel="1" x14ac:dyDescent="0.2">
      <c r="B21" s="110" t="s">
        <v>53</v>
      </c>
      <c r="C21" s="32">
        <f>1017894319.82</f>
        <v>1017894319.8200001</v>
      </c>
      <c r="D21" s="32">
        <f>931855209.11</f>
        <v>931855209.11000001</v>
      </c>
      <c r="E21" s="97" t="s">
        <v>78</v>
      </c>
      <c r="F21" s="97" t="s">
        <v>78</v>
      </c>
      <c r="G21" s="97" t="s">
        <v>78</v>
      </c>
      <c r="H21" s="97" t="s">
        <v>78</v>
      </c>
      <c r="I21" s="97" t="s">
        <v>78</v>
      </c>
      <c r="J21" s="33">
        <f t="shared" si="0"/>
        <v>1.5379648710469587</v>
      </c>
      <c r="K21" s="33">
        <f t="shared" si="1"/>
        <v>91.547343468306721</v>
      </c>
      <c r="L21" s="36"/>
    </row>
    <row r="22" spans="2:12" ht="12.95" customHeight="1" outlineLevel="1" x14ac:dyDescent="0.2">
      <c r="B22" s="113" t="s">
        <v>6</v>
      </c>
      <c r="C22" s="32">
        <f>792399246.04</f>
        <v>792399246.03999996</v>
      </c>
      <c r="D22" s="32">
        <f>724043690.48</f>
        <v>724043690.48000002</v>
      </c>
      <c r="E22" s="97" t="s">
        <v>78</v>
      </c>
      <c r="F22" s="97" t="s">
        <v>78</v>
      </c>
      <c r="G22" s="97" t="s">
        <v>78</v>
      </c>
      <c r="H22" s="97" t="s">
        <v>78</v>
      </c>
      <c r="I22" s="97" t="s">
        <v>78</v>
      </c>
      <c r="J22" s="33">
        <f t="shared" si="0"/>
        <v>1.1949858198732126</v>
      </c>
      <c r="K22" s="33">
        <f t="shared" si="1"/>
        <v>91.373596592676535</v>
      </c>
      <c r="L22" s="36"/>
    </row>
    <row r="23" spans="2:12" ht="12.95" customHeight="1" outlineLevel="1" x14ac:dyDescent="0.2">
      <c r="B23" s="110" t="s">
        <v>8</v>
      </c>
      <c r="C23" s="32">
        <f>130023329.27</f>
        <v>130023329.27</v>
      </c>
      <c r="D23" s="32">
        <f>127289327.28</f>
        <v>127289327.28</v>
      </c>
      <c r="E23" s="97" t="s">
        <v>78</v>
      </c>
      <c r="F23" s="97" t="s">
        <v>78</v>
      </c>
      <c r="G23" s="97" t="s">
        <v>78</v>
      </c>
      <c r="H23" s="97" t="s">
        <v>78</v>
      </c>
      <c r="I23" s="97" t="s">
        <v>78</v>
      </c>
      <c r="J23" s="33">
        <f t="shared" si="0"/>
        <v>0.21008254490825112</v>
      </c>
      <c r="K23" s="33">
        <f t="shared" si="1"/>
        <v>97.897298888322794</v>
      </c>
      <c r="L23" s="36"/>
    </row>
    <row r="24" spans="2:12" ht="12.95" customHeight="1" outlineLevel="1" x14ac:dyDescent="0.2">
      <c r="B24" s="113" t="s">
        <v>6</v>
      </c>
      <c r="C24" s="32">
        <f>102641261.87</f>
        <v>102641261.87</v>
      </c>
      <c r="D24" s="32">
        <f>97879908.16</f>
        <v>97879908.159999996</v>
      </c>
      <c r="E24" s="97" t="s">
        <v>78</v>
      </c>
      <c r="F24" s="97" t="s">
        <v>78</v>
      </c>
      <c r="G24" s="97" t="s">
        <v>78</v>
      </c>
      <c r="H24" s="97" t="s">
        <v>78</v>
      </c>
      <c r="I24" s="97" t="s">
        <v>78</v>
      </c>
      <c r="J24" s="33">
        <f t="shared" si="0"/>
        <v>0.16154426015942644</v>
      </c>
      <c r="K24" s="33">
        <f t="shared" si="1"/>
        <v>95.361169939599449</v>
      </c>
      <c r="L24" s="36"/>
    </row>
    <row r="25" spans="2:12" ht="67.5" outlineLevel="1" x14ac:dyDescent="0.2">
      <c r="B25" s="110" t="s">
        <v>69</v>
      </c>
      <c r="C25" s="32">
        <f>3726066.29</f>
        <v>3726066.29</v>
      </c>
      <c r="D25" s="32">
        <f>3721270.37</f>
        <v>3721270.37</v>
      </c>
      <c r="E25" s="97" t="s">
        <v>78</v>
      </c>
      <c r="F25" s="97" t="s">
        <v>78</v>
      </c>
      <c r="G25" s="97" t="s">
        <v>78</v>
      </c>
      <c r="H25" s="97" t="s">
        <v>78</v>
      </c>
      <c r="I25" s="97" t="s">
        <v>78</v>
      </c>
      <c r="J25" s="33">
        <f t="shared" si="0"/>
        <v>6.141708549543913E-3</v>
      </c>
      <c r="K25" s="33">
        <f t="shared" si="1"/>
        <v>99.871287314107335</v>
      </c>
      <c r="L25" s="36"/>
    </row>
    <row r="26" spans="2:12" ht="12.95" customHeight="1" outlineLevel="1" x14ac:dyDescent="0.2">
      <c r="B26" s="113" t="s">
        <v>70</v>
      </c>
      <c r="C26" s="32">
        <f>3269596</f>
        <v>3269596</v>
      </c>
      <c r="D26" s="32">
        <f>3233603.04</f>
        <v>3233603.04</v>
      </c>
      <c r="E26" s="97" t="s">
        <v>78</v>
      </c>
      <c r="F26" s="97" t="s">
        <v>78</v>
      </c>
      <c r="G26" s="97" t="s">
        <v>78</v>
      </c>
      <c r="H26" s="97" t="s">
        <v>78</v>
      </c>
      <c r="I26" s="97" t="s">
        <v>78</v>
      </c>
      <c r="J26" s="33">
        <f t="shared" si="0"/>
        <v>5.3368461471395828E-3</v>
      </c>
      <c r="K26" s="33">
        <f t="shared" si="1"/>
        <v>98.899161853635746</v>
      </c>
      <c r="L26" s="36"/>
    </row>
    <row r="27" spans="2:12" ht="45" outlineLevel="1" x14ac:dyDescent="0.2">
      <c r="B27" s="111" t="s">
        <v>68</v>
      </c>
      <c r="C27" s="69">
        <f>3087229660</f>
        <v>3087229660</v>
      </c>
      <c r="D27" s="69">
        <f>2895751047.58</f>
        <v>2895751047.5799999</v>
      </c>
      <c r="E27" s="97" t="s">
        <v>78</v>
      </c>
      <c r="F27" s="97" t="s">
        <v>78</v>
      </c>
      <c r="G27" s="97" t="s">
        <v>78</v>
      </c>
      <c r="H27" s="97" t="s">
        <v>78</v>
      </c>
      <c r="I27" s="97" t="s">
        <v>78</v>
      </c>
      <c r="J27" s="70">
        <f t="shared" si="0"/>
        <v>4.7792439672349927</v>
      </c>
      <c r="K27" s="70">
        <f t="shared" si="1"/>
        <v>93.797720496764086</v>
      </c>
      <c r="L27" s="36"/>
    </row>
    <row r="28" spans="2:12" ht="12.95" customHeight="1" outlineLevel="1" x14ac:dyDescent="0.2">
      <c r="B28" s="113" t="s">
        <v>6</v>
      </c>
      <c r="C28" s="32">
        <f>3086955362.29</f>
        <v>3086955362.29</v>
      </c>
      <c r="D28" s="32">
        <f>2895476749.87</f>
        <v>2895476749.8699999</v>
      </c>
      <c r="E28" s="97" t="s">
        <v>78</v>
      </c>
      <c r="F28" s="97" t="s">
        <v>78</v>
      </c>
      <c r="G28" s="97" t="s">
        <v>78</v>
      </c>
      <c r="H28" s="97" t="s">
        <v>78</v>
      </c>
      <c r="I28" s="97" t="s">
        <v>78</v>
      </c>
      <c r="J28" s="33">
        <f t="shared" si="0"/>
        <v>4.7787912571593667</v>
      </c>
      <c r="K28" s="33">
        <f t="shared" si="1"/>
        <v>93.797169380578438</v>
      </c>
      <c r="L28" s="36"/>
    </row>
    <row r="29" spans="2:12" ht="22.5" outlineLevel="1" x14ac:dyDescent="0.2">
      <c r="B29" s="111" t="s">
        <v>86</v>
      </c>
      <c r="C29" s="32">
        <f>698101326.43</f>
        <v>698101326.42999995</v>
      </c>
      <c r="D29" s="32">
        <f>670835206.38</f>
        <v>670835206.38</v>
      </c>
      <c r="E29" s="97" t="s">
        <v>78</v>
      </c>
      <c r="F29" s="97" t="s">
        <v>78</v>
      </c>
      <c r="G29" s="97" t="s">
        <v>78</v>
      </c>
      <c r="H29" s="97" t="s">
        <v>78</v>
      </c>
      <c r="I29" s="97" t="s">
        <v>78</v>
      </c>
      <c r="J29" s="33">
        <f t="shared" si="0"/>
        <v>1.1071687656919971</v>
      </c>
      <c r="K29" s="33">
        <f t="shared" si="1"/>
        <v>96.094246061752187</v>
      </c>
      <c r="L29" s="36"/>
    </row>
    <row r="30" spans="2:12" ht="12.95" customHeight="1" outlineLevel="1" x14ac:dyDescent="0.2">
      <c r="B30" s="113" t="s">
        <v>6</v>
      </c>
      <c r="C30" s="32">
        <f>0</f>
        <v>0</v>
      </c>
      <c r="D30" s="32">
        <f>0</f>
        <v>0</v>
      </c>
      <c r="E30" s="97" t="s">
        <v>78</v>
      </c>
      <c r="F30" s="97" t="s">
        <v>78</v>
      </c>
      <c r="G30" s="97" t="s">
        <v>78</v>
      </c>
      <c r="H30" s="97" t="s">
        <v>78</v>
      </c>
      <c r="I30" s="97" t="s">
        <v>78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2" t="s">
        <v>60</v>
      </c>
      <c r="C31" s="30">
        <f>121573224.9</f>
        <v>121573224.90000001</v>
      </c>
      <c r="D31" s="30">
        <f>109378412.46</f>
        <v>109378412.45999999</v>
      </c>
      <c r="E31" s="97" t="s">
        <v>78</v>
      </c>
      <c r="F31" s="97" t="s">
        <v>78</v>
      </c>
      <c r="G31" s="97" t="s">
        <v>78</v>
      </c>
      <c r="H31" s="97" t="s">
        <v>78</v>
      </c>
      <c r="I31" s="97" t="s">
        <v>78</v>
      </c>
      <c r="J31" s="34">
        <f t="shared" si="0"/>
        <v>0.18052177459524998</v>
      </c>
      <c r="K31" s="34">
        <f t="shared" si="1"/>
        <v>89.969162658940036</v>
      </c>
      <c r="L31" s="21"/>
    </row>
    <row r="32" spans="2:12" ht="12.95" customHeight="1" outlineLevel="1" x14ac:dyDescent="0.2">
      <c r="B32" s="114" t="s">
        <v>46</v>
      </c>
      <c r="C32" s="35">
        <f>44671895.48</f>
        <v>44671895.479999997</v>
      </c>
      <c r="D32" s="35">
        <f>30578624.17</f>
        <v>30578624.170000002</v>
      </c>
      <c r="E32" s="97" t="s">
        <v>78</v>
      </c>
      <c r="F32" s="97" t="s">
        <v>78</v>
      </c>
      <c r="G32" s="97" t="s">
        <v>78</v>
      </c>
      <c r="H32" s="97" t="s">
        <v>78</v>
      </c>
      <c r="I32" s="97" t="s">
        <v>78</v>
      </c>
      <c r="J32" s="33">
        <f t="shared" si="0"/>
        <v>5.0467979701829389E-2</v>
      </c>
      <c r="K32" s="33">
        <f t="shared" si="1"/>
        <v>68.451593202912832</v>
      </c>
      <c r="L32" s="21"/>
    </row>
    <row r="33" spans="1:26" ht="12.95" customHeight="1" outlineLevel="1" x14ac:dyDescent="0.2">
      <c r="B33" s="112" t="s">
        <v>61</v>
      </c>
      <c r="C33" s="58">
        <f>2226281770.97</f>
        <v>2226281770.9699998</v>
      </c>
      <c r="D33" s="58">
        <f>1862142092.98</f>
        <v>1862142092.98</v>
      </c>
      <c r="E33" s="97" t="s">
        <v>78</v>
      </c>
      <c r="F33" s="97" t="s">
        <v>78</v>
      </c>
      <c r="G33" s="97" t="s">
        <v>78</v>
      </c>
      <c r="H33" s="97" t="s">
        <v>78</v>
      </c>
      <c r="I33" s="97" t="s">
        <v>78</v>
      </c>
      <c r="J33" s="59">
        <f t="shared" si="0"/>
        <v>3.0733413258872835</v>
      </c>
      <c r="K33" s="59">
        <f t="shared" si="1"/>
        <v>83.643594322234307</v>
      </c>
      <c r="L33" s="21"/>
    </row>
    <row r="34" spans="1:26" ht="12.95" customHeight="1" outlineLevel="1" x14ac:dyDescent="0.2">
      <c r="B34" s="114" t="s">
        <v>58</v>
      </c>
      <c r="C34" s="35">
        <f>1463237315.1</f>
        <v>1463237315.0999999</v>
      </c>
      <c r="D34" s="35">
        <f>1197356539.96</f>
        <v>1197356539.96</v>
      </c>
      <c r="E34" s="97" t="s">
        <v>78</v>
      </c>
      <c r="F34" s="97" t="s">
        <v>78</v>
      </c>
      <c r="G34" s="97" t="s">
        <v>78</v>
      </c>
      <c r="H34" s="97" t="s">
        <v>78</v>
      </c>
      <c r="I34" s="97" t="s">
        <v>78</v>
      </c>
      <c r="J34" s="33">
        <f t="shared" si="0"/>
        <v>1.9761571095745591</v>
      </c>
      <c r="K34" s="33">
        <f t="shared" si="1"/>
        <v>81.829278655196873</v>
      </c>
      <c r="L34" s="21"/>
    </row>
    <row r="35" spans="1:26" s="5" customFormat="1" ht="26.85" customHeight="1" x14ac:dyDescent="0.2">
      <c r="B35" s="106" t="s">
        <v>98</v>
      </c>
      <c r="C35" s="30">
        <f>11542121007.89</f>
        <v>11542121007.889999</v>
      </c>
      <c r="D35" s="30">
        <f>11602875863.26</f>
        <v>11602875863.26</v>
      </c>
      <c r="E35" s="97" t="s">
        <v>78</v>
      </c>
      <c r="F35" s="97" t="s">
        <v>78</v>
      </c>
      <c r="G35" s="97" t="s">
        <v>78</v>
      </c>
      <c r="H35" s="97" t="s">
        <v>78</v>
      </c>
      <c r="I35" s="97" t="s">
        <v>78</v>
      </c>
      <c r="J35" s="31">
        <f t="shared" si="0"/>
        <v>19.149772739754102</v>
      </c>
      <c r="K35" s="31">
        <f t="shared" si="1"/>
        <v>100.52637513788385</v>
      </c>
      <c r="L35" s="22"/>
    </row>
    <row r="36" spans="1:26" ht="12.95" customHeight="1" outlineLevel="1" x14ac:dyDescent="0.2">
      <c r="B36" s="108" t="s">
        <v>99</v>
      </c>
      <c r="C36" s="32">
        <f>0</f>
        <v>0</v>
      </c>
      <c r="D36" s="32">
        <f>0</f>
        <v>0</v>
      </c>
      <c r="E36" s="97" t="s">
        <v>78</v>
      </c>
      <c r="F36" s="97" t="s">
        <v>78</v>
      </c>
      <c r="G36" s="97" t="s">
        <v>78</v>
      </c>
      <c r="H36" s="97" t="s">
        <v>78</v>
      </c>
      <c r="I36" s="97" t="s">
        <v>78</v>
      </c>
      <c r="J36" s="33">
        <f t="shared" si="0"/>
        <v>0</v>
      </c>
      <c r="K36" s="33" t="str">
        <f t="shared" si="1"/>
        <v/>
      </c>
      <c r="L36" s="21"/>
    </row>
    <row r="37" spans="1:26" ht="22.5" outlineLevel="1" x14ac:dyDescent="0.2">
      <c r="B37" s="108" t="s">
        <v>100</v>
      </c>
      <c r="C37" s="32">
        <f>1398515738.91</f>
        <v>1398515738.9100001</v>
      </c>
      <c r="D37" s="32">
        <f>1459270592.52</f>
        <v>1459270592.52</v>
      </c>
      <c r="E37" s="97" t="s">
        <v>78</v>
      </c>
      <c r="F37" s="97" t="s">
        <v>78</v>
      </c>
      <c r="G37" s="97" t="s">
        <v>78</v>
      </c>
      <c r="H37" s="97" t="s">
        <v>78</v>
      </c>
      <c r="I37" s="97" t="s">
        <v>78</v>
      </c>
      <c r="J37" s="33">
        <f t="shared" si="0"/>
        <v>2.4084287845438372</v>
      </c>
      <c r="K37" s="33">
        <f t="shared" si="1"/>
        <v>104.34423810327313</v>
      </c>
      <c r="L37" s="21"/>
    </row>
    <row r="38" spans="1:26" ht="12.95" customHeight="1" outlineLevel="1" x14ac:dyDescent="0.2">
      <c r="B38" s="110" t="s">
        <v>6</v>
      </c>
      <c r="C38" s="32">
        <f>229092520</f>
        <v>229092520</v>
      </c>
      <c r="D38" s="32">
        <f>231150871</f>
        <v>231150871</v>
      </c>
      <c r="E38" s="97" t="s">
        <v>78</v>
      </c>
      <c r="F38" s="97" t="s">
        <v>78</v>
      </c>
      <c r="G38" s="97" t="s">
        <v>78</v>
      </c>
      <c r="H38" s="97" t="s">
        <v>78</v>
      </c>
      <c r="I38" s="97" t="s">
        <v>78</v>
      </c>
      <c r="J38" s="33">
        <f t="shared" si="0"/>
        <v>0.38149909560460726</v>
      </c>
      <c r="K38" s="33">
        <f t="shared" si="1"/>
        <v>100.89848022973426</v>
      </c>
      <c r="L38" s="21"/>
    </row>
    <row r="39" spans="1:26" s="5" customFormat="1" ht="12.95" customHeight="1" x14ac:dyDescent="0.2">
      <c r="B39" s="105" t="s">
        <v>5</v>
      </c>
      <c r="C39" s="58">
        <f>+C5</f>
        <v>61041361040.629997</v>
      </c>
      <c r="D39" s="58">
        <f>+D5</f>
        <v>60590149141.419998</v>
      </c>
      <c r="E39" s="97" t="s">
        <v>78</v>
      </c>
      <c r="F39" s="97" t="s">
        <v>78</v>
      </c>
      <c r="G39" s="97" t="s">
        <v>78</v>
      </c>
      <c r="H39" s="97" t="s">
        <v>78</v>
      </c>
      <c r="I39" s="97" t="s">
        <v>78</v>
      </c>
      <c r="J39" s="59">
        <f>IF($D$5=0,"",100*$D39/$D$39)</f>
        <v>100</v>
      </c>
      <c r="K39" s="59">
        <f t="shared" si="1"/>
        <v>99.260809569908403</v>
      </c>
    </row>
    <row r="40" spans="1:26" s="5" customFormat="1" ht="12.95" customHeight="1" x14ac:dyDescent="0.2">
      <c r="B40" s="115" t="s">
        <v>48</v>
      </c>
      <c r="C40" s="32">
        <f>8675155791.45</f>
        <v>8675155791.4500008</v>
      </c>
      <c r="D40" s="32">
        <f>8039656349.7</f>
        <v>8039656349.6999998</v>
      </c>
      <c r="E40" s="97" t="s">
        <v>78</v>
      </c>
      <c r="F40" s="97" t="s">
        <v>78</v>
      </c>
      <c r="G40" s="97" t="s">
        <v>78</v>
      </c>
      <c r="H40" s="97" t="s">
        <v>78</v>
      </c>
      <c r="I40" s="97" t="s">
        <v>78</v>
      </c>
      <c r="J40" s="33">
        <f>IF($D$5=0,"",100*$D40/$D$39)</f>
        <v>13.268916587307119</v>
      </c>
      <c r="K40" s="33">
        <f t="shared" si="1"/>
        <v>92.674489576586836</v>
      </c>
    </row>
    <row r="41" spans="1:26" s="5" customFormat="1" ht="12.95" customHeight="1" x14ac:dyDescent="0.2">
      <c r="A41" s="2"/>
      <c r="B41" s="115" t="s">
        <v>49</v>
      </c>
      <c r="C41" s="32">
        <f>C39-C40</f>
        <v>52366205249.179993</v>
      </c>
      <c r="D41" s="32">
        <f>D39-D40</f>
        <v>52550492791.720001</v>
      </c>
      <c r="E41" s="97" t="s">
        <v>78</v>
      </c>
      <c r="F41" s="97" t="s">
        <v>78</v>
      </c>
      <c r="G41" s="97" t="s">
        <v>78</v>
      </c>
      <c r="H41" s="97" t="s">
        <v>78</v>
      </c>
      <c r="I41" s="97" t="s">
        <v>78</v>
      </c>
      <c r="J41" s="33">
        <f>IF($D$5=0,"",100*$D41/$D$39)</f>
        <v>86.731083412692882</v>
      </c>
      <c r="K41" s="33">
        <f t="shared" si="1"/>
        <v>100.35192075053575</v>
      </c>
      <c r="M41" s="15"/>
      <c r="N41" s="15"/>
      <c r="O41" s="9"/>
      <c r="P41" s="9"/>
      <c r="Q41" s="3"/>
    </row>
    <row r="42" spans="1:26" s="5" customFormat="1" ht="12.95" customHeight="1" x14ac:dyDescent="0.2">
      <c r="A42" s="2"/>
      <c r="B42" s="127" t="s">
        <v>87</v>
      </c>
      <c r="C42" s="76"/>
      <c r="D42" s="76"/>
      <c r="E42" s="126"/>
      <c r="F42" s="126"/>
      <c r="G42" s="126"/>
      <c r="H42" s="126"/>
      <c r="I42" s="126"/>
      <c r="J42" s="57"/>
      <c r="K42" s="57"/>
      <c r="M42" s="15"/>
      <c r="N42" s="15"/>
      <c r="O42" s="9"/>
      <c r="P42" s="9"/>
      <c r="Q42" s="3"/>
    </row>
    <row r="43" spans="1:26" ht="20.100000000000001" customHeight="1" x14ac:dyDescent="0.2">
      <c r="B43" s="116" t="str">
        <f>CONCATENATE("Informacja z wykonania budżetów powiatów za ",$D$114," ",$C$115," rok     ",$C$117,"")</f>
        <v xml:space="preserve">Informacja z wykonania budżetów powiatów za IV Kwartały 2025 rok     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26" s="5" customFormat="1" ht="9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55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56" t="s">
        <v>59</v>
      </c>
      <c r="J45" s="137" t="s">
        <v>2</v>
      </c>
      <c r="K45" s="141" t="s">
        <v>18</v>
      </c>
      <c r="M45" s="10"/>
      <c r="N45" s="73"/>
      <c r="O45" s="7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55"/>
      <c r="C46" s="137"/>
      <c r="D46" s="137"/>
      <c r="E46" s="138"/>
      <c r="F46" s="139" t="s">
        <v>34</v>
      </c>
      <c r="G46" s="153" t="s">
        <v>23</v>
      </c>
      <c r="H46" s="138"/>
      <c r="I46" s="157"/>
      <c r="J46" s="137"/>
      <c r="K46" s="141"/>
      <c r="L46" s="11"/>
      <c r="M46" s="12"/>
      <c r="N46" s="74"/>
      <c r="O46" s="78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">
      <c r="B47" s="155"/>
      <c r="C47" s="137"/>
      <c r="D47" s="137"/>
      <c r="E47" s="138"/>
      <c r="F47" s="138"/>
      <c r="G47" s="17" t="s">
        <v>29</v>
      </c>
      <c r="H47" s="17" t="s">
        <v>30</v>
      </c>
      <c r="I47" s="158"/>
      <c r="J47" s="137"/>
      <c r="K47" s="141"/>
      <c r="L47" s="11"/>
      <c r="M47" s="10"/>
      <c r="N47" s="74"/>
      <c r="O47" s="76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55"/>
      <c r="C48" s="159" t="s">
        <v>52</v>
      </c>
      <c r="D48" s="160"/>
      <c r="E48" s="160"/>
      <c r="F48" s="160"/>
      <c r="G48" s="160"/>
      <c r="H48" s="160"/>
      <c r="I48" s="161"/>
      <c r="J48" s="162" t="s">
        <v>4</v>
      </c>
      <c r="K48" s="162"/>
      <c r="N48" s="10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6">
        <v>1</v>
      </c>
      <c r="C49" s="18">
        <v>2</v>
      </c>
      <c r="D49" s="18">
        <v>3</v>
      </c>
      <c r="E49" s="18">
        <v>4</v>
      </c>
      <c r="F49" s="16">
        <v>5</v>
      </c>
      <c r="G49" s="16">
        <v>6</v>
      </c>
      <c r="H49" s="18">
        <v>7</v>
      </c>
      <c r="I49" s="18">
        <v>8</v>
      </c>
      <c r="J49" s="16">
        <v>9</v>
      </c>
      <c r="K49" s="18">
        <v>10</v>
      </c>
      <c r="M49" s="10"/>
      <c r="N49" s="10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6.85" customHeight="1" x14ac:dyDescent="0.2">
      <c r="B50" s="103" t="s">
        <v>37</v>
      </c>
      <c r="C50" s="60">
        <f>63652524016.85</f>
        <v>63652524016.849998</v>
      </c>
      <c r="D50" s="72">
        <f>58747803103.92</f>
        <v>58747803103.919998</v>
      </c>
      <c r="E50" s="72">
        <f>58773251404.02</f>
        <v>58773251404.019997</v>
      </c>
      <c r="F50" s="60">
        <f>2738646038.95</f>
        <v>2738646038.9499998</v>
      </c>
      <c r="G50" s="60">
        <f>36994.79</f>
        <v>36994.79</v>
      </c>
      <c r="H50" s="60">
        <f>765923.8</f>
        <v>765923.8</v>
      </c>
      <c r="I50" s="80">
        <f>298991084.43</f>
        <v>298991084.43000001</v>
      </c>
      <c r="J50" s="50">
        <f>IF($D$50=0,"",100*$D50/$D$50)</f>
        <v>100</v>
      </c>
      <c r="K50" s="50">
        <f>IF(C50=0,"",100*D50/C50)</f>
        <v>92.294538215591217</v>
      </c>
      <c r="O50" s="75"/>
    </row>
    <row r="51" spans="2:26" ht="12.95" customHeight="1" x14ac:dyDescent="0.2">
      <c r="B51" s="19" t="s">
        <v>14</v>
      </c>
      <c r="C51" s="38">
        <f>13486781858.3</f>
        <v>13486781858.299999</v>
      </c>
      <c r="D51" s="38">
        <f>11706216563.71</f>
        <v>11706216563.709999</v>
      </c>
      <c r="E51" s="38">
        <f>11711855817.44</f>
        <v>11711855817.440001</v>
      </c>
      <c r="F51" s="38">
        <f>141097204.47</f>
        <v>141097204.47</v>
      </c>
      <c r="G51" s="38">
        <f>5597.13</f>
        <v>5597.13</v>
      </c>
      <c r="H51" s="38">
        <f>2244</f>
        <v>2244</v>
      </c>
      <c r="I51" s="81">
        <f>266695355.1</f>
        <v>266695355.09999999</v>
      </c>
      <c r="J51" s="50">
        <f t="shared" ref="J51:J59" si="2">IF($D$50=0,"",100*$D51/$D$50)</f>
        <v>19.92622012265322</v>
      </c>
      <c r="K51" s="50">
        <f t="shared" ref="K51:K59" si="3">IF(C51=0,"",100*D51/C51)</f>
        <v>86.79770079105856</v>
      </c>
      <c r="O51" s="76"/>
    </row>
    <row r="52" spans="2:26" ht="12.95" customHeight="1" outlineLevel="1" x14ac:dyDescent="0.2">
      <c r="B52" s="20" t="s">
        <v>13</v>
      </c>
      <c r="C52" s="35">
        <f>13337969603.19</f>
        <v>13337969603.190001</v>
      </c>
      <c r="D52" s="35">
        <f>11561158943.64</f>
        <v>11561158943.639999</v>
      </c>
      <c r="E52" s="35">
        <f>11566798197.37</f>
        <v>11566798197.370001</v>
      </c>
      <c r="F52" s="35">
        <f>141097204.47</f>
        <v>141097204.47</v>
      </c>
      <c r="G52" s="35">
        <f>5597.13</f>
        <v>5597.13</v>
      </c>
      <c r="H52" s="35">
        <f>2244</f>
        <v>2244</v>
      </c>
      <c r="I52" s="82">
        <f>266695355.1</f>
        <v>266695355.09999999</v>
      </c>
      <c r="J52" s="50">
        <f t="shared" si="2"/>
        <v>19.679304302135805</v>
      </c>
      <c r="K52" s="50">
        <f t="shared" si="3"/>
        <v>86.678552190394512</v>
      </c>
      <c r="O52" s="75"/>
    </row>
    <row r="53" spans="2:26" ht="26.85" customHeight="1" x14ac:dyDescent="0.2">
      <c r="B53" s="19" t="s">
        <v>38</v>
      </c>
      <c r="C53" s="38">
        <f t="shared" ref="C53:I53" si="4">C50-C51</f>
        <v>50165742158.550003</v>
      </c>
      <c r="D53" s="38">
        <f>D50-D51</f>
        <v>47041586540.209999</v>
      </c>
      <c r="E53" s="38">
        <f>E50-E51</f>
        <v>47061395586.579994</v>
      </c>
      <c r="F53" s="38">
        <f t="shared" si="4"/>
        <v>2597548834.48</v>
      </c>
      <c r="G53" s="38">
        <f t="shared" si="4"/>
        <v>31397.66</v>
      </c>
      <c r="H53" s="38">
        <f t="shared" si="4"/>
        <v>763679.8</v>
      </c>
      <c r="I53" s="81">
        <f t="shared" si="4"/>
        <v>32295729.330000013</v>
      </c>
      <c r="J53" s="50">
        <f t="shared" si="2"/>
        <v>80.07377987734678</v>
      </c>
      <c r="K53" s="50">
        <f t="shared" si="3"/>
        <v>93.772332504389084</v>
      </c>
      <c r="O53" s="75"/>
    </row>
    <row r="54" spans="2:26" ht="22.5" outlineLevel="1" x14ac:dyDescent="0.2">
      <c r="B54" s="20" t="s">
        <v>77</v>
      </c>
      <c r="C54" s="35">
        <f>31894090831.89</f>
        <v>31894090831.889999</v>
      </c>
      <c r="D54" s="35">
        <f>30967828689.57</f>
        <v>30967828689.57</v>
      </c>
      <c r="E54" s="35">
        <f>30979478121.65</f>
        <v>30979478121.650002</v>
      </c>
      <c r="F54" s="35">
        <f>2371335256.98</f>
        <v>2371335256.98</v>
      </c>
      <c r="G54" s="35">
        <f>1298.77</f>
        <v>1298.77</v>
      </c>
      <c r="H54" s="35">
        <f>0</f>
        <v>0</v>
      </c>
      <c r="I54" s="82">
        <f>106800</f>
        <v>106800</v>
      </c>
      <c r="J54" s="50">
        <f t="shared" si="2"/>
        <v>52.713168924445526</v>
      </c>
      <c r="K54" s="50">
        <f t="shared" si="3"/>
        <v>97.09581894902658</v>
      </c>
      <c r="O54" s="76"/>
    </row>
    <row r="55" spans="2:26" ht="12.95" customHeight="1" outlineLevel="1" x14ac:dyDescent="0.2">
      <c r="B55" s="23" t="s">
        <v>28</v>
      </c>
      <c r="C55" s="61">
        <f>4397663806.62</f>
        <v>4397663806.6199999</v>
      </c>
      <c r="D55" s="61">
        <f>4184347711.09</f>
        <v>4184347711.0900002</v>
      </c>
      <c r="E55" s="61">
        <f>4186131137.47</f>
        <v>4186131137.4699998</v>
      </c>
      <c r="F55" s="61">
        <f>1167275.77</f>
        <v>1167275.77</v>
      </c>
      <c r="G55" s="61">
        <f>0</f>
        <v>0</v>
      </c>
      <c r="H55" s="61">
        <f>900</f>
        <v>900</v>
      </c>
      <c r="I55" s="83">
        <f>0</f>
        <v>0</v>
      </c>
      <c r="J55" s="50">
        <f t="shared" si="2"/>
        <v>7.1225603171717511</v>
      </c>
      <c r="K55" s="50">
        <f t="shared" si="3"/>
        <v>95.149331442551713</v>
      </c>
    </row>
    <row r="56" spans="2:26" ht="12.95" customHeight="1" outlineLevel="1" x14ac:dyDescent="0.2">
      <c r="B56" s="23" t="s">
        <v>27</v>
      </c>
      <c r="C56" s="32">
        <f>484387198.07</f>
        <v>484387198.06999999</v>
      </c>
      <c r="D56" s="32">
        <f>430800668.15</f>
        <v>430800668.14999998</v>
      </c>
      <c r="E56" s="32">
        <f>430979286.79</f>
        <v>430979286.79000002</v>
      </c>
      <c r="F56" s="32">
        <f>6908415.9</f>
        <v>6908415.9000000004</v>
      </c>
      <c r="G56" s="32">
        <f>0</f>
        <v>0</v>
      </c>
      <c r="H56" s="32">
        <f>0</f>
        <v>0</v>
      </c>
      <c r="I56" s="84">
        <f>0</f>
        <v>0</v>
      </c>
      <c r="J56" s="50">
        <f t="shared" si="2"/>
        <v>0.73330515421648923</v>
      </c>
      <c r="K56" s="50">
        <f t="shared" si="3"/>
        <v>88.937253062527049</v>
      </c>
    </row>
    <row r="57" spans="2:26" ht="22.5" customHeight="1" outlineLevel="1" x14ac:dyDescent="0.2">
      <c r="B57" s="23" t="s">
        <v>44</v>
      </c>
      <c r="C57" s="61">
        <f>28206004.95</f>
        <v>28206004.949999999</v>
      </c>
      <c r="D57" s="61">
        <f>6396161.65</f>
        <v>6396161.6500000004</v>
      </c>
      <c r="E57" s="61">
        <f>6396161.65</f>
        <v>6396161.6500000004</v>
      </c>
      <c r="F57" s="61">
        <f>0</f>
        <v>0</v>
      </c>
      <c r="G57" s="61">
        <f>0</f>
        <v>0</v>
      </c>
      <c r="H57" s="61">
        <f>0</f>
        <v>0</v>
      </c>
      <c r="I57" s="83">
        <f>0</f>
        <v>0</v>
      </c>
      <c r="J57" s="50">
        <f t="shared" si="2"/>
        <v>1.0887490786141773E-2</v>
      </c>
      <c r="K57" s="50">
        <f t="shared" si="3"/>
        <v>22.676595502760133</v>
      </c>
    </row>
    <row r="58" spans="2:26" ht="12.95" customHeight="1" outlineLevel="1" x14ac:dyDescent="0.2">
      <c r="B58" s="23" t="s">
        <v>45</v>
      </c>
      <c r="C58" s="61">
        <f>1526799578.25</f>
        <v>1526799578.25</v>
      </c>
      <c r="D58" s="61">
        <f>1417178699.27</f>
        <v>1417178699.27</v>
      </c>
      <c r="E58" s="61">
        <f>1420392859.82</f>
        <v>1420392859.8199999</v>
      </c>
      <c r="F58" s="61">
        <f>17965136.82</f>
        <v>17965136.82</v>
      </c>
      <c r="G58" s="61">
        <f>0</f>
        <v>0</v>
      </c>
      <c r="H58" s="61">
        <f>18244.45</f>
        <v>18244.45</v>
      </c>
      <c r="I58" s="85">
        <f>0</f>
        <v>0</v>
      </c>
      <c r="J58" s="50">
        <f t="shared" si="2"/>
        <v>2.4123092684217116</v>
      </c>
      <c r="K58" s="50">
        <f t="shared" si="3"/>
        <v>92.820218151641996</v>
      </c>
    </row>
    <row r="59" spans="2:26" ht="12.95" customHeight="1" outlineLevel="1" x14ac:dyDescent="0.2">
      <c r="B59" s="20" t="s">
        <v>26</v>
      </c>
      <c r="C59" s="35">
        <f t="shared" ref="C59:I59" si="5">C53-C54-C55-C56-C57-C58</f>
        <v>11834594738.770004</v>
      </c>
      <c r="D59" s="35">
        <f>D53-D54-D55-D56-D57-D58</f>
        <v>10035034610.48</v>
      </c>
      <c r="E59" s="86">
        <f>E53-E54-E55-E56-E57-E58</f>
        <v>10038018019.199993</v>
      </c>
      <c r="F59" s="86">
        <f t="shared" si="5"/>
        <v>200172749.00999999</v>
      </c>
      <c r="G59" s="86">
        <f t="shared" si="5"/>
        <v>30098.89</v>
      </c>
      <c r="H59" s="86">
        <f t="shared" si="5"/>
        <v>744535.35000000009</v>
      </c>
      <c r="I59" s="87">
        <f t="shared" si="5"/>
        <v>32188929.330000013</v>
      </c>
      <c r="J59" s="50">
        <f t="shared" si="2"/>
        <v>17.081548722305165</v>
      </c>
      <c r="K59" s="50">
        <f t="shared" si="3"/>
        <v>84.794070536317861</v>
      </c>
    </row>
    <row r="60" spans="2:26" ht="12.95" customHeight="1" x14ac:dyDescent="0.2">
      <c r="B60" s="103" t="s">
        <v>15</v>
      </c>
      <c r="C60" s="64">
        <f>C5-C50</f>
        <v>-2611162976.2200012</v>
      </c>
      <c r="D60" s="64">
        <f>D5-D50</f>
        <v>1842346037.5</v>
      </c>
      <c r="E60" s="92"/>
      <c r="F60" s="93"/>
      <c r="G60" s="93"/>
      <c r="H60" s="93"/>
      <c r="I60" s="140"/>
      <c r="J60" s="140"/>
      <c r="K60" s="94"/>
      <c r="L60" s="88"/>
      <c r="M60" s="13"/>
    </row>
    <row r="61" spans="2:26" ht="39" customHeight="1" x14ac:dyDescent="0.2">
      <c r="B61" s="129" t="s">
        <v>109</v>
      </c>
      <c r="C61" s="65">
        <f>C41-C53</f>
        <v>2200463090.6299896</v>
      </c>
      <c r="D61" s="65">
        <f>D41-D53</f>
        <v>5508906251.5100021</v>
      </c>
      <c r="E61" s="91"/>
      <c r="F61" s="89"/>
      <c r="G61" s="89"/>
      <c r="H61" s="89"/>
      <c r="I61" s="89"/>
      <c r="J61" s="89"/>
      <c r="K61" s="90"/>
      <c r="L61" s="90"/>
      <c r="M61" s="10"/>
    </row>
    <row r="62" spans="2:26" ht="12" customHeight="1" outlineLevel="1" x14ac:dyDescent="0.2">
      <c r="B62" s="37"/>
      <c r="C62" s="42"/>
      <c r="D62" s="42"/>
      <c r="E62" s="42"/>
      <c r="F62" s="43"/>
      <c r="G62" s="43"/>
      <c r="H62" s="43"/>
      <c r="I62" s="43"/>
      <c r="J62" s="40"/>
      <c r="K62" s="40"/>
      <c r="L62" s="41"/>
      <c r="M62" s="10"/>
    </row>
    <row r="63" spans="2:26" ht="12" customHeight="1" outlineLevel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.75" customHeight="1" outlineLevel="1" x14ac:dyDescent="0.2">
      <c r="B64" s="169" t="s">
        <v>105</v>
      </c>
      <c r="C64" s="170" t="s">
        <v>101</v>
      </c>
      <c r="D64" s="170"/>
      <c r="E64" s="170" t="s">
        <v>102</v>
      </c>
      <c r="F64" s="170"/>
      <c r="G64" s="130" t="s">
        <v>110</v>
      </c>
      <c r="H64" s="43"/>
      <c r="I64" s="43"/>
      <c r="J64" s="40"/>
      <c r="K64" s="40"/>
      <c r="L64" s="41"/>
      <c r="M64" s="10"/>
    </row>
    <row r="65" spans="2:13" outlineLevel="1" x14ac:dyDescent="0.2">
      <c r="B65" s="169"/>
      <c r="C65" s="131" t="s">
        <v>103</v>
      </c>
      <c r="D65" s="131" t="s">
        <v>104</v>
      </c>
      <c r="E65" s="131" t="s">
        <v>103</v>
      </c>
      <c r="F65" s="131" t="s">
        <v>104</v>
      </c>
      <c r="G65" s="131" t="s">
        <v>103</v>
      </c>
      <c r="H65" s="43"/>
      <c r="I65" s="43"/>
      <c r="J65" s="40"/>
      <c r="K65" s="40"/>
      <c r="L65" s="41"/>
      <c r="M65" s="10"/>
    </row>
    <row r="66" spans="2:13" outlineLevel="1" x14ac:dyDescent="0.2">
      <c r="B66" s="133" t="s">
        <v>106</v>
      </c>
      <c r="C66" s="132">
        <f>38</f>
        <v>38</v>
      </c>
      <c r="D66" s="134">
        <f>179473978.47</f>
        <v>179473978.47</v>
      </c>
      <c r="E66" s="132">
        <f>276</f>
        <v>276</v>
      </c>
      <c r="F66" s="134">
        <f>+-2790636954.69</f>
        <v>-2790636954.6900001</v>
      </c>
      <c r="G66" s="132">
        <f>0</f>
        <v>0</v>
      </c>
      <c r="H66" s="43"/>
      <c r="I66" s="43"/>
      <c r="J66" s="40"/>
      <c r="K66" s="40"/>
      <c r="L66" s="41"/>
      <c r="M66" s="10"/>
    </row>
    <row r="67" spans="2:13" outlineLevel="1" x14ac:dyDescent="0.2">
      <c r="B67" s="133" t="s">
        <v>107</v>
      </c>
      <c r="C67" s="132">
        <f>238</f>
        <v>238</v>
      </c>
      <c r="D67" s="134">
        <f>2308176723.63</f>
        <v>2308176723.6300001</v>
      </c>
      <c r="E67" s="132">
        <f>76</f>
        <v>76</v>
      </c>
      <c r="F67" s="134">
        <f>+-465830686.13</f>
        <v>-465830686.13</v>
      </c>
      <c r="G67" s="132">
        <f>0</f>
        <v>0</v>
      </c>
      <c r="H67" s="43"/>
      <c r="I67" s="43"/>
      <c r="J67" s="40"/>
      <c r="K67" s="40"/>
      <c r="L67" s="41"/>
      <c r="M67" s="10"/>
    </row>
    <row r="68" spans="2:13" outlineLevel="1" x14ac:dyDescent="0.2">
      <c r="B68" s="25"/>
      <c r="C68" s="25"/>
      <c r="D68" s="25"/>
      <c r="E68" s="25"/>
      <c r="F68" s="25"/>
      <c r="G68" s="25"/>
      <c r="H68" s="43"/>
      <c r="I68" s="43"/>
      <c r="J68" s="40"/>
      <c r="K68" s="40"/>
      <c r="L68" s="41"/>
      <c r="M68" s="10"/>
    </row>
    <row r="69" spans="2:13" ht="12.75" customHeight="1" outlineLevel="1" x14ac:dyDescent="0.2">
      <c r="B69" s="169" t="s">
        <v>108</v>
      </c>
      <c r="C69" s="170" t="s">
        <v>101</v>
      </c>
      <c r="D69" s="170"/>
      <c r="E69" s="170" t="s">
        <v>102</v>
      </c>
      <c r="F69" s="170"/>
      <c r="G69" s="130" t="s">
        <v>110</v>
      </c>
      <c r="H69" s="43"/>
      <c r="I69" s="43"/>
      <c r="J69" s="40"/>
      <c r="K69" s="40"/>
      <c r="L69" s="41"/>
      <c r="M69" s="10"/>
    </row>
    <row r="70" spans="2:13" outlineLevel="1" x14ac:dyDescent="0.2">
      <c r="B70" s="169"/>
      <c r="C70" s="131" t="s">
        <v>103</v>
      </c>
      <c r="D70" s="131" t="s">
        <v>104</v>
      </c>
      <c r="E70" s="131" t="s">
        <v>103</v>
      </c>
      <c r="F70" s="131" t="s">
        <v>104</v>
      </c>
      <c r="G70" s="131" t="s">
        <v>103</v>
      </c>
      <c r="H70" s="43"/>
      <c r="I70" s="43"/>
      <c r="J70" s="40"/>
      <c r="K70" s="40"/>
      <c r="L70" s="41"/>
      <c r="M70" s="10"/>
    </row>
    <row r="71" spans="2:13" outlineLevel="1" x14ac:dyDescent="0.2">
      <c r="B71" s="133" t="s">
        <v>106</v>
      </c>
      <c r="C71" s="132">
        <f>265</f>
        <v>265</v>
      </c>
      <c r="D71" s="134">
        <f>2409142700.02</f>
        <v>2409142700.02</v>
      </c>
      <c r="E71" s="132">
        <f>49</f>
        <v>49</v>
      </c>
      <c r="F71" s="134">
        <f>+-208679609.39</f>
        <v>-208679609.38999999</v>
      </c>
      <c r="G71" s="132">
        <f>0</f>
        <v>0</v>
      </c>
      <c r="H71" s="43"/>
      <c r="I71" s="43"/>
      <c r="J71" s="40"/>
      <c r="K71" s="40"/>
      <c r="L71" s="41"/>
      <c r="M71" s="10"/>
    </row>
    <row r="72" spans="2:13" outlineLevel="1" x14ac:dyDescent="0.2">
      <c r="B72" s="133" t="s">
        <v>107</v>
      </c>
      <c r="C72" s="132">
        <f>312</f>
        <v>312</v>
      </c>
      <c r="D72" s="134">
        <f>5515056097.72</f>
        <v>5515056097.7200003</v>
      </c>
      <c r="E72" s="132">
        <f>2</f>
        <v>2</v>
      </c>
      <c r="F72" s="134">
        <f>+-6149846.21</f>
        <v>-6149846.21</v>
      </c>
      <c r="G72" s="132">
        <f>0</f>
        <v>0</v>
      </c>
      <c r="H72" s="43"/>
      <c r="I72" s="43"/>
      <c r="J72" s="40"/>
      <c r="K72" s="40"/>
      <c r="L72" s="41"/>
      <c r="M72" s="10"/>
    </row>
    <row r="73" spans="2:13" ht="12" customHeight="1" outlineLevel="1" x14ac:dyDescent="0.2">
      <c r="B73" s="37"/>
      <c r="C73" s="42"/>
      <c r="D73" s="42"/>
      <c r="E73" s="42"/>
      <c r="F73" s="43"/>
      <c r="G73" s="43"/>
      <c r="H73" s="43"/>
      <c r="I73" s="43"/>
      <c r="J73" s="40"/>
      <c r="K73" s="40"/>
      <c r="L73" s="41"/>
      <c r="M73" s="10"/>
    </row>
    <row r="74" spans="2:13" ht="12" customHeight="1" x14ac:dyDescent="0.2">
      <c r="B74" s="37"/>
      <c r="C74" s="42"/>
      <c r="D74" s="42"/>
      <c r="E74" s="42"/>
      <c r="F74" s="43"/>
      <c r="G74" s="43"/>
      <c r="H74" s="43"/>
      <c r="I74" s="43"/>
      <c r="J74" s="40"/>
      <c r="K74" s="40"/>
      <c r="L74" s="41"/>
      <c r="M74" s="10"/>
    </row>
    <row r="75" spans="2:13" ht="12" customHeight="1" x14ac:dyDescent="0.2">
      <c r="B75" s="125" t="s">
        <v>88</v>
      </c>
      <c r="C75" s="42"/>
      <c r="D75" s="42"/>
      <c r="E75" s="42"/>
      <c r="F75" s="43"/>
      <c r="G75" s="43"/>
      <c r="H75" s="43"/>
      <c r="I75" s="43"/>
      <c r="J75" s="40"/>
      <c r="K75" s="40"/>
      <c r="L75" s="41"/>
      <c r="M75" s="10"/>
    </row>
    <row r="76" spans="2:13" ht="26.85" customHeight="1" x14ac:dyDescent="0.2">
      <c r="B76" s="123" t="s">
        <v>85</v>
      </c>
      <c r="C76" s="121">
        <f>3241127642.04</f>
        <v>3241127642.04</v>
      </c>
      <c r="D76" s="62">
        <f>2449243085.96</f>
        <v>2449243085.96</v>
      </c>
      <c r="E76" s="62">
        <f>2454599386.27</f>
        <v>2454599386.27</v>
      </c>
      <c r="F76" s="62">
        <f>48879158.95</f>
        <v>48879158.950000003</v>
      </c>
      <c r="G76" s="62">
        <f>0</f>
        <v>0</v>
      </c>
      <c r="H76" s="62">
        <f>0</f>
        <v>0</v>
      </c>
      <c r="I76" s="62">
        <f>22305209.16</f>
        <v>22305209.16</v>
      </c>
      <c r="J76" s="50">
        <f>IF($D$76=0,"",100*$D76/$D$76)</f>
        <v>100</v>
      </c>
      <c r="K76" s="63">
        <f>IF(C76=0,"",100*D76/C76)</f>
        <v>75.567622027326905</v>
      </c>
      <c r="L76" s="10"/>
    </row>
    <row r="77" spans="2:13" ht="12.95" customHeight="1" x14ac:dyDescent="0.2">
      <c r="B77" s="124" t="s">
        <v>50</v>
      </c>
      <c r="C77" s="122">
        <f>2009249479.55</f>
        <v>2009249479.55</v>
      </c>
      <c r="D77" s="61">
        <f>1622598240.21</f>
        <v>1622598240.21</v>
      </c>
      <c r="E77" s="61">
        <f>1623309881.9</f>
        <v>1623309881.9000001</v>
      </c>
      <c r="F77" s="61">
        <f>42000600.18</f>
        <v>42000600.18</v>
      </c>
      <c r="G77" s="61">
        <f>0</f>
        <v>0</v>
      </c>
      <c r="H77" s="61">
        <f>0</f>
        <v>0</v>
      </c>
      <c r="I77" s="61">
        <f>22015529.16</f>
        <v>22015529.16</v>
      </c>
      <c r="J77" s="50">
        <f>IF($D$76=0,"",100*$D77/$D$76)</f>
        <v>66.248966854754229</v>
      </c>
      <c r="K77" s="63">
        <f>IF(C77=0,"",100*D77/C77)</f>
        <v>80.756434515708023</v>
      </c>
    </row>
    <row r="78" spans="2:13" ht="12.95" customHeight="1" x14ac:dyDescent="0.2">
      <c r="B78" s="124" t="s">
        <v>51</v>
      </c>
      <c r="C78" s="122">
        <f>C76-C77</f>
        <v>1231878162.49</v>
      </c>
      <c r="D78" s="61">
        <f t="shared" ref="D78:I78" si="6">D76-D77</f>
        <v>826644845.75</v>
      </c>
      <c r="E78" s="61">
        <f t="shared" si="6"/>
        <v>831289504.36999989</v>
      </c>
      <c r="F78" s="61">
        <f t="shared" si="6"/>
        <v>6878558.7700000033</v>
      </c>
      <c r="G78" s="61">
        <f t="shared" si="6"/>
        <v>0</v>
      </c>
      <c r="H78" s="61">
        <f t="shared" si="6"/>
        <v>0</v>
      </c>
      <c r="I78" s="61">
        <f t="shared" si="6"/>
        <v>289680</v>
      </c>
      <c r="J78" s="50">
        <f>IF($D$76=0,"",100*$D78/$D$76)</f>
        <v>33.751033145245771</v>
      </c>
      <c r="K78" s="63">
        <f>IF(C78=0,"",100*D78/C78)</f>
        <v>67.104432152535253</v>
      </c>
    </row>
    <row r="79" spans="2:13" ht="20.100000000000001" customHeight="1" x14ac:dyDescent="0.2">
      <c r="B79" s="116" t="str">
        <f>CONCATENATE("Informacja z wykonania budżetów powiatów za ",$D$114," ",$C$115," rok     ",$C$117,"")</f>
        <v xml:space="preserve">Informacja z wykonania budżetów powiatów za IV Kwartały 2025 rok     </v>
      </c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 x14ac:dyDescent="0.2">
      <c r="B80" s="28" t="s">
        <v>16</v>
      </c>
      <c r="C80" s="95" t="s">
        <v>17</v>
      </c>
      <c r="D80" s="71" t="s">
        <v>1</v>
      </c>
      <c r="E80" s="144" t="s">
        <v>78</v>
      </c>
      <c r="F80" s="145"/>
      <c r="G80" s="145"/>
      <c r="H80" s="145"/>
      <c r="I80" s="146"/>
      <c r="J80" s="18" t="s">
        <v>21</v>
      </c>
      <c r="K80" s="18" t="s">
        <v>22</v>
      </c>
    </row>
    <row r="81" spans="2:11" x14ac:dyDescent="0.2">
      <c r="B81" s="28"/>
      <c r="C81" s="139" t="s">
        <v>52</v>
      </c>
      <c r="D81" s="154"/>
      <c r="E81" s="147"/>
      <c r="F81" s="148"/>
      <c r="G81" s="148"/>
      <c r="H81" s="148"/>
      <c r="I81" s="149"/>
      <c r="J81" s="135" t="s">
        <v>4</v>
      </c>
      <c r="K81" s="136"/>
    </row>
    <row r="82" spans="2:11" x14ac:dyDescent="0.2">
      <c r="B82" s="26">
        <v>1</v>
      </c>
      <c r="C82" s="29">
        <v>2</v>
      </c>
      <c r="D82" s="27">
        <v>3</v>
      </c>
      <c r="E82" s="150"/>
      <c r="F82" s="151"/>
      <c r="G82" s="151"/>
      <c r="H82" s="151"/>
      <c r="I82" s="152"/>
      <c r="J82" s="27">
        <v>4</v>
      </c>
      <c r="K82" s="27">
        <v>5</v>
      </c>
    </row>
    <row r="83" spans="2:11" ht="26.85" customHeight="1" x14ac:dyDescent="0.2">
      <c r="B83" s="104" t="s">
        <v>39</v>
      </c>
      <c r="C83" s="44">
        <f>4129969848.73</f>
        <v>4129969848.73</v>
      </c>
      <c r="D83" s="72">
        <f>6768410452.45</f>
        <v>6768410452.4499998</v>
      </c>
      <c r="E83" s="102" t="s">
        <v>78</v>
      </c>
      <c r="F83" s="102" t="s">
        <v>78</v>
      </c>
      <c r="G83" s="102" t="s">
        <v>78</v>
      </c>
      <c r="H83" s="102" t="s">
        <v>78</v>
      </c>
      <c r="I83" s="102" t="s">
        <v>78</v>
      </c>
      <c r="J83" s="45">
        <f>IF($D$83=0,"",100*$D83/$D$83)</f>
        <v>100</v>
      </c>
      <c r="K83" s="39">
        <f t="shared" ref="K83:K97" si="7">IF(C83=0,"",100*D83/C83)</f>
        <v>163.88522677789868</v>
      </c>
    </row>
    <row r="84" spans="2:11" ht="25.5" customHeight="1" x14ac:dyDescent="0.2">
      <c r="B84" s="118" t="s">
        <v>62</v>
      </c>
      <c r="C84" s="46">
        <f>1061362085.59</f>
        <v>1061362085.59</v>
      </c>
      <c r="D84" s="98">
        <f>850978114.06</f>
        <v>850978114.05999994</v>
      </c>
      <c r="E84" s="102" t="s">
        <v>78</v>
      </c>
      <c r="F84" s="102" t="s">
        <v>78</v>
      </c>
      <c r="G84" s="102" t="s">
        <v>78</v>
      </c>
      <c r="H84" s="102" t="s">
        <v>78</v>
      </c>
      <c r="I84" s="102" t="s">
        <v>78</v>
      </c>
      <c r="J84" s="47">
        <f t="shared" ref="J84:J93" si="8">IF($D$83=0,"",100*$D84/$D$83)</f>
        <v>12.572791204646382</v>
      </c>
      <c r="K84" s="48">
        <f t="shared" si="7"/>
        <v>80.177926610874763</v>
      </c>
    </row>
    <row r="85" spans="2:11" ht="22.5" x14ac:dyDescent="0.2">
      <c r="B85" s="119" t="s">
        <v>63</v>
      </c>
      <c r="C85" s="66">
        <f>43000000</f>
        <v>43000000</v>
      </c>
      <c r="D85" s="56">
        <f>33000000</f>
        <v>33000000</v>
      </c>
      <c r="E85" s="102" t="s">
        <v>78</v>
      </c>
      <c r="F85" s="102" t="s">
        <v>78</v>
      </c>
      <c r="G85" s="102" t="s">
        <v>78</v>
      </c>
      <c r="H85" s="102" t="s">
        <v>78</v>
      </c>
      <c r="I85" s="102" t="s">
        <v>78</v>
      </c>
      <c r="J85" s="67">
        <f t="shared" si="8"/>
        <v>0.48755908395086772</v>
      </c>
      <c r="K85" s="68">
        <f t="shared" si="7"/>
        <v>76.744186046511629</v>
      </c>
    </row>
    <row r="86" spans="2:11" ht="12.95" customHeight="1" x14ac:dyDescent="0.2">
      <c r="B86" s="117" t="s">
        <v>64</v>
      </c>
      <c r="C86" s="66">
        <f>54692869.15</f>
        <v>54692869.149999999</v>
      </c>
      <c r="D86" s="56">
        <f>54839405.22</f>
        <v>54839405.219999999</v>
      </c>
      <c r="E86" s="102" t="s">
        <v>78</v>
      </c>
      <c r="F86" s="102" t="s">
        <v>78</v>
      </c>
      <c r="G86" s="102" t="s">
        <v>78</v>
      </c>
      <c r="H86" s="102" t="s">
        <v>78</v>
      </c>
      <c r="I86" s="102" t="s">
        <v>78</v>
      </c>
      <c r="J86" s="67">
        <f t="shared" si="8"/>
        <v>0.81022576283253434</v>
      </c>
      <c r="K86" s="68">
        <f t="shared" si="7"/>
        <v>100.2679253662815</v>
      </c>
    </row>
    <row r="87" spans="2:11" ht="48.75" customHeight="1" x14ac:dyDescent="0.2">
      <c r="B87" s="117" t="s">
        <v>71</v>
      </c>
      <c r="C87" s="66">
        <f>610647022.37</f>
        <v>610647022.37</v>
      </c>
      <c r="D87" s="56">
        <f>2102881317.57</f>
        <v>2102881317.5699999</v>
      </c>
      <c r="E87" s="102" t="s">
        <v>78</v>
      </c>
      <c r="F87" s="102" t="s">
        <v>78</v>
      </c>
      <c r="G87" s="102" t="s">
        <v>78</v>
      </c>
      <c r="H87" s="102" t="s">
        <v>78</v>
      </c>
      <c r="I87" s="102" t="s">
        <v>78</v>
      </c>
      <c r="J87" s="67">
        <f t="shared" si="8"/>
        <v>31.069057237934029</v>
      </c>
      <c r="K87" s="68">
        <f t="shared" si="7"/>
        <v>344.36937224526957</v>
      </c>
    </row>
    <row r="88" spans="2:11" ht="35.25" customHeight="1" x14ac:dyDescent="0.2">
      <c r="B88" s="117" t="s">
        <v>72</v>
      </c>
      <c r="C88" s="66">
        <f>849336396.88</f>
        <v>849336396.88</v>
      </c>
      <c r="D88" s="56">
        <f>946605734.78</f>
        <v>946605734.77999997</v>
      </c>
      <c r="E88" s="102" t="s">
        <v>78</v>
      </c>
      <c r="F88" s="102" t="s">
        <v>78</v>
      </c>
      <c r="G88" s="102" t="s">
        <v>78</v>
      </c>
      <c r="H88" s="102" t="s">
        <v>78</v>
      </c>
      <c r="I88" s="102" t="s">
        <v>78</v>
      </c>
      <c r="J88" s="67">
        <f t="shared" si="8"/>
        <v>13.985643179150753</v>
      </c>
      <c r="K88" s="68">
        <f t="shared" si="7"/>
        <v>111.45239250988355</v>
      </c>
    </row>
    <row r="89" spans="2:11" ht="12.95" customHeight="1" x14ac:dyDescent="0.2">
      <c r="B89" s="117" t="s">
        <v>65</v>
      </c>
      <c r="C89" s="66">
        <f>0</f>
        <v>0</v>
      </c>
      <c r="D89" s="56">
        <f>0</f>
        <v>0</v>
      </c>
      <c r="E89" s="102" t="s">
        <v>78</v>
      </c>
      <c r="F89" s="102" t="s">
        <v>78</v>
      </c>
      <c r="G89" s="102" t="s">
        <v>78</v>
      </c>
      <c r="H89" s="102" t="s">
        <v>78</v>
      </c>
      <c r="I89" s="102" t="s">
        <v>78</v>
      </c>
      <c r="J89" s="67">
        <f t="shared" si="8"/>
        <v>0</v>
      </c>
      <c r="K89" s="68" t="str">
        <f t="shared" si="7"/>
        <v/>
      </c>
    </row>
    <row r="90" spans="2:11" ht="33.75" x14ac:dyDescent="0.2">
      <c r="B90" s="117" t="s">
        <v>66</v>
      </c>
      <c r="C90" s="66">
        <f>1428979701.64</f>
        <v>1428979701.6400001</v>
      </c>
      <c r="D90" s="56">
        <f>2670147141.71</f>
        <v>2670147141.71</v>
      </c>
      <c r="E90" s="102" t="s">
        <v>78</v>
      </c>
      <c r="F90" s="102" t="s">
        <v>78</v>
      </c>
      <c r="G90" s="102" t="s">
        <v>78</v>
      </c>
      <c r="H90" s="102" t="s">
        <v>78</v>
      </c>
      <c r="I90" s="102" t="s">
        <v>78</v>
      </c>
      <c r="J90" s="67">
        <f t="shared" si="8"/>
        <v>39.450136194731982</v>
      </c>
      <c r="K90" s="68">
        <f t="shared" si="7"/>
        <v>186.85689787234534</v>
      </c>
    </row>
    <row r="91" spans="2:11" ht="56.25" x14ac:dyDescent="0.2">
      <c r="B91" s="117" t="s">
        <v>93</v>
      </c>
      <c r="C91" s="66">
        <f>0</f>
        <v>0</v>
      </c>
      <c r="D91" s="56">
        <f>0</f>
        <v>0</v>
      </c>
      <c r="E91" s="102" t="s">
        <v>78</v>
      </c>
      <c r="F91" s="102" t="s">
        <v>78</v>
      </c>
      <c r="G91" s="102" t="s">
        <v>78</v>
      </c>
      <c r="H91" s="102" t="s">
        <v>78</v>
      </c>
      <c r="I91" s="102" t="s">
        <v>78</v>
      </c>
      <c r="J91" s="67">
        <f t="shared" si="8"/>
        <v>0</v>
      </c>
      <c r="K91" s="68" t="str">
        <f>IF(C91=0,"",100*D91/C91)</f>
        <v/>
      </c>
    </row>
    <row r="92" spans="2:11" x14ac:dyDescent="0.2">
      <c r="B92" s="117" t="s">
        <v>89</v>
      </c>
      <c r="C92" s="66">
        <f>124951773.1</f>
        <v>124951773.09999999</v>
      </c>
      <c r="D92" s="56">
        <f>142958739.11</f>
        <v>142958739.11000001</v>
      </c>
      <c r="E92" s="102" t="s">
        <v>78</v>
      </c>
      <c r="F92" s="102" t="s">
        <v>78</v>
      </c>
      <c r="G92" s="102" t="s">
        <v>78</v>
      </c>
      <c r="H92" s="102" t="s">
        <v>78</v>
      </c>
      <c r="I92" s="102" t="s">
        <v>78</v>
      </c>
      <c r="J92" s="67">
        <f t="shared" si="8"/>
        <v>2.1121464207043239</v>
      </c>
      <c r="K92" s="68">
        <f>IF(C92=0,"",100*D92/C92)</f>
        <v>114.41113284209972</v>
      </c>
    </row>
    <row r="93" spans="2:11" ht="23.25" customHeight="1" x14ac:dyDescent="0.2">
      <c r="B93" s="119" t="s">
        <v>90</v>
      </c>
      <c r="C93" s="66">
        <f>114951773.1</f>
        <v>114951773.09999999</v>
      </c>
      <c r="D93" s="56">
        <f>140361055.4</f>
        <v>140361055.40000001</v>
      </c>
      <c r="E93" s="102" t="s">
        <v>78</v>
      </c>
      <c r="F93" s="102" t="s">
        <v>78</v>
      </c>
      <c r="G93" s="102" t="s">
        <v>78</v>
      </c>
      <c r="H93" s="102" t="s">
        <v>78</v>
      </c>
      <c r="I93" s="102" t="s">
        <v>78</v>
      </c>
      <c r="J93" s="67">
        <f t="shared" si="8"/>
        <v>2.0737668967636664</v>
      </c>
      <c r="K93" s="68">
        <f>IF(C93=0,"",100*D93/C93)</f>
        <v>122.10429784140494</v>
      </c>
    </row>
    <row r="94" spans="2:11" ht="26.85" customHeight="1" x14ac:dyDescent="0.2">
      <c r="B94" s="104" t="s">
        <v>40</v>
      </c>
      <c r="C94" s="51">
        <f>1509737063.67</f>
        <v>1509737063.6700001</v>
      </c>
      <c r="D94" s="72">
        <f>1393523234.91</f>
        <v>1393523234.9100001</v>
      </c>
      <c r="E94" s="102" t="s">
        <v>78</v>
      </c>
      <c r="F94" s="102" t="s">
        <v>78</v>
      </c>
      <c r="G94" s="102" t="s">
        <v>78</v>
      </c>
      <c r="H94" s="102" t="s">
        <v>78</v>
      </c>
      <c r="I94" s="102" t="s">
        <v>78</v>
      </c>
      <c r="J94" s="45">
        <f t="shared" ref="J94:J99" si="9">IF($D$94=0,"",100*$D94/$D$94)</f>
        <v>100</v>
      </c>
      <c r="K94" s="39">
        <f t="shared" si="7"/>
        <v>92.30237956286922</v>
      </c>
    </row>
    <row r="95" spans="2:11" ht="33.75" x14ac:dyDescent="0.2">
      <c r="B95" s="118" t="s">
        <v>94</v>
      </c>
      <c r="C95" s="46">
        <f>975745851.06</f>
        <v>975745851.05999994</v>
      </c>
      <c r="D95" s="99">
        <f>962964017.91</f>
        <v>962964017.90999997</v>
      </c>
      <c r="E95" s="102" t="s">
        <v>78</v>
      </c>
      <c r="F95" s="102" t="s">
        <v>78</v>
      </c>
      <c r="G95" s="102" t="s">
        <v>78</v>
      </c>
      <c r="H95" s="102" t="s">
        <v>78</v>
      </c>
      <c r="I95" s="102" t="s">
        <v>78</v>
      </c>
      <c r="J95" s="47">
        <f t="shared" si="9"/>
        <v>69.10283185713746</v>
      </c>
      <c r="K95" s="48">
        <f t="shared" si="7"/>
        <v>98.690044837381123</v>
      </c>
    </row>
    <row r="96" spans="2:11" ht="12.95" customHeight="1" x14ac:dyDescent="0.2">
      <c r="B96" s="119" t="s">
        <v>67</v>
      </c>
      <c r="C96" s="66">
        <f>31940000</f>
        <v>31940000</v>
      </c>
      <c r="D96" s="56">
        <f>29240000</f>
        <v>29240000</v>
      </c>
      <c r="E96" s="102" t="s">
        <v>78</v>
      </c>
      <c r="F96" s="102" t="s">
        <v>78</v>
      </c>
      <c r="G96" s="102" t="s">
        <v>78</v>
      </c>
      <c r="H96" s="102" t="s">
        <v>78</v>
      </c>
      <c r="I96" s="102" t="s">
        <v>78</v>
      </c>
      <c r="J96" s="67">
        <f t="shared" si="9"/>
        <v>2.0982786126195054</v>
      </c>
      <c r="K96" s="68">
        <f t="shared" si="7"/>
        <v>91.546649968691298</v>
      </c>
    </row>
    <row r="97" spans="2:11" ht="12.95" customHeight="1" x14ac:dyDescent="0.2">
      <c r="B97" s="117" t="s">
        <v>76</v>
      </c>
      <c r="C97" s="66">
        <f>195211568.81</f>
        <v>195211568.81</v>
      </c>
      <c r="D97" s="56">
        <f>199906841.14</f>
        <v>199906841.13999999</v>
      </c>
      <c r="E97" s="102" t="s">
        <v>78</v>
      </c>
      <c r="F97" s="102" t="s">
        <v>78</v>
      </c>
      <c r="G97" s="102" t="s">
        <v>78</v>
      </c>
      <c r="H97" s="102" t="s">
        <v>78</v>
      </c>
      <c r="I97" s="102" t="s">
        <v>78</v>
      </c>
      <c r="J97" s="67">
        <f t="shared" si="9"/>
        <v>14.345425761983142</v>
      </c>
      <c r="K97" s="68">
        <f t="shared" si="7"/>
        <v>102.40522237417697</v>
      </c>
    </row>
    <row r="98" spans="2:11" ht="12.95" customHeight="1" x14ac:dyDescent="0.2">
      <c r="B98" s="117" t="s">
        <v>91</v>
      </c>
      <c r="C98" s="66">
        <f>338779643.8</f>
        <v>338779643.80000001</v>
      </c>
      <c r="D98" s="56">
        <f>230652375.86</f>
        <v>230652375.86000001</v>
      </c>
      <c r="E98" s="102" t="s">
        <v>78</v>
      </c>
      <c r="F98" s="102" t="s">
        <v>78</v>
      </c>
      <c r="G98" s="102" t="s">
        <v>78</v>
      </c>
      <c r="H98" s="102" t="s">
        <v>78</v>
      </c>
      <c r="I98" s="102" t="s">
        <v>78</v>
      </c>
      <c r="J98" s="67">
        <f t="shared" si="9"/>
        <v>16.551742380879393</v>
      </c>
      <c r="K98" s="68">
        <f>IF(C98=0,"",100*D98/C98)</f>
        <v>68.083304319242572</v>
      </c>
    </row>
    <row r="99" spans="2:11" ht="22.5" x14ac:dyDescent="0.2">
      <c r="B99" s="119" t="s">
        <v>92</v>
      </c>
      <c r="C99" s="66">
        <f>239889672.44</f>
        <v>239889672.44</v>
      </c>
      <c r="D99" s="56">
        <f>162314965.98</f>
        <v>162314965.97999999</v>
      </c>
      <c r="E99" s="102" t="s">
        <v>78</v>
      </c>
      <c r="F99" s="102" t="s">
        <v>78</v>
      </c>
      <c r="G99" s="102" t="s">
        <v>78</v>
      </c>
      <c r="H99" s="102" t="s">
        <v>78</v>
      </c>
      <c r="I99" s="102" t="s">
        <v>78</v>
      </c>
      <c r="J99" s="67">
        <f t="shared" si="9"/>
        <v>11.647811957041606</v>
      </c>
      <c r="K99" s="68">
        <f>IF(C99=0,"",100*D99/C99)</f>
        <v>67.66234007868654</v>
      </c>
    </row>
    <row r="100" spans="2:11" x14ac:dyDescent="0.2">
      <c r="B100" s="25"/>
    </row>
    <row r="101" spans="2:11" x14ac:dyDescent="0.2">
      <c r="B101" s="52" t="s">
        <v>16</v>
      </c>
      <c r="C101" s="79" t="s">
        <v>17</v>
      </c>
      <c r="D101" s="18" t="s">
        <v>1</v>
      </c>
    </row>
    <row r="102" spans="2:11" x14ac:dyDescent="0.2">
      <c r="B102" s="52"/>
      <c r="C102" s="137" t="s">
        <v>52</v>
      </c>
      <c r="D102" s="137"/>
    </row>
    <row r="103" spans="2:11" x14ac:dyDescent="0.2">
      <c r="B103" s="26">
        <v>1</v>
      </c>
      <c r="C103" s="27">
        <v>2</v>
      </c>
      <c r="D103" s="27">
        <v>3</v>
      </c>
    </row>
    <row r="104" spans="2:11" ht="36" customHeight="1" x14ac:dyDescent="0.2">
      <c r="B104" s="53" t="s">
        <v>95</v>
      </c>
      <c r="C104" s="49">
        <f>2780636954.69</f>
        <v>2780636954.6900001</v>
      </c>
      <c r="D104" s="96">
        <f>463233002.42</f>
        <v>463233002.42000002</v>
      </c>
    </row>
    <row r="105" spans="2:11" ht="35.25" customHeight="1" x14ac:dyDescent="0.2">
      <c r="B105" s="120" t="s">
        <v>54</v>
      </c>
      <c r="C105" s="66">
        <f>27000000</f>
        <v>27000000</v>
      </c>
      <c r="D105" s="56">
        <f>0</f>
        <v>0</v>
      </c>
    </row>
    <row r="106" spans="2:11" ht="12.95" customHeight="1" x14ac:dyDescent="0.2">
      <c r="B106" s="120" t="s">
        <v>55</v>
      </c>
      <c r="C106" s="66">
        <f>656007266.26</f>
        <v>656007266.25999999</v>
      </c>
      <c r="D106" s="56">
        <f>158315105.19</f>
        <v>158315105.19</v>
      </c>
    </row>
    <row r="107" spans="2:11" ht="24" customHeight="1" x14ac:dyDescent="0.2">
      <c r="B107" s="120" t="s">
        <v>56</v>
      </c>
      <c r="C107" s="66">
        <f>0</f>
        <v>0</v>
      </c>
      <c r="D107" s="56">
        <f>0</f>
        <v>0</v>
      </c>
    </row>
    <row r="108" spans="2:11" ht="57.75" customHeight="1" x14ac:dyDescent="0.2">
      <c r="B108" s="120" t="s">
        <v>73</v>
      </c>
      <c r="C108" s="66">
        <f>470402697.47</f>
        <v>470402697.47000003</v>
      </c>
      <c r="D108" s="56">
        <f>34251361.57</f>
        <v>34251361.57</v>
      </c>
    </row>
    <row r="109" spans="2:11" ht="81" customHeight="1" x14ac:dyDescent="0.2">
      <c r="B109" s="120" t="s">
        <v>57</v>
      </c>
      <c r="C109" s="66">
        <f>797662942</f>
        <v>797662942</v>
      </c>
      <c r="D109" s="56">
        <f>72105748.08</f>
        <v>72105748.079999998</v>
      </c>
    </row>
    <row r="110" spans="2:11" ht="149.25" customHeight="1" x14ac:dyDescent="0.2">
      <c r="B110" s="120" t="s">
        <v>74</v>
      </c>
      <c r="C110" s="66">
        <f>753994112.46</f>
        <v>753994112.46000004</v>
      </c>
      <c r="D110" s="56">
        <f>186156924.23</f>
        <v>186156924.22999999</v>
      </c>
    </row>
    <row r="111" spans="2:11" ht="25.5" customHeight="1" x14ac:dyDescent="0.2">
      <c r="B111" s="120" t="s">
        <v>75</v>
      </c>
      <c r="C111" s="66">
        <f>8865237</f>
        <v>8865237</v>
      </c>
      <c r="D111" s="56">
        <f>1150000</f>
        <v>1150000</v>
      </c>
    </row>
    <row r="112" spans="2:11" ht="25.5" customHeight="1" x14ac:dyDescent="0.2">
      <c r="B112" s="128" t="s">
        <v>90</v>
      </c>
      <c r="C112" s="66">
        <f>66704699.5</f>
        <v>66704699.5</v>
      </c>
      <c r="D112" s="56">
        <f>11253863.35</f>
        <v>11253863.35</v>
      </c>
    </row>
    <row r="114" spans="2:4" ht="10.5" customHeight="1" x14ac:dyDescent="0.2">
      <c r="B114" s="24" t="s">
        <v>41</v>
      </c>
      <c r="C114" s="24">
        <f>4</f>
        <v>4</v>
      </c>
      <c r="D114" s="24" t="str">
        <f>IF(C114=1,"I Kwartał",IF(C114=2,"II Kwartały",IF(C114=3,"III Kwartały",IF(C114=4,"IV Kwartały",IF(C114="M1","Styczeń",IF(C114="M11","Listopad",IF(C114="M12","Grudzień","-")))))))</f>
        <v>IV Kwartały</v>
      </c>
    </row>
    <row r="115" spans="2:4" ht="10.5" customHeight="1" x14ac:dyDescent="0.2">
      <c r="B115" s="24" t="s">
        <v>42</v>
      </c>
      <c r="C115" s="100">
        <f>2025</f>
        <v>2025</v>
      </c>
      <c r="D115" s="25"/>
    </row>
    <row r="116" spans="2:4" ht="12" customHeight="1" x14ac:dyDescent="0.2">
      <c r="B116" s="24" t="s">
        <v>43</v>
      </c>
      <c r="C116" s="142" t="str">
        <f>"Mar 18 2026 12:00AM"</f>
        <v>Mar 18 2026 12:00AM</v>
      </c>
      <c r="D116" s="143"/>
    </row>
    <row r="117" spans="2:4" ht="9.75" hidden="1" customHeight="1" x14ac:dyDescent="0.2">
      <c r="B117" s="24" t="s">
        <v>47</v>
      </c>
      <c r="C117" s="101" t="str">
        <f>""</f>
        <v/>
      </c>
      <c r="D117" s="25"/>
    </row>
  </sheetData>
  <mergeCells count="28">
    <mergeCell ref="B69:B70"/>
    <mergeCell ref="C69:D69"/>
    <mergeCell ref="E69:F69"/>
    <mergeCell ref="J3:L3"/>
    <mergeCell ref="E3:I4"/>
    <mergeCell ref="B64:B65"/>
    <mergeCell ref="C64:D64"/>
    <mergeCell ref="E64:F64"/>
    <mergeCell ref="B2:B3"/>
    <mergeCell ref="C45:C47"/>
    <mergeCell ref="B45:B48"/>
    <mergeCell ref="I45:I47"/>
    <mergeCell ref="C48:I48"/>
    <mergeCell ref="C3:D3"/>
    <mergeCell ref="C116:D116"/>
    <mergeCell ref="E80:I82"/>
    <mergeCell ref="F45:H45"/>
    <mergeCell ref="G46:H46"/>
    <mergeCell ref="C81:D81"/>
    <mergeCell ref="C102:D102"/>
    <mergeCell ref="J81:K81"/>
    <mergeCell ref="D45:D47"/>
    <mergeCell ref="E45:E47"/>
    <mergeCell ref="F46:F47"/>
    <mergeCell ref="I60:J60"/>
    <mergeCell ref="K45:K47"/>
    <mergeCell ref="J45:J47"/>
    <mergeCell ref="J48:K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2" max="16383" man="1"/>
    <brk id="78" max="16383" man="1"/>
    <brk id="10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2025-02-07T10:19:37Z</cp:lastPrinted>
  <dcterms:created xsi:type="dcterms:W3CDTF">2001-05-17T08:58:03Z</dcterms:created>
  <dcterms:modified xsi:type="dcterms:W3CDTF">2026-03-25T10:12:41Z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