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6\I kwartał\2026.05.18 dane ostateczne\Zbiorówki_2026_k1_2026.05.18\Publikacja\"/>
    </mc:Choice>
  </mc:AlternateContent>
  <xr:revisionPtr revIDLastSave="0" documentId="13_ncr:1_{2EC092C4-C45F-4DDF-93FC-54A3FA4CE8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3" i="7" l="1"/>
  <c r="B92" i="7"/>
  <c r="B91" i="7"/>
  <c r="B90" i="7"/>
  <c r="I87" i="7"/>
  <c r="G87" i="7"/>
  <c r="I86" i="7"/>
  <c r="G86" i="7"/>
  <c r="I85" i="7"/>
  <c r="G85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L75" i="7"/>
  <c r="K75" i="7"/>
  <c r="J75" i="7"/>
  <c r="I75" i="7"/>
  <c r="H75" i="7"/>
  <c r="G75" i="7"/>
  <c r="F75" i="7"/>
  <c r="L74" i="7"/>
  <c r="K74" i="7"/>
  <c r="J74" i="7"/>
  <c r="I74" i="7"/>
  <c r="H74" i="7"/>
  <c r="G74" i="7"/>
  <c r="F74" i="7"/>
  <c r="L73" i="7"/>
  <c r="K73" i="7"/>
  <c r="J73" i="7"/>
  <c r="I73" i="7"/>
  <c r="H73" i="7"/>
  <c r="G73" i="7"/>
  <c r="F73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0" i="7" l="1"/>
  <c r="A82" i="7" l="1"/>
  <c r="A63" i="7"/>
  <c r="A27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<sst xmlns="http://schemas.openxmlformats.org/spreadsheetml/2006/main" count="97" uniqueCount="81">
  <si>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</si>
  <si>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</si>
  <si>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</si>
  <si>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</si>
  <si>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</si>
  <si>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</si>
  <si>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</si>
  <si>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</si>
  <si>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</si>
  <si>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</si>
  <si>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</si>
  <si>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</si>
  <si>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</si>
  <si>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</si>
  <si>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</si>
  <si>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</si>
  <si>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</si>
  <si>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</si>
  <si>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</si>
  <si>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</si>
  <si>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</si>
  <si>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</si>
  <si>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</si>
  <si>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</si>
  <si>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</si>
  <si>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</si>
  <si>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</si>
  <si>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</si>
  <si>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</si>
  <si>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</si>
  <si>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</si>
  <si>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</si>
  <si>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</si>
  <si>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</si>
  <si>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</si>
  <si>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</si>
  <si>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</si>
  <si>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</si>
  <si>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</si>
  <si>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</si>
  <si>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</si>
  <si>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</si>
  <si>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</si>
  <si>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</si>
  <si>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</si>
  <si>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</si>
  <si>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</si>
  <si>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</si>
  <si>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</si>
  <si>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</si>
  <si>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</si>
  <si>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</si>
  <si>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</si>
  <si>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</si>
  <si>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</si>
  <si>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</si>
  <si>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</si>
  <si>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</si>
  <si>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</si>
  <si>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</si>
  <si>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</si>
  <si>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</si>
  <si>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</si>
  <si>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</si>
  <si>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</si>
  <si>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</si>
  <si>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</si>
  <si>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</si>
  <si>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</si>
  <si>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</si>
  <si>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</si>
  <si>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</si>
  <si>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</si>
  <si>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</si>
  <si>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</si>
  <si>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</si>
  <si>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</si>
  <si>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E1 papiery wartościowe 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</si>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</sst>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2" fillId="20" borderId="10" xfId="37" applyFont="1" applyFill="1" applyBorder="1" applyAlignment="1">
      <alignment horizontal="left"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3"/>
  <sheetViews>
    <sheetView tabSelected="1" zoomScaleNormal="100" zoomScaleSheetLayoutView="75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2.570312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5" width="9.140625" style="2"/>
    <col min="16" max="16" width="10.28515625" style="2" customWidth="1"/>
    <col min="17" max="16384" width="9.140625" style="2"/>
  </cols>
  <sheetData>
    <row r="1" spans="1:17" ht="39.75" customHeight="1" x14ac:dyDescent="0.2">
      <c r="A1" s="47" t="str">
        <f>CONCATENATE("Informacja z wykonania budżetów powiatów za   ",$C$90," ",$B$91," roku    ",$B$93,"")</f>
        <v xml:space="preserve">Informacja z wykonania budżetów powiatów za   I Kwartał 2026 roku    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8" t="s">
        <v>60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5" spans="1:17" ht="13.5" customHeight="1" x14ac:dyDescent="0.2">
      <c r="B5" s="12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1"/>
      <c r="O5" s="11"/>
      <c r="P5" s="11"/>
      <c r="Q5" s="11"/>
    </row>
    <row r="6" spans="1:17" ht="13.5" customHeight="1" x14ac:dyDescent="0.2">
      <c r="A6" s="38" t="s">
        <v>0</v>
      </c>
      <c r="B6" s="43" t="s">
        <v>61</v>
      </c>
      <c r="C6" s="52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52" t="s">
        <v>64</v>
      </c>
      <c r="P6" s="30"/>
      <c r="Q6" s="31"/>
    </row>
    <row r="7" spans="1:17" ht="13.5" customHeight="1" x14ac:dyDescent="0.2">
      <c r="A7" s="39"/>
      <c r="B7" s="41"/>
      <c r="C7" s="42" t="s">
        <v>62</v>
      </c>
      <c r="D7" s="42" t="s">
        <v>73</v>
      </c>
      <c r="E7" s="42" t="s">
        <v>66</v>
      </c>
      <c r="F7" s="42" t="s">
        <v>67</v>
      </c>
      <c r="G7" s="42" t="s">
        <v>27</v>
      </c>
      <c r="H7" s="42" t="s">
        <v>28</v>
      </c>
      <c r="I7" s="49" t="s">
        <v>63</v>
      </c>
      <c r="J7" s="42" t="s">
        <v>16</v>
      </c>
      <c r="K7" s="42" t="s">
        <v>17</v>
      </c>
      <c r="L7" s="42" t="s">
        <v>18</v>
      </c>
      <c r="M7" s="42" t="s">
        <v>19</v>
      </c>
      <c r="N7" s="41" t="s">
        <v>20</v>
      </c>
      <c r="O7" s="37" t="s">
        <v>21</v>
      </c>
      <c r="P7" s="37" t="s">
        <v>22</v>
      </c>
      <c r="Q7" s="37" t="s">
        <v>23</v>
      </c>
    </row>
    <row r="8" spans="1:17" ht="13.5" customHeight="1" x14ac:dyDescent="0.2">
      <c r="A8" s="39"/>
      <c r="B8" s="41"/>
      <c r="C8" s="37"/>
      <c r="D8" s="37"/>
      <c r="E8" s="37"/>
      <c r="F8" s="37"/>
      <c r="G8" s="37"/>
      <c r="H8" s="37"/>
      <c r="I8" s="49"/>
      <c r="J8" s="37"/>
      <c r="K8" s="37"/>
      <c r="L8" s="37"/>
      <c r="M8" s="37"/>
      <c r="N8" s="41"/>
      <c r="O8" s="37"/>
      <c r="P8" s="37"/>
      <c r="Q8" s="37"/>
    </row>
    <row r="9" spans="1:17" ht="11.25" customHeight="1" x14ac:dyDescent="0.2">
      <c r="A9" s="39"/>
      <c r="B9" s="41"/>
      <c r="C9" s="37"/>
      <c r="D9" s="37"/>
      <c r="E9" s="37"/>
      <c r="F9" s="37"/>
      <c r="G9" s="37"/>
      <c r="H9" s="37"/>
      <c r="I9" s="49"/>
      <c r="J9" s="37"/>
      <c r="K9" s="37"/>
      <c r="L9" s="37"/>
      <c r="M9" s="37"/>
      <c r="N9" s="41"/>
      <c r="O9" s="37"/>
      <c r="P9" s="37"/>
      <c r="Q9" s="37"/>
    </row>
    <row r="10" spans="1:17" ht="33.75" customHeight="1" x14ac:dyDescent="0.2">
      <c r="A10" s="40"/>
      <c r="B10" s="42"/>
      <c r="C10" s="37"/>
      <c r="D10" s="37"/>
      <c r="E10" s="37"/>
      <c r="F10" s="37"/>
      <c r="G10" s="37"/>
      <c r="H10" s="37"/>
      <c r="I10" s="50"/>
      <c r="J10" s="37"/>
      <c r="K10" s="37"/>
      <c r="L10" s="37"/>
      <c r="M10" s="37"/>
      <c r="N10" s="42"/>
      <c r="O10" s="37"/>
      <c r="P10" s="37"/>
      <c r="Q10" s="37"/>
    </row>
    <row r="11" spans="1:17" ht="15.7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2" customHeight="1" x14ac:dyDescent="0.2">
      <c r="A12" s="13"/>
      <c r="B12" s="27" t="s">
        <v>76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9"/>
    </row>
    <row r="13" spans="1:17" ht="39.75" customHeight="1" x14ac:dyDescent="0.2">
      <c r="A13" s="20" t="s">
        <v>45</v>
      </c>
      <c r="B13" s="21">
        <f>6876716352.4</f>
        <v>6876716352.3999996</v>
      </c>
      <c r="C13" s="21">
        <f>6876716352.4</f>
        <v>6876716352.3999996</v>
      </c>
      <c r="D13" s="21">
        <f>231927682.99</f>
        <v>231927682.99000001</v>
      </c>
      <c r="E13" s="21">
        <f>185677221.18</f>
        <v>185677221.18000001</v>
      </c>
      <c r="F13" s="21">
        <f>4155173.65</f>
        <v>4155173.65</v>
      </c>
      <c r="G13" s="21">
        <f>42095288.16</f>
        <v>42095288.159999996</v>
      </c>
      <c r="H13" s="21">
        <f>0</f>
        <v>0</v>
      </c>
      <c r="I13" s="21">
        <f>0</f>
        <v>0</v>
      </c>
      <c r="J13" s="21">
        <f>6264975741.4</f>
        <v>6264975741.3999996</v>
      </c>
      <c r="K13" s="21">
        <f>376615622.78</f>
        <v>376615622.77999997</v>
      </c>
      <c r="L13" s="21">
        <f>1442094.66</f>
        <v>1442094.66</v>
      </c>
      <c r="M13" s="21">
        <f>249912.12</f>
        <v>249912.12</v>
      </c>
      <c r="N13" s="21">
        <f>1505298.45</f>
        <v>1505298.45</v>
      </c>
      <c r="O13" s="21">
        <f>0</f>
        <v>0</v>
      </c>
      <c r="P13" s="21">
        <f>0</f>
        <v>0</v>
      </c>
      <c r="Q13" s="21">
        <f>0</f>
        <v>0</v>
      </c>
    </row>
    <row r="14" spans="1:17" ht="24.75" customHeight="1" x14ac:dyDescent="0.2">
      <c r="A14" s="19" t="s">
        <v>77</v>
      </c>
      <c r="B14" s="21">
        <f>31500000</f>
        <v>31500000</v>
      </c>
      <c r="C14" s="21">
        <f>31500000</f>
        <v>31500000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31500000</f>
        <v>31500000</v>
      </c>
      <c r="K14" s="21">
        <f>0</f>
        <v>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1" customHeight="1" x14ac:dyDescent="0.2">
      <c r="A15" s="17" t="s">
        <v>46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0.25" customHeight="1" x14ac:dyDescent="0.2">
      <c r="A16" s="17" t="s">
        <v>47</v>
      </c>
      <c r="B16" s="22">
        <f>31500000</f>
        <v>31500000</v>
      </c>
      <c r="C16" s="22">
        <f>31500000</f>
        <v>31500000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31500000</f>
        <v>31500000</v>
      </c>
      <c r="K16" s="22">
        <f>0</f>
        <v>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24" customHeight="1" x14ac:dyDescent="0.2">
      <c r="A17" s="20" t="s">
        <v>78</v>
      </c>
      <c r="B17" s="21">
        <f>6833973287.66</f>
        <v>6833973287.6599998</v>
      </c>
      <c r="C17" s="21">
        <f>6833973287.66</f>
        <v>6833973287.6599998</v>
      </c>
      <c r="D17" s="21">
        <f>221868463.08</f>
        <v>221868463.08000001</v>
      </c>
      <c r="E17" s="21">
        <f>185672451.18</f>
        <v>185672451.18000001</v>
      </c>
      <c r="F17" s="21">
        <f>4155173.65</f>
        <v>4155173.65</v>
      </c>
      <c r="G17" s="21">
        <f>32040838.25</f>
        <v>32040838.25</v>
      </c>
      <c r="H17" s="21">
        <f>0</f>
        <v>0</v>
      </c>
      <c r="I17" s="21">
        <f>0</f>
        <v>0</v>
      </c>
      <c r="J17" s="21">
        <f>6233475741.4</f>
        <v>6233475741.3999996</v>
      </c>
      <c r="K17" s="21">
        <f>376615622.78</f>
        <v>376615622.77999997</v>
      </c>
      <c r="L17" s="21">
        <f>1136079.7</f>
        <v>1136079.7</v>
      </c>
      <c r="M17" s="21">
        <f>0</f>
        <v>0</v>
      </c>
      <c r="N17" s="21">
        <f>877380.7</f>
        <v>877380.7</v>
      </c>
      <c r="O17" s="21">
        <f>0</f>
        <v>0</v>
      </c>
      <c r="P17" s="21">
        <f>0</f>
        <v>0</v>
      </c>
      <c r="Q17" s="21">
        <f>0</f>
        <v>0</v>
      </c>
    </row>
    <row r="18" spans="1:17" ht="23.25" customHeight="1" x14ac:dyDescent="0.2">
      <c r="A18" s="17" t="s">
        <v>48</v>
      </c>
      <c r="B18" s="22">
        <f>9042908.98</f>
        <v>9042908.9800000004</v>
      </c>
      <c r="C18" s="22">
        <f>9042908.98</f>
        <v>9042908.9800000004</v>
      </c>
      <c r="D18" s="22">
        <f>0</f>
        <v>0</v>
      </c>
      <c r="E18" s="22">
        <f>0</f>
        <v>0</v>
      </c>
      <c r="F18" s="22">
        <f>0</f>
        <v>0</v>
      </c>
      <c r="G18" s="22">
        <f>0</f>
        <v>0</v>
      </c>
      <c r="H18" s="22">
        <f>0</f>
        <v>0</v>
      </c>
      <c r="I18" s="22">
        <f>0</f>
        <v>0</v>
      </c>
      <c r="J18" s="22">
        <f>9042908.98</f>
        <v>9042908.9800000004</v>
      </c>
      <c r="K18" s="22">
        <f>0</f>
        <v>0</v>
      </c>
      <c r="L18" s="22">
        <f>0</f>
        <v>0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1.75" customHeight="1" x14ac:dyDescent="0.2">
      <c r="A19" s="17" t="s">
        <v>49</v>
      </c>
      <c r="B19" s="22">
        <f>6824930378.68</f>
        <v>6824930378.6800003</v>
      </c>
      <c r="C19" s="22">
        <f>6824930378.68</f>
        <v>6824930378.6800003</v>
      </c>
      <c r="D19" s="22">
        <f>221868463.08</f>
        <v>221868463.08000001</v>
      </c>
      <c r="E19" s="22">
        <f>185672451.18</f>
        <v>185672451.18000001</v>
      </c>
      <c r="F19" s="22">
        <f>4155173.65</f>
        <v>4155173.65</v>
      </c>
      <c r="G19" s="22">
        <f>32040838.25</f>
        <v>32040838.25</v>
      </c>
      <c r="H19" s="22">
        <f>0</f>
        <v>0</v>
      </c>
      <c r="I19" s="22">
        <f>0</f>
        <v>0</v>
      </c>
      <c r="J19" s="22">
        <f>6224432832.42</f>
        <v>6224432832.4200001</v>
      </c>
      <c r="K19" s="22">
        <f>376615622.78</f>
        <v>376615622.77999997</v>
      </c>
      <c r="L19" s="22">
        <f>1136079.7</f>
        <v>1136079.7</v>
      </c>
      <c r="M19" s="22">
        <f>0</f>
        <v>0</v>
      </c>
      <c r="N19" s="22">
        <f>877380.7</f>
        <v>877380.7</v>
      </c>
      <c r="O19" s="22">
        <f>0</f>
        <v>0</v>
      </c>
      <c r="P19" s="22">
        <f>0</f>
        <v>0</v>
      </c>
      <c r="Q19" s="22">
        <f>0</f>
        <v>0</v>
      </c>
    </row>
    <row r="20" spans="1:17" ht="21.75" customHeight="1" x14ac:dyDescent="0.2">
      <c r="A20" s="17" t="s">
        <v>50</v>
      </c>
      <c r="B20" s="22">
        <f>10000000</f>
        <v>10000000</v>
      </c>
      <c r="C20" s="22">
        <f>10000000</f>
        <v>10000000</v>
      </c>
      <c r="D20" s="22">
        <f>10000000</f>
        <v>10000000</v>
      </c>
      <c r="E20" s="22">
        <f>0</f>
        <v>0</v>
      </c>
      <c r="F20" s="22">
        <f>0</f>
        <v>0</v>
      </c>
      <c r="G20" s="22">
        <f>10000000</f>
        <v>10000000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4.75" customHeight="1" x14ac:dyDescent="0.2">
      <c r="A21" s="20" t="s">
        <v>79</v>
      </c>
      <c r="B21" s="21">
        <f>1243064.74</f>
        <v>1243064.74</v>
      </c>
      <c r="C21" s="21">
        <f>1243064.74</f>
        <v>1243064.74</v>
      </c>
      <c r="D21" s="21">
        <f>59219.91</f>
        <v>59219.91</v>
      </c>
      <c r="E21" s="21">
        <f>4770</f>
        <v>4770</v>
      </c>
      <c r="F21" s="21">
        <f>0</f>
        <v>0</v>
      </c>
      <c r="G21" s="21">
        <f>54449.91</f>
        <v>54449.91</v>
      </c>
      <c r="H21" s="21">
        <f>0</f>
        <v>0</v>
      </c>
      <c r="I21" s="21">
        <f>0</f>
        <v>0</v>
      </c>
      <c r="J21" s="21">
        <f>0</f>
        <v>0</v>
      </c>
      <c r="K21" s="21">
        <f>0</f>
        <v>0</v>
      </c>
      <c r="L21" s="21">
        <f>306014.96</f>
        <v>306014.96000000002</v>
      </c>
      <c r="M21" s="21">
        <f>249912.12</f>
        <v>249912.12</v>
      </c>
      <c r="N21" s="21">
        <f>627917.75</f>
        <v>627917.75</v>
      </c>
      <c r="O21" s="21">
        <f>0</f>
        <v>0</v>
      </c>
      <c r="P21" s="21">
        <f>0</f>
        <v>0</v>
      </c>
      <c r="Q21" s="21">
        <f>0</f>
        <v>0</v>
      </c>
    </row>
    <row r="22" spans="1:17" ht="22.5" x14ac:dyDescent="0.2">
      <c r="A22" s="17" t="s">
        <v>51</v>
      </c>
      <c r="B22" s="22">
        <f>930633.7</f>
        <v>930633.7</v>
      </c>
      <c r="C22" s="22">
        <f>930633.7</f>
        <v>930633.7</v>
      </c>
      <c r="D22" s="22">
        <f>0</f>
        <v>0</v>
      </c>
      <c r="E22" s="22">
        <f>0</f>
        <v>0</v>
      </c>
      <c r="F22" s="22">
        <f>0</f>
        <v>0</v>
      </c>
      <c r="G22" s="22">
        <f>0</f>
        <v>0</v>
      </c>
      <c r="H22" s="22">
        <f>0</f>
        <v>0</v>
      </c>
      <c r="I22" s="22">
        <f>0</f>
        <v>0</v>
      </c>
      <c r="J22" s="22">
        <f>0</f>
        <v>0</v>
      </c>
      <c r="K22" s="22">
        <f>0</f>
        <v>0</v>
      </c>
      <c r="L22" s="22">
        <f>180192.36</f>
        <v>180192.36</v>
      </c>
      <c r="M22" s="22">
        <f>136509.59</f>
        <v>136509.59</v>
      </c>
      <c r="N22" s="22">
        <f>613931.75</f>
        <v>613931.75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312431.04</f>
        <v>312431.03999999998</v>
      </c>
      <c r="C23" s="22">
        <f>312431.04</f>
        <v>312431.03999999998</v>
      </c>
      <c r="D23" s="22">
        <f>59219.91</f>
        <v>59219.91</v>
      </c>
      <c r="E23" s="22">
        <f>4770</f>
        <v>4770</v>
      </c>
      <c r="F23" s="22">
        <f>0</f>
        <v>0</v>
      </c>
      <c r="G23" s="22">
        <f>54449.91</f>
        <v>54449.91</v>
      </c>
      <c r="H23" s="22">
        <f>0</f>
        <v>0</v>
      </c>
      <c r="I23" s="22">
        <f>0</f>
        <v>0</v>
      </c>
      <c r="J23" s="22">
        <f>0</f>
        <v>0</v>
      </c>
      <c r="K23" s="22">
        <f>0</f>
        <v>0</v>
      </c>
      <c r="L23" s="22">
        <f>125822.6</f>
        <v>125822.6</v>
      </c>
      <c r="M23" s="22">
        <f>113402.53</f>
        <v>113402.53</v>
      </c>
      <c r="N23" s="22">
        <f>13986</f>
        <v>13986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45.75" customHeight="1" x14ac:dyDescent="0.2">
      <c r="A27" s="47" t="str">
        <f>CONCATENATE("Informacja z wykonania budżetów powiatów za   ",$C$90," ",$B$91," roku    ",$B$93,"")</f>
        <v xml:space="preserve">Informacja z wykonania budżetów powiatów za   I Kwartał 2026 roku    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9" spans="1:17" ht="13.5" customHeight="1" x14ac:dyDescent="0.2">
      <c r="A29" s="48" t="s">
        <v>11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1" spans="1:17" ht="13.5" customHeight="1" x14ac:dyDescent="0.2">
      <c r="A31" s="38" t="s">
        <v>0</v>
      </c>
      <c r="B31" s="43" t="s">
        <v>12</v>
      </c>
      <c r="C31" s="44" t="s">
        <v>14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6"/>
      <c r="O31" s="44" t="s">
        <v>24</v>
      </c>
      <c r="P31" s="45"/>
      <c r="Q31" s="46"/>
    </row>
    <row r="32" spans="1:17" ht="13.5" customHeight="1" x14ac:dyDescent="0.2">
      <c r="A32" s="39"/>
      <c r="B32" s="41"/>
      <c r="C32" s="41" t="s">
        <v>13</v>
      </c>
      <c r="D32" s="37" t="s">
        <v>15</v>
      </c>
      <c r="E32" s="37" t="s">
        <v>25</v>
      </c>
      <c r="F32" s="37" t="s">
        <v>26</v>
      </c>
      <c r="G32" s="37" t="s">
        <v>70</v>
      </c>
      <c r="H32" s="37" t="s">
        <v>28</v>
      </c>
      <c r="I32" s="37" t="s">
        <v>1</v>
      </c>
      <c r="J32" s="37" t="s">
        <v>16</v>
      </c>
      <c r="K32" s="37" t="s">
        <v>17</v>
      </c>
      <c r="L32" s="37" t="s">
        <v>18</v>
      </c>
      <c r="M32" s="37" t="s">
        <v>19</v>
      </c>
      <c r="N32" s="85" t="s">
        <v>20</v>
      </c>
      <c r="O32" s="37" t="s">
        <v>21</v>
      </c>
      <c r="P32" s="37" t="s">
        <v>22</v>
      </c>
      <c r="Q32" s="43" t="s">
        <v>23</v>
      </c>
    </row>
    <row r="33" spans="1:17" ht="13.5" customHeight="1" x14ac:dyDescent="0.2">
      <c r="A33" s="39"/>
      <c r="B33" s="41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85"/>
      <c r="O33" s="37"/>
      <c r="P33" s="37"/>
      <c r="Q33" s="41"/>
    </row>
    <row r="34" spans="1:17" ht="11.25" customHeight="1" x14ac:dyDescent="0.2">
      <c r="A34" s="39"/>
      <c r="B34" s="41"/>
      <c r="C34" s="41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85"/>
      <c r="O34" s="37"/>
      <c r="P34" s="37"/>
      <c r="Q34" s="41"/>
    </row>
    <row r="35" spans="1:17" ht="41.25" customHeight="1" x14ac:dyDescent="0.2">
      <c r="A35" s="40"/>
      <c r="B35" s="42"/>
      <c r="C35" s="42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85"/>
      <c r="O35" s="37"/>
      <c r="P35" s="37"/>
      <c r="Q35" s="42"/>
    </row>
    <row r="36" spans="1:17" ht="15.75" customHeight="1" x14ac:dyDescent="0.2">
      <c r="A36" s="13">
        <v>1</v>
      </c>
      <c r="B36" s="13">
        <v>2</v>
      </c>
      <c r="C36" s="13">
        <v>3</v>
      </c>
      <c r="D36" s="13">
        <v>4</v>
      </c>
      <c r="E36" s="13">
        <v>5</v>
      </c>
      <c r="F36" s="13">
        <v>6</v>
      </c>
      <c r="G36" s="13">
        <v>7</v>
      </c>
      <c r="H36" s="13">
        <v>8</v>
      </c>
      <c r="I36" s="13">
        <v>9</v>
      </c>
      <c r="J36" s="13">
        <v>10</v>
      </c>
      <c r="K36" s="13">
        <v>11</v>
      </c>
      <c r="L36" s="13">
        <v>12</v>
      </c>
      <c r="M36" s="13">
        <v>13</v>
      </c>
      <c r="N36" s="13">
        <v>14</v>
      </c>
      <c r="O36" s="13">
        <v>15</v>
      </c>
      <c r="P36" s="13">
        <v>16</v>
      </c>
      <c r="Q36" s="13">
        <v>17</v>
      </c>
    </row>
    <row r="37" spans="1:17" ht="12" customHeight="1" x14ac:dyDescent="0.2">
      <c r="A37" s="13"/>
      <c r="B37" s="27" t="s">
        <v>76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1"/>
    </row>
    <row r="38" spans="1:17" ht="30" customHeight="1" x14ac:dyDescent="0.2">
      <c r="A38" s="25" t="s">
        <v>40</v>
      </c>
      <c r="B38" s="23">
        <f>29999285.57</f>
        <v>29999285.57</v>
      </c>
      <c r="C38" s="23">
        <f>29999285.57</f>
        <v>29999285.57</v>
      </c>
      <c r="D38" s="23">
        <f>0</f>
        <v>0</v>
      </c>
      <c r="E38" s="23">
        <f>0</f>
        <v>0</v>
      </c>
      <c r="F38" s="23">
        <f>0</f>
        <v>0</v>
      </c>
      <c r="G38" s="23">
        <f>0</f>
        <v>0</v>
      </c>
      <c r="H38" s="23">
        <f>0</f>
        <v>0</v>
      </c>
      <c r="I38" s="23">
        <f>0</f>
        <v>0</v>
      </c>
      <c r="J38" s="23">
        <f>0</f>
        <v>0</v>
      </c>
      <c r="K38" s="23">
        <f>29999285.57</f>
        <v>29999285.57</v>
      </c>
      <c r="L38" s="23">
        <f>0</f>
        <v>0</v>
      </c>
      <c r="M38" s="23">
        <f>0</f>
        <v>0</v>
      </c>
      <c r="N38" s="23">
        <f>0</f>
        <v>0</v>
      </c>
      <c r="O38" s="23">
        <f>0</f>
        <v>0</v>
      </c>
      <c r="P38" s="23">
        <f>0</f>
        <v>0</v>
      </c>
      <c r="Q38" s="23">
        <f>0</f>
        <v>0</v>
      </c>
    </row>
    <row r="39" spans="1:17" ht="25.5" customHeight="1" x14ac:dyDescent="0.2">
      <c r="A39" s="18" t="s">
        <v>29</v>
      </c>
      <c r="B39" s="24">
        <f>29999285.57</f>
        <v>29999285.57</v>
      </c>
      <c r="C39" s="24">
        <f>29999285.57</f>
        <v>29999285.57</v>
      </c>
      <c r="D39" s="24">
        <f>0</f>
        <v>0</v>
      </c>
      <c r="E39" s="24">
        <f>0</f>
        <v>0</v>
      </c>
      <c r="F39" s="24">
        <f>0</f>
        <v>0</v>
      </c>
      <c r="G39" s="24">
        <f>0</f>
        <v>0</v>
      </c>
      <c r="H39" s="24">
        <f>0</f>
        <v>0</v>
      </c>
      <c r="I39" s="24">
        <f>0</f>
        <v>0</v>
      </c>
      <c r="J39" s="24">
        <f>0</f>
        <v>0</v>
      </c>
      <c r="K39" s="24">
        <f>29999285.57</f>
        <v>29999285.57</v>
      </c>
      <c r="L39" s="24">
        <f>0</f>
        <v>0</v>
      </c>
      <c r="M39" s="24">
        <f>0</f>
        <v>0</v>
      </c>
      <c r="N39" s="24">
        <f>0</f>
        <v>0</v>
      </c>
      <c r="O39" s="24">
        <f>0</f>
        <v>0</v>
      </c>
      <c r="P39" s="24">
        <f>0</f>
        <v>0</v>
      </c>
      <c r="Q39" s="24">
        <f>0</f>
        <v>0</v>
      </c>
    </row>
    <row r="40" spans="1:17" ht="25.5" customHeight="1" x14ac:dyDescent="0.2">
      <c r="A40" s="18" t="s">
        <v>30</v>
      </c>
      <c r="B40" s="24">
        <f>0</f>
        <v>0</v>
      </c>
      <c r="C40" s="24">
        <f>0</f>
        <v>0</v>
      </c>
      <c r="D40" s="24">
        <f>0</f>
        <v>0</v>
      </c>
      <c r="E40" s="24">
        <f>0</f>
        <v>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0</f>
        <v>0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30" customHeight="1" x14ac:dyDescent="0.2">
      <c r="A41" s="25" t="s">
        <v>41</v>
      </c>
      <c r="B41" s="23">
        <f>360564972.31</f>
        <v>360564972.31</v>
      </c>
      <c r="C41" s="23">
        <f>360564972.31</f>
        <v>360564972.31</v>
      </c>
      <c r="D41" s="23">
        <f>268196259.77</f>
        <v>268196259.77000001</v>
      </c>
      <c r="E41" s="23">
        <f>14677.5</f>
        <v>14677.5</v>
      </c>
      <c r="F41" s="23">
        <f>3302336</f>
        <v>3302336</v>
      </c>
      <c r="G41" s="23">
        <f>264879246.27</f>
        <v>264879246.27000001</v>
      </c>
      <c r="H41" s="23">
        <f>0</f>
        <v>0</v>
      </c>
      <c r="I41" s="23">
        <f>0</f>
        <v>0</v>
      </c>
      <c r="J41" s="23">
        <f>456534.02</f>
        <v>456534.02</v>
      </c>
      <c r="K41" s="23">
        <f>0</f>
        <v>0</v>
      </c>
      <c r="L41" s="23">
        <f>76580882.52</f>
        <v>76580882.519999996</v>
      </c>
      <c r="M41" s="23">
        <f>13420494.33</f>
        <v>13420494.33</v>
      </c>
      <c r="N41" s="23">
        <f>1910801.67</f>
        <v>1910801.67</v>
      </c>
      <c r="O41" s="23">
        <f>0</f>
        <v>0</v>
      </c>
      <c r="P41" s="23">
        <f>0</f>
        <v>0</v>
      </c>
      <c r="Q41" s="23">
        <f>0</f>
        <v>0</v>
      </c>
    </row>
    <row r="42" spans="1:17" ht="25.5" customHeight="1" x14ac:dyDescent="0.2">
      <c r="A42" s="18" t="s">
        <v>31</v>
      </c>
      <c r="B42" s="24">
        <f>58113681.38</f>
        <v>58113681.380000003</v>
      </c>
      <c r="C42" s="24">
        <f>58113681.38</f>
        <v>58113681.380000003</v>
      </c>
      <c r="D42" s="24">
        <f>47383056.84</f>
        <v>47383056.840000004</v>
      </c>
      <c r="E42" s="24">
        <f>0</f>
        <v>0</v>
      </c>
      <c r="F42" s="24">
        <f>3300000</f>
        <v>3300000</v>
      </c>
      <c r="G42" s="24">
        <f>44083056.84</f>
        <v>44083056.840000004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8309324.67</f>
        <v>8309324.6699999999</v>
      </c>
      <c r="M42" s="24">
        <f>1421299.87</f>
        <v>1421299.87</v>
      </c>
      <c r="N42" s="24">
        <f>1000000</f>
        <v>1000000</v>
      </c>
      <c r="O42" s="24">
        <f>0</f>
        <v>0</v>
      </c>
      <c r="P42" s="24">
        <f>0</f>
        <v>0</v>
      </c>
      <c r="Q42" s="24">
        <f>0</f>
        <v>0</v>
      </c>
    </row>
    <row r="43" spans="1:17" ht="25.5" customHeight="1" x14ac:dyDescent="0.2">
      <c r="A43" s="18" t="s">
        <v>32</v>
      </c>
      <c r="B43" s="24">
        <f>302451290.93</f>
        <v>302451290.93000001</v>
      </c>
      <c r="C43" s="24">
        <f>302451290.93</f>
        <v>302451290.93000001</v>
      </c>
      <c r="D43" s="24">
        <f>220813202.93</f>
        <v>220813202.93000001</v>
      </c>
      <c r="E43" s="24">
        <f>14677.5</f>
        <v>14677.5</v>
      </c>
      <c r="F43" s="24">
        <f>2336</f>
        <v>2336</v>
      </c>
      <c r="G43" s="24">
        <f>220796189.43</f>
        <v>220796189.43000001</v>
      </c>
      <c r="H43" s="24">
        <f>0</f>
        <v>0</v>
      </c>
      <c r="I43" s="24">
        <f>0</f>
        <v>0</v>
      </c>
      <c r="J43" s="24">
        <f>456534.02</f>
        <v>456534.02</v>
      </c>
      <c r="K43" s="24">
        <f>0</f>
        <v>0</v>
      </c>
      <c r="L43" s="24">
        <f>68271557.85</f>
        <v>68271557.849999994</v>
      </c>
      <c r="M43" s="24">
        <f>11999194.46</f>
        <v>11999194.460000001</v>
      </c>
      <c r="N43" s="24">
        <f>910801.67</f>
        <v>910801.67</v>
      </c>
      <c r="O43" s="24">
        <f>0</f>
        <v>0</v>
      </c>
      <c r="P43" s="24">
        <f>0</f>
        <v>0</v>
      </c>
      <c r="Q43" s="24">
        <f>0</f>
        <v>0</v>
      </c>
    </row>
    <row r="44" spans="1:17" ht="30" customHeight="1" x14ac:dyDescent="0.2">
      <c r="A44" s="25" t="s">
        <v>42</v>
      </c>
      <c r="B44" s="23">
        <f>14042771734.56</f>
        <v>14042771734.559999</v>
      </c>
      <c r="C44" s="23">
        <f>14042771734.56</f>
        <v>14042771734.559999</v>
      </c>
      <c r="D44" s="23">
        <f>2596777.58</f>
        <v>2596777.58</v>
      </c>
      <c r="E44" s="23">
        <f>2031.92</f>
        <v>2031.92</v>
      </c>
      <c r="F44" s="23">
        <f>2661</f>
        <v>2661</v>
      </c>
      <c r="G44" s="23">
        <f>2592084.66</f>
        <v>2592084.66</v>
      </c>
      <c r="H44" s="23">
        <f>0</f>
        <v>0</v>
      </c>
      <c r="I44" s="23">
        <f>5280400.6</f>
        <v>5280400.5999999996</v>
      </c>
      <c r="J44" s="23">
        <f>14018570832.68</f>
        <v>14018570832.68</v>
      </c>
      <c r="K44" s="23">
        <f>16063030.95</f>
        <v>16063030.949999999</v>
      </c>
      <c r="L44" s="23">
        <f>164409.63</f>
        <v>164409.63</v>
      </c>
      <c r="M44" s="23">
        <f>2000</f>
        <v>2000</v>
      </c>
      <c r="N44" s="23">
        <f>94283.12</f>
        <v>94283.12</v>
      </c>
      <c r="O44" s="23">
        <f>0</f>
        <v>0</v>
      </c>
      <c r="P44" s="23">
        <f>0</f>
        <v>0</v>
      </c>
      <c r="Q44" s="23">
        <f>0</f>
        <v>0</v>
      </c>
    </row>
    <row r="45" spans="1:17" ht="25.5" customHeight="1" x14ac:dyDescent="0.2">
      <c r="A45" s="18" t="s">
        <v>33</v>
      </c>
      <c r="B45" s="24">
        <f>2582344.64</f>
        <v>2582344.64</v>
      </c>
      <c r="C45" s="24">
        <f>2582344.64</f>
        <v>2582344.64</v>
      </c>
      <c r="D45" s="24">
        <f>2582344.64</f>
        <v>2582344.64</v>
      </c>
      <c r="E45" s="24">
        <f>0</f>
        <v>0</v>
      </c>
      <c r="F45" s="24">
        <f>21</f>
        <v>21</v>
      </c>
      <c r="G45" s="24">
        <f>2582323.64</f>
        <v>2582323.64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0</f>
        <v>0</v>
      </c>
      <c r="M45" s="24">
        <f>0</f>
        <v>0</v>
      </c>
      <c r="N45" s="24">
        <f>0</f>
        <v>0</v>
      </c>
      <c r="O45" s="24">
        <f>0</f>
        <v>0</v>
      </c>
      <c r="P45" s="24">
        <f>0</f>
        <v>0</v>
      </c>
      <c r="Q45" s="24">
        <f>0</f>
        <v>0</v>
      </c>
    </row>
    <row r="46" spans="1:17" ht="25.5" customHeight="1" x14ac:dyDescent="0.2">
      <c r="A46" s="18" t="s">
        <v>34</v>
      </c>
      <c r="B46" s="24">
        <f>11019394546.29</f>
        <v>11019394546.290001</v>
      </c>
      <c r="C46" s="24">
        <f>11019394546.29</f>
        <v>11019394546.290001</v>
      </c>
      <c r="D46" s="24">
        <f>5134.81</f>
        <v>5134.8100000000004</v>
      </c>
      <c r="E46" s="24">
        <f>502.39</f>
        <v>502.39</v>
      </c>
      <c r="F46" s="24">
        <f>0</f>
        <v>0</v>
      </c>
      <c r="G46" s="24">
        <f>4632.42</f>
        <v>4632.42</v>
      </c>
      <c r="H46" s="24">
        <f>0</f>
        <v>0</v>
      </c>
      <c r="I46" s="24">
        <f>5280400.6</f>
        <v>5280400.5999999996</v>
      </c>
      <c r="J46" s="24">
        <f>11013901838.88</f>
        <v>11013901838.879999</v>
      </c>
      <c r="K46" s="24">
        <f>59997.98</f>
        <v>59997.98</v>
      </c>
      <c r="L46" s="24">
        <f>52890.9</f>
        <v>52890.9</v>
      </c>
      <c r="M46" s="24">
        <f>0</f>
        <v>0</v>
      </c>
      <c r="N46" s="24">
        <f>94283.12</f>
        <v>94283.12</v>
      </c>
      <c r="O46" s="24">
        <f>0</f>
        <v>0</v>
      </c>
      <c r="P46" s="24">
        <f>0</f>
        <v>0</v>
      </c>
      <c r="Q46" s="24">
        <f>0</f>
        <v>0</v>
      </c>
    </row>
    <row r="47" spans="1:17" ht="25.5" customHeight="1" x14ac:dyDescent="0.2">
      <c r="A47" s="18" t="s">
        <v>35</v>
      </c>
      <c r="B47" s="24">
        <f>3020794843.63</f>
        <v>3020794843.6300001</v>
      </c>
      <c r="C47" s="24">
        <f>3020794843.63</f>
        <v>3020794843.6300001</v>
      </c>
      <c r="D47" s="24">
        <f>9298.13</f>
        <v>9298.1299999999992</v>
      </c>
      <c r="E47" s="24">
        <f>1529.53</f>
        <v>1529.53</v>
      </c>
      <c r="F47" s="24">
        <f>2640</f>
        <v>2640</v>
      </c>
      <c r="G47" s="24">
        <f>5128.6</f>
        <v>5128.6000000000004</v>
      </c>
      <c r="H47" s="24">
        <f>0</f>
        <v>0</v>
      </c>
      <c r="I47" s="24">
        <f>0</f>
        <v>0</v>
      </c>
      <c r="J47" s="24">
        <f>3004668993.8</f>
        <v>3004668993.8000002</v>
      </c>
      <c r="K47" s="24">
        <f>16003032.97</f>
        <v>16003032.970000001</v>
      </c>
      <c r="L47" s="24">
        <f>111518.73</f>
        <v>111518.73</v>
      </c>
      <c r="M47" s="24">
        <f>2000</f>
        <v>2000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30" customHeight="1" x14ac:dyDescent="0.2">
      <c r="A48" s="25" t="s">
        <v>43</v>
      </c>
      <c r="B48" s="23">
        <f>966264491.26</f>
        <v>966264491.25999999</v>
      </c>
      <c r="C48" s="23">
        <f>965028420.1</f>
        <v>965028420.10000002</v>
      </c>
      <c r="D48" s="23">
        <f>59388179.07</f>
        <v>59388179.07</v>
      </c>
      <c r="E48" s="23">
        <f>11914939.91</f>
        <v>11914939.91</v>
      </c>
      <c r="F48" s="23">
        <f>1296524.12</f>
        <v>1296524.1200000001</v>
      </c>
      <c r="G48" s="23">
        <f>46159647.15</f>
        <v>46159647.149999999</v>
      </c>
      <c r="H48" s="23">
        <f>17067.89</f>
        <v>17067.89</v>
      </c>
      <c r="I48" s="23">
        <f>0</f>
        <v>0</v>
      </c>
      <c r="J48" s="23">
        <f>3612207.3</f>
        <v>3612207.3</v>
      </c>
      <c r="K48" s="23">
        <f>454926.01</f>
        <v>454926.01</v>
      </c>
      <c r="L48" s="23">
        <f>246405793.05</f>
        <v>246405793.05000001</v>
      </c>
      <c r="M48" s="23">
        <f>651204297.14</f>
        <v>651204297.13999999</v>
      </c>
      <c r="N48" s="23">
        <f>3963017.53</f>
        <v>3963017.53</v>
      </c>
      <c r="O48" s="23">
        <f>1236071.16</f>
        <v>1236071.1599999999</v>
      </c>
      <c r="P48" s="23">
        <f>380771.46</f>
        <v>380771.46</v>
      </c>
      <c r="Q48" s="23">
        <f>855299.7</f>
        <v>855299.7</v>
      </c>
    </row>
    <row r="49" spans="1:17" ht="25.5" customHeight="1" x14ac:dyDescent="0.2">
      <c r="A49" s="18" t="s">
        <v>36</v>
      </c>
      <c r="B49" s="24">
        <f>178400284.81</f>
        <v>178400284.81</v>
      </c>
      <c r="C49" s="24">
        <f>178333322.35</f>
        <v>178333322.34999999</v>
      </c>
      <c r="D49" s="24">
        <f>12085384.5</f>
        <v>12085384.5</v>
      </c>
      <c r="E49" s="24">
        <f>1365545.88</f>
        <v>1365545.88</v>
      </c>
      <c r="F49" s="24">
        <f>473941.92</f>
        <v>473941.92</v>
      </c>
      <c r="G49" s="24">
        <f>10229019</f>
        <v>10229019</v>
      </c>
      <c r="H49" s="24">
        <f>16877.7</f>
        <v>16877.7</v>
      </c>
      <c r="I49" s="24">
        <f>0</f>
        <v>0</v>
      </c>
      <c r="J49" s="24">
        <f>605789.79</f>
        <v>605789.79</v>
      </c>
      <c r="K49" s="24">
        <f>90260.23</f>
        <v>90260.23</v>
      </c>
      <c r="L49" s="24">
        <f>55446746.68</f>
        <v>55446746.68</v>
      </c>
      <c r="M49" s="24">
        <f>108711013.8</f>
        <v>108711013.8</v>
      </c>
      <c r="N49" s="24">
        <f>1394127.35</f>
        <v>1394127.35</v>
      </c>
      <c r="O49" s="24">
        <f>66962.46</f>
        <v>66962.460000000006</v>
      </c>
      <c r="P49" s="24">
        <f>50184.95</f>
        <v>50184.95</v>
      </c>
      <c r="Q49" s="24">
        <f>16777.51</f>
        <v>16777.509999999998</v>
      </c>
    </row>
    <row r="50" spans="1:17" ht="25.5" customHeight="1" x14ac:dyDescent="0.2">
      <c r="A50" s="18" t="s">
        <v>37</v>
      </c>
      <c r="B50" s="24">
        <f>787864206.45</f>
        <v>787864206.45000005</v>
      </c>
      <c r="C50" s="24">
        <f>786695097.75</f>
        <v>786695097.75</v>
      </c>
      <c r="D50" s="24">
        <f>47302794.57</f>
        <v>47302794.57</v>
      </c>
      <c r="E50" s="24">
        <f>10549394.03</f>
        <v>10549394.029999999</v>
      </c>
      <c r="F50" s="24">
        <f>822582.2</f>
        <v>822582.2</v>
      </c>
      <c r="G50" s="24">
        <f>35930628.15</f>
        <v>35930628.149999999</v>
      </c>
      <c r="H50" s="24">
        <f>190.19</f>
        <v>190.19</v>
      </c>
      <c r="I50" s="24">
        <f>0</f>
        <v>0</v>
      </c>
      <c r="J50" s="24">
        <f>3006417.51</f>
        <v>3006417.51</v>
      </c>
      <c r="K50" s="24">
        <f>364665.78</f>
        <v>364665.78</v>
      </c>
      <c r="L50" s="24">
        <f>190959046.37</f>
        <v>190959046.37</v>
      </c>
      <c r="M50" s="24">
        <f>542493283.34</f>
        <v>542493283.34000003</v>
      </c>
      <c r="N50" s="24">
        <f>2568890.18</f>
        <v>2568890.1800000002</v>
      </c>
      <c r="O50" s="24">
        <f>1169108.7</f>
        <v>1169108.7</v>
      </c>
      <c r="P50" s="24">
        <f>330586.51</f>
        <v>330586.51</v>
      </c>
      <c r="Q50" s="24">
        <f>838522.19</f>
        <v>838522.19</v>
      </c>
    </row>
    <row r="51" spans="1:17" ht="30" customHeight="1" x14ac:dyDescent="0.2">
      <c r="A51" s="25" t="s">
        <v>44</v>
      </c>
      <c r="B51" s="23">
        <f>1015013532.65</f>
        <v>1015013532.65</v>
      </c>
      <c r="C51" s="23">
        <f>1014348807.99</f>
        <v>1014348807.99</v>
      </c>
      <c r="D51" s="23">
        <f>334168806.36</f>
        <v>334168806.36000001</v>
      </c>
      <c r="E51" s="23">
        <f>61009470.98</f>
        <v>61009470.979999997</v>
      </c>
      <c r="F51" s="23">
        <f>4663560.32</f>
        <v>4663560.32</v>
      </c>
      <c r="G51" s="23">
        <f>255783295.03</f>
        <v>255783295.03</v>
      </c>
      <c r="H51" s="23">
        <f>12712480.03</f>
        <v>12712480.029999999</v>
      </c>
      <c r="I51" s="23">
        <f>0</f>
        <v>0</v>
      </c>
      <c r="J51" s="23">
        <f>275462.66</f>
        <v>275462.65999999997</v>
      </c>
      <c r="K51" s="23">
        <f>32674921.16</f>
        <v>32674921.16</v>
      </c>
      <c r="L51" s="23">
        <f>494328204.44</f>
        <v>494328204.44</v>
      </c>
      <c r="M51" s="23">
        <f>148665329.09</f>
        <v>148665329.09</v>
      </c>
      <c r="N51" s="23">
        <f>4236084.28</f>
        <v>4236084.28</v>
      </c>
      <c r="O51" s="23">
        <f>664724.66</f>
        <v>664724.66</v>
      </c>
      <c r="P51" s="23">
        <f>111629.46</f>
        <v>111629.46</v>
      </c>
      <c r="Q51" s="23">
        <f>553095.2</f>
        <v>553095.19999999995</v>
      </c>
    </row>
    <row r="52" spans="1:17" ht="31.5" customHeight="1" x14ac:dyDescent="0.2">
      <c r="A52" s="18" t="s">
        <v>38</v>
      </c>
      <c r="B52" s="24">
        <f>139515774.65</f>
        <v>139515774.65000001</v>
      </c>
      <c r="C52" s="24">
        <f>139405812.21</f>
        <v>139405812.21000001</v>
      </c>
      <c r="D52" s="24">
        <f>64029503.97</f>
        <v>64029503.969999999</v>
      </c>
      <c r="E52" s="24">
        <f>520622.17</f>
        <v>520622.17</v>
      </c>
      <c r="F52" s="24">
        <f>623812.15</f>
        <v>623812.15</v>
      </c>
      <c r="G52" s="24">
        <f>55327289.36</f>
        <v>55327289.359999999</v>
      </c>
      <c r="H52" s="24">
        <f>7557780.29</f>
        <v>7557780.29</v>
      </c>
      <c r="I52" s="24">
        <f>0</f>
        <v>0</v>
      </c>
      <c r="J52" s="24">
        <f>181062.86</f>
        <v>181062.86</v>
      </c>
      <c r="K52" s="24">
        <f>254410.65</f>
        <v>254410.65</v>
      </c>
      <c r="L52" s="24">
        <f>33668520.04</f>
        <v>33668520.039999999</v>
      </c>
      <c r="M52" s="24">
        <f>39487542.74</f>
        <v>39487542.740000002</v>
      </c>
      <c r="N52" s="24">
        <f>1784771.95</f>
        <v>1784771.95</v>
      </c>
      <c r="O52" s="24">
        <f>109962.44</f>
        <v>109962.44</v>
      </c>
      <c r="P52" s="24">
        <f>108993.06</f>
        <v>108993.06</v>
      </c>
      <c r="Q52" s="24">
        <f>969.38</f>
        <v>969.38</v>
      </c>
    </row>
    <row r="53" spans="1:17" ht="35.25" customHeight="1" x14ac:dyDescent="0.2">
      <c r="A53" s="18" t="s">
        <v>80</v>
      </c>
      <c r="B53" s="24">
        <f>1077112.19</f>
        <v>1077112.19</v>
      </c>
      <c r="C53" s="24">
        <f>1077112.19</f>
        <v>1077112.19</v>
      </c>
      <c r="D53" s="24">
        <f>495965.66</f>
        <v>495965.66</v>
      </c>
      <c r="E53" s="24">
        <f>28330.72</f>
        <v>28330.720000000001</v>
      </c>
      <c r="F53" s="24">
        <f>84</f>
        <v>84</v>
      </c>
      <c r="G53" s="24">
        <f>298009.31</f>
        <v>298009.31</v>
      </c>
      <c r="H53" s="24">
        <f>169541.63</f>
        <v>169541.63</v>
      </c>
      <c r="I53" s="24">
        <f>0</f>
        <v>0</v>
      </c>
      <c r="J53" s="24">
        <f>0</f>
        <v>0</v>
      </c>
      <c r="K53" s="24">
        <f>283.04</f>
        <v>283.04000000000002</v>
      </c>
      <c r="L53" s="24">
        <f>44721.91</f>
        <v>44721.91</v>
      </c>
      <c r="M53" s="24">
        <f>535481.58</f>
        <v>535481.57999999996</v>
      </c>
      <c r="N53" s="24">
        <f>660</f>
        <v>660</v>
      </c>
      <c r="O53" s="24">
        <f>0</f>
        <v>0</v>
      </c>
      <c r="P53" s="24">
        <f>0</f>
        <v>0</v>
      </c>
      <c r="Q53" s="24">
        <f>0</f>
        <v>0</v>
      </c>
    </row>
    <row r="54" spans="1:17" ht="31.5" customHeight="1" x14ac:dyDescent="0.2">
      <c r="A54" s="18" t="s">
        <v>39</v>
      </c>
      <c r="B54" s="24">
        <f>874420645.81</f>
        <v>874420645.80999994</v>
      </c>
      <c r="C54" s="24">
        <f>873865883.59</f>
        <v>873865883.59000003</v>
      </c>
      <c r="D54" s="24">
        <f>269643336.73</f>
        <v>269643336.73000002</v>
      </c>
      <c r="E54" s="24">
        <f>60460518.09</f>
        <v>60460518.090000004</v>
      </c>
      <c r="F54" s="24">
        <f>4039664.17</f>
        <v>4039664.17</v>
      </c>
      <c r="G54" s="24">
        <f>200157996.36</f>
        <v>200157996.36000001</v>
      </c>
      <c r="H54" s="24">
        <f>4985158.11</f>
        <v>4985158.1100000003</v>
      </c>
      <c r="I54" s="24">
        <f>0</f>
        <v>0</v>
      </c>
      <c r="J54" s="24">
        <f>94399.8</f>
        <v>94399.8</v>
      </c>
      <c r="K54" s="24">
        <f>32420227.47</f>
        <v>32420227.469999999</v>
      </c>
      <c r="L54" s="24">
        <f>460614962.49</f>
        <v>460614962.49000001</v>
      </c>
      <c r="M54" s="24">
        <f>108642304.77</f>
        <v>108642304.77</v>
      </c>
      <c r="N54" s="24">
        <f>2450652.33</f>
        <v>2450652.33</v>
      </c>
      <c r="O54" s="24">
        <f>554762.22</f>
        <v>554762.22</v>
      </c>
      <c r="P54" s="24">
        <f>2636.4</f>
        <v>2636.4</v>
      </c>
      <c r="Q54" s="24">
        <f>552125.82</f>
        <v>552125.81999999995</v>
      </c>
    </row>
    <row r="63" spans="1:17" ht="66" customHeight="1" x14ac:dyDescent="0.2">
      <c r="A63" s="47" t="str">
        <f>CONCATENATE("Informacja z wykonania budżetów powiatów za   ",$C$90," ",$B$91," roku    ",$B$93,"")</f>
        <v xml:space="preserve">Informacja z wykonania budżetów powiatów za   I Kwartał 2026 roku    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</row>
    <row r="64" spans="1:17" ht="13.5" customHeight="1" x14ac:dyDescent="0.2">
      <c r="B64" s="48" t="s">
        <v>2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</row>
    <row r="66" spans="2:12" ht="13.5" customHeight="1" x14ac:dyDescent="0.2">
      <c r="B66" s="76" t="s">
        <v>0</v>
      </c>
      <c r="C66" s="77"/>
      <c r="D66" s="77"/>
      <c r="E66" s="78"/>
      <c r="F66" s="56" t="s">
        <v>68</v>
      </c>
      <c r="G66" s="33" t="s">
        <v>74</v>
      </c>
      <c r="H66" s="60"/>
      <c r="I66" s="60"/>
      <c r="J66" s="60"/>
      <c r="K66" s="60"/>
      <c r="L66" s="61"/>
    </row>
    <row r="67" spans="2:12" ht="13.5" customHeight="1" x14ac:dyDescent="0.2">
      <c r="B67" s="79"/>
      <c r="C67" s="80"/>
      <c r="D67" s="80"/>
      <c r="E67" s="81"/>
      <c r="F67" s="57"/>
      <c r="G67" s="59" t="s">
        <v>69</v>
      </c>
      <c r="H67" s="32" t="s">
        <v>66</v>
      </c>
      <c r="I67" s="32" t="s">
        <v>67</v>
      </c>
      <c r="J67" s="32" t="s">
        <v>70</v>
      </c>
      <c r="K67" s="32" t="s">
        <v>71</v>
      </c>
      <c r="L67" s="36" t="s">
        <v>72</v>
      </c>
    </row>
    <row r="68" spans="2:12" ht="13.5" customHeight="1" x14ac:dyDescent="0.2">
      <c r="B68" s="79"/>
      <c r="C68" s="80"/>
      <c r="D68" s="80"/>
      <c r="E68" s="81"/>
      <c r="F68" s="57"/>
      <c r="G68" s="59"/>
      <c r="H68" s="32"/>
      <c r="I68" s="32"/>
      <c r="J68" s="32"/>
      <c r="K68" s="32"/>
      <c r="L68" s="36"/>
    </row>
    <row r="69" spans="2:12" ht="11.25" customHeight="1" x14ac:dyDescent="0.2">
      <c r="B69" s="79"/>
      <c r="C69" s="80"/>
      <c r="D69" s="80"/>
      <c r="E69" s="81"/>
      <c r="F69" s="57"/>
      <c r="G69" s="59"/>
      <c r="H69" s="32"/>
      <c r="I69" s="32"/>
      <c r="J69" s="32"/>
      <c r="K69" s="32"/>
      <c r="L69" s="36"/>
    </row>
    <row r="70" spans="2:12" ht="11.25" customHeight="1" x14ac:dyDescent="0.2">
      <c r="B70" s="82"/>
      <c r="C70" s="83"/>
      <c r="D70" s="83"/>
      <c r="E70" s="84"/>
      <c r="F70" s="58"/>
      <c r="G70" s="59"/>
      <c r="H70" s="32"/>
      <c r="I70" s="32"/>
      <c r="J70" s="32"/>
      <c r="K70" s="32"/>
      <c r="L70" s="36"/>
    </row>
    <row r="71" spans="2:12" ht="11.25" customHeight="1" x14ac:dyDescent="0.2">
      <c r="B71" s="32">
        <v>1</v>
      </c>
      <c r="C71" s="32"/>
      <c r="D71" s="32"/>
      <c r="E71" s="32"/>
      <c r="F71" s="3">
        <v>2</v>
      </c>
      <c r="G71" s="3">
        <v>3</v>
      </c>
      <c r="H71" s="3">
        <v>4</v>
      </c>
      <c r="I71" s="3">
        <v>5</v>
      </c>
      <c r="J71" s="3">
        <v>6</v>
      </c>
      <c r="K71" s="3">
        <v>7</v>
      </c>
      <c r="L71" s="3">
        <v>8</v>
      </c>
    </row>
    <row r="72" spans="2:12" ht="12.75" customHeight="1" x14ac:dyDescent="0.2">
      <c r="B72" s="32"/>
      <c r="C72" s="32"/>
      <c r="D72" s="32"/>
      <c r="E72" s="32"/>
      <c r="F72" s="33" t="s">
        <v>76</v>
      </c>
      <c r="G72" s="34"/>
      <c r="H72" s="34"/>
      <c r="I72" s="34"/>
      <c r="J72" s="34"/>
      <c r="K72" s="34"/>
      <c r="L72" s="35"/>
    </row>
    <row r="73" spans="2:12" ht="33.75" customHeight="1" x14ac:dyDescent="0.2">
      <c r="B73" s="53" t="s">
        <v>53</v>
      </c>
      <c r="C73" s="54"/>
      <c r="D73" s="54"/>
      <c r="E73" s="55"/>
      <c r="F73" s="26">
        <f>531026501.3</f>
        <v>531026501.30000001</v>
      </c>
      <c r="G73" s="26">
        <f>285262668.96</f>
        <v>285262668.95999998</v>
      </c>
      <c r="H73" s="26">
        <f>46414021.48</f>
        <v>46414021.479999997</v>
      </c>
      <c r="I73" s="26">
        <f>4915779.29</f>
        <v>4915779.29</v>
      </c>
      <c r="J73" s="26">
        <f>228998920.31</f>
        <v>228998920.31</v>
      </c>
      <c r="K73" s="26">
        <f>4933947.88</f>
        <v>4933947.88</v>
      </c>
      <c r="L73" s="26">
        <f>245763832.34</f>
        <v>245763832.34</v>
      </c>
    </row>
    <row r="74" spans="2:12" ht="33.75" customHeight="1" x14ac:dyDescent="0.2">
      <c r="B74" s="53" t="s">
        <v>54</v>
      </c>
      <c r="C74" s="54"/>
      <c r="D74" s="54"/>
      <c r="E74" s="55"/>
      <c r="F74" s="26">
        <f>0</f>
        <v>0</v>
      </c>
      <c r="G74" s="26">
        <f>0</f>
        <v>0</v>
      </c>
      <c r="H74" s="26">
        <f>0</f>
        <v>0</v>
      </c>
      <c r="I74" s="26">
        <f>0</f>
        <v>0</v>
      </c>
      <c r="J74" s="26">
        <f>0</f>
        <v>0</v>
      </c>
      <c r="K74" s="26">
        <f>0</f>
        <v>0</v>
      </c>
      <c r="L74" s="26">
        <f>0</f>
        <v>0</v>
      </c>
    </row>
    <row r="75" spans="2:12" ht="33.75" customHeight="1" x14ac:dyDescent="0.2">
      <c r="B75" s="53" t="s">
        <v>55</v>
      </c>
      <c r="C75" s="54"/>
      <c r="D75" s="54"/>
      <c r="E75" s="55"/>
      <c r="F75" s="26">
        <f>14083742.55</f>
        <v>14083742.550000001</v>
      </c>
      <c r="G75" s="26">
        <f>6885380.55</f>
        <v>6885380.5499999998</v>
      </c>
      <c r="H75" s="26">
        <f>0</f>
        <v>0</v>
      </c>
      <c r="I75" s="26">
        <f>0</f>
        <v>0</v>
      </c>
      <c r="J75" s="26">
        <f>6885380.55</f>
        <v>6885380.5499999998</v>
      </c>
      <c r="K75" s="26">
        <f>0</f>
        <v>0</v>
      </c>
      <c r="L75" s="26">
        <f>7198362</f>
        <v>7198362</v>
      </c>
    </row>
    <row r="76" spans="2:12" ht="22.5" customHeight="1" x14ac:dyDescent="0.2">
      <c r="B76" s="53" t="s">
        <v>56</v>
      </c>
      <c r="C76" s="54"/>
      <c r="D76" s="54"/>
      <c r="E76" s="55"/>
      <c r="F76" s="26">
        <f>50220371.26</f>
        <v>50220371.259999998</v>
      </c>
      <c r="G76" s="26">
        <f>21060343.19</f>
        <v>21060343.190000001</v>
      </c>
      <c r="H76" s="26">
        <f>0</f>
        <v>0</v>
      </c>
      <c r="I76" s="26">
        <f>0</f>
        <v>0</v>
      </c>
      <c r="J76" s="26">
        <f>21060343.19</f>
        <v>21060343.190000001</v>
      </c>
      <c r="K76" s="26">
        <f>0</f>
        <v>0</v>
      </c>
      <c r="L76" s="26">
        <f>29160028.07</f>
        <v>29160028.07</v>
      </c>
    </row>
    <row r="77" spans="2:12" ht="33.75" customHeight="1" x14ac:dyDescent="0.2">
      <c r="B77" s="53" t="s">
        <v>57</v>
      </c>
      <c r="C77" s="54"/>
      <c r="D77" s="54"/>
      <c r="E77" s="55"/>
      <c r="F77" s="26">
        <f>13957563.35</f>
        <v>13957563.35</v>
      </c>
      <c r="G77" s="26">
        <f>13957563.35</f>
        <v>13957563.35</v>
      </c>
      <c r="H77" s="26">
        <f>0</f>
        <v>0</v>
      </c>
      <c r="I77" s="26">
        <f>0</f>
        <v>0</v>
      </c>
      <c r="J77" s="26">
        <f>13957563.35</f>
        <v>13957563.35</v>
      </c>
      <c r="K77" s="26">
        <f>0</f>
        <v>0</v>
      </c>
      <c r="L77" s="26">
        <f>0</f>
        <v>0</v>
      </c>
    </row>
    <row r="78" spans="2:12" ht="33.75" customHeight="1" x14ac:dyDescent="0.2">
      <c r="B78" s="53" t="s">
        <v>58</v>
      </c>
      <c r="C78" s="54"/>
      <c r="D78" s="54"/>
      <c r="E78" s="55"/>
      <c r="F78" s="26">
        <f>1270599.56</f>
        <v>1270599.56</v>
      </c>
      <c r="G78" s="26">
        <f>620599.56</f>
        <v>620599.56000000006</v>
      </c>
      <c r="H78" s="26">
        <f>0</f>
        <v>0</v>
      </c>
      <c r="I78" s="26">
        <f>0</f>
        <v>0</v>
      </c>
      <c r="J78" s="26">
        <f>620599.56</f>
        <v>620599.56000000006</v>
      </c>
      <c r="K78" s="26">
        <f>0</f>
        <v>0</v>
      </c>
      <c r="L78" s="26">
        <f>650000</f>
        <v>650000</v>
      </c>
    </row>
    <row r="79" spans="2:12" ht="22.5" customHeight="1" x14ac:dyDescent="0.2">
      <c r="B79" s="53" t="s">
        <v>59</v>
      </c>
      <c r="C79" s="54"/>
      <c r="D79" s="54"/>
      <c r="E79" s="55"/>
      <c r="F79" s="26">
        <f>0</f>
        <v>0</v>
      </c>
      <c r="G79" s="26">
        <f>0</f>
        <v>0</v>
      </c>
      <c r="H79" s="26">
        <f>0</f>
        <v>0</v>
      </c>
      <c r="I79" s="26">
        <f>0</f>
        <v>0</v>
      </c>
      <c r="J79" s="26">
        <f>0</f>
        <v>0</v>
      </c>
      <c r="K79" s="26">
        <f>0</f>
        <v>0</v>
      </c>
      <c r="L79" s="26">
        <f>0</f>
        <v>0</v>
      </c>
    </row>
    <row r="82" spans="1:13" ht="75" customHeight="1" x14ac:dyDescent="0.2">
      <c r="A82" s="47" t="str">
        <f>CONCATENATE("Informacja z wykonania budżetów powiatów za   ",$C$90," ",$B$91," roku    ",$B$93,"")</f>
        <v xml:space="preserve">Informacja z wykonania budżetów powiatów za   I Kwartał 2026 roku    </v>
      </c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</row>
    <row r="83" spans="1:13" ht="13.5" customHeight="1" x14ac:dyDescent="0.2">
      <c r="B83" s="4"/>
    </row>
    <row r="84" spans="1:13" ht="13.5" customHeight="1" x14ac:dyDescent="0.2">
      <c r="B84" s="5"/>
      <c r="C84" s="33"/>
      <c r="D84" s="60"/>
      <c r="E84" s="60"/>
      <c r="F84" s="61"/>
      <c r="G84" s="33" t="s">
        <v>3</v>
      </c>
      <c r="H84" s="61"/>
      <c r="I84" s="33" t="s">
        <v>4</v>
      </c>
      <c r="J84" s="61"/>
      <c r="K84" s="5"/>
    </row>
    <row r="85" spans="1:13" ht="13.5" customHeight="1" x14ac:dyDescent="0.2">
      <c r="B85" s="6"/>
      <c r="C85" s="66" t="s">
        <v>5</v>
      </c>
      <c r="D85" s="67"/>
      <c r="E85" s="67"/>
      <c r="F85" s="68"/>
      <c r="G85" s="62">
        <f>314</f>
        <v>314</v>
      </c>
      <c r="H85" s="63"/>
      <c r="I85" s="64">
        <f>6394519256.04</f>
        <v>6394519256.04</v>
      </c>
      <c r="J85" s="65"/>
      <c r="K85" s="7"/>
    </row>
    <row r="86" spans="1:13" ht="13.5" customHeight="1" x14ac:dyDescent="0.2">
      <c r="B86" s="6"/>
      <c r="C86" s="69" t="s">
        <v>6</v>
      </c>
      <c r="D86" s="70"/>
      <c r="E86" s="70"/>
      <c r="F86" s="71"/>
      <c r="G86" s="72">
        <f>0</f>
        <v>0</v>
      </c>
      <c r="H86" s="73"/>
      <c r="I86" s="74">
        <f>0</f>
        <v>0</v>
      </c>
      <c r="J86" s="75"/>
      <c r="K86" s="7"/>
    </row>
    <row r="87" spans="1:13" ht="13.5" customHeight="1" x14ac:dyDescent="0.2">
      <c r="B87" s="6"/>
      <c r="C87" s="66" t="s">
        <v>7</v>
      </c>
      <c r="D87" s="67"/>
      <c r="E87" s="67"/>
      <c r="F87" s="68"/>
      <c r="G87" s="62">
        <f>0</f>
        <v>0</v>
      </c>
      <c r="H87" s="63"/>
      <c r="I87" s="64">
        <f>0</f>
        <v>0</v>
      </c>
      <c r="J87" s="65"/>
      <c r="K87" s="7"/>
    </row>
    <row r="90" spans="1:13" ht="13.5" customHeight="1" x14ac:dyDescent="0.2">
      <c r="A90" s="8" t="s">
        <v>8</v>
      </c>
      <c r="B90" s="8">
        <f>1</f>
        <v>1</v>
      </c>
      <c r="C90" s="8" t="str">
        <f>IF(B90=1,"I Kwartał",IF(B90=2,"II Kwartały",IF(B90=3,"III Kwartały",IF(B90=4,"IV Kwartały","-"))))</f>
        <v>I Kwartał</v>
      </c>
    </row>
    <row r="91" spans="1:13" ht="13.5" customHeight="1" x14ac:dyDescent="0.2">
      <c r="A91" s="8" t="s">
        <v>9</v>
      </c>
      <c r="B91" s="8">
        <f>2026</f>
        <v>2026</v>
      </c>
      <c r="C91" s="9"/>
    </row>
    <row r="92" spans="1:13" ht="13.5" customHeight="1" x14ac:dyDescent="0.2">
      <c r="A92" s="8" t="s">
        <v>10</v>
      </c>
      <c r="B92" s="10" t="str">
        <f>"May 18 2026 12:00AM"</f>
        <v>May 18 2026 12:00AM</v>
      </c>
      <c r="C92" s="9"/>
    </row>
    <row r="93" spans="1:13" ht="13.5" customHeight="1" x14ac:dyDescent="0.2">
      <c r="A93" s="14" t="s">
        <v>75</v>
      </c>
      <c r="B93" s="10" t="str">
        <f>""</f>
        <v/>
      </c>
    </row>
  </sheetData>
  <mergeCells count="79">
    <mergeCell ref="O6:Q6"/>
    <mergeCell ref="O7:O10"/>
    <mergeCell ref="A63:M63"/>
    <mergeCell ref="L32:L35"/>
    <mergeCell ref="P32:P35"/>
    <mergeCell ref="Q32:Q35"/>
    <mergeCell ref="N32:N35"/>
    <mergeCell ref="O32:O35"/>
    <mergeCell ref="D32:D35"/>
    <mergeCell ref="H7:H10"/>
    <mergeCell ref="B78:E78"/>
    <mergeCell ref="I85:J85"/>
    <mergeCell ref="B64:M64"/>
    <mergeCell ref="I84:J84"/>
    <mergeCell ref="B72:E72"/>
    <mergeCell ref="B66:E70"/>
    <mergeCell ref="B79:E79"/>
    <mergeCell ref="A82:M82"/>
    <mergeCell ref="B75:E75"/>
    <mergeCell ref="B76:E76"/>
    <mergeCell ref="G87:H87"/>
    <mergeCell ref="I87:J87"/>
    <mergeCell ref="C84:F84"/>
    <mergeCell ref="C85:F85"/>
    <mergeCell ref="C86:F86"/>
    <mergeCell ref="C87:F87"/>
    <mergeCell ref="G85:H85"/>
    <mergeCell ref="G84:H84"/>
    <mergeCell ref="G86:H86"/>
    <mergeCell ref="I86:J86"/>
    <mergeCell ref="B77:E77"/>
    <mergeCell ref="B74:E74"/>
    <mergeCell ref="M32:M35"/>
    <mergeCell ref="B73:E73"/>
    <mergeCell ref="F66:F70"/>
    <mergeCell ref="G67:G70"/>
    <mergeCell ref="G66:L66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Q7:Q10"/>
    <mergeCell ref="C31:N31"/>
    <mergeCell ref="L7:L10"/>
    <mergeCell ref="M7:M10"/>
    <mergeCell ref="N7:N10"/>
    <mergeCell ref="P7:P10"/>
    <mergeCell ref="A27:M27"/>
    <mergeCell ref="O31:Q31"/>
    <mergeCell ref="A29:M29"/>
    <mergeCell ref="G7:G10"/>
    <mergeCell ref="F7:F10"/>
    <mergeCell ref="I7:I10"/>
    <mergeCell ref="J7:J10"/>
    <mergeCell ref="A31:A35"/>
    <mergeCell ref="C32:C35"/>
    <mergeCell ref="E32:E35"/>
    <mergeCell ref="B31:B35"/>
    <mergeCell ref="K67:K70"/>
    <mergeCell ref="H67:H70"/>
    <mergeCell ref="I67:I70"/>
    <mergeCell ref="J67:J70"/>
    <mergeCell ref="B12:Q12"/>
    <mergeCell ref="B37:Q37"/>
    <mergeCell ref="B71:E71"/>
    <mergeCell ref="F72:L72"/>
    <mergeCell ref="L67:L70"/>
    <mergeCell ref="F32:F35"/>
    <mergeCell ref="G32:G35"/>
    <mergeCell ref="H32:H35"/>
    <mergeCell ref="K32:K35"/>
    <mergeCell ref="I32:I35"/>
    <mergeCell ref="J32:J35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6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2009-11-20T13:10:55Z</cp:lastPrinted>
  <dcterms:created xsi:type="dcterms:W3CDTF">2001-05-17T08:58:03Z</dcterms:created>
  <dcterms:modified xsi:type="dcterms:W3CDTF">2026-05-29T11:57:08Z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2026-05-29T13:57:02.1226067+02:00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GRN-c74bd467-e3cb-4e7f-ab70-51edb28d4ea4</vt:lpwstr>
  </property>
  <property fmtid="{D5CDD505-2E9C-101B-9397-08002B2CF9AE}" pid="7" name="MFHash">
    <vt:lpwstr>MDqxsLzBUUGiA+VBwvANxvoCXayef+fts4dhBA0qIVA=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