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2EC092C4-C45F-4DDF-93FC-54A3FA4CE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82" i="7" l="1"/>
  <c r="A63" i="7"/>
  <c r="A27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<sst xmlns="http://schemas.openxmlformats.org/spreadsheetml/2006/main" count="97" uniqueCount="81">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</sst>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 Kwartał 2026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6876716352.4</f>
        <v>6876716352.3999996</v>
      </c>
      <c r="C13" s="21">
        <f>6876716352.4</f>
        <v>6876716352.3999996</v>
      </c>
      <c r="D13" s="21">
        <f>231927682.99</f>
        <v>231927682.99000001</v>
      </c>
      <c r="E13" s="21">
        <f>185677221.18</f>
        <v>185677221.18000001</v>
      </c>
      <c r="F13" s="21">
        <f>4155173.65</f>
        <v>4155173.65</v>
      </c>
      <c r="G13" s="21">
        <f>42095288.16</f>
        <v>42095288.159999996</v>
      </c>
      <c r="H13" s="21">
        <f>0</f>
        <v>0</v>
      </c>
      <c r="I13" s="21">
        <f>0</f>
        <v>0</v>
      </c>
      <c r="J13" s="21">
        <f>6264975741.4</f>
        <v>6264975741.3999996</v>
      </c>
      <c r="K13" s="21">
        <f>376615622.78</f>
        <v>376615622.77999997</v>
      </c>
      <c r="L13" s="21">
        <f>1442094.66</f>
        <v>1442094.66</v>
      </c>
      <c r="M13" s="21">
        <f>249912.12</f>
        <v>249912.12</v>
      </c>
      <c r="N13" s="21">
        <f>1505298.45</f>
        <v>1505298.45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31500000</f>
        <v>31500000</v>
      </c>
      <c r="C14" s="21">
        <f>31500000</f>
        <v>31500000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31500000</f>
        <v>31500000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31500000</f>
        <v>31500000</v>
      </c>
      <c r="C16" s="22">
        <f>31500000</f>
        <v>31500000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31500000</f>
        <v>31500000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6833973287.66</f>
        <v>6833973287.6599998</v>
      </c>
      <c r="C17" s="21">
        <f>6833973287.66</f>
        <v>6833973287.6599998</v>
      </c>
      <c r="D17" s="21">
        <f>221868463.08</f>
        <v>221868463.08000001</v>
      </c>
      <c r="E17" s="21">
        <f>185672451.18</f>
        <v>185672451.18000001</v>
      </c>
      <c r="F17" s="21">
        <f>4155173.65</f>
        <v>4155173.65</v>
      </c>
      <c r="G17" s="21">
        <f>32040838.25</f>
        <v>32040838.25</v>
      </c>
      <c r="H17" s="21">
        <f>0</f>
        <v>0</v>
      </c>
      <c r="I17" s="21">
        <f>0</f>
        <v>0</v>
      </c>
      <c r="J17" s="21">
        <f>6233475741.4</f>
        <v>6233475741.3999996</v>
      </c>
      <c r="K17" s="21">
        <f>376615622.78</f>
        <v>376615622.77999997</v>
      </c>
      <c r="L17" s="21">
        <f>1136079.7</f>
        <v>1136079.7</v>
      </c>
      <c r="M17" s="21">
        <f>0</f>
        <v>0</v>
      </c>
      <c r="N17" s="21">
        <f>877380.7</f>
        <v>877380.7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9042908.98</f>
        <v>9042908.9800000004</v>
      </c>
      <c r="C18" s="22">
        <f>9042908.98</f>
        <v>9042908.9800000004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9042908.98</f>
        <v>9042908.9800000004</v>
      </c>
      <c r="K18" s="22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6824930378.68</f>
        <v>6824930378.6800003</v>
      </c>
      <c r="C19" s="22">
        <f>6824930378.68</f>
        <v>6824930378.6800003</v>
      </c>
      <c r="D19" s="22">
        <f>221868463.08</f>
        <v>221868463.08000001</v>
      </c>
      <c r="E19" s="22">
        <f>185672451.18</f>
        <v>185672451.18000001</v>
      </c>
      <c r="F19" s="22">
        <f>4155173.65</f>
        <v>4155173.65</v>
      </c>
      <c r="G19" s="22">
        <f>32040838.25</f>
        <v>32040838.25</v>
      </c>
      <c r="H19" s="22">
        <f>0</f>
        <v>0</v>
      </c>
      <c r="I19" s="22">
        <f>0</f>
        <v>0</v>
      </c>
      <c r="J19" s="22">
        <f>6224432832.42</f>
        <v>6224432832.4200001</v>
      </c>
      <c r="K19" s="22">
        <f>376615622.78</f>
        <v>376615622.77999997</v>
      </c>
      <c r="L19" s="22">
        <f>1136079.7</f>
        <v>1136079.7</v>
      </c>
      <c r="M19" s="22">
        <f>0</f>
        <v>0</v>
      </c>
      <c r="N19" s="22">
        <f>877380.7</f>
        <v>877380.7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10000000</f>
        <v>10000000</v>
      </c>
      <c r="C20" s="22">
        <f>10000000</f>
        <v>10000000</v>
      </c>
      <c r="D20" s="22">
        <f>10000000</f>
        <v>10000000</v>
      </c>
      <c r="E20" s="22">
        <f>0</f>
        <v>0</v>
      </c>
      <c r="F20" s="22">
        <f>0</f>
        <v>0</v>
      </c>
      <c r="G20" s="22">
        <f>10000000</f>
        <v>10000000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1243064.74</f>
        <v>1243064.74</v>
      </c>
      <c r="C21" s="21">
        <f>1243064.74</f>
        <v>1243064.74</v>
      </c>
      <c r="D21" s="21">
        <f>59219.91</f>
        <v>59219.91</v>
      </c>
      <c r="E21" s="21">
        <f>4770</f>
        <v>4770</v>
      </c>
      <c r="F21" s="21">
        <f>0</f>
        <v>0</v>
      </c>
      <c r="G21" s="21">
        <f>54449.91</f>
        <v>54449.91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306014.96</f>
        <v>306014.96000000002</v>
      </c>
      <c r="M21" s="21">
        <f>249912.12</f>
        <v>249912.12</v>
      </c>
      <c r="N21" s="21">
        <f>627917.75</f>
        <v>627917.75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930633.7</f>
        <v>930633.7</v>
      </c>
      <c r="C22" s="22">
        <f>930633.7</f>
        <v>930633.7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180192.36</f>
        <v>180192.36</v>
      </c>
      <c r="M22" s="22">
        <f>136509.59</f>
        <v>136509.59</v>
      </c>
      <c r="N22" s="22">
        <f>613931.75</f>
        <v>613931.75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312431.04</f>
        <v>312431.03999999998</v>
      </c>
      <c r="C23" s="22">
        <f>312431.04</f>
        <v>312431.03999999998</v>
      </c>
      <c r="D23" s="22">
        <f>59219.91</f>
        <v>59219.91</v>
      </c>
      <c r="E23" s="22">
        <f>4770</f>
        <v>4770</v>
      </c>
      <c r="F23" s="22">
        <f>0</f>
        <v>0</v>
      </c>
      <c r="G23" s="22">
        <f>54449.91</f>
        <v>54449.91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125822.6</f>
        <v>125822.6</v>
      </c>
      <c r="M23" s="22">
        <f>113402.53</f>
        <v>113402.53</v>
      </c>
      <c r="N23" s="22">
        <f>13986</f>
        <v>13986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 Kwartał 2026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29999285.57</f>
        <v>29999285.57</v>
      </c>
      <c r="C38" s="23">
        <f>29999285.57</f>
        <v>29999285.57</v>
      </c>
      <c r="D38" s="23">
        <f>0</f>
        <v>0</v>
      </c>
      <c r="E38" s="23">
        <f>0</f>
        <v>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29999285.57</f>
        <v>29999285.57</v>
      </c>
      <c r="L38" s="23">
        <f>0</f>
        <v>0</v>
      </c>
      <c r="M38" s="23">
        <f>0</f>
        <v>0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29999285.57</f>
        <v>29999285.57</v>
      </c>
      <c r="C39" s="24">
        <f>29999285.57</f>
        <v>29999285.57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29999285.57</f>
        <v>29999285.57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360564972.31</f>
        <v>360564972.31</v>
      </c>
      <c r="C41" s="23">
        <f>360564972.31</f>
        <v>360564972.31</v>
      </c>
      <c r="D41" s="23">
        <f>268196259.77</f>
        <v>268196259.77000001</v>
      </c>
      <c r="E41" s="23">
        <f>14677.5</f>
        <v>14677.5</v>
      </c>
      <c r="F41" s="23">
        <f>3302336</f>
        <v>3302336</v>
      </c>
      <c r="G41" s="23">
        <f>264879246.27</f>
        <v>264879246.27000001</v>
      </c>
      <c r="H41" s="23">
        <f>0</f>
        <v>0</v>
      </c>
      <c r="I41" s="23">
        <f>0</f>
        <v>0</v>
      </c>
      <c r="J41" s="23">
        <f>456534.02</f>
        <v>456534.02</v>
      </c>
      <c r="K41" s="23">
        <f>0</f>
        <v>0</v>
      </c>
      <c r="L41" s="23">
        <f>76580882.52</f>
        <v>76580882.519999996</v>
      </c>
      <c r="M41" s="23">
        <f>13420494.33</f>
        <v>13420494.33</v>
      </c>
      <c r="N41" s="23">
        <f>1910801.67</f>
        <v>1910801.67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58113681.38</f>
        <v>58113681.380000003</v>
      </c>
      <c r="C42" s="24">
        <f>58113681.38</f>
        <v>58113681.380000003</v>
      </c>
      <c r="D42" s="24">
        <f>47383056.84</f>
        <v>47383056.840000004</v>
      </c>
      <c r="E42" s="24">
        <f>0</f>
        <v>0</v>
      </c>
      <c r="F42" s="24">
        <f>3300000</f>
        <v>3300000</v>
      </c>
      <c r="G42" s="24">
        <f>44083056.84</f>
        <v>44083056.840000004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8309324.67</f>
        <v>8309324.6699999999</v>
      </c>
      <c r="M42" s="24">
        <f>1421299.87</f>
        <v>1421299.87</v>
      </c>
      <c r="N42" s="24">
        <f>1000000</f>
        <v>1000000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302451290.93</f>
        <v>302451290.93000001</v>
      </c>
      <c r="C43" s="24">
        <f>302451290.93</f>
        <v>302451290.93000001</v>
      </c>
      <c r="D43" s="24">
        <f>220813202.93</f>
        <v>220813202.93000001</v>
      </c>
      <c r="E43" s="24">
        <f>14677.5</f>
        <v>14677.5</v>
      </c>
      <c r="F43" s="24">
        <f>2336</f>
        <v>2336</v>
      </c>
      <c r="G43" s="24">
        <f>220796189.43</f>
        <v>220796189.43000001</v>
      </c>
      <c r="H43" s="24">
        <f>0</f>
        <v>0</v>
      </c>
      <c r="I43" s="24">
        <f>0</f>
        <v>0</v>
      </c>
      <c r="J43" s="24">
        <f>456534.02</f>
        <v>456534.02</v>
      </c>
      <c r="K43" s="24">
        <f>0</f>
        <v>0</v>
      </c>
      <c r="L43" s="24">
        <f>68271557.85</f>
        <v>68271557.849999994</v>
      </c>
      <c r="M43" s="24">
        <f>11999194.46</f>
        <v>11999194.460000001</v>
      </c>
      <c r="N43" s="24">
        <f>910801.67</f>
        <v>910801.67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14042771734.56</f>
        <v>14042771734.559999</v>
      </c>
      <c r="C44" s="23">
        <f>14042771734.56</f>
        <v>14042771734.559999</v>
      </c>
      <c r="D44" s="23">
        <f>2596777.58</f>
        <v>2596777.58</v>
      </c>
      <c r="E44" s="23">
        <f>2031.92</f>
        <v>2031.92</v>
      </c>
      <c r="F44" s="23">
        <f>2661</f>
        <v>2661</v>
      </c>
      <c r="G44" s="23">
        <f>2592084.66</f>
        <v>2592084.66</v>
      </c>
      <c r="H44" s="23">
        <f>0</f>
        <v>0</v>
      </c>
      <c r="I44" s="23">
        <f>5280400.6</f>
        <v>5280400.5999999996</v>
      </c>
      <c r="J44" s="23">
        <f>14018570832.68</f>
        <v>14018570832.68</v>
      </c>
      <c r="K44" s="23">
        <f>16063030.95</f>
        <v>16063030.949999999</v>
      </c>
      <c r="L44" s="23">
        <f>164409.63</f>
        <v>164409.63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2582344.64</f>
        <v>2582344.64</v>
      </c>
      <c r="C45" s="24">
        <f>2582344.64</f>
        <v>2582344.64</v>
      </c>
      <c r="D45" s="24">
        <f>2582344.64</f>
        <v>2582344.64</v>
      </c>
      <c r="E45" s="24">
        <f>0</f>
        <v>0</v>
      </c>
      <c r="F45" s="24">
        <f>21</f>
        <v>21</v>
      </c>
      <c r="G45" s="24">
        <f>2582323.64</f>
        <v>2582323.64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11019394546.29</f>
        <v>11019394546.290001</v>
      </c>
      <c r="C46" s="24">
        <f>11019394546.29</f>
        <v>11019394546.290001</v>
      </c>
      <c r="D46" s="24">
        <f>5134.81</f>
        <v>5134.8100000000004</v>
      </c>
      <c r="E46" s="24">
        <f>502.39</f>
        <v>502.39</v>
      </c>
      <c r="F46" s="24">
        <f>0</f>
        <v>0</v>
      </c>
      <c r="G46" s="24">
        <f>4632.42</f>
        <v>4632.42</v>
      </c>
      <c r="H46" s="24">
        <f>0</f>
        <v>0</v>
      </c>
      <c r="I46" s="24">
        <f>5280400.6</f>
        <v>5280400.5999999996</v>
      </c>
      <c r="J46" s="24">
        <f>11013901838.88</f>
        <v>11013901838.879999</v>
      </c>
      <c r="K46" s="24">
        <f>59997.98</f>
        <v>59997.98</v>
      </c>
      <c r="L46" s="24">
        <f>52890.9</f>
        <v>52890.9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3020794843.63</f>
        <v>3020794843.6300001</v>
      </c>
      <c r="C47" s="24">
        <f>3020794843.63</f>
        <v>3020794843.6300001</v>
      </c>
      <c r="D47" s="24">
        <f>9298.13</f>
        <v>9298.1299999999992</v>
      </c>
      <c r="E47" s="24">
        <f>1529.53</f>
        <v>1529.53</v>
      </c>
      <c r="F47" s="24">
        <f>2640</f>
        <v>2640</v>
      </c>
      <c r="G47" s="24">
        <f>5128.6</f>
        <v>5128.6000000000004</v>
      </c>
      <c r="H47" s="24">
        <f>0</f>
        <v>0</v>
      </c>
      <c r="I47" s="24">
        <f>0</f>
        <v>0</v>
      </c>
      <c r="J47" s="24">
        <f>3004668993.8</f>
        <v>3004668993.8000002</v>
      </c>
      <c r="K47" s="24">
        <f>16003032.97</f>
        <v>16003032.970000001</v>
      </c>
      <c r="L47" s="24">
        <f>111518.73</f>
        <v>111518.73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966264491.26</f>
        <v>966264491.25999999</v>
      </c>
      <c r="C48" s="23">
        <f>965028420.1</f>
        <v>965028420.10000002</v>
      </c>
      <c r="D48" s="23">
        <f>59388179.07</f>
        <v>59388179.07</v>
      </c>
      <c r="E48" s="23">
        <f>11914939.91</f>
        <v>11914939.91</v>
      </c>
      <c r="F48" s="23">
        <f>1296524.12</f>
        <v>1296524.1200000001</v>
      </c>
      <c r="G48" s="23">
        <f>46159647.15</f>
        <v>46159647.149999999</v>
      </c>
      <c r="H48" s="23">
        <f>17067.89</f>
        <v>17067.89</v>
      </c>
      <c r="I48" s="23">
        <f>0</f>
        <v>0</v>
      </c>
      <c r="J48" s="23">
        <f>3612207.3</f>
        <v>3612207.3</v>
      </c>
      <c r="K48" s="23">
        <f>454926.01</f>
        <v>454926.01</v>
      </c>
      <c r="L48" s="23">
        <f>246405793.05</f>
        <v>246405793.05000001</v>
      </c>
      <c r="M48" s="23">
        <f>651204297.14</f>
        <v>651204297.13999999</v>
      </c>
      <c r="N48" s="23">
        <f>3963017.53</f>
        <v>3963017.53</v>
      </c>
      <c r="O48" s="23">
        <f>1236071.16</f>
        <v>1236071.1599999999</v>
      </c>
      <c r="P48" s="23">
        <f>380771.46</f>
        <v>380771.46</v>
      </c>
      <c r="Q48" s="23">
        <f>855299.7</f>
        <v>855299.7</v>
      </c>
    </row>
    <row r="49" spans="1:17" ht="25.5" customHeight="1" x14ac:dyDescent="0.2">
      <c r="A49" s="18" t="s">
        <v>36</v>
      </c>
      <c r="B49" s="24">
        <f>178400284.81</f>
        <v>178400284.81</v>
      </c>
      <c r="C49" s="24">
        <f>178333322.35</f>
        <v>178333322.34999999</v>
      </c>
      <c r="D49" s="24">
        <f>12085384.5</f>
        <v>12085384.5</v>
      </c>
      <c r="E49" s="24">
        <f>1365545.88</f>
        <v>1365545.88</v>
      </c>
      <c r="F49" s="24">
        <f>473941.92</f>
        <v>473941.92</v>
      </c>
      <c r="G49" s="24">
        <f>10229019</f>
        <v>10229019</v>
      </c>
      <c r="H49" s="24">
        <f>16877.7</f>
        <v>16877.7</v>
      </c>
      <c r="I49" s="24">
        <f>0</f>
        <v>0</v>
      </c>
      <c r="J49" s="24">
        <f>605789.79</f>
        <v>605789.79</v>
      </c>
      <c r="K49" s="24">
        <f>90260.23</f>
        <v>90260.23</v>
      </c>
      <c r="L49" s="24">
        <f>55446746.68</f>
        <v>55446746.68</v>
      </c>
      <c r="M49" s="24">
        <f>108711013.8</f>
        <v>108711013.8</v>
      </c>
      <c r="N49" s="24">
        <f>1394127.35</f>
        <v>1394127.35</v>
      </c>
      <c r="O49" s="24">
        <f>66962.46</f>
        <v>66962.460000000006</v>
      </c>
      <c r="P49" s="24">
        <f>50184.95</f>
        <v>50184.95</v>
      </c>
      <c r="Q49" s="24">
        <f>16777.51</f>
        <v>16777.509999999998</v>
      </c>
    </row>
    <row r="50" spans="1:17" ht="25.5" customHeight="1" x14ac:dyDescent="0.2">
      <c r="A50" s="18" t="s">
        <v>37</v>
      </c>
      <c r="B50" s="24">
        <f>787864206.45</f>
        <v>787864206.45000005</v>
      </c>
      <c r="C50" s="24">
        <f>786695097.75</f>
        <v>786695097.75</v>
      </c>
      <c r="D50" s="24">
        <f>47302794.57</f>
        <v>47302794.57</v>
      </c>
      <c r="E50" s="24">
        <f>10549394.03</f>
        <v>10549394.029999999</v>
      </c>
      <c r="F50" s="24">
        <f>822582.2</f>
        <v>822582.2</v>
      </c>
      <c r="G50" s="24">
        <f>35930628.15</f>
        <v>35930628.149999999</v>
      </c>
      <c r="H50" s="24">
        <f>190.19</f>
        <v>190.19</v>
      </c>
      <c r="I50" s="24">
        <f>0</f>
        <v>0</v>
      </c>
      <c r="J50" s="24">
        <f>3006417.51</f>
        <v>3006417.51</v>
      </c>
      <c r="K50" s="24">
        <f>364665.78</f>
        <v>364665.78</v>
      </c>
      <c r="L50" s="24">
        <f>190959046.37</f>
        <v>190959046.37</v>
      </c>
      <c r="M50" s="24">
        <f>542493283.34</f>
        <v>542493283.34000003</v>
      </c>
      <c r="N50" s="24">
        <f>2568890.18</f>
        <v>2568890.1800000002</v>
      </c>
      <c r="O50" s="24">
        <f>1169108.7</f>
        <v>1169108.7</v>
      </c>
      <c r="P50" s="24">
        <f>330586.51</f>
        <v>330586.51</v>
      </c>
      <c r="Q50" s="24">
        <f>838522.19</f>
        <v>838522.19</v>
      </c>
    </row>
    <row r="51" spans="1:17" ht="30" customHeight="1" x14ac:dyDescent="0.2">
      <c r="A51" s="25" t="s">
        <v>44</v>
      </c>
      <c r="B51" s="23">
        <f>1015013532.65</f>
        <v>1015013532.65</v>
      </c>
      <c r="C51" s="23">
        <f>1014348807.99</f>
        <v>1014348807.99</v>
      </c>
      <c r="D51" s="23">
        <f>334168806.36</f>
        <v>334168806.36000001</v>
      </c>
      <c r="E51" s="23">
        <f>61009470.98</f>
        <v>61009470.979999997</v>
      </c>
      <c r="F51" s="23">
        <f>4663560.32</f>
        <v>4663560.32</v>
      </c>
      <c r="G51" s="23">
        <f>255783295.03</f>
        <v>255783295.03</v>
      </c>
      <c r="H51" s="23">
        <f>12712480.03</f>
        <v>12712480.029999999</v>
      </c>
      <c r="I51" s="23">
        <f>0</f>
        <v>0</v>
      </c>
      <c r="J51" s="23">
        <f>275462.66</f>
        <v>275462.65999999997</v>
      </c>
      <c r="K51" s="23">
        <f>32674921.16</f>
        <v>32674921.16</v>
      </c>
      <c r="L51" s="23">
        <f>494328204.44</f>
        <v>494328204.44</v>
      </c>
      <c r="M51" s="23">
        <f>148665329.09</f>
        <v>148665329.09</v>
      </c>
      <c r="N51" s="23">
        <f>4236084.28</f>
        <v>4236084.28</v>
      </c>
      <c r="O51" s="23">
        <f>664724.66</f>
        <v>664724.66</v>
      </c>
      <c r="P51" s="23">
        <f>111629.46</f>
        <v>111629.46</v>
      </c>
      <c r="Q51" s="23">
        <f>553095.2</f>
        <v>553095.19999999995</v>
      </c>
    </row>
    <row r="52" spans="1:17" ht="31.5" customHeight="1" x14ac:dyDescent="0.2">
      <c r="A52" s="18" t="s">
        <v>38</v>
      </c>
      <c r="B52" s="24">
        <f>139515774.65</f>
        <v>139515774.65000001</v>
      </c>
      <c r="C52" s="24">
        <f>139405812.21</f>
        <v>139405812.21000001</v>
      </c>
      <c r="D52" s="24">
        <f>64029503.97</f>
        <v>64029503.969999999</v>
      </c>
      <c r="E52" s="24">
        <f>520622.17</f>
        <v>520622.17</v>
      </c>
      <c r="F52" s="24">
        <f>623812.15</f>
        <v>623812.15</v>
      </c>
      <c r="G52" s="24">
        <f>55327289.36</f>
        <v>55327289.359999999</v>
      </c>
      <c r="H52" s="24">
        <f>7557780.29</f>
        <v>7557780.29</v>
      </c>
      <c r="I52" s="24">
        <f>0</f>
        <v>0</v>
      </c>
      <c r="J52" s="24">
        <f>181062.86</f>
        <v>181062.86</v>
      </c>
      <c r="K52" s="24">
        <f>254410.65</f>
        <v>254410.65</v>
      </c>
      <c r="L52" s="24">
        <f>33668520.04</f>
        <v>33668520.039999999</v>
      </c>
      <c r="M52" s="24">
        <f>39487542.74</f>
        <v>39487542.740000002</v>
      </c>
      <c r="N52" s="24">
        <f>1784771.95</f>
        <v>1784771.95</v>
      </c>
      <c r="O52" s="24">
        <f>109962.44</f>
        <v>109962.44</v>
      </c>
      <c r="P52" s="24">
        <f>108993.06</f>
        <v>108993.06</v>
      </c>
      <c r="Q52" s="24">
        <f>969.38</f>
        <v>969.38</v>
      </c>
    </row>
    <row r="53" spans="1:17" ht="35.25" customHeight="1" x14ac:dyDescent="0.2">
      <c r="A53" s="18" t="s">
        <v>80</v>
      </c>
      <c r="B53" s="24">
        <f>1077112.19</f>
        <v>1077112.19</v>
      </c>
      <c r="C53" s="24">
        <f>1077112.19</f>
        <v>1077112.19</v>
      </c>
      <c r="D53" s="24">
        <f>495965.66</f>
        <v>495965.66</v>
      </c>
      <c r="E53" s="24">
        <f>28330.72</f>
        <v>28330.720000000001</v>
      </c>
      <c r="F53" s="24">
        <f>84</f>
        <v>84</v>
      </c>
      <c r="G53" s="24">
        <f>298009.31</f>
        <v>298009.31</v>
      </c>
      <c r="H53" s="24">
        <f>169541.63</f>
        <v>169541.63</v>
      </c>
      <c r="I53" s="24">
        <f>0</f>
        <v>0</v>
      </c>
      <c r="J53" s="24">
        <f>0</f>
        <v>0</v>
      </c>
      <c r="K53" s="24">
        <f>283.04</f>
        <v>283.04000000000002</v>
      </c>
      <c r="L53" s="24">
        <f>44721.91</f>
        <v>44721.91</v>
      </c>
      <c r="M53" s="24">
        <f>535481.58</f>
        <v>535481.57999999996</v>
      </c>
      <c r="N53" s="24">
        <f>660</f>
        <v>660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874420645.81</f>
        <v>874420645.80999994</v>
      </c>
      <c r="C54" s="24">
        <f>873865883.59</f>
        <v>873865883.59000003</v>
      </c>
      <c r="D54" s="24">
        <f>269643336.73</f>
        <v>269643336.73000002</v>
      </c>
      <c r="E54" s="24">
        <f>60460518.09</f>
        <v>60460518.090000004</v>
      </c>
      <c r="F54" s="24">
        <f>4039664.17</f>
        <v>4039664.17</v>
      </c>
      <c r="G54" s="24">
        <f>200157996.36</f>
        <v>200157996.36000001</v>
      </c>
      <c r="H54" s="24">
        <f>4985158.11</f>
        <v>4985158.1100000003</v>
      </c>
      <c r="I54" s="24">
        <f>0</f>
        <v>0</v>
      </c>
      <c r="J54" s="24">
        <f>94399.8</f>
        <v>94399.8</v>
      </c>
      <c r="K54" s="24">
        <f>32420227.47</f>
        <v>32420227.469999999</v>
      </c>
      <c r="L54" s="24">
        <f>460614962.49</f>
        <v>460614962.49000001</v>
      </c>
      <c r="M54" s="24">
        <f>108642304.77</f>
        <v>108642304.77</v>
      </c>
      <c r="N54" s="24">
        <f>2450652.33</f>
        <v>2450652.33</v>
      </c>
      <c r="O54" s="24">
        <f>554762.22</f>
        <v>554762.22</v>
      </c>
      <c r="P54" s="24">
        <f>2636.4</f>
        <v>2636.4</v>
      </c>
      <c r="Q54" s="24">
        <f>552125.82</f>
        <v>552125.81999999995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 Kwartał 2026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531026501.3</f>
        <v>531026501.30000001</v>
      </c>
      <c r="G73" s="26">
        <f>285262668.96</f>
        <v>285262668.95999998</v>
      </c>
      <c r="H73" s="26">
        <f>46414021.48</f>
        <v>46414021.479999997</v>
      </c>
      <c r="I73" s="26">
        <f>4915779.29</f>
        <v>4915779.29</v>
      </c>
      <c r="J73" s="26">
        <f>228998920.31</f>
        <v>228998920.31</v>
      </c>
      <c r="K73" s="26">
        <f>4933947.88</f>
        <v>4933947.88</v>
      </c>
      <c r="L73" s="26">
        <f>245763832.34</f>
        <v>245763832.34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14083742.55</f>
        <v>14083742.550000001</v>
      </c>
      <c r="G75" s="26">
        <f>6885380.55</f>
        <v>6885380.5499999998</v>
      </c>
      <c r="H75" s="26">
        <f>0</f>
        <v>0</v>
      </c>
      <c r="I75" s="26">
        <f>0</f>
        <v>0</v>
      </c>
      <c r="J75" s="26">
        <f>6885380.55</f>
        <v>6885380.5499999998</v>
      </c>
      <c r="K75" s="26">
        <f>0</f>
        <v>0</v>
      </c>
      <c r="L75" s="26">
        <f>7198362</f>
        <v>7198362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50220371.26</f>
        <v>50220371.259999998</v>
      </c>
      <c r="G76" s="26">
        <f>21060343.19</f>
        <v>21060343.190000001</v>
      </c>
      <c r="H76" s="26">
        <f>0</f>
        <v>0</v>
      </c>
      <c r="I76" s="26">
        <f>0</f>
        <v>0</v>
      </c>
      <c r="J76" s="26">
        <f>21060343.19</f>
        <v>21060343.190000001</v>
      </c>
      <c r="K76" s="26">
        <f>0</f>
        <v>0</v>
      </c>
      <c r="L76" s="26">
        <f>29160028.07</f>
        <v>29160028.07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13957563.35</f>
        <v>13957563.35</v>
      </c>
      <c r="G77" s="26">
        <f>13957563.35</f>
        <v>13957563.35</v>
      </c>
      <c r="H77" s="26">
        <f>0</f>
        <v>0</v>
      </c>
      <c r="I77" s="26">
        <f>0</f>
        <v>0</v>
      </c>
      <c r="J77" s="26">
        <f>13957563.35</f>
        <v>13957563.35</v>
      </c>
      <c r="K77" s="26">
        <f>0</f>
        <v>0</v>
      </c>
      <c r="L77" s="26">
        <f>0</f>
        <v>0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1270599.56</f>
        <v>1270599.56</v>
      </c>
      <c r="G78" s="26">
        <f>620599.56</f>
        <v>620599.56000000006</v>
      </c>
      <c r="H78" s="26">
        <f>0</f>
        <v>0</v>
      </c>
      <c r="I78" s="26">
        <f>0</f>
        <v>0</v>
      </c>
      <c r="J78" s="26">
        <f>620599.56</f>
        <v>620599.56000000006</v>
      </c>
      <c r="K78" s="26">
        <f>0</f>
        <v>0</v>
      </c>
      <c r="L78" s="26">
        <f>650000</f>
        <v>650000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 Kwartał 2026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314</f>
        <v>314</v>
      </c>
      <c r="H85" s="63"/>
      <c r="I85" s="64">
        <f>6394519256.04</f>
        <v>6394519256.04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0</f>
        <v>0</v>
      </c>
      <c r="H86" s="73"/>
      <c r="I86" s="74">
        <f>0</f>
        <v>0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1</f>
        <v>1</v>
      </c>
      <c r="C90" s="8" t="str">
        <f>IF(B90=1,"I Kwartał",IF(B90=2,"II Kwartały",IF(B90=3,"III Kwartały",IF(B90=4,"IV Kwartały","-"))))</f>
        <v>I Kwartał</v>
      </c>
    </row>
    <row r="91" spans="1:13" ht="13.5" customHeight="1" x14ac:dyDescent="0.2">
      <c r="A91" s="8" t="s">
        <v>9</v>
      </c>
      <c r="B91" s="8">
        <f>2026</f>
        <v>2026</v>
      </c>
      <c r="C91" s="9"/>
    </row>
    <row r="92" spans="1:13" ht="13.5" customHeight="1" x14ac:dyDescent="0.2">
      <c r="A92" s="8" t="s">
        <v>10</v>
      </c>
      <c r="B92" s="10" t="str">
        <f>"May 18 2026 12:00AM"</f>
        <v>May 18 2026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2026-05-29T11:57:08Z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2026-05-29T13:57:02.1226067+02:00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GRN-c74bd467-e3cb-4e7f-ab70-51edb28d4ea4</vt:lpwstr>
  </property>
  <property fmtid="{D5CDD505-2E9C-101B-9397-08002B2CF9AE}" pid="7" name="MFHash">
    <vt:lpwstr>MDqxsLzBUUGiA+VBwvANxvoCXayef+fts4dhBA0qIVA=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