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<sst xmlns="http://schemas.openxmlformats.org/spreadsheetml/2006/main" count="98" uniqueCount="79">
  <si>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</si>
  <si>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</si>
  <si>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</si>
  <si>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</si>
  <si>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</si>
  <si>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</si>
  <si>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</si>
  <si>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</si>
  <si>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</si>
  <si>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</si>
  <si>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</si>
  <si>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</si>
  <si>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</si>
  <si>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</si>
  <si>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</si>
  <si>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</si>
  <si>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</si>
  <si>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</si>
  <si>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</si>
  <si>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</si>
  <si>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</si>
  <si>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</si>
  <si>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</si>
  <si>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</si>
  <si>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</si>
  <si>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</si>
  <si>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</si>
  <si>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</si>
  <si>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</si>
  <si>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</si>
  <si>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</si>
  <si>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</si>
  <si>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</si>
  <si>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</si>
  <si>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</si>
  <si>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</si>
  <si>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</si>
  <si>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</si>
  <si>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</si>
  <si>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</si>
  <si>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</si>
  <si>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</si>
  <si>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</si>
  <si>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</si>
  <si>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E1.1 krótkotermionowe</t>
  </si>
  <si>
    <t>E1.2 długoterminowe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</si>
  <si>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</si>
  <si>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</si>
  <si>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</si>
  <si>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</si>
  <si>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</si>
  <si>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</si>
  <si>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</si>
  <si>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</si>
  <si>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</si>
  <si>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</si>
  <si>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</si>
  <si>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</si>
  <si>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</si>
  <si>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</si>
  <si>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</si>
  <si>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</si>
  <si>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</si>
  <si>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</si>
  <si>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</si>
  <si>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</si>
  <si>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</si>
  <si>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</si>
  <si>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</si>
  <si>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</si>
  <si>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</si>
  <si>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</si>
  <si>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</si>
  <si>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</si>
  <si>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E1 papiery wartościowe  (E1.1+E1.2)</t>
  </si>
  <si>
    <t>E2 kredyty i pożyczki (E2.1+E2.2)</t>
  </si>
  <si>
    <t>E4  wymagalne zobowiązania (E4.1+E4.2)</t>
  </si>
  <si>
    <t>N5.2 z tytułu podatków i składek na ubezpieczenia społ.</t>
  </si>
  <si>
    <t xml:space="preserve">Informacja z wykonania budżetów powiatów za   I Kwartał 2020 roku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</si>
</sst>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9" fillId="0" borderId="20" xfId="0" applyFont="1" applyFill="1" applyBorder="1" applyAlignment="1">
      <alignment vertical="center" wrapText="1"/>
    </xf>
    <xf numFmtId="0" fontId="3" fillId="40" borderId="19" xfId="88" applyFont="1" applyFill="1" applyBorder="1" applyAlignment="1">
      <alignment horizontal="left" vertical="center" wrapText="1"/>
      <protection/>
    </xf>
    <xf numFmtId="0" fontId="8" fillId="40" borderId="19" xfId="88" applyFont="1" applyFill="1" applyBorder="1" applyAlignment="1">
      <alignment horizontal="left" vertical="center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0" fontId="28" fillId="50" borderId="20" xfId="0" applyFont="1" applyFill="1" applyBorder="1" applyAlignment="1">
      <alignment vertical="center" wrapText="1"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27" fillId="2" borderId="24" xfId="88" applyFont="1" applyFill="1" applyBorder="1" applyAlignment="1">
      <alignment horizontal="center" vertical="center" wrapText="1"/>
      <protection/>
    </xf>
    <xf numFmtId="0" fontId="27" fillId="2" borderId="25" xfId="88" applyFont="1" applyFill="1" applyBorder="1" applyAlignment="1">
      <alignment horizontal="center" vertical="center" wrapText="1"/>
      <protection/>
    </xf>
    <xf numFmtId="0" fontId="27" fillId="2" borderId="26" xfId="88" applyFont="1" applyFill="1" applyBorder="1" applyAlignment="1">
      <alignment horizontal="center" vertical="center" wrapText="1"/>
      <protection/>
    </xf>
    <xf numFmtId="0" fontId="27" fillId="2" borderId="21" xfId="88" applyFont="1" applyFill="1" applyBorder="1" applyAlignment="1">
      <alignment horizontal="center" vertical="center" wrapText="1"/>
      <protection/>
    </xf>
    <xf numFmtId="0" fontId="27" fillId="2" borderId="22" xfId="88" applyFont="1" applyFill="1" applyBorder="1" applyAlignment="1">
      <alignment horizontal="center" vertical="center" wrapText="1"/>
      <protection/>
    </xf>
    <xf numFmtId="0" fontId="27" fillId="2" borderId="23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88"/>
  <sheetViews>
    <sheetView tabSelected="1" zoomScaleSheetLayoutView="75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6" width="11.375" style="2" customWidth="1"/>
    <col min="7" max="7" width="12.125" style="2" customWidth="1"/>
    <col min="8" max="8" width="12.00390625" style="2" customWidth="1"/>
    <col min="9" max="9" width="12.625" style="2" customWidth="1"/>
    <col min="10" max="10" width="12.875" style="2" customWidth="1"/>
    <col min="11" max="11" width="12.125" style="2" customWidth="1"/>
    <col min="12" max="12" width="11.375" style="2" customWidth="1"/>
    <col min="13" max="13" width="10.00390625" style="2" customWidth="1"/>
    <col min="14" max="14" width="10.25390625" style="2" customWidth="1"/>
    <col min="15" max="15" width="9.125" style="2" customWidth="1"/>
    <col min="16" max="16" width="10.25390625" style="2" customWidth="1"/>
    <col min="17" max="16384" width="9.125" style="2" customWidth="1"/>
  </cols>
  <sheetData>
    <row r="1" spans="1:13" ht="39.75" customHeight="1">
      <c r="A1" s="29" t="s">
        <v>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9" t="s">
        <v>58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2:17" ht="13.5" customHeight="1">
      <c r="B5" s="9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8"/>
      <c r="O5" s="8"/>
      <c r="P5" s="8"/>
      <c r="Q5" s="8"/>
    </row>
    <row r="6" spans="1:17" ht="13.5" customHeight="1">
      <c r="A6" s="72" t="s">
        <v>0</v>
      </c>
      <c r="B6" s="30" t="s">
        <v>59</v>
      </c>
      <c r="C6" s="25" t="s">
        <v>63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5" t="s">
        <v>62</v>
      </c>
      <c r="P6" s="26"/>
      <c r="Q6" s="27"/>
    </row>
    <row r="7" spans="1:17" ht="13.5" customHeight="1">
      <c r="A7" s="73"/>
      <c r="B7" s="31"/>
      <c r="C7" s="32" t="s">
        <v>60</v>
      </c>
      <c r="D7" s="32" t="s">
        <v>71</v>
      </c>
      <c r="E7" s="32" t="s">
        <v>64</v>
      </c>
      <c r="F7" s="32" t="s">
        <v>65</v>
      </c>
      <c r="G7" s="32" t="s">
        <v>24</v>
      </c>
      <c r="H7" s="32" t="s">
        <v>25</v>
      </c>
      <c r="I7" s="69" t="s">
        <v>61</v>
      </c>
      <c r="J7" s="32" t="s">
        <v>13</v>
      </c>
      <c r="K7" s="32" t="s">
        <v>14</v>
      </c>
      <c r="L7" s="32" t="s">
        <v>15</v>
      </c>
      <c r="M7" s="32" t="s">
        <v>16</v>
      </c>
      <c r="N7" s="31" t="s">
        <v>17</v>
      </c>
      <c r="O7" s="28" t="s">
        <v>18</v>
      </c>
      <c r="P7" s="28" t="s">
        <v>19</v>
      </c>
      <c r="Q7" s="28" t="s">
        <v>20</v>
      </c>
    </row>
    <row r="8" spans="1:17" ht="13.5" customHeight="1">
      <c r="A8" s="73"/>
      <c r="B8" s="31"/>
      <c r="C8" s="28"/>
      <c r="D8" s="28"/>
      <c r="E8" s="28"/>
      <c r="F8" s="28"/>
      <c r="G8" s="28"/>
      <c r="H8" s="28"/>
      <c r="I8" s="69"/>
      <c r="J8" s="28"/>
      <c r="K8" s="28"/>
      <c r="L8" s="28"/>
      <c r="M8" s="28"/>
      <c r="N8" s="31"/>
      <c r="O8" s="28"/>
      <c r="P8" s="28"/>
      <c r="Q8" s="28"/>
    </row>
    <row r="9" spans="1:17" ht="11.25" customHeight="1">
      <c r="A9" s="73"/>
      <c r="B9" s="31"/>
      <c r="C9" s="28"/>
      <c r="D9" s="28"/>
      <c r="E9" s="28"/>
      <c r="F9" s="28"/>
      <c r="G9" s="28"/>
      <c r="H9" s="28"/>
      <c r="I9" s="69"/>
      <c r="J9" s="28"/>
      <c r="K9" s="28"/>
      <c r="L9" s="28"/>
      <c r="M9" s="28"/>
      <c r="N9" s="31"/>
      <c r="O9" s="28"/>
      <c r="P9" s="28"/>
      <c r="Q9" s="28"/>
    </row>
    <row r="10" spans="1:17" ht="33.75" customHeight="1">
      <c r="A10" s="74"/>
      <c r="B10" s="32"/>
      <c r="C10" s="28"/>
      <c r="D10" s="28"/>
      <c r="E10" s="28"/>
      <c r="F10" s="28"/>
      <c r="G10" s="28"/>
      <c r="H10" s="28"/>
      <c r="I10" s="70"/>
      <c r="J10" s="28"/>
      <c r="K10" s="28"/>
      <c r="L10" s="28"/>
      <c r="M10" s="28"/>
      <c r="N10" s="32"/>
      <c r="O10" s="28"/>
      <c r="P10" s="28"/>
      <c r="Q10" s="28"/>
    </row>
    <row r="11" spans="1:17" ht="15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</row>
    <row r="12" spans="1:17" ht="12" customHeight="1">
      <c r="A12" s="10"/>
      <c r="B12" s="78" t="s">
        <v>73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80"/>
    </row>
    <row r="13" spans="1:17" ht="39.75" customHeight="1">
      <c r="A13" s="18" t="s">
        <v>43</v>
      </c>
      <c r="B13" s="19">
        <f>6413097411.14</f>
        <v>6413097411.14</v>
      </c>
      <c r="C13" s="19">
        <f>6413097411.14</f>
        <v>6413097411.14</v>
      </c>
      <c r="D13" s="19">
        <f>297235233.45</f>
        <v>297235233.45</v>
      </c>
      <c r="E13" s="19">
        <f>240803762.92</f>
        <v>240803762.92</v>
      </c>
      <c r="F13" s="19">
        <f>18311042.51</f>
        <v>18311042.51</v>
      </c>
      <c r="G13" s="19">
        <f>37326896.08</f>
        <v>37326896.08</v>
      </c>
      <c r="H13" s="19">
        <f>793531.94</f>
        <v>793531.94</v>
      </c>
      <c r="I13" s="19">
        <f>0</f>
        <v>0</v>
      </c>
      <c r="J13" s="19">
        <f>5917187268.8</f>
        <v>5917187268.8</v>
      </c>
      <c r="K13" s="19">
        <f>194798228.7</f>
        <v>194798228.7</v>
      </c>
      <c r="L13" s="19">
        <f>3463403.67</f>
        <v>3463403.67</v>
      </c>
      <c r="M13" s="19">
        <f>412701.27</f>
        <v>412701.27</v>
      </c>
      <c r="N13" s="19">
        <f>575.25</f>
        <v>575.25</v>
      </c>
      <c r="O13" s="19">
        <f>0</f>
        <v>0</v>
      </c>
      <c r="P13" s="19">
        <f>0</f>
        <v>0</v>
      </c>
      <c r="Q13" s="19">
        <f>0</f>
        <v>0</v>
      </c>
    </row>
    <row r="14" spans="1:17" ht="24.75" customHeight="1">
      <c r="A14" s="17" t="s">
        <v>74</v>
      </c>
      <c r="B14" s="19">
        <f>63850000</f>
        <v>63850000</v>
      </c>
      <c r="C14" s="19">
        <f>63850000</f>
        <v>63850000</v>
      </c>
      <c r="D14" s="19">
        <f>0</f>
        <v>0</v>
      </c>
      <c r="E14" s="19">
        <f>0</f>
        <v>0</v>
      </c>
      <c r="F14" s="19">
        <f>0</f>
        <v>0</v>
      </c>
      <c r="G14" s="19">
        <f>0</f>
        <v>0</v>
      </c>
      <c r="H14" s="19">
        <f>0</f>
        <v>0</v>
      </c>
      <c r="I14" s="19">
        <f>0</f>
        <v>0</v>
      </c>
      <c r="J14" s="19">
        <f>63850000</f>
        <v>63850000</v>
      </c>
      <c r="K14" s="19">
        <f>0</f>
        <v>0</v>
      </c>
      <c r="L14" s="19">
        <f>0</f>
        <v>0</v>
      </c>
      <c r="M14" s="19">
        <f>0</f>
        <v>0</v>
      </c>
      <c r="N14" s="19">
        <f>0</f>
        <v>0</v>
      </c>
      <c r="O14" s="19">
        <f>0</f>
        <v>0</v>
      </c>
      <c r="P14" s="19">
        <f>0</f>
        <v>0</v>
      </c>
      <c r="Q14" s="19">
        <f>0</f>
        <v>0</v>
      </c>
    </row>
    <row r="15" spans="1:17" ht="21" customHeight="1">
      <c r="A15" s="15" t="s">
        <v>44</v>
      </c>
      <c r="B15" s="20">
        <f>0</f>
        <v>0</v>
      </c>
      <c r="C15" s="20">
        <f>0</f>
        <v>0</v>
      </c>
      <c r="D15" s="20">
        <f>0</f>
        <v>0</v>
      </c>
      <c r="E15" s="20">
        <f>0</f>
        <v>0</v>
      </c>
      <c r="F15" s="20">
        <f>0</f>
        <v>0</v>
      </c>
      <c r="G15" s="20">
        <f>0</f>
        <v>0</v>
      </c>
      <c r="H15" s="20">
        <f>0</f>
        <v>0</v>
      </c>
      <c r="I15" s="20">
        <f>0</f>
        <v>0</v>
      </c>
      <c r="J15" s="20">
        <f>0</f>
        <v>0</v>
      </c>
      <c r="K15" s="20">
        <f>0</f>
        <v>0</v>
      </c>
      <c r="L15" s="20">
        <f>0</f>
        <v>0</v>
      </c>
      <c r="M15" s="20">
        <f>0</f>
        <v>0</v>
      </c>
      <c r="N15" s="20">
        <f>0</f>
        <v>0</v>
      </c>
      <c r="O15" s="20">
        <f>0</f>
        <v>0</v>
      </c>
      <c r="P15" s="20">
        <f>0</f>
        <v>0</v>
      </c>
      <c r="Q15" s="20">
        <f>0</f>
        <v>0</v>
      </c>
    </row>
    <row r="16" spans="1:17" ht="20.25" customHeight="1">
      <c r="A16" s="15" t="s">
        <v>45</v>
      </c>
      <c r="B16" s="20">
        <f>63850000</f>
        <v>63850000</v>
      </c>
      <c r="C16" s="20">
        <f>63850000</f>
        <v>63850000</v>
      </c>
      <c r="D16" s="20">
        <f>0</f>
        <v>0</v>
      </c>
      <c r="E16" s="20">
        <f>0</f>
        <v>0</v>
      </c>
      <c r="F16" s="20">
        <f>0</f>
        <v>0</v>
      </c>
      <c r="G16" s="20">
        <f>0</f>
        <v>0</v>
      </c>
      <c r="H16" s="20">
        <f>0</f>
        <v>0</v>
      </c>
      <c r="I16" s="20">
        <f>0</f>
        <v>0</v>
      </c>
      <c r="J16" s="20">
        <f>63850000</f>
        <v>63850000</v>
      </c>
      <c r="K16" s="20">
        <f>0</f>
        <v>0</v>
      </c>
      <c r="L16" s="20">
        <f>0</f>
        <v>0</v>
      </c>
      <c r="M16" s="20">
        <f>0</f>
        <v>0</v>
      </c>
      <c r="N16" s="20">
        <f>0</f>
        <v>0</v>
      </c>
      <c r="O16" s="20">
        <f>0</f>
        <v>0</v>
      </c>
      <c r="P16" s="20">
        <f>0</f>
        <v>0</v>
      </c>
      <c r="Q16" s="20">
        <f>0</f>
        <v>0</v>
      </c>
    </row>
    <row r="17" spans="1:17" ht="24" customHeight="1">
      <c r="A17" s="18" t="s">
        <v>75</v>
      </c>
      <c r="B17" s="19">
        <f>6345613654.61</f>
        <v>6345613654.61</v>
      </c>
      <c r="C17" s="19">
        <f>6345613654.61</f>
        <v>6345613654.61</v>
      </c>
      <c r="D17" s="19">
        <f>294102288.53</f>
        <v>294102288.53</v>
      </c>
      <c r="E17" s="19">
        <f>238519263.57</f>
        <v>238519263.57</v>
      </c>
      <c r="F17" s="19">
        <f>18311042.51</f>
        <v>18311042.51</v>
      </c>
      <c r="G17" s="19">
        <f>37271982.45</f>
        <v>37271982.45</v>
      </c>
      <c r="H17" s="19">
        <f>0</f>
        <v>0</v>
      </c>
      <c r="I17" s="19">
        <f>0</f>
        <v>0</v>
      </c>
      <c r="J17" s="19">
        <f>5853326095.8</f>
        <v>5853326095.8</v>
      </c>
      <c r="K17" s="19">
        <f>194798228.7</f>
        <v>194798228.7</v>
      </c>
      <c r="L17" s="19">
        <f>3118165.91</f>
        <v>3118165.91</v>
      </c>
      <c r="M17" s="19">
        <f>268875.67</f>
        <v>268875.67</v>
      </c>
      <c r="N17" s="19">
        <f>0</f>
        <v>0</v>
      </c>
      <c r="O17" s="19">
        <f>0</f>
        <v>0</v>
      </c>
      <c r="P17" s="19">
        <f>0</f>
        <v>0</v>
      </c>
      <c r="Q17" s="19">
        <f>0</f>
        <v>0</v>
      </c>
    </row>
    <row r="18" spans="1:17" ht="23.25" customHeight="1">
      <c r="A18" s="15" t="s">
        <v>46</v>
      </c>
      <c r="B18" s="20">
        <f>24420228.93</f>
        <v>24420228.93</v>
      </c>
      <c r="C18" s="20">
        <f>24420228.93</f>
        <v>24420228.93</v>
      </c>
      <c r="D18" s="20">
        <f>0</f>
        <v>0</v>
      </c>
      <c r="E18" s="20">
        <f>0</f>
        <v>0</v>
      </c>
      <c r="F18" s="20">
        <f>0</f>
        <v>0</v>
      </c>
      <c r="G18" s="20">
        <f>0</f>
        <v>0</v>
      </c>
      <c r="H18" s="20">
        <f>0</f>
        <v>0</v>
      </c>
      <c r="I18" s="20">
        <f>0</f>
        <v>0</v>
      </c>
      <c r="J18" s="20">
        <f>24392595.42</f>
        <v>24392595.42</v>
      </c>
      <c r="K18" s="20">
        <f>10973.16</f>
        <v>10973.16</v>
      </c>
      <c r="L18" s="20">
        <f>16660.35</f>
        <v>16660.35</v>
      </c>
      <c r="M18" s="20">
        <f>0</f>
        <v>0</v>
      </c>
      <c r="N18" s="20">
        <f>0</f>
        <v>0</v>
      </c>
      <c r="O18" s="20">
        <f>0</f>
        <v>0</v>
      </c>
      <c r="P18" s="20">
        <f>0</f>
        <v>0</v>
      </c>
      <c r="Q18" s="20">
        <f>0</f>
        <v>0</v>
      </c>
    </row>
    <row r="19" spans="1:17" ht="21.75" customHeight="1">
      <c r="A19" s="15" t="s">
        <v>47</v>
      </c>
      <c r="B19" s="20">
        <f>6321193425.68</f>
        <v>6321193425.68</v>
      </c>
      <c r="C19" s="20">
        <f>6321193425.68</f>
        <v>6321193425.68</v>
      </c>
      <c r="D19" s="20">
        <f>294102288.53</f>
        <v>294102288.53</v>
      </c>
      <c r="E19" s="20">
        <f>238519263.57</f>
        <v>238519263.57</v>
      </c>
      <c r="F19" s="20">
        <f>18311042.51</f>
        <v>18311042.51</v>
      </c>
      <c r="G19" s="20">
        <f>37271982.45</f>
        <v>37271982.45</v>
      </c>
      <c r="H19" s="20">
        <f>0</f>
        <v>0</v>
      </c>
      <c r="I19" s="20">
        <f>0</f>
        <v>0</v>
      </c>
      <c r="J19" s="20">
        <f>5828933500.38</f>
        <v>5828933500.38</v>
      </c>
      <c r="K19" s="20">
        <f>194787255.54</f>
        <v>194787255.54</v>
      </c>
      <c r="L19" s="20">
        <f>3101505.56</f>
        <v>3101505.56</v>
      </c>
      <c r="M19" s="20">
        <f>268875.67</f>
        <v>268875.67</v>
      </c>
      <c r="N19" s="20">
        <f>0</f>
        <v>0</v>
      </c>
      <c r="O19" s="20">
        <f>0</f>
        <v>0</v>
      </c>
      <c r="P19" s="20">
        <f>0</f>
        <v>0</v>
      </c>
      <c r="Q19" s="20">
        <f>0</f>
        <v>0</v>
      </c>
    </row>
    <row r="20" spans="1:17" ht="21.75" customHeight="1">
      <c r="A20" s="15" t="s">
        <v>48</v>
      </c>
      <c r="B20" s="20">
        <f>0</f>
        <v>0</v>
      </c>
      <c r="C20" s="20">
        <f>0</f>
        <v>0</v>
      </c>
      <c r="D20" s="20">
        <f>0</f>
        <v>0</v>
      </c>
      <c r="E20" s="20">
        <f>0</f>
        <v>0</v>
      </c>
      <c r="F20" s="20">
        <f>0</f>
        <v>0</v>
      </c>
      <c r="G20" s="20">
        <f>0</f>
        <v>0</v>
      </c>
      <c r="H20" s="20">
        <f>0</f>
        <v>0</v>
      </c>
      <c r="I20" s="20">
        <f>0</f>
        <v>0</v>
      </c>
      <c r="J20" s="20">
        <f>0</f>
        <v>0</v>
      </c>
      <c r="K20" s="20">
        <f>0</f>
        <v>0</v>
      </c>
      <c r="L20" s="20">
        <f>0</f>
        <v>0</v>
      </c>
      <c r="M20" s="20">
        <f>0</f>
        <v>0</v>
      </c>
      <c r="N20" s="20">
        <f>0</f>
        <v>0</v>
      </c>
      <c r="O20" s="20">
        <f>0</f>
        <v>0</v>
      </c>
      <c r="P20" s="20">
        <f>0</f>
        <v>0</v>
      </c>
      <c r="Q20" s="20">
        <f>0</f>
        <v>0</v>
      </c>
    </row>
    <row r="21" spans="1:17" ht="24.75" customHeight="1">
      <c r="A21" s="18" t="s">
        <v>76</v>
      </c>
      <c r="B21" s="19">
        <f>3633756.53</f>
        <v>3633756.53</v>
      </c>
      <c r="C21" s="19">
        <f>3633756.53</f>
        <v>3633756.53</v>
      </c>
      <c r="D21" s="19">
        <f>3132944.92</f>
        <v>3132944.92</v>
      </c>
      <c r="E21" s="19">
        <f>2284499.35</f>
        <v>2284499.35</v>
      </c>
      <c r="F21" s="19">
        <f>0</f>
        <v>0</v>
      </c>
      <c r="G21" s="19">
        <f>54913.63</f>
        <v>54913.63</v>
      </c>
      <c r="H21" s="19">
        <f>793531.94</f>
        <v>793531.94</v>
      </c>
      <c r="I21" s="19">
        <f>0</f>
        <v>0</v>
      </c>
      <c r="J21" s="19">
        <f>11173</f>
        <v>11173</v>
      </c>
      <c r="K21" s="19">
        <f>0</f>
        <v>0</v>
      </c>
      <c r="L21" s="19">
        <f>345237.76</f>
        <v>345237.76</v>
      </c>
      <c r="M21" s="19">
        <f>143825.6</f>
        <v>143825.6</v>
      </c>
      <c r="N21" s="19">
        <f>575.25</f>
        <v>575.25</v>
      </c>
      <c r="O21" s="19">
        <f>0</f>
        <v>0</v>
      </c>
      <c r="P21" s="19">
        <f>0</f>
        <v>0</v>
      </c>
      <c r="Q21" s="19">
        <f>0</f>
        <v>0</v>
      </c>
    </row>
    <row r="22" spans="1:17" ht="22.5">
      <c r="A22" s="15" t="s">
        <v>49</v>
      </c>
      <c r="B22" s="20">
        <f>353628.66</f>
        <v>353628.66</v>
      </c>
      <c r="C22" s="20">
        <f>353628.66</f>
        <v>353628.66</v>
      </c>
      <c r="D22" s="20">
        <f>0</f>
        <v>0</v>
      </c>
      <c r="E22" s="20">
        <f>0</f>
        <v>0</v>
      </c>
      <c r="F22" s="20">
        <f>0</f>
        <v>0</v>
      </c>
      <c r="G22" s="20">
        <f>0</f>
        <v>0</v>
      </c>
      <c r="H22" s="20">
        <f>0</f>
        <v>0</v>
      </c>
      <c r="I22" s="20">
        <f>0</f>
        <v>0</v>
      </c>
      <c r="J22" s="20">
        <f>10</f>
        <v>10</v>
      </c>
      <c r="K22" s="20">
        <f>0</f>
        <v>0</v>
      </c>
      <c r="L22" s="20">
        <f>345237.76</f>
        <v>345237.76</v>
      </c>
      <c r="M22" s="20">
        <f>7805.65</f>
        <v>7805.65</v>
      </c>
      <c r="N22" s="20">
        <f>575.25</f>
        <v>575.25</v>
      </c>
      <c r="O22" s="20">
        <f>0</f>
        <v>0</v>
      </c>
      <c r="P22" s="20">
        <f>0</f>
        <v>0</v>
      </c>
      <c r="Q22" s="20">
        <f>0</f>
        <v>0</v>
      </c>
    </row>
    <row r="23" spans="1:17" ht="23.25" customHeight="1">
      <c r="A23" s="15" t="s">
        <v>50</v>
      </c>
      <c r="B23" s="20">
        <f>3280127.87</f>
        <v>3280127.87</v>
      </c>
      <c r="C23" s="20">
        <f>3280127.87</f>
        <v>3280127.87</v>
      </c>
      <c r="D23" s="20">
        <f>3132944.92</f>
        <v>3132944.92</v>
      </c>
      <c r="E23" s="20">
        <f>2284499.35</f>
        <v>2284499.35</v>
      </c>
      <c r="F23" s="20">
        <f>0</f>
        <v>0</v>
      </c>
      <c r="G23" s="20">
        <f>54913.63</f>
        <v>54913.63</v>
      </c>
      <c r="H23" s="20">
        <f>793531.94</f>
        <v>793531.94</v>
      </c>
      <c r="I23" s="20">
        <f>0</f>
        <v>0</v>
      </c>
      <c r="J23" s="20">
        <f>11163</f>
        <v>11163</v>
      </c>
      <c r="K23" s="20">
        <f>0</f>
        <v>0</v>
      </c>
      <c r="L23" s="20">
        <f>0</f>
        <v>0</v>
      </c>
      <c r="M23" s="20">
        <f>136019.95</f>
        <v>136019.95</v>
      </c>
      <c r="N23" s="20">
        <f>0</f>
        <v>0</v>
      </c>
      <c r="O23" s="20">
        <f>0</f>
        <v>0</v>
      </c>
      <c r="P23" s="20">
        <f>0</f>
        <v>0</v>
      </c>
      <c r="Q23" s="20">
        <f>0</f>
        <v>0</v>
      </c>
    </row>
    <row r="24" spans="1:17" ht="19.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9.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9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3" ht="45.75" customHeight="1">
      <c r="A27" s="29" t="s">
        <v>78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9" spans="1:13" ht="13.5" customHeight="1">
      <c r="A29" s="39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1" spans="1:17" ht="13.5" customHeight="1">
      <c r="A31" s="72" t="s">
        <v>0</v>
      </c>
      <c r="B31" s="30" t="s">
        <v>9</v>
      </c>
      <c r="C31" s="75" t="s">
        <v>11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75" t="s">
        <v>21</v>
      </c>
      <c r="P31" s="76"/>
      <c r="Q31" s="77"/>
    </row>
    <row r="32" spans="1:17" ht="13.5" customHeight="1">
      <c r="A32" s="73"/>
      <c r="B32" s="31"/>
      <c r="C32" s="31" t="s">
        <v>10</v>
      </c>
      <c r="D32" s="28" t="s">
        <v>12</v>
      </c>
      <c r="E32" s="28" t="s">
        <v>22</v>
      </c>
      <c r="F32" s="28" t="s">
        <v>23</v>
      </c>
      <c r="G32" s="28" t="s">
        <v>68</v>
      </c>
      <c r="H32" s="28" t="s">
        <v>25</v>
      </c>
      <c r="I32" s="28" t="s">
        <v>1</v>
      </c>
      <c r="J32" s="28" t="s">
        <v>13</v>
      </c>
      <c r="K32" s="28" t="s">
        <v>14</v>
      </c>
      <c r="L32" s="28" t="s">
        <v>15</v>
      </c>
      <c r="M32" s="28" t="s">
        <v>16</v>
      </c>
      <c r="N32" s="33" t="s">
        <v>17</v>
      </c>
      <c r="O32" s="28" t="s">
        <v>18</v>
      </c>
      <c r="P32" s="28" t="s">
        <v>19</v>
      </c>
      <c r="Q32" s="30" t="s">
        <v>20</v>
      </c>
    </row>
    <row r="33" spans="1:17" ht="13.5" customHeight="1">
      <c r="A33" s="73"/>
      <c r="B33" s="31"/>
      <c r="C33" s="31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3"/>
      <c r="O33" s="28"/>
      <c r="P33" s="28"/>
      <c r="Q33" s="31"/>
    </row>
    <row r="34" spans="1:17" ht="11.25" customHeight="1">
      <c r="A34" s="73"/>
      <c r="B34" s="31"/>
      <c r="C34" s="31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3"/>
      <c r="O34" s="28"/>
      <c r="P34" s="28"/>
      <c r="Q34" s="31"/>
    </row>
    <row r="35" spans="1:17" ht="41.25" customHeight="1">
      <c r="A35" s="74"/>
      <c r="B35" s="32"/>
      <c r="C35" s="32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33"/>
      <c r="O35" s="28"/>
      <c r="P35" s="28"/>
      <c r="Q35" s="32"/>
    </row>
    <row r="36" spans="1:17" ht="15.75" customHeight="1">
      <c r="A36" s="10">
        <v>1</v>
      </c>
      <c r="B36" s="10">
        <v>2</v>
      </c>
      <c r="C36" s="10">
        <v>3</v>
      </c>
      <c r="D36" s="10">
        <v>4</v>
      </c>
      <c r="E36" s="10">
        <v>5</v>
      </c>
      <c r="F36" s="10">
        <v>6</v>
      </c>
      <c r="G36" s="10">
        <v>7</v>
      </c>
      <c r="H36" s="10">
        <v>8</v>
      </c>
      <c r="I36" s="10">
        <v>9</v>
      </c>
      <c r="J36" s="10">
        <v>10</v>
      </c>
      <c r="K36" s="10">
        <v>11</v>
      </c>
      <c r="L36" s="10">
        <v>12</v>
      </c>
      <c r="M36" s="10">
        <v>13</v>
      </c>
      <c r="N36" s="10">
        <v>14</v>
      </c>
      <c r="O36" s="10">
        <v>15</v>
      </c>
      <c r="P36" s="10">
        <v>16</v>
      </c>
      <c r="Q36" s="10">
        <v>17</v>
      </c>
    </row>
    <row r="37" spans="1:17" ht="12" customHeight="1">
      <c r="A37" s="10"/>
      <c r="B37" s="78" t="s">
        <v>73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</row>
    <row r="38" spans="1:17" ht="27.75" customHeight="1" hidden="1">
      <c r="A38" s="11" t="s">
        <v>26</v>
      </c>
      <c r="B38" s="12">
        <f>0</f>
        <v>0</v>
      </c>
      <c r="C38" s="12">
        <f>0</f>
        <v>0</v>
      </c>
      <c r="D38" s="12">
        <f>0</f>
        <v>0</v>
      </c>
      <c r="E38" s="12">
        <f>0</f>
        <v>0</v>
      </c>
      <c r="F38" s="12">
        <f>0</f>
        <v>0</v>
      </c>
      <c r="G38" s="12">
        <f>0</f>
        <v>0</v>
      </c>
      <c r="H38" s="12">
        <f>0</f>
        <v>0</v>
      </c>
      <c r="I38" s="12">
        <f>0</f>
        <v>0</v>
      </c>
      <c r="J38" s="12">
        <f>0</f>
        <v>0</v>
      </c>
      <c r="K38" s="12">
        <f>0</f>
        <v>0</v>
      </c>
      <c r="L38" s="12">
        <f>0</f>
        <v>0</v>
      </c>
      <c r="M38" s="12">
        <f>0</f>
        <v>0</v>
      </c>
      <c r="N38" s="12">
        <f>0</f>
        <v>0</v>
      </c>
      <c r="O38" s="12">
        <f>0</f>
        <v>0</v>
      </c>
      <c r="P38" s="12">
        <f>0</f>
        <v>0</v>
      </c>
      <c r="Q38" s="12">
        <f>0</f>
        <v>0</v>
      </c>
    </row>
    <row r="39" spans="1:17" ht="30" customHeight="1">
      <c r="A39" s="23" t="s">
        <v>38</v>
      </c>
      <c r="B39" s="21">
        <f>30751047.25</f>
        <v>30751047.25</v>
      </c>
      <c r="C39" s="21">
        <f>30751047.25</f>
        <v>30751047.25</v>
      </c>
      <c r="D39" s="21">
        <f>50000</f>
        <v>50000</v>
      </c>
      <c r="E39" s="21">
        <f>50000</f>
        <v>50000</v>
      </c>
      <c r="F39" s="21">
        <f>0</f>
        <v>0</v>
      </c>
      <c r="G39" s="21">
        <f>0</f>
        <v>0</v>
      </c>
      <c r="H39" s="21">
        <f>0</f>
        <v>0</v>
      </c>
      <c r="I39" s="21">
        <f>0</f>
        <v>0</v>
      </c>
      <c r="J39" s="21">
        <f>30700000</f>
        <v>30700000</v>
      </c>
      <c r="K39" s="21">
        <f>0</f>
        <v>0</v>
      </c>
      <c r="L39" s="21">
        <f>0</f>
        <v>0</v>
      </c>
      <c r="M39" s="21">
        <f>1047.25</f>
        <v>1047.25</v>
      </c>
      <c r="N39" s="21">
        <f>0</f>
        <v>0</v>
      </c>
      <c r="O39" s="21">
        <f>0</f>
        <v>0</v>
      </c>
      <c r="P39" s="21">
        <f>0</f>
        <v>0</v>
      </c>
      <c r="Q39" s="21">
        <f>0</f>
        <v>0</v>
      </c>
    </row>
    <row r="40" spans="1:17" ht="25.5" customHeight="1">
      <c r="A40" s="16" t="s">
        <v>27</v>
      </c>
      <c r="B40" s="22">
        <f>2800000</f>
        <v>2800000</v>
      </c>
      <c r="C40" s="22">
        <f>2800000</f>
        <v>2800000</v>
      </c>
      <c r="D40" s="22">
        <f>0</f>
        <v>0</v>
      </c>
      <c r="E40" s="22">
        <f>0</f>
        <v>0</v>
      </c>
      <c r="F40" s="22">
        <f>0</f>
        <v>0</v>
      </c>
      <c r="G40" s="22">
        <f>0</f>
        <v>0</v>
      </c>
      <c r="H40" s="22">
        <f>0</f>
        <v>0</v>
      </c>
      <c r="I40" s="22">
        <f>0</f>
        <v>0</v>
      </c>
      <c r="J40" s="22">
        <f>2800000</f>
        <v>2800000</v>
      </c>
      <c r="K40" s="22">
        <f>0</f>
        <v>0</v>
      </c>
      <c r="L40" s="22">
        <f>0</f>
        <v>0</v>
      </c>
      <c r="M40" s="22">
        <f>0</f>
        <v>0</v>
      </c>
      <c r="N40" s="22">
        <f>0</f>
        <v>0</v>
      </c>
      <c r="O40" s="22">
        <f>0</f>
        <v>0</v>
      </c>
      <c r="P40" s="22">
        <f>0</f>
        <v>0</v>
      </c>
      <c r="Q40" s="22">
        <f>0</f>
        <v>0</v>
      </c>
    </row>
    <row r="41" spans="1:17" ht="25.5" customHeight="1">
      <c r="A41" s="16" t="s">
        <v>28</v>
      </c>
      <c r="B41" s="22">
        <f>27951047.25</f>
        <v>27951047.25</v>
      </c>
      <c r="C41" s="22">
        <f>27951047.25</f>
        <v>27951047.25</v>
      </c>
      <c r="D41" s="22">
        <f>50000</f>
        <v>50000</v>
      </c>
      <c r="E41" s="22">
        <f>50000</f>
        <v>50000</v>
      </c>
      <c r="F41" s="22">
        <f>0</f>
        <v>0</v>
      </c>
      <c r="G41" s="22">
        <f>0</f>
        <v>0</v>
      </c>
      <c r="H41" s="22">
        <f>0</f>
        <v>0</v>
      </c>
      <c r="I41" s="22">
        <f>0</f>
        <v>0</v>
      </c>
      <c r="J41" s="22">
        <f>27900000</f>
        <v>27900000</v>
      </c>
      <c r="K41" s="22">
        <f>0</f>
        <v>0</v>
      </c>
      <c r="L41" s="22">
        <f>0</f>
        <v>0</v>
      </c>
      <c r="M41" s="22">
        <f>1047.25</f>
        <v>1047.25</v>
      </c>
      <c r="N41" s="22">
        <f>0</f>
        <v>0</v>
      </c>
      <c r="O41" s="22">
        <f>0</f>
        <v>0</v>
      </c>
      <c r="P41" s="22">
        <f>0</f>
        <v>0</v>
      </c>
      <c r="Q41" s="22">
        <f>0</f>
        <v>0</v>
      </c>
    </row>
    <row r="42" spans="1:17" ht="30" customHeight="1">
      <c r="A42" s="23" t="s">
        <v>39</v>
      </c>
      <c r="B42" s="21">
        <f>147677607.88</f>
        <v>147677607.88</v>
      </c>
      <c r="C42" s="21">
        <f>147677607.88</f>
        <v>147677607.88</v>
      </c>
      <c r="D42" s="21">
        <f>88674656.09</f>
        <v>88674656.09</v>
      </c>
      <c r="E42" s="21">
        <f>188010.32</f>
        <v>188010.32</v>
      </c>
      <c r="F42" s="21">
        <f>3526859.13</f>
        <v>3526859.13</v>
      </c>
      <c r="G42" s="21">
        <f>84959786.64</f>
        <v>84959786.64</v>
      </c>
      <c r="H42" s="21">
        <f>0</f>
        <v>0</v>
      </c>
      <c r="I42" s="21">
        <f>0</f>
        <v>0</v>
      </c>
      <c r="J42" s="21">
        <f>4706052.71</f>
        <v>4706052.71</v>
      </c>
      <c r="K42" s="21">
        <f>28380.45</f>
        <v>28380.45</v>
      </c>
      <c r="L42" s="21">
        <f>34957135.02</f>
        <v>34957135.02</v>
      </c>
      <c r="M42" s="21">
        <f>17154398.77</f>
        <v>17154398.77</v>
      </c>
      <c r="N42" s="21">
        <f>2156984.84</f>
        <v>2156984.84</v>
      </c>
      <c r="O42" s="21">
        <f>0</f>
        <v>0</v>
      </c>
      <c r="P42" s="21">
        <f>0</f>
        <v>0</v>
      </c>
      <c r="Q42" s="21">
        <f>0</f>
        <v>0</v>
      </c>
    </row>
    <row r="43" spans="1:17" ht="25.5" customHeight="1">
      <c r="A43" s="16" t="s">
        <v>29</v>
      </c>
      <c r="B43" s="22">
        <f>42909214.37</f>
        <v>42909214.37</v>
      </c>
      <c r="C43" s="22">
        <f>42909214.37</f>
        <v>42909214.37</v>
      </c>
      <c r="D43" s="22">
        <f>33994331.3</f>
        <v>33994331.3</v>
      </c>
      <c r="E43" s="22">
        <f>0</f>
        <v>0</v>
      </c>
      <c r="F43" s="22">
        <f>2200000</f>
        <v>2200000</v>
      </c>
      <c r="G43" s="22">
        <f>31794331.3</f>
        <v>31794331.3</v>
      </c>
      <c r="H43" s="22">
        <f>0</f>
        <v>0</v>
      </c>
      <c r="I43" s="22">
        <f>0</f>
        <v>0</v>
      </c>
      <c r="J43" s="22">
        <f>3581680.45</f>
        <v>3581680.45</v>
      </c>
      <c r="K43" s="22">
        <f>0</f>
        <v>0</v>
      </c>
      <c r="L43" s="22">
        <f>3728755.24</f>
        <v>3728755.24</v>
      </c>
      <c r="M43" s="22">
        <f>890817.38</f>
        <v>890817.38</v>
      </c>
      <c r="N43" s="22">
        <f>713630</f>
        <v>713630</v>
      </c>
      <c r="O43" s="22">
        <f>0</f>
        <v>0</v>
      </c>
      <c r="P43" s="22">
        <f>0</f>
        <v>0</v>
      </c>
      <c r="Q43" s="22">
        <f>0</f>
        <v>0</v>
      </c>
    </row>
    <row r="44" spans="1:17" ht="25.5" customHeight="1">
      <c r="A44" s="16" t="s">
        <v>30</v>
      </c>
      <c r="B44" s="22">
        <f>104768393.51</f>
        <v>104768393.51</v>
      </c>
      <c r="C44" s="22">
        <f>104768393.51</f>
        <v>104768393.51</v>
      </c>
      <c r="D44" s="22">
        <f>54680324.79</f>
        <v>54680324.79</v>
      </c>
      <c r="E44" s="22">
        <f>188010.32</f>
        <v>188010.32</v>
      </c>
      <c r="F44" s="22">
        <f>1326859.13</f>
        <v>1326859.13</v>
      </c>
      <c r="G44" s="22">
        <f>53165455.34</f>
        <v>53165455.34</v>
      </c>
      <c r="H44" s="22">
        <f>0</f>
        <v>0</v>
      </c>
      <c r="I44" s="22">
        <f>0</f>
        <v>0</v>
      </c>
      <c r="J44" s="22">
        <f>1124372.26</f>
        <v>1124372.26</v>
      </c>
      <c r="K44" s="22">
        <f>28380.45</f>
        <v>28380.45</v>
      </c>
      <c r="L44" s="22">
        <f>31228379.78</f>
        <v>31228379.78</v>
      </c>
      <c r="M44" s="22">
        <f>16263581.39</f>
        <v>16263581.39</v>
      </c>
      <c r="N44" s="22">
        <f>1443354.84</f>
        <v>1443354.84</v>
      </c>
      <c r="O44" s="22">
        <f>0</f>
        <v>0</v>
      </c>
      <c r="P44" s="22">
        <f>0</f>
        <v>0</v>
      </c>
      <c r="Q44" s="22">
        <f>0</f>
        <v>0</v>
      </c>
    </row>
    <row r="45" spans="1:17" ht="30" customHeight="1">
      <c r="A45" s="23" t="s">
        <v>40</v>
      </c>
      <c r="B45" s="21">
        <f>5701221504.96</f>
        <v>5701221504.96</v>
      </c>
      <c r="C45" s="21">
        <f>5701221504.96</f>
        <v>5701221504.96</v>
      </c>
      <c r="D45" s="21">
        <f>2618014.96</f>
        <v>2618014.96</v>
      </c>
      <c r="E45" s="21">
        <f>18855.34</f>
        <v>18855.34</v>
      </c>
      <c r="F45" s="21">
        <f>263</f>
        <v>263</v>
      </c>
      <c r="G45" s="21">
        <f>2598896.62</f>
        <v>2598896.62</v>
      </c>
      <c r="H45" s="21">
        <f>0</f>
        <v>0</v>
      </c>
      <c r="I45" s="21">
        <f>2064404.37</f>
        <v>2064404.37</v>
      </c>
      <c r="J45" s="21">
        <f>5696411757.8</f>
        <v>5696411757.8</v>
      </c>
      <c r="K45" s="21">
        <f>6590.5</f>
        <v>6590.5</v>
      </c>
      <c r="L45" s="21">
        <f>24454.21</f>
        <v>24454.21</v>
      </c>
      <c r="M45" s="21">
        <f>2000</f>
        <v>2000</v>
      </c>
      <c r="N45" s="21">
        <f>94283.12</f>
        <v>94283.12</v>
      </c>
      <c r="O45" s="21">
        <f>0</f>
        <v>0</v>
      </c>
      <c r="P45" s="21">
        <f>0</f>
        <v>0</v>
      </c>
      <c r="Q45" s="21">
        <f>0</f>
        <v>0</v>
      </c>
    </row>
    <row r="46" spans="1:17" ht="25.5" customHeight="1">
      <c r="A46" s="16" t="s">
        <v>31</v>
      </c>
      <c r="B46" s="22">
        <f>2597896.62</f>
        <v>2597896.62</v>
      </c>
      <c r="C46" s="22">
        <f>2597896.62</f>
        <v>2597896.62</v>
      </c>
      <c r="D46" s="22">
        <f>2597896.62</f>
        <v>2597896.62</v>
      </c>
      <c r="E46" s="22">
        <f>0</f>
        <v>0</v>
      </c>
      <c r="F46" s="22">
        <f>0</f>
        <v>0</v>
      </c>
      <c r="G46" s="22">
        <f>2597896.62</f>
        <v>2597896.62</v>
      </c>
      <c r="H46" s="22">
        <f>0</f>
        <v>0</v>
      </c>
      <c r="I46" s="22">
        <f>0</f>
        <v>0</v>
      </c>
      <c r="J46" s="22">
        <f>0</f>
        <v>0</v>
      </c>
      <c r="K46" s="22">
        <f>0</f>
        <v>0</v>
      </c>
      <c r="L46" s="22">
        <f>0</f>
        <v>0</v>
      </c>
      <c r="M46" s="22">
        <f>0</f>
        <v>0</v>
      </c>
      <c r="N46" s="22">
        <f>0</f>
        <v>0</v>
      </c>
      <c r="O46" s="22">
        <f>0</f>
        <v>0</v>
      </c>
      <c r="P46" s="22">
        <f>0</f>
        <v>0</v>
      </c>
      <c r="Q46" s="22">
        <f>0</f>
        <v>0</v>
      </c>
    </row>
    <row r="47" spans="1:17" ht="25.5" customHeight="1">
      <c r="A47" s="16" t="s">
        <v>32</v>
      </c>
      <c r="B47" s="22">
        <f>5138911352.6</f>
        <v>5138911352.6</v>
      </c>
      <c r="C47" s="22">
        <f>5138911352.6</f>
        <v>5138911352.6</v>
      </c>
      <c r="D47" s="22">
        <f>1583</f>
        <v>1583</v>
      </c>
      <c r="E47" s="22">
        <f>320</f>
        <v>320</v>
      </c>
      <c r="F47" s="22">
        <f>263</f>
        <v>263</v>
      </c>
      <c r="G47" s="22">
        <f>1000</f>
        <v>1000</v>
      </c>
      <c r="H47" s="22">
        <f>0</f>
        <v>0</v>
      </c>
      <c r="I47" s="22">
        <f>2064404.37</f>
        <v>2064404.37</v>
      </c>
      <c r="J47" s="22">
        <f>5136749613.31</f>
        <v>5136749613.31</v>
      </c>
      <c r="K47" s="22">
        <f>0</f>
        <v>0</v>
      </c>
      <c r="L47" s="22">
        <f>1468.8</f>
        <v>1468.8</v>
      </c>
      <c r="M47" s="22">
        <f>0</f>
        <v>0</v>
      </c>
      <c r="N47" s="22">
        <f>94283.12</f>
        <v>94283.12</v>
      </c>
      <c r="O47" s="22">
        <f>0</f>
        <v>0</v>
      </c>
      <c r="P47" s="22">
        <f>0</f>
        <v>0</v>
      </c>
      <c r="Q47" s="22">
        <f>0</f>
        <v>0</v>
      </c>
    </row>
    <row r="48" spans="1:17" ht="25.5" customHeight="1">
      <c r="A48" s="16" t="s">
        <v>33</v>
      </c>
      <c r="B48" s="22">
        <f>559712255.74</f>
        <v>559712255.74</v>
      </c>
      <c r="C48" s="22">
        <f>559712255.74</f>
        <v>559712255.74</v>
      </c>
      <c r="D48" s="22">
        <f>18535.34</f>
        <v>18535.34</v>
      </c>
      <c r="E48" s="22">
        <f>18535.34</f>
        <v>18535.34</v>
      </c>
      <c r="F48" s="22">
        <f>0</f>
        <v>0</v>
      </c>
      <c r="G48" s="22">
        <f>0</f>
        <v>0</v>
      </c>
      <c r="H48" s="22">
        <f>0</f>
        <v>0</v>
      </c>
      <c r="I48" s="22">
        <f>0</f>
        <v>0</v>
      </c>
      <c r="J48" s="22">
        <f>559662144.49</f>
        <v>559662144.49</v>
      </c>
      <c r="K48" s="22">
        <f>6590.5</f>
        <v>6590.5</v>
      </c>
      <c r="L48" s="22">
        <f>22985.41</f>
        <v>22985.41</v>
      </c>
      <c r="M48" s="22">
        <f>2000</f>
        <v>2000</v>
      </c>
      <c r="N48" s="22">
        <f>0</f>
        <v>0</v>
      </c>
      <c r="O48" s="22">
        <f>0</f>
        <v>0</v>
      </c>
      <c r="P48" s="22">
        <f>0</f>
        <v>0</v>
      </c>
      <c r="Q48" s="22">
        <f>0</f>
        <v>0</v>
      </c>
    </row>
    <row r="49" spans="1:17" ht="30" customHeight="1">
      <c r="A49" s="23" t="s">
        <v>41</v>
      </c>
      <c r="B49" s="21">
        <f>600077528.81</f>
        <v>600077528.81</v>
      </c>
      <c r="C49" s="21">
        <f>598995743.71</f>
        <v>598995743.71</v>
      </c>
      <c r="D49" s="21">
        <f>28876452.82</f>
        <v>28876452.82</v>
      </c>
      <c r="E49" s="21">
        <f>6907669.3</f>
        <v>6907669.3</v>
      </c>
      <c r="F49" s="21">
        <f>322579.59</f>
        <v>322579.59</v>
      </c>
      <c r="G49" s="21">
        <f>20806800.8</f>
        <v>20806800.8</v>
      </c>
      <c r="H49" s="21">
        <f>839403.13</f>
        <v>839403.13</v>
      </c>
      <c r="I49" s="21">
        <f>0</f>
        <v>0</v>
      </c>
      <c r="J49" s="21">
        <f>14421495.75</f>
        <v>14421495.75</v>
      </c>
      <c r="K49" s="21">
        <f>2293824.59</f>
        <v>2293824.59</v>
      </c>
      <c r="L49" s="21">
        <f>160569976.26</f>
        <v>160569976.26</v>
      </c>
      <c r="M49" s="21">
        <f>385798173.89</f>
        <v>385798173.89</v>
      </c>
      <c r="N49" s="21">
        <f>7035820.4</f>
        <v>7035820.4</v>
      </c>
      <c r="O49" s="21">
        <f>1081785.1</f>
        <v>1081785.1</v>
      </c>
      <c r="P49" s="21">
        <f>600126.51</f>
        <v>600126.51</v>
      </c>
      <c r="Q49" s="21">
        <f>481658.59</f>
        <v>481658.59</v>
      </c>
    </row>
    <row r="50" spans="1:17" ht="25.5" customHeight="1">
      <c r="A50" s="16" t="s">
        <v>34</v>
      </c>
      <c r="B50" s="22">
        <f>139334079.57</f>
        <v>139334079.57</v>
      </c>
      <c r="C50" s="22">
        <f>139198134.57</f>
        <v>139198134.57</v>
      </c>
      <c r="D50" s="22">
        <f>3457126.91</f>
        <v>3457126.91</v>
      </c>
      <c r="E50" s="22">
        <f>41202.28</f>
        <v>41202.28</v>
      </c>
      <c r="F50" s="22">
        <f>30350.59</f>
        <v>30350.59</v>
      </c>
      <c r="G50" s="22">
        <f>2795646.89</f>
        <v>2795646.89</v>
      </c>
      <c r="H50" s="22">
        <f>589927.15</f>
        <v>589927.15</v>
      </c>
      <c r="I50" s="22">
        <f>0</f>
        <v>0</v>
      </c>
      <c r="J50" s="22">
        <f>573536.92</f>
        <v>573536.92</v>
      </c>
      <c r="K50" s="22">
        <f>144135.63</f>
        <v>144135.63</v>
      </c>
      <c r="L50" s="22">
        <f>78224711.32</f>
        <v>78224711.32</v>
      </c>
      <c r="M50" s="22">
        <f>55408529.7</f>
        <v>55408529.7</v>
      </c>
      <c r="N50" s="22">
        <f>1390094.09</f>
        <v>1390094.09</v>
      </c>
      <c r="O50" s="22">
        <f>135945</f>
        <v>135945</v>
      </c>
      <c r="P50" s="22">
        <f>110782</f>
        <v>110782</v>
      </c>
      <c r="Q50" s="22">
        <f>25163</f>
        <v>25163</v>
      </c>
    </row>
    <row r="51" spans="1:17" ht="25.5" customHeight="1">
      <c r="A51" s="16" t="s">
        <v>35</v>
      </c>
      <c r="B51" s="22">
        <f>460743449.24</f>
        <v>460743449.24</v>
      </c>
      <c r="C51" s="22">
        <f>459797609.14</f>
        <v>459797609.14</v>
      </c>
      <c r="D51" s="22">
        <f>25419325.91</f>
        <v>25419325.91</v>
      </c>
      <c r="E51" s="22">
        <f>6866467.02</f>
        <v>6866467.02</v>
      </c>
      <c r="F51" s="22">
        <f>292229</f>
        <v>292229</v>
      </c>
      <c r="G51" s="22">
        <f>18011153.91</f>
        <v>18011153.91</v>
      </c>
      <c r="H51" s="22">
        <f>249475.98</f>
        <v>249475.98</v>
      </c>
      <c r="I51" s="22">
        <f>0</f>
        <v>0</v>
      </c>
      <c r="J51" s="22">
        <f>13847958.83</f>
        <v>13847958.83</v>
      </c>
      <c r="K51" s="22">
        <f>2149688.96</f>
        <v>2149688.96</v>
      </c>
      <c r="L51" s="22">
        <f>82345264.94</f>
        <v>82345264.94</v>
      </c>
      <c r="M51" s="22">
        <f>330389644.19</f>
        <v>330389644.19</v>
      </c>
      <c r="N51" s="22">
        <f>5645726.31</f>
        <v>5645726.31</v>
      </c>
      <c r="O51" s="22">
        <f>945840.1</f>
        <v>945840.1</v>
      </c>
      <c r="P51" s="22">
        <f>489344.51</f>
        <v>489344.51</v>
      </c>
      <c r="Q51" s="22">
        <f>456495.59</f>
        <v>456495.59</v>
      </c>
    </row>
    <row r="52" spans="1:17" ht="30" customHeight="1">
      <c r="A52" s="23" t="s">
        <v>42</v>
      </c>
      <c r="B52" s="21">
        <f>605943249.45</f>
        <v>605943249.45</v>
      </c>
      <c r="C52" s="21">
        <f>605876385.49</f>
        <v>605876385.49</v>
      </c>
      <c r="D52" s="21">
        <f>302385078.21</f>
        <v>302385078.21</v>
      </c>
      <c r="E52" s="21">
        <f>151393336.01</f>
        <v>151393336.01</v>
      </c>
      <c r="F52" s="21">
        <f>3624217.58</f>
        <v>3624217.58</v>
      </c>
      <c r="G52" s="21">
        <f>140517839.96</f>
        <v>140517839.96</v>
      </c>
      <c r="H52" s="21">
        <f>6849684.66</f>
        <v>6849684.66</v>
      </c>
      <c r="I52" s="21">
        <f>0</f>
        <v>0</v>
      </c>
      <c r="J52" s="21">
        <f>473112.16</f>
        <v>473112.16</v>
      </c>
      <c r="K52" s="21">
        <f>5534937.4</f>
        <v>5534937.4</v>
      </c>
      <c r="L52" s="21">
        <f>210085358.78</f>
        <v>210085358.78</v>
      </c>
      <c r="M52" s="21">
        <f>84939571.76</f>
        <v>84939571.76</v>
      </c>
      <c r="N52" s="21">
        <f>2458327.18</f>
        <v>2458327.18</v>
      </c>
      <c r="O52" s="21">
        <f>66863.96</f>
        <v>66863.96</v>
      </c>
      <c r="P52" s="21">
        <f>62674.55</f>
        <v>62674.55</v>
      </c>
      <c r="Q52" s="21">
        <f>4189.41</f>
        <v>4189.41</v>
      </c>
    </row>
    <row r="53" spans="1:17" ht="31.5" customHeight="1">
      <c r="A53" s="16" t="s">
        <v>36</v>
      </c>
      <c r="B53" s="22">
        <f>87120185.67</f>
        <v>87120185.67</v>
      </c>
      <c r="C53" s="22">
        <f>87062117.78</f>
        <v>87062117.78</v>
      </c>
      <c r="D53" s="22">
        <f>31699601.12</f>
        <v>31699601.12</v>
      </c>
      <c r="E53" s="22">
        <f>280241.37</f>
        <v>280241.37</v>
      </c>
      <c r="F53" s="22">
        <f>174342.56</f>
        <v>174342.56</v>
      </c>
      <c r="G53" s="22">
        <f>28922943.84</f>
        <v>28922943.84</v>
      </c>
      <c r="H53" s="22">
        <f>2322073.35</f>
        <v>2322073.35</v>
      </c>
      <c r="I53" s="22">
        <f>0</f>
        <v>0</v>
      </c>
      <c r="J53" s="22">
        <f>71436.21</f>
        <v>71436.21</v>
      </c>
      <c r="K53" s="22">
        <f>156324.33</f>
        <v>156324.33</v>
      </c>
      <c r="L53" s="22">
        <f>30126759.51</f>
        <v>30126759.51</v>
      </c>
      <c r="M53" s="22">
        <f>24363033.75</f>
        <v>24363033.75</v>
      </c>
      <c r="N53" s="22">
        <f>644962.86</f>
        <v>644962.86</v>
      </c>
      <c r="O53" s="22">
        <f>58067.89</f>
        <v>58067.89</v>
      </c>
      <c r="P53" s="22">
        <f>58067.89</f>
        <v>58067.89</v>
      </c>
      <c r="Q53" s="22">
        <f>0</f>
        <v>0</v>
      </c>
    </row>
    <row r="54" spans="1:17" ht="35.25" customHeight="1">
      <c r="A54" s="16" t="s">
        <v>77</v>
      </c>
      <c r="B54" s="22">
        <f>99332397.26</f>
        <v>99332397.26</v>
      </c>
      <c r="C54" s="22">
        <f>99332397.26</f>
        <v>99332397.26</v>
      </c>
      <c r="D54" s="22">
        <f>99217575.24</f>
        <v>99217575.24</v>
      </c>
      <c r="E54" s="22">
        <f>97031534.91</f>
        <v>97031534.91</v>
      </c>
      <c r="F54" s="22">
        <f>1837194</f>
        <v>1837194</v>
      </c>
      <c r="G54" s="22">
        <f>84759.44</f>
        <v>84759.44</v>
      </c>
      <c r="H54" s="22">
        <f>264086.89</f>
        <v>264086.89</v>
      </c>
      <c r="I54" s="22">
        <f>0</f>
        <v>0</v>
      </c>
      <c r="J54" s="22">
        <f>0</f>
        <v>0</v>
      </c>
      <c r="K54" s="22">
        <f>74401.7</f>
        <v>74401.7</v>
      </c>
      <c r="L54" s="22">
        <f>16281.85</f>
        <v>16281.85</v>
      </c>
      <c r="M54" s="22">
        <f>23782.56</f>
        <v>23782.56</v>
      </c>
      <c r="N54" s="22">
        <f>355.91</f>
        <v>355.91</v>
      </c>
      <c r="O54" s="22">
        <f>0</f>
        <v>0</v>
      </c>
      <c r="P54" s="22">
        <f>0</f>
        <v>0</v>
      </c>
      <c r="Q54" s="22">
        <f>0</f>
        <v>0</v>
      </c>
    </row>
    <row r="55" spans="1:17" ht="31.5" customHeight="1">
      <c r="A55" s="16" t="s">
        <v>37</v>
      </c>
      <c r="B55" s="22">
        <f>419490666.52</f>
        <v>419490666.52</v>
      </c>
      <c r="C55" s="22">
        <f>419481870.45</f>
        <v>419481870.45</v>
      </c>
      <c r="D55" s="22">
        <f>171467901.85</f>
        <v>171467901.85</v>
      </c>
      <c r="E55" s="22">
        <f>54081559.73</f>
        <v>54081559.73</v>
      </c>
      <c r="F55" s="22">
        <f>1612681.02</f>
        <v>1612681.02</v>
      </c>
      <c r="G55" s="22">
        <f>111510136.68</f>
        <v>111510136.68</v>
      </c>
      <c r="H55" s="22">
        <f>4263524.42</f>
        <v>4263524.42</v>
      </c>
      <c r="I55" s="22">
        <f>0</f>
        <v>0</v>
      </c>
      <c r="J55" s="22">
        <f>401675.95</f>
        <v>401675.95</v>
      </c>
      <c r="K55" s="22">
        <f>5304211.37</f>
        <v>5304211.37</v>
      </c>
      <c r="L55" s="22">
        <f>179942317.42</f>
        <v>179942317.42</v>
      </c>
      <c r="M55" s="22">
        <f>60552755.45</f>
        <v>60552755.45</v>
      </c>
      <c r="N55" s="22">
        <f>1813008.41</f>
        <v>1813008.41</v>
      </c>
      <c r="O55" s="22">
        <f>8796.07</f>
        <v>8796.07</v>
      </c>
      <c r="P55" s="22">
        <f>4606.66</f>
        <v>4606.66</v>
      </c>
      <c r="Q55" s="22">
        <f>4189.41</f>
        <v>4189.41</v>
      </c>
    </row>
    <row r="64" spans="1:13" ht="66" customHeight="1">
      <c r="A64" s="29" t="s">
        <v>78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2:13" ht="13.5" customHeight="1">
      <c r="B65" s="39" t="s">
        <v>2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7" spans="2:12" ht="13.5" customHeight="1">
      <c r="B67" s="43" t="s">
        <v>0</v>
      </c>
      <c r="C67" s="44"/>
      <c r="D67" s="44"/>
      <c r="E67" s="45"/>
      <c r="F67" s="65" t="s">
        <v>66</v>
      </c>
      <c r="G67" s="40" t="s">
        <v>72</v>
      </c>
      <c r="H67" s="54"/>
      <c r="I67" s="54"/>
      <c r="J67" s="54"/>
      <c r="K67" s="54"/>
      <c r="L67" s="41"/>
    </row>
    <row r="68" spans="2:12" ht="13.5" customHeight="1">
      <c r="B68" s="46"/>
      <c r="C68" s="47"/>
      <c r="D68" s="47"/>
      <c r="E68" s="48"/>
      <c r="F68" s="66"/>
      <c r="G68" s="68" t="s">
        <v>67</v>
      </c>
      <c r="H68" s="42" t="s">
        <v>64</v>
      </c>
      <c r="I68" s="42" t="s">
        <v>65</v>
      </c>
      <c r="J68" s="42" t="s">
        <v>68</v>
      </c>
      <c r="K68" s="42" t="s">
        <v>69</v>
      </c>
      <c r="L68" s="83" t="s">
        <v>70</v>
      </c>
    </row>
    <row r="69" spans="2:12" ht="13.5" customHeight="1">
      <c r="B69" s="46"/>
      <c r="C69" s="47"/>
      <c r="D69" s="47"/>
      <c r="E69" s="48"/>
      <c r="F69" s="66"/>
      <c r="G69" s="68"/>
      <c r="H69" s="42"/>
      <c r="I69" s="42"/>
      <c r="J69" s="42"/>
      <c r="K69" s="42"/>
      <c r="L69" s="83"/>
    </row>
    <row r="70" spans="2:12" ht="11.25" customHeight="1">
      <c r="B70" s="46"/>
      <c r="C70" s="47"/>
      <c r="D70" s="47"/>
      <c r="E70" s="48"/>
      <c r="F70" s="66"/>
      <c r="G70" s="68"/>
      <c r="H70" s="42"/>
      <c r="I70" s="42"/>
      <c r="J70" s="42"/>
      <c r="K70" s="42"/>
      <c r="L70" s="83"/>
    </row>
    <row r="71" spans="2:12" ht="11.25" customHeight="1">
      <c r="B71" s="49"/>
      <c r="C71" s="50"/>
      <c r="D71" s="50"/>
      <c r="E71" s="51"/>
      <c r="F71" s="67"/>
      <c r="G71" s="68"/>
      <c r="H71" s="42"/>
      <c r="I71" s="42"/>
      <c r="J71" s="42"/>
      <c r="K71" s="42"/>
      <c r="L71" s="83"/>
    </row>
    <row r="72" spans="2:12" ht="11.25" customHeight="1">
      <c r="B72" s="42">
        <v>1</v>
      </c>
      <c r="C72" s="42"/>
      <c r="D72" s="42"/>
      <c r="E72" s="42"/>
      <c r="F72" s="3">
        <v>2</v>
      </c>
      <c r="G72" s="3">
        <v>3</v>
      </c>
      <c r="H72" s="3">
        <v>4</v>
      </c>
      <c r="I72" s="3">
        <v>5</v>
      </c>
      <c r="J72" s="3">
        <v>6</v>
      </c>
      <c r="K72" s="3">
        <v>7</v>
      </c>
      <c r="L72" s="3">
        <v>8</v>
      </c>
    </row>
    <row r="73" spans="2:12" ht="12.75" customHeight="1">
      <c r="B73" s="42"/>
      <c r="C73" s="42"/>
      <c r="D73" s="42"/>
      <c r="E73" s="42"/>
      <c r="F73" s="40" t="s">
        <v>73</v>
      </c>
      <c r="G73" s="81"/>
      <c r="H73" s="81"/>
      <c r="I73" s="81"/>
      <c r="J73" s="81"/>
      <c r="K73" s="81"/>
      <c r="L73" s="82"/>
    </row>
    <row r="74" spans="2:12" ht="33.75" customHeight="1">
      <c r="B74" s="34" t="s">
        <v>51</v>
      </c>
      <c r="C74" s="35"/>
      <c r="D74" s="35"/>
      <c r="E74" s="36"/>
      <c r="F74" s="24">
        <f>556641843.5</f>
        <v>556641843.5</v>
      </c>
      <c r="G74" s="24">
        <f>276291394.92</f>
        <v>276291394.92</v>
      </c>
      <c r="H74" s="24">
        <f>4504961.29</f>
        <v>4504961.29</v>
      </c>
      <c r="I74" s="24">
        <f>21215885</f>
        <v>21215885</v>
      </c>
      <c r="J74" s="24">
        <f>239773631.28</f>
        <v>239773631.28</v>
      </c>
      <c r="K74" s="24">
        <f>10796917.35</f>
        <v>10796917.35</v>
      </c>
      <c r="L74" s="24">
        <f>280350448.58</f>
        <v>280350448.58</v>
      </c>
    </row>
    <row r="75" spans="2:12" ht="33.75" customHeight="1">
      <c r="B75" s="34" t="s">
        <v>52</v>
      </c>
      <c r="C75" s="35"/>
      <c r="D75" s="35"/>
      <c r="E75" s="36"/>
      <c r="F75" s="24">
        <f>0</f>
        <v>0</v>
      </c>
      <c r="G75" s="24">
        <f>0</f>
        <v>0</v>
      </c>
      <c r="H75" s="24">
        <f>0</f>
        <v>0</v>
      </c>
      <c r="I75" s="24">
        <f>0</f>
        <v>0</v>
      </c>
      <c r="J75" s="24">
        <f>0</f>
        <v>0</v>
      </c>
      <c r="K75" s="24">
        <f>0</f>
        <v>0</v>
      </c>
      <c r="L75" s="24">
        <f>0</f>
        <v>0</v>
      </c>
    </row>
    <row r="76" spans="2:12" ht="33.75" customHeight="1">
      <c r="B76" s="34" t="s">
        <v>53</v>
      </c>
      <c r="C76" s="35"/>
      <c r="D76" s="35"/>
      <c r="E76" s="36"/>
      <c r="F76" s="24">
        <f>21816682.46</f>
        <v>21816682.46</v>
      </c>
      <c r="G76" s="24">
        <f>20676682.46</f>
        <v>20676682.46</v>
      </c>
      <c r="H76" s="24">
        <f>0</f>
        <v>0</v>
      </c>
      <c r="I76" s="24">
        <f>0</f>
        <v>0</v>
      </c>
      <c r="J76" s="24">
        <f>20676682.46</f>
        <v>20676682.46</v>
      </c>
      <c r="K76" s="24">
        <f>0</f>
        <v>0</v>
      </c>
      <c r="L76" s="24">
        <f>1140000</f>
        <v>1140000</v>
      </c>
    </row>
    <row r="77" spans="2:12" ht="22.5" customHeight="1">
      <c r="B77" s="34" t="s">
        <v>54</v>
      </c>
      <c r="C77" s="35"/>
      <c r="D77" s="35"/>
      <c r="E77" s="36"/>
      <c r="F77" s="24">
        <f>47632569.27</f>
        <v>47632569.27</v>
      </c>
      <c r="G77" s="24">
        <f>26224688.55</f>
        <v>26224688.55</v>
      </c>
      <c r="H77" s="24">
        <f>0</f>
        <v>0</v>
      </c>
      <c r="I77" s="24">
        <f>1927529.03</f>
        <v>1927529.03</v>
      </c>
      <c r="J77" s="24">
        <f>24297159.52</f>
        <v>24297159.52</v>
      </c>
      <c r="K77" s="24">
        <f>0</f>
        <v>0</v>
      </c>
      <c r="L77" s="24">
        <f>21407880.72</f>
        <v>21407880.72</v>
      </c>
    </row>
    <row r="78" spans="2:12" ht="33.75" customHeight="1">
      <c r="B78" s="34" t="s">
        <v>55</v>
      </c>
      <c r="C78" s="35"/>
      <c r="D78" s="35"/>
      <c r="E78" s="36"/>
      <c r="F78" s="24">
        <f>9845328.51</f>
        <v>9845328.51</v>
      </c>
      <c r="G78" s="24">
        <f>9670035.04</f>
        <v>9670035.04</v>
      </c>
      <c r="H78" s="24">
        <f>0</f>
        <v>0</v>
      </c>
      <c r="I78" s="24">
        <f>0</f>
        <v>0</v>
      </c>
      <c r="J78" s="24">
        <f>9670035.04</f>
        <v>9670035.04</v>
      </c>
      <c r="K78" s="24">
        <f>0</f>
        <v>0</v>
      </c>
      <c r="L78" s="24">
        <f>175293.47</f>
        <v>175293.47</v>
      </c>
    </row>
    <row r="79" spans="2:12" ht="33.75" customHeight="1">
      <c r="B79" s="34" t="s">
        <v>56</v>
      </c>
      <c r="C79" s="35"/>
      <c r="D79" s="35"/>
      <c r="E79" s="36"/>
      <c r="F79" s="24">
        <f>1142189.61</f>
        <v>1142189.61</v>
      </c>
      <c r="G79" s="24">
        <f>342629.19</f>
        <v>342629.19</v>
      </c>
      <c r="H79" s="24">
        <f>0</f>
        <v>0</v>
      </c>
      <c r="I79" s="24">
        <f>0</f>
        <v>0</v>
      </c>
      <c r="J79" s="24">
        <f>342629.19</f>
        <v>342629.19</v>
      </c>
      <c r="K79" s="24">
        <f>0</f>
        <v>0</v>
      </c>
      <c r="L79" s="24">
        <f>799560.42</f>
        <v>799560.42</v>
      </c>
    </row>
    <row r="80" spans="2:12" ht="22.5" customHeight="1">
      <c r="B80" s="34" t="s">
        <v>57</v>
      </c>
      <c r="C80" s="35"/>
      <c r="D80" s="35"/>
      <c r="E80" s="36"/>
      <c r="F80" s="24">
        <f>0</f>
        <v>0</v>
      </c>
      <c r="G80" s="24">
        <f>0</f>
        <v>0</v>
      </c>
      <c r="H80" s="24">
        <f>0</f>
        <v>0</v>
      </c>
      <c r="I80" s="24">
        <f>0</f>
        <v>0</v>
      </c>
      <c r="J80" s="24">
        <f>0</f>
        <v>0</v>
      </c>
      <c r="K80" s="24">
        <f>0</f>
        <v>0</v>
      </c>
      <c r="L80" s="24">
        <f>0</f>
        <v>0</v>
      </c>
    </row>
    <row r="83" spans="1:13" ht="75" customHeight="1">
      <c r="A83" s="29" t="s">
        <v>78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ht="13.5" customHeight="1">
      <c r="B84" s="4"/>
    </row>
    <row r="85" spans="2:11" ht="13.5" customHeight="1">
      <c r="B85" s="5"/>
      <c r="C85" s="40"/>
      <c r="D85" s="54"/>
      <c r="E85" s="54"/>
      <c r="F85" s="41"/>
      <c r="G85" s="40" t="s">
        <v>3</v>
      </c>
      <c r="H85" s="41"/>
      <c r="I85" s="40" t="s">
        <v>4</v>
      </c>
      <c r="J85" s="41"/>
      <c r="K85" s="5"/>
    </row>
    <row r="86" spans="2:11" ht="13.5" customHeight="1">
      <c r="B86" s="6"/>
      <c r="C86" s="55" t="s">
        <v>5</v>
      </c>
      <c r="D86" s="56"/>
      <c r="E86" s="56"/>
      <c r="F86" s="57"/>
      <c r="G86" s="52">
        <f>305</f>
        <v>305</v>
      </c>
      <c r="H86" s="53"/>
      <c r="I86" s="37">
        <f>1917062795.03</f>
        <v>1917062795.03</v>
      </c>
      <c r="J86" s="38"/>
      <c r="K86" s="7"/>
    </row>
    <row r="87" spans="2:11" ht="13.5" customHeight="1">
      <c r="B87" s="6"/>
      <c r="C87" s="58" t="s">
        <v>6</v>
      </c>
      <c r="D87" s="59"/>
      <c r="E87" s="59"/>
      <c r="F87" s="60"/>
      <c r="G87" s="61">
        <f>9</f>
        <v>9</v>
      </c>
      <c r="H87" s="62"/>
      <c r="I87" s="63">
        <f>-17645052.77</f>
        <v>-17645052.77</v>
      </c>
      <c r="J87" s="64"/>
      <c r="K87" s="7"/>
    </row>
    <row r="88" spans="2:11" ht="13.5" customHeight="1">
      <c r="B88" s="6"/>
      <c r="C88" s="55" t="s">
        <v>7</v>
      </c>
      <c r="D88" s="56"/>
      <c r="E88" s="56"/>
      <c r="F88" s="57"/>
      <c r="G88" s="52">
        <f>0</f>
        <v>0</v>
      </c>
      <c r="H88" s="53"/>
      <c r="I88" s="37">
        <f>0</f>
        <v>0</v>
      </c>
      <c r="J88" s="38"/>
      <c r="K88" s="7"/>
    </row>
  </sheetData>
  <sheetProtection/>
  <mergeCells count="79">
    <mergeCell ref="B12:Q12"/>
    <mergeCell ref="B37:Q37"/>
    <mergeCell ref="B72:E72"/>
    <mergeCell ref="F73:L73"/>
    <mergeCell ref="L68:L71"/>
    <mergeCell ref="F32:F35"/>
    <mergeCell ref="G32:G35"/>
    <mergeCell ref="H32:H35"/>
    <mergeCell ref="K32:K35"/>
    <mergeCell ref="I32:I35"/>
    <mergeCell ref="J32:J35"/>
    <mergeCell ref="A31:A35"/>
    <mergeCell ref="C32:C35"/>
    <mergeCell ref="E32:E35"/>
    <mergeCell ref="B31:B35"/>
    <mergeCell ref="K68:K71"/>
    <mergeCell ref="H68:H71"/>
    <mergeCell ref="I68:I71"/>
    <mergeCell ref="J68:J71"/>
    <mergeCell ref="Q7:Q10"/>
    <mergeCell ref="C31:N31"/>
    <mergeCell ref="L7:L10"/>
    <mergeCell ref="M7:M10"/>
    <mergeCell ref="N7:N10"/>
    <mergeCell ref="P7:P10"/>
    <mergeCell ref="A27:M27"/>
    <mergeCell ref="O31:Q31"/>
    <mergeCell ref="A29:M29"/>
    <mergeCell ref="G7:G10"/>
    <mergeCell ref="F7:F10"/>
    <mergeCell ref="I7:I10"/>
    <mergeCell ref="J7:J10"/>
    <mergeCell ref="A1:M1"/>
    <mergeCell ref="C5:M5"/>
    <mergeCell ref="A3:M3"/>
    <mergeCell ref="K7:K10"/>
    <mergeCell ref="C7:C10"/>
    <mergeCell ref="B6:B10"/>
    <mergeCell ref="A6:A10"/>
    <mergeCell ref="C6:N6"/>
    <mergeCell ref="D7:D10"/>
    <mergeCell ref="E7:E10"/>
    <mergeCell ref="B78:E78"/>
    <mergeCell ref="B75:E75"/>
    <mergeCell ref="M32:M35"/>
    <mergeCell ref="B74:E74"/>
    <mergeCell ref="F67:F71"/>
    <mergeCell ref="G68:G71"/>
    <mergeCell ref="G67:L67"/>
    <mergeCell ref="G88:H88"/>
    <mergeCell ref="I88:J88"/>
    <mergeCell ref="C85:F85"/>
    <mergeCell ref="C86:F86"/>
    <mergeCell ref="C87:F87"/>
    <mergeCell ref="C88:F88"/>
    <mergeCell ref="G86:H86"/>
    <mergeCell ref="G85:H85"/>
    <mergeCell ref="G87:H87"/>
    <mergeCell ref="I87:J87"/>
    <mergeCell ref="B79:E79"/>
    <mergeCell ref="I86:J86"/>
    <mergeCell ref="B65:M65"/>
    <mergeCell ref="I85:J85"/>
    <mergeCell ref="B73:E73"/>
    <mergeCell ref="B67:E71"/>
    <mergeCell ref="B80:E80"/>
    <mergeCell ref="A83:M83"/>
    <mergeCell ref="B76:E76"/>
    <mergeCell ref="B77:E77"/>
    <mergeCell ref="O6:Q6"/>
    <mergeCell ref="O7:O10"/>
    <mergeCell ref="A64:M64"/>
    <mergeCell ref="L32:L35"/>
    <mergeCell ref="P32:P35"/>
    <mergeCell ref="Q32:Q35"/>
    <mergeCell ref="N32:N35"/>
    <mergeCell ref="O32:O35"/>
    <mergeCell ref="D32:D35"/>
    <mergeCell ref="H7:H10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6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2009-11-20T13:10:55Z</cp:lastPrinted>
  <dcterms:created xsi:type="dcterms:W3CDTF">2001-05-17T08:58:03Z</dcterms:created>
  <dcterms:modified xsi:type="dcterms:W3CDTF">2020-06-10T10:46:33Z</dcterms:modified>
  <cp:category/>
  <cp:version/>
  <cp:contentType/>
  <cp:contentStatus/>
</cp:coreProperties>
</file>