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HHCY\Documents\```ST7\Besti@\2024\IV kwartał\2025.03.18 dane ostateczne\Zbiorówki_2024_k4_2025.03.18\Publikacja\"/>
    </mc:Choice>
  </mc:AlternateContent>
  <xr:revisionPtr revIDLastSave="0" documentId="13_ncr:1_{16298146-8026-4986-8AB5-E59B7AAF10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definedNames>
    <definedName name="_xlnm.Print_Area" localSheetId="0">doch_wyd!$B$1:$L$107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7" i="4" l="1"/>
  <c r="C106" i="4"/>
  <c r="C105" i="4"/>
  <c r="C104" i="4"/>
  <c r="D104" i="4" s="1"/>
  <c r="D102" i="4"/>
  <c r="C102" i="4"/>
  <c r="D101" i="4"/>
  <c r="C101" i="4"/>
  <c r="D100" i="4"/>
  <c r="C100" i="4"/>
  <c r="D99" i="4"/>
  <c r="C99" i="4"/>
  <c r="D98" i="4"/>
  <c r="C98" i="4"/>
  <c r="D97" i="4"/>
  <c r="C97" i="4"/>
  <c r="D96" i="4"/>
  <c r="C96" i="4"/>
  <c r="D95" i="4"/>
  <c r="C95" i="4"/>
  <c r="D94" i="4"/>
  <c r="C94" i="4"/>
  <c r="D89" i="4"/>
  <c r="C89" i="4"/>
  <c r="D88" i="4"/>
  <c r="C88" i="4"/>
  <c r="K88" i="4" s="1"/>
  <c r="D87" i="4"/>
  <c r="C87" i="4"/>
  <c r="D86" i="4"/>
  <c r="C86" i="4"/>
  <c r="D85" i="4"/>
  <c r="C85" i="4"/>
  <c r="D84" i="4"/>
  <c r="C84" i="4"/>
  <c r="D83" i="4"/>
  <c r="C83" i="4"/>
  <c r="D82" i="4"/>
  <c r="C82" i="4"/>
  <c r="D81" i="4"/>
  <c r="C81" i="4"/>
  <c r="D80" i="4"/>
  <c r="C80" i="4"/>
  <c r="D79" i="4"/>
  <c r="C79" i="4"/>
  <c r="D78" i="4"/>
  <c r="C78" i="4"/>
  <c r="D77" i="4"/>
  <c r="C77" i="4"/>
  <c r="D76" i="4"/>
  <c r="C76" i="4"/>
  <c r="D75" i="4"/>
  <c r="C75" i="4"/>
  <c r="D74" i="4"/>
  <c r="C74" i="4"/>
  <c r="D73" i="4"/>
  <c r="C73" i="4"/>
  <c r="I67" i="4"/>
  <c r="H67" i="4"/>
  <c r="G67" i="4"/>
  <c r="F67" i="4"/>
  <c r="E67" i="4"/>
  <c r="D67" i="4"/>
  <c r="C67" i="4"/>
  <c r="I66" i="4"/>
  <c r="H66" i="4"/>
  <c r="G66" i="4"/>
  <c r="F66" i="4"/>
  <c r="E66" i="4"/>
  <c r="D66" i="4"/>
  <c r="C66" i="4"/>
  <c r="I60" i="4"/>
  <c r="H60" i="4"/>
  <c r="G60" i="4"/>
  <c r="F60" i="4"/>
  <c r="E60" i="4"/>
  <c r="D60" i="4"/>
  <c r="C60" i="4"/>
  <c r="I59" i="4"/>
  <c r="H59" i="4"/>
  <c r="G59" i="4"/>
  <c r="F59" i="4"/>
  <c r="E59" i="4"/>
  <c r="D59" i="4"/>
  <c r="C59" i="4"/>
  <c r="I58" i="4"/>
  <c r="H58" i="4"/>
  <c r="G58" i="4"/>
  <c r="F58" i="4"/>
  <c r="E58" i="4"/>
  <c r="D58" i="4"/>
  <c r="C58" i="4"/>
  <c r="I57" i="4"/>
  <c r="H57" i="4"/>
  <c r="G57" i="4"/>
  <c r="F57" i="4"/>
  <c r="E57" i="4"/>
  <c r="D57" i="4"/>
  <c r="C57" i="4"/>
  <c r="I56" i="4"/>
  <c r="H56" i="4"/>
  <c r="G56" i="4"/>
  <c r="F56" i="4"/>
  <c r="E56" i="4"/>
  <c r="D56" i="4"/>
  <c r="C56" i="4"/>
  <c r="K56" i="4" s="1"/>
  <c r="I54" i="4"/>
  <c r="H54" i="4"/>
  <c r="G54" i="4"/>
  <c r="F54" i="4"/>
  <c r="E54" i="4"/>
  <c r="D54" i="4"/>
  <c r="C54" i="4"/>
  <c r="I53" i="4"/>
  <c r="H53" i="4"/>
  <c r="G53" i="4"/>
  <c r="F53" i="4"/>
  <c r="E53" i="4"/>
  <c r="D53" i="4"/>
  <c r="C53" i="4"/>
  <c r="I52" i="4"/>
  <c r="H52" i="4"/>
  <c r="H55" i="4" s="1"/>
  <c r="H61" i="4" s="1"/>
  <c r="G52" i="4"/>
  <c r="F52" i="4"/>
  <c r="E52" i="4"/>
  <c r="D52" i="4"/>
  <c r="C52" i="4"/>
  <c r="D42" i="4"/>
  <c r="C42" i="4"/>
  <c r="D40" i="4"/>
  <c r="J40" i="4" s="1"/>
  <c r="C40" i="4"/>
  <c r="D39" i="4"/>
  <c r="C39" i="4"/>
  <c r="D38" i="4"/>
  <c r="C38" i="4"/>
  <c r="D37" i="4"/>
  <c r="C37" i="4"/>
  <c r="D36" i="4"/>
  <c r="C36" i="4"/>
  <c r="D34" i="4"/>
  <c r="C34" i="4"/>
  <c r="D33" i="4"/>
  <c r="C33" i="4"/>
  <c r="D32" i="4"/>
  <c r="C32" i="4"/>
  <c r="D31" i="4"/>
  <c r="C31" i="4"/>
  <c r="D30" i="4"/>
  <c r="C30" i="4"/>
  <c r="D29" i="4"/>
  <c r="J29" i="4" s="1"/>
  <c r="C29" i="4"/>
  <c r="D28" i="4"/>
  <c r="C28" i="4"/>
  <c r="D27" i="4"/>
  <c r="C27" i="4"/>
  <c r="D26" i="4"/>
  <c r="K26" i="4" s="1"/>
  <c r="C26" i="4"/>
  <c r="D25" i="4"/>
  <c r="J25" i="4" s="1"/>
  <c r="C25" i="4"/>
  <c r="D24" i="4"/>
  <c r="J24" i="4" s="1"/>
  <c r="C24" i="4"/>
  <c r="D23" i="4"/>
  <c r="C23" i="4"/>
  <c r="D22" i="4"/>
  <c r="J22" i="4" s="1"/>
  <c r="C22" i="4"/>
  <c r="D21" i="4"/>
  <c r="C21" i="4"/>
  <c r="D20" i="4"/>
  <c r="K20" i="4" s="1"/>
  <c r="C20" i="4"/>
  <c r="D19" i="4"/>
  <c r="C19" i="4"/>
  <c r="K19" i="4" s="1"/>
  <c r="D18" i="4"/>
  <c r="J18" i="4" s="1"/>
  <c r="C18" i="4"/>
  <c r="D17" i="4"/>
  <c r="K17" i="4" s="1"/>
  <c r="C17" i="4"/>
  <c r="D16" i="4"/>
  <c r="J16" i="4" s="1"/>
  <c r="C16" i="4"/>
  <c r="D15" i="4"/>
  <c r="C15" i="4"/>
  <c r="K15" i="4" s="1"/>
  <c r="D14" i="4"/>
  <c r="C14" i="4"/>
  <c r="D13" i="4"/>
  <c r="C13" i="4"/>
  <c r="D9" i="4"/>
  <c r="J9" i="4" s="1"/>
  <c r="C9" i="4"/>
  <c r="D8" i="4"/>
  <c r="C8" i="4"/>
  <c r="D7" i="4"/>
  <c r="C7" i="4"/>
  <c r="D5" i="4"/>
  <c r="C5" i="4"/>
  <c r="C62" i="4" s="1"/>
  <c r="K30" i="4"/>
  <c r="I55" i="4"/>
  <c r="I61" i="4"/>
  <c r="K54" i="4"/>
  <c r="K32" i="4"/>
  <c r="K76" i="4"/>
  <c r="K9" i="4"/>
  <c r="K81" i="4"/>
  <c r="G55" i="4"/>
  <c r="G61" i="4" s="1"/>
  <c r="K67" i="4"/>
  <c r="K14" i="4"/>
  <c r="K83" i="4"/>
  <c r="K31" i="4"/>
  <c r="K87" i="4"/>
  <c r="K75" i="4"/>
  <c r="K37" i="4"/>
  <c r="K59" i="4"/>
  <c r="K89" i="4"/>
  <c r="K38" i="4"/>
  <c r="K77" i="4"/>
  <c r="K39" i="4"/>
  <c r="E55" i="4"/>
  <c r="E61" i="4" s="1"/>
  <c r="K57" i="4"/>
  <c r="F55" i="4"/>
  <c r="F61" i="4" s="1"/>
  <c r="I68" i="4"/>
  <c r="K82" i="4"/>
  <c r="K84" i="4"/>
  <c r="J86" i="4"/>
  <c r="J87" i="4"/>
  <c r="J85" i="4"/>
  <c r="J84" i="4"/>
  <c r="J89" i="4"/>
  <c r="J88" i="4"/>
  <c r="K7" i="4"/>
  <c r="K16" i="4"/>
  <c r="K28" i="4"/>
  <c r="K34" i="4"/>
  <c r="K42" i="4"/>
  <c r="E68" i="4"/>
  <c r="K73" i="4"/>
  <c r="K79" i="4"/>
  <c r="K85" i="4"/>
  <c r="K21" i="4"/>
  <c r="K33" i="4"/>
  <c r="K66" i="4"/>
  <c r="C68" i="4"/>
  <c r="K78" i="4"/>
  <c r="K58" i="4"/>
  <c r="F68" i="4"/>
  <c r="J77" i="4"/>
  <c r="J78" i="4"/>
  <c r="J80" i="4"/>
  <c r="J76" i="4"/>
  <c r="J73" i="4"/>
  <c r="J75" i="4"/>
  <c r="J79" i="4"/>
  <c r="J82" i="4"/>
  <c r="J81" i="4"/>
  <c r="J83" i="4"/>
  <c r="J74" i="4"/>
  <c r="K8" i="4"/>
  <c r="C35" i="4"/>
  <c r="K36" i="4"/>
  <c r="K52" i="4"/>
  <c r="C55" i="4"/>
  <c r="C61" i="4" s="1"/>
  <c r="G68" i="4"/>
  <c r="K74" i="4"/>
  <c r="K80" i="4"/>
  <c r="K86" i="4"/>
  <c r="K53" i="4"/>
  <c r="K5" i="4"/>
  <c r="C41" i="4"/>
  <c r="K27" i="4"/>
  <c r="J37" i="4"/>
  <c r="J31" i="4"/>
  <c r="J20" i="4"/>
  <c r="J21" i="4"/>
  <c r="J28" i="4"/>
  <c r="J8" i="4"/>
  <c r="J33" i="4"/>
  <c r="D62" i="4"/>
  <c r="J5" i="4"/>
  <c r="J14" i="4"/>
  <c r="J34" i="4"/>
  <c r="J39" i="4"/>
  <c r="D41" i="4"/>
  <c r="J42" i="4" s="1"/>
  <c r="J36" i="4"/>
  <c r="J23" i="4"/>
  <c r="J19" i="4"/>
  <c r="J32" i="4"/>
  <c r="J15" i="4"/>
  <c r="J7" i="4"/>
  <c r="J27" i="4"/>
  <c r="J38" i="4"/>
  <c r="J30" i="4"/>
  <c r="J67" i="4"/>
  <c r="D68" i="4"/>
  <c r="J68" i="4" s="1"/>
  <c r="J66" i="4"/>
  <c r="J54" i="4"/>
  <c r="J57" i="4"/>
  <c r="J56" i="4"/>
  <c r="D55" i="4"/>
  <c r="J55" i="4" s="1"/>
  <c r="D61" i="4"/>
  <c r="J61" i="4" s="1"/>
  <c r="J60" i="4"/>
  <c r="J53" i="4"/>
  <c r="J59" i="4"/>
  <c r="J58" i="4"/>
  <c r="J52" i="4"/>
  <c r="K60" i="4"/>
  <c r="H68" i="4"/>
  <c r="C43" i="4"/>
  <c r="D43" i="4" l="1"/>
  <c r="J43" i="4" s="1"/>
  <c r="K61" i="4"/>
  <c r="B69" i="4"/>
  <c r="B1" i="4"/>
  <c r="B45" i="4"/>
  <c r="K68" i="4"/>
  <c r="K55" i="4"/>
  <c r="C63" i="4"/>
  <c r="D63" i="4"/>
  <c r="K40" i="4"/>
  <c r="D35" i="4"/>
  <c r="J35" i="4" s="1"/>
  <c r="K29" i="4"/>
  <c r="J26" i="4"/>
  <c r="K25" i="4"/>
  <c r="K24" i="4"/>
  <c r="K23" i="4"/>
  <c r="K22" i="4"/>
  <c r="K18" i="4"/>
  <c r="J17" i="4"/>
  <c r="D12" i="4"/>
  <c r="J12" i="4" s="1"/>
  <c r="J13" i="4"/>
  <c r="K13" i="4"/>
  <c r="C12" i="4"/>
  <c r="K41" i="4"/>
  <c r="J41" i="4"/>
  <c r="K43" i="4"/>
  <c r="K35" i="4" l="1"/>
  <c r="D11" i="4"/>
  <c r="J11" i="4" s="1"/>
  <c r="C11" i="4"/>
  <c r="K12" i="4"/>
  <c r="D6" i="4" l="1"/>
  <c r="L6" i="4" s="1"/>
  <c r="K11" i="4"/>
  <c r="C6" i="4"/>
  <c r="L7" i="4" l="1"/>
  <c r="L8" i="4"/>
  <c r="L9" i="4"/>
  <c r="D10" i="4"/>
  <c r="J6" i="4"/>
  <c r="L10" i="4"/>
  <c r="J10" i="4"/>
  <c r="K6" i="4"/>
  <c r="C10" i="4"/>
  <c r="K10" i="4" s="1"/>
</calcChain>
</file>

<file path=xl/sharedStrings.xml><?xml version="1.0" encoding="utf-8"?>
<sst xmlns="http://schemas.openxmlformats.org/spreadsheetml/2006/main" count="406" uniqueCount="105">
  <si>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</si>
  <si>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</si>
  <si>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</si>
  <si>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</si>
  <si>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</si>
  <si>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</si>
  <si>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</si>
  <si>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</si>
  <si>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</si>
  <si>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</si>
  <si>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</si>
  <si>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</si>
  <si>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</si>
  <si>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</si>
  <si>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</si>
  <si>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</si>
  <si>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</si>
  <si>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</si>
  <si>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</si>
  <si>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dochodowy od osób fizycznych </t>
  </si>
  <si>
    <t>dochody z majątku</t>
  </si>
  <si>
    <t xml:space="preserve">pozostałe dochody </t>
  </si>
  <si>
    <t>Struktura</t>
  </si>
  <si>
    <t>Wskaźnik</t>
  </si>
  <si>
    <t>w tym wymagalne:</t>
  </si>
  <si>
    <t xml:space="preserve">podatek dochodowy od osób prawnych 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</si>
  <si>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</si>
  <si>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</si>
  <si>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t>uzupełnienie subwencji ogólnej</t>
  </si>
  <si>
    <t>część równoważąca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</si>
  <si>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</si>
  <si>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</si>
  <si>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</si>
  <si>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</si>
  <si>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</si>
  <si>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</si>
  <si>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</si>
  <si>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</si>
  <si>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</si>
  <si>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</si>
  <si>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</si>
  <si>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Razem dochody własne 
z tego: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</si>
  <si>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</si>
  <si>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</si>
  <si>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</si>
  <si>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</si>
  <si>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</si>
  <si>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</si>
  <si>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</si>
  <si>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</si>
  <si>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</si>
  <si>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</si>
  <si>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</si>
  <si>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w tym: inwestycyjne § 620</t>
  </si>
  <si>
    <t>tytul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</si>
  <si>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</si>
  <si>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</si>
  <si>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</si>
  <si>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</si>
  <si>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</si>
  <si>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</si>
  <si>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</si>
  <si>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</si>
  <si>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</si>
  <si>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</si>
  <si>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w tym: inwestycyjne § 625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</si>
  <si>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</si>
  <si>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Dotacje §§ 200 i 620</t>
  </si>
  <si>
    <t>Dotacje §§ 205 i 625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</si>
  <si>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</si>
  <si>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</si>
  <si>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</si>
  <si>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</si>
  <si>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wolne środki, o których mowa w art. 217 ust. 2 pkt 6 ustawy o finansach publicznych</t>
  </si>
  <si>
    <t>wykup papierów wartościowych</t>
  </si>
  <si>
    <t>otrzymane ze środków z Funduszu Przeciwdziałania COVID-19 (m.in. z Rządowego Funduszu Inwestycji Lokalnych)</t>
  </si>
  <si>
    <t>na finansowanie lub dofinansowanie zadań inwestycyjnych obiektów zabytkowych oraz prac remontowych i konserwatorskich przy zabytkach</t>
  </si>
  <si>
    <t>w tym: inwestycyjne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</si>
  <si>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</si>
  <si>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</si>
  <si>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nadwyżka budżetu jednostki samorządu terytorialnego z lat ubiegłych, pomniejszona o środki określone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</si>
  <si>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</si>
  <si>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</si>
  <si>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udzielone pożyczki</t>
  </si>
  <si>
    <t>wynagrodzenia i składki od nich naliczane</t>
  </si>
  <si>
    <t>#</t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</si>
  <si>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</si>
  <si>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</si>
  <si>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</si>
  <si>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</si>
  <si>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</si>
  <si>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Dotacje ogółem 
z tego:</t>
  </si>
  <si>
    <t>Wydatki ogółem UE 
z tego:</t>
  </si>
  <si>
    <t>Dochody bieżące
minus
wydatki bieżące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</si>
  <si>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</si>
  <si>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</si>
  <si>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</si>
  <si>
    <t>inne źródła, w tym:</t>
  </si>
  <si>
    <t>środki z lokat dokonanych w latach ubiegłych</t>
  </si>
  <si>
    <t>inne cele, w tym:</t>
  </si>
  <si>
    <t>lokaty na okres wykraczający poza rok budżetowy</t>
  </si>
  <si>
    <t>stan niespłaconych na koniec okresu sprawozdawczego zobowiązań przeznaczonych na cel , o którym mowa w art. 89 ust. 1 pkt 1 ustawy o finansach publicznych</t>
  </si>
  <si>
    <t>spłaty kredytów i  pożyczek, wykup papierów wartościowych 
w tym:</t>
  </si>
  <si>
    <t>FINANSOWANIE DEFICYTU (E1+E2+E3+E4+E5+E6+E7+E8) 
z tego:</t>
  </si>
  <si>
    <t>część rozwojowa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</si>
</sst>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#,##0.0"/>
    <numFmt numFmtId="166" formatCode="dd/mm/yy\ h:mm;@"/>
  </numFmts>
  <fonts count="39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4"/>
      <name val="Arial"/>
      <family val="2"/>
      <charset val="238"/>
    </font>
    <font>
      <b/>
      <sz val="7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1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3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0" fontId="14" fillId="13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5" fillId="18" borderId="0" applyNumberFormat="0" applyBorder="0" applyAlignment="0" applyProtection="0"/>
    <xf numFmtId="0" fontId="16" fillId="7" borderId="1" applyNumberFormat="0" applyAlignment="0" applyProtection="0"/>
    <xf numFmtId="0" fontId="17" fillId="17" borderId="2" applyNumberFormat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1" applyNumberFormat="0" applyAlignment="0" applyProtection="0"/>
    <xf numFmtId="0" fontId="24" fillId="0" borderId="7" applyNumberFormat="0" applyFill="0" applyAlignment="0" applyProtection="0"/>
    <xf numFmtId="0" fontId="25" fillId="10" borderId="0" applyNumberFormat="0" applyBorder="0" applyAlignment="0" applyProtection="0"/>
    <xf numFmtId="0" fontId="36" fillId="0" borderId="0"/>
    <xf numFmtId="0" fontId="36" fillId="0" borderId="0"/>
    <xf numFmtId="0" fontId="1" fillId="4" borderId="8" applyNumberFormat="0" applyFont="0" applyAlignment="0" applyProtection="0"/>
    <xf numFmtId="0" fontId="26" fillId="7" borderId="3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0" fontId="6" fillId="0" borderId="0" xfId="0" applyFont="1" applyFill="1" applyAlignment="1">
      <alignment horizontal="left" vertical="center"/>
    </xf>
    <xf numFmtId="165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indent="1"/>
    </xf>
    <xf numFmtId="165" fontId="6" fillId="0" borderId="0" xfId="0" applyNumberFormat="1" applyFont="1" applyAlignment="1">
      <alignment horizontal="right" vertical="center"/>
    </xf>
    <xf numFmtId="165" fontId="6" fillId="0" borderId="0" xfId="0" applyNumberFormat="1" applyFont="1" applyFill="1" applyAlignment="1">
      <alignment horizontal="right" vertical="center"/>
    </xf>
    <xf numFmtId="0" fontId="4" fillId="0" borderId="10" xfId="0" applyFont="1" applyFill="1" applyBorder="1" applyAlignment="1">
      <alignment horizontal="left" vertical="center" wrapText="1" indent="1"/>
    </xf>
    <xf numFmtId="0" fontId="6" fillId="0" borderId="10" xfId="0" applyFont="1" applyBorder="1"/>
    <xf numFmtId="0" fontId="6" fillId="0" borderId="0" xfId="0" applyFont="1"/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0" fontId="6" fillId="19" borderId="12" xfId="0" applyFont="1" applyFill="1" applyBorder="1" applyAlignment="1">
      <alignment horizontal="center"/>
    </xf>
    <xf numFmtId="4" fontId="32" fillId="20" borderId="10" xfId="0" applyNumberFormat="1" applyFont="1" applyFill="1" applyBorder="1" applyAlignment="1">
      <alignment horizontal="right" vertical="center"/>
    </xf>
    <xf numFmtId="165" fontId="32" fillId="20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Fill="1" applyBorder="1" applyAlignment="1">
      <alignment horizontal="right" vertical="center"/>
    </xf>
    <xf numFmtId="165" fontId="33" fillId="0" borderId="10" xfId="0" applyNumberFormat="1" applyFont="1" applyFill="1" applyBorder="1" applyAlignment="1">
      <alignment horizontal="right" vertical="center"/>
    </xf>
    <xf numFmtId="165" fontId="33" fillId="20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Border="1" applyAlignment="1">
      <alignment horizontal="right" vertical="center"/>
    </xf>
    <xf numFmtId="165" fontId="34" fillId="0" borderId="0" xfId="0" applyNumberFormat="1" applyFont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4" fontId="32" fillId="20" borderId="10" xfId="0" applyNumberFormat="1" applyFont="1" applyFill="1" applyBorder="1" applyAlignment="1">
      <alignment horizontal="right" vertical="center" wrapText="1"/>
    </xf>
    <xf numFmtId="165" fontId="35" fillId="20" borderId="10" xfId="0" applyNumberFormat="1" applyFont="1" applyFill="1" applyBorder="1" applyAlignment="1">
      <alignment horizontal="right" vertical="center"/>
    </xf>
    <xf numFmtId="0" fontId="34" fillId="0" borderId="0" xfId="0" applyFont="1"/>
    <xf numFmtId="0" fontId="34" fillId="0" borderId="0" xfId="0" applyFont="1" applyBorder="1"/>
    <xf numFmtId="3" fontId="32" fillId="0" borderId="0" xfId="0" applyNumberFormat="1" applyFont="1" applyBorder="1" applyAlignment="1">
      <alignment horizontal="right" vertical="center"/>
    </xf>
    <xf numFmtId="165" fontId="34" fillId="0" borderId="0" xfId="0" applyNumberFormat="1" applyFont="1"/>
    <xf numFmtId="4" fontId="35" fillId="20" borderId="12" xfId="0" applyNumberFormat="1" applyFont="1" applyFill="1" applyBorder="1" applyAlignment="1">
      <alignment horizontal="right" vertical="center"/>
    </xf>
    <xf numFmtId="165" fontId="35" fillId="20" borderId="10" xfId="28" applyNumberFormat="1" applyFont="1" applyFill="1" applyBorder="1" applyAlignment="1">
      <alignment horizontal="right" vertical="center"/>
    </xf>
    <xf numFmtId="4" fontId="34" fillId="0" borderId="12" xfId="0" applyNumberFormat="1" applyFont="1" applyBorder="1" applyAlignment="1">
      <alignment horizontal="right" vertical="center"/>
    </xf>
    <xf numFmtId="165" fontId="35" fillId="21" borderId="10" xfId="28" applyNumberFormat="1" applyFont="1" applyFill="1" applyBorder="1" applyAlignment="1">
      <alignment horizontal="right" vertical="center"/>
    </xf>
    <xf numFmtId="165" fontId="35" fillId="21" borderId="10" xfId="0" applyNumberFormat="1" applyFont="1" applyFill="1" applyBorder="1" applyAlignment="1">
      <alignment horizontal="right" vertical="center"/>
    </xf>
    <xf numFmtId="4" fontId="34" fillId="22" borderId="12" xfId="0" applyNumberFormat="1" applyFont="1" applyFill="1" applyBorder="1" applyAlignment="1">
      <alignment horizontal="right" vertical="center"/>
    </xf>
    <xf numFmtId="165" fontId="35" fillId="22" borderId="10" xfId="0" applyNumberFormat="1" applyFont="1" applyFill="1" applyBorder="1" applyAlignment="1">
      <alignment horizontal="right" vertical="center"/>
    </xf>
    <xf numFmtId="4" fontId="35" fillId="22" borderId="12" xfId="0" applyNumberFormat="1" applyFont="1" applyFill="1" applyBorder="1" applyAlignment="1">
      <alignment horizontal="right" vertical="center"/>
    </xf>
    <xf numFmtId="0" fontId="11" fillId="19" borderId="10" xfId="0" applyFont="1" applyFill="1" applyBorder="1" applyAlignment="1">
      <alignment horizontal="center" vertical="center" wrapText="1"/>
    </xf>
    <xf numFmtId="0" fontId="37" fillId="22" borderId="10" xfId="44" applyFont="1" applyFill="1" applyBorder="1" applyAlignment="1">
      <alignment horizontal="left" vertical="top" wrapText="1"/>
    </xf>
    <xf numFmtId="4" fontId="32" fillId="22" borderId="10" xfId="0" applyNumberFormat="1" applyFont="1" applyFill="1" applyBorder="1" applyAlignment="1">
      <alignment horizontal="right" vertical="center"/>
    </xf>
    <xf numFmtId="165" fontId="32" fillId="22" borderId="10" xfId="0" applyNumberFormat="1" applyFont="1" applyFill="1" applyBorder="1" applyAlignment="1">
      <alignment horizontal="right" vertical="center"/>
    </xf>
    <xf numFmtId="4" fontId="34" fillId="0" borderId="10" xfId="0" applyNumberFormat="1" applyFont="1" applyFill="1" applyBorder="1" applyAlignment="1">
      <alignment horizontal="right" vertical="center"/>
    </xf>
    <xf numFmtId="165" fontId="33" fillId="0" borderId="0" xfId="0" applyNumberFormat="1" applyFont="1" applyFill="1" applyBorder="1" applyAlignment="1">
      <alignment horizontal="right" vertical="center"/>
    </xf>
    <xf numFmtId="4" fontId="33" fillId="22" borderId="10" xfId="0" applyNumberFormat="1" applyFont="1" applyFill="1" applyBorder="1" applyAlignment="1">
      <alignment horizontal="right" vertical="center"/>
    </xf>
    <xf numFmtId="165" fontId="33" fillId="22" borderId="10" xfId="0" applyNumberFormat="1" applyFont="1" applyFill="1" applyBorder="1" applyAlignment="1">
      <alignment horizontal="right" vertical="center"/>
    </xf>
    <xf numFmtId="4" fontId="35" fillId="22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Fill="1" applyBorder="1" applyAlignment="1">
      <alignment horizontal="right" vertical="center" wrapText="1"/>
    </xf>
    <xf numFmtId="4" fontId="33" fillId="22" borderId="10" xfId="0" applyNumberFormat="1" applyFont="1" applyFill="1" applyBorder="1" applyAlignment="1">
      <alignment horizontal="right" vertical="center" wrapText="1"/>
    </xf>
    <xf numFmtId="165" fontId="34" fillId="22" borderId="10" xfId="0" applyNumberFormat="1" applyFont="1" applyFill="1" applyBorder="1" applyAlignment="1">
      <alignment horizontal="right" vertical="center"/>
    </xf>
    <xf numFmtId="4" fontId="32" fillId="22" borderId="10" xfId="0" applyNumberFormat="1" applyFont="1" applyFill="1" applyBorder="1" applyAlignment="1">
      <alignment horizontal="right" vertical="center" wrapText="1"/>
    </xf>
    <xf numFmtId="4" fontId="32" fillId="20" borderId="11" xfId="0" applyNumberFormat="1" applyFont="1" applyFill="1" applyBorder="1" applyAlignment="1">
      <alignment horizontal="right" vertical="center" wrapText="1"/>
    </xf>
    <xf numFmtId="4" fontId="34" fillId="0" borderId="12" xfId="0" applyNumberFormat="1" applyFont="1" applyFill="1" applyBorder="1" applyAlignment="1">
      <alignment horizontal="right" vertical="center"/>
    </xf>
    <xf numFmtId="165" fontId="35" fillId="0" borderId="10" xfId="28" applyNumberFormat="1" applyFont="1" applyFill="1" applyBorder="1" applyAlignment="1">
      <alignment horizontal="right" vertical="center"/>
    </xf>
    <xf numFmtId="165" fontId="35" fillId="0" borderId="10" xfId="0" applyNumberFormat="1" applyFont="1" applyFill="1" applyBorder="1" applyAlignment="1">
      <alignment horizontal="right" vertical="center"/>
    </xf>
    <xf numFmtId="4" fontId="33" fillId="21" borderId="10" xfId="0" applyNumberFormat="1" applyFont="1" applyFill="1" applyBorder="1" applyAlignment="1">
      <alignment horizontal="right" vertical="center"/>
    </xf>
    <xf numFmtId="165" fontId="33" fillId="21" borderId="10" xfId="0" applyNumberFormat="1" applyFont="1" applyFill="1" applyBorder="1" applyAlignment="1">
      <alignment horizontal="right" vertical="center"/>
    </xf>
    <xf numFmtId="0" fontId="6" fillId="19" borderId="12" xfId="0" applyFont="1" applyFill="1" applyBorder="1" applyAlignment="1">
      <alignment horizontal="center" vertical="center"/>
    </xf>
    <xf numFmtId="4" fontId="35" fillId="22" borderId="1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4" fontId="33" fillId="0" borderId="0" xfId="0" applyNumberFormat="1" applyFont="1" applyFill="1" applyBorder="1" applyAlignment="1">
      <alignment horizontal="right" vertical="center" wrapText="1"/>
    </xf>
    <xf numFmtId="4" fontId="33" fillId="0" borderId="0" xfId="0" applyNumberFormat="1" applyFont="1" applyFill="1" applyBorder="1" applyAlignment="1">
      <alignment horizontal="right" vertical="center"/>
    </xf>
    <xf numFmtId="4" fontId="35" fillId="0" borderId="0" xfId="0" applyNumberFormat="1" applyFont="1" applyFill="1" applyBorder="1" applyAlignment="1">
      <alignment horizontal="right" vertical="center"/>
    </xf>
    <xf numFmtId="4" fontId="32" fillId="0" borderId="0" xfId="0" applyNumberFormat="1" applyFont="1" applyFill="1" applyBorder="1" applyAlignment="1">
      <alignment horizontal="right" vertical="center" wrapText="1"/>
    </xf>
    <xf numFmtId="0" fontId="6" fillId="19" borderId="10" xfId="0" applyFont="1" applyFill="1" applyBorder="1" applyAlignment="1">
      <alignment vertical="center"/>
    </xf>
    <xf numFmtId="4" fontId="35" fillId="22" borderId="10" xfId="0" applyNumberFormat="1" applyFont="1" applyFill="1" applyBorder="1" applyAlignment="1">
      <alignment vertical="center"/>
    </xf>
    <xf numFmtId="4" fontId="32" fillId="22" borderId="10" xfId="0" applyNumberFormat="1" applyFont="1" applyFill="1" applyBorder="1" applyAlignment="1">
      <alignment vertical="center" wrapText="1"/>
    </xf>
    <xf numFmtId="4" fontId="33" fillId="0" borderId="10" xfId="0" applyNumberFormat="1" applyFont="1" applyBorder="1" applyAlignment="1">
      <alignment vertical="center"/>
    </xf>
    <xf numFmtId="4" fontId="33" fillId="0" borderId="10" xfId="0" applyNumberFormat="1" applyFont="1" applyFill="1" applyBorder="1" applyAlignment="1">
      <alignment vertical="center" wrapText="1"/>
    </xf>
    <xf numFmtId="4" fontId="33" fillId="0" borderId="10" xfId="0" applyNumberFormat="1" applyFont="1" applyFill="1" applyBorder="1" applyAlignment="1">
      <alignment vertical="center"/>
    </xf>
    <xf numFmtId="4" fontId="33" fillId="0" borderId="12" xfId="0" applyNumberFormat="1" applyFont="1" applyFill="1" applyBorder="1" applyAlignment="1">
      <alignment vertical="center" wrapText="1"/>
    </xf>
    <xf numFmtId="4" fontId="33" fillId="0" borderId="13" xfId="0" applyNumberFormat="1" applyFont="1" applyBorder="1" applyAlignment="1">
      <alignment horizontal="right" vertical="center"/>
    </xf>
    <xf numFmtId="4" fontId="33" fillId="0" borderId="14" xfId="0" applyNumberFormat="1" applyFont="1" applyBorder="1" applyAlignment="1">
      <alignment vertical="center" wrapText="1"/>
    </xf>
    <xf numFmtId="4" fontId="34" fillId="0" borderId="0" xfId="0" applyNumberFormat="1" applyFont="1" applyFill="1" applyBorder="1" applyAlignment="1">
      <alignment horizontal="right" vertical="center"/>
    </xf>
    <xf numFmtId="0" fontId="32" fillId="0" borderId="0" xfId="0" applyFont="1" applyFill="1" applyBorder="1" applyAlignment="1">
      <alignment horizontal="left" vertical="center"/>
    </xf>
    <xf numFmtId="0" fontId="34" fillId="0" borderId="0" xfId="0" applyFont="1" applyFill="1" applyBorder="1"/>
    <xf numFmtId="4" fontId="32" fillId="0" borderId="15" xfId="0" applyNumberFormat="1" applyFont="1" applyFill="1" applyBorder="1" applyAlignment="1">
      <alignment horizontal="right" vertical="center" wrapText="1"/>
    </xf>
    <xf numFmtId="4" fontId="32" fillId="0" borderId="14" xfId="0" applyNumberFormat="1" applyFont="1" applyFill="1" applyBorder="1" applyAlignment="1">
      <alignment horizontal="right" vertical="center" wrapText="1"/>
    </xf>
    <xf numFmtId="4" fontId="32" fillId="0" borderId="16" xfId="0" applyNumberFormat="1" applyFont="1" applyFill="1" applyBorder="1" applyAlignment="1">
      <alignment horizontal="right" vertical="center" wrapText="1"/>
    </xf>
    <xf numFmtId="4" fontId="34" fillId="0" borderId="16" xfId="0" applyNumberFormat="1" applyFont="1" applyFill="1" applyBorder="1" applyAlignment="1">
      <alignment horizontal="right" vertical="center"/>
    </xf>
    <xf numFmtId="0" fontId="6" fillId="19" borderId="12" xfId="0" applyFont="1" applyFill="1" applyBorder="1" applyAlignment="1">
      <alignment vertical="center"/>
    </xf>
    <xf numFmtId="4" fontId="34" fillId="22" borderId="10" xfId="0" applyNumberFormat="1" applyFont="1" applyFill="1" applyBorder="1" applyAlignment="1">
      <alignment horizontal="right" vertical="center"/>
    </xf>
    <xf numFmtId="4" fontId="32" fillId="22" borderId="10" xfId="0" applyNumberFormat="1" applyFont="1" applyFill="1" applyBorder="1" applyAlignment="1">
      <alignment horizontal="center" vertical="center"/>
    </xf>
    <xf numFmtId="4" fontId="34" fillId="0" borderId="10" xfId="0" applyNumberFormat="1" applyFont="1" applyBorder="1" applyAlignment="1">
      <alignment horizontal="right" vertical="center"/>
    </xf>
    <xf numFmtId="4" fontId="34" fillId="21" borderId="10" xfId="0" applyNumberFormat="1" applyFont="1" applyFill="1" applyBorder="1" applyAlignment="1">
      <alignment horizontal="right" vertical="center"/>
    </xf>
    <xf numFmtId="0" fontId="6" fillId="0" borderId="13" xfId="0" applyFont="1" applyBorder="1"/>
    <xf numFmtId="166" fontId="6" fillId="0" borderId="11" xfId="0" applyNumberFormat="1" applyFont="1" applyBorder="1"/>
    <xf numFmtId="4" fontId="35" fillId="20" borderId="10" xfId="0" applyNumberFormat="1" applyFont="1" applyFill="1" applyBorder="1" applyAlignment="1">
      <alignment horizontal="center" vertical="center"/>
    </xf>
    <xf numFmtId="0" fontId="7" fillId="22" borderId="10" xfId="0" applyFont="1" applyFill="1" applyBorder="1" applyAlignment="1">
      <alignment horizontal="left" vertical="center" wrapText="1"/>
    </xf>
    <xf numFmtId="0" fontId="10" fillId="22" borderId="11" xfId="0" applyFont="1" applyFill="1" applyBorder="1" applyAlignment="1">
      <alignment horizontal="center" vertical="top" wrapText="1"/>
    </xf>
    <xf numFmtId="0" fontId="10" fillId="20" borderId="10" xfId="0" applyFont="1" applyFill="1" applyBorder="1" applyAlignment="1">
      <alignment horizontal="left" vertical="top" wrapText="1"/>
    </xf>
    <xf numFmtId="0" fontId="7" fillId="22" borderId="10" xfId="0" applyFont="1" applyFill="1" applyBorder="1" applyAlignment="1">
      <alignment vertical="center" wrapText="1"/>
    </xf>
    <xf numFmtId="0" fontId="7" fillId="20" borderId="10" xfId="0" applyFont="1" applyFill="1" applyBorder="1" applyAlignment="1">
      <alignment horizontal="left" vertical="center" wrapText="1" indent="1"/>
    </xf>
    <xf numFmtId="0" fontId="7" fillId="22" borderId="10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horizontal="left" vertical="center" wrapText="1" indent="2"/>
    </xf>
    <xf numFmtId="0" fontId="7" fillId="22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3"/>
    </xf>
    <xf numFmtId="0" fontId="4" fillId="21" borderId="10" xfId="0" applyFont="1" applyFill="1" applyBorder="1" applyAlignment="1">
      <alignment horizontal="left" vertical="center" wrapText="1" indent="3"/>
    </xf>
    <xf numFmtId="0" fontId="7" fillId="22" borderId="10" xfId="0" applyFont="1" applyFill="1" applyBorder="1" applyAlignment="1">
      <alignment horizontal="left" vertical="center" wrapText="1" indent="3"/>
    </xf>
    <xf numFmtId="0" fontId="4" fillId="0" borderId="10" xfId="0" applyFont="1" applyFill="1" applyBorder="1" applyAlignment="1">
      <alignment horizontal="left" vertical="center" wrapText="1" indent="4"/>
    </xf>
    <xf numFmtId="0" fontId="4" fillId="0" borderId="10" xfId="0" applyFont="1" applyBorder="1" applyAlignment="1">
      <alignment horizontal="left" vertical="center" wrapText="1" indent="4"/>
    </xf>
    <xf numFmtId="0" fontId="7" fillId="0" borderId="10" xfId="0" applyFont="1" applyFill="1" applyBorder="1" applyAlignment="1">
      <alignment horizontal="right" vertical="center" wrapText="1"/>
    </xf>
    <xf numFmtId="0" fontId="31" fillId="0" borderId="0" xfId="0" applyFont="1" applyAlignment="1">
      <alignment vertical="center"/>
    </xf>
    <xf numFmtId="0" fontId="6" fillId="0" borderId="10" xfId="0" applyFont="1" applyFill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6" fillId="0" borderId="10" xfId="44" applyFont="1" applyFill="1" applyBorder="1" applyAlignment="1">
      <alignment horizontal="left" vertical="center" wrapText="1" indent="1"/>
    </xf>
    <xf numFmtId="4" fontId="33" fillId="22" borderId="17" xfId="0" applyNumberFormat="1" applyFont="1" applyFill="1" applyBorder="1" applyAlignment="1">
      <alignment horizontal="right" vertical="center" wrapText="1"/>
    </xf>
    <xf numFmtId="4" fontId="33" fillId="0" borderId="17" xfId="0" applyNumberFormat="1" applyFont="1" applyFill="1" applyBorder="1" applyAlignment="1">
      <alignment horizontal="right" vertical="center" wrapText="1"/>
    </xf>
    <xf numFmtId="0" fontId="7" fillId="22" borderId="10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right"/>
    </xf>
    <xf numFmtId="0" fontId="10" fillId="0" borderId="0" xfId="44" applyFont="1" applyFill="1" applyBorder="1" applyAlignment="1">
      <alignment horizontal="left" vertical="center"/>
    </xf>
    <xf numFmtId="4" fontId="32" fillId="22" borderId="0" xfId="0" applyNumberFormat="1" applyFont="1" applyFill="1" applyBorder="1" applyAlignment="1">
      <alignment horizontal="center" vertical="center"/>
    </xf>
    <xf numFmtId="0" fontId="38" fillId="0" borderId="0" xfId="0" applyFont="1"/>
    <xf numFmtId="0" fontId="37" fillId="0" borderId="10" xfId="45" applyFont="1" applyBorder="1" applyAlignment="1">
      <alignment horizontal="left" vertical="center" wrapText="1" indent="1"/>
    </xf>
    <xf numFmtId="0" fontId="7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 vertical="center" wrapText="1"/>
    </xf>
    <xf numFmtId="0" fontId="6" fillId="19" borderId="18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0" fontId="4" fillId="19" borderId="12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17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4" fillId="19" borderId="14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4" fillId="19" borderId="20" xfId="0" applyFont="1" applyFill="1" applyBorder="1" applyAlignment="1">
      <alignment horizontal="center" vertical="center"/>
    </xf>
    <xf numFmtId="0" fontId="4" fillId="19" borderId="21" xfId="0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  <xf numFmtId="0" fontId="4" fillId="19" borderId="23" xfId="0" applyFont="1" applyFill="1" applyBorder="1" applyAlignment="1">
      <alignment horizontal="center" vertical="center"/>
    </xf>
    <xf numFmtId="166" fontId="6" fillId="0" borderId="12" xfId="0" applyNumberFormat="1" applyFont="1" applyBorder="1" applyAlignment="1">
      <alignment horizontal="center"/>
    </xf>
    <xf numFmtId="166" fontId="6" fillId="0" borderId="17" xfId="0" applyNumberFormat="1" applyFont="1" applyBorder="1" applyAlignment="1">
      <alignment horizontal="center"/>
    </xf>
    <xf numFmtId="0" fontId="6" fillId="19" borderId="14" xfId="0" applyFont="1" applyFill="1" applyBorder="1" applyAlignment="1">
      <alignment horizontal="center" vertical="center"/>
    </xf>
    <xf numFmtId="0" fontId="6" fillId="19" borderId="16" xfId="0" applyFont="1" applyFill="1" applyBorder="1" applyAlignment="1">
      <alignment horizontal="center" vertical="center"/>
    </xf>
    <xf numFmtId="0" fontId="6" fillId="19" borderId="20" xfId="0" applyFont="1" applyFill="1" applyBorder="1" applyAlignment="1">
      <alignment horizontal="center" vertical="center"/>
    </xf>
    <xf numFmtId="0" fontId="6" fillId="19" borderId="15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24" xfId="0" applyFont="1" applyFill="1" applyBorder="1" applyAlignment="1">
      <alignment horizontal="center" vertical="center"/>
    </xf>
    <xf numFmtId="0" fontId="6" fillId="19" borderId="21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23" xfId="0" applyFont="1" applyFill="1" applyBorder="1" applyAlignment="1">
      <alignment horizontal="center" vertical="center"/>
    </xf>
    <xf numFmtId="0" fontId="6" fillId="19" borderId="17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/>
    </xf>
    <xf numFmtId="0" fontId="6" fillId="19" borderId="12" xfId="0" applyFont="1" applyFill="1" applyBorder="1" applyAlignment="1">
      <alignment horizontal="center" vertical="center" wrapText="1"/>
    </xf>
    <xf numFmtId="0" fontId="6" fillId="19" borderId="17" xfId="0" applyFont="1" applyFill="1" applyBorder="1" applyAlignment="1">
      <alignment horizontal="center" vertical="center" wrapText="1"/>
    </xf>
    <xf numFmtId="0" fontId="6" fillId="19" borderId="12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4" fontId="32" fillId="0" borderId="16" xfId="0" applyNumberFormat="1" applyFont="1" applyFill="1" applyBorder="1" applyAlignment="1">
      <alignment horizontal="right" vertical="center" wrapText="1"/>
    </xf>
    <xf numFmtId="0" fontId="4" fillId="19" borderId="10" xfId="0" applyFont="1" applyFill="1" applyBorder="1" applyAlignment="1">
      <alignment horizontal="center" vertical="center" wrapText="1"/>
    </xf>
  </cellXfs>
  <cellStyles count="51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ziesiętny 2" xfId="28" xr:uid="{00000000-0005-0000-0000-00001B000000}"/>
    <cellStyle name="Dziesiętny 3" xfId="29" xr:uid="{00000000-0005-0000-0000-00001C000000}"/>
    <cellStyle name="Dziesiętny 3 2" xfId="30" xr:uid="{00000000-0005-0000-0000-00001D000000}"/>
    <cellStyle name="Dziesiętny 3 3" xfId="31" xr:uid="{00000000-0005-0000-0000-00001E000000}"/>
    <cellStyle name="Dziesiętny 3 4" xfId="32" xr:uid="{00000000-0005-0000-0000-00001F000000}"/>
    <cellStyle name="Dziesiętny 4" xfId="33" xr:uid="{00000000-0005-0000-0000-000020000000}"/>
    <cellStyle name="Dziesiętny 5" xfId="34" xr:uid="{00000000-0005-0000-0000-000021000000}"/>
    <cellStyle name="Explanatory Text" xfId="35" xr:uid="{00000000-0005-0000-0000-000022000000}"/>
    <cellStyle name="Good" xfId="36" xr:uid="{00000000-0005-0000-0000-000023000000}"/>
    <cellStyle name="Heading 1" xfId="37" xr:uid="{00000000-0005-0000-0000-000024000000}"/>
    <cellStyle name="Heading 2" xfId="38" xr:uid="{00000000-0005-0000-0000-000025000000}"/>
    <cellStyle name="Heading 3" xfId="39" xr:uid="{00000000-0005-0000-0000-000026000000}"/>
    <cellStyle name="Heading 4" xfId="40" xr:uid="{00000000-0005-0000-0000-000027000000}"/>
    <cellStyle name="Input" xfId="41" xr:uid="{00000000-0005-0000-0000-000028000000}"/>
    <cellStyle name="Linked Cell" xfId="42" xr:uid="{00000000-0005-0000-0000-000029000000}"/>
    <cellStyle name="Neutral" xfId="43" xr:uid="{00000000-0005-0000-0000-00002A000000}"/>
    <cellStyle name="Normalny" xfId="0" builtinId="0"/>
    <cellStyle name="Normalny 2" xfId="44" xr:uid="{00000000-0005-0000-0000-00002C000000}"/>
    <cellStyle name="Normalny 2 2" xfId="45" xr:uid="{00000000-0005-0000-0000-00002D000000}"/>
    <cellStyle name="Note" xfId="46" xr:uid="{00000000-0005-0000-0000-00002E000000}"/>
    <cellStyle name="Output" xfId="47" xr:uid="{00000000-0005-0000-0000-00002F000000}"/>
    <cellStyle name="Title" xfId="48" xr:uid="{00000000-0005-0000-0000-000030000000}"/>
    <cellStyle name="Total" xfId="49" xr:uid="{00000000-0005-0000-0000-000031000000}"/>
    <cellStyle name="Warning Text" xfId="50" xr:uid="{00000000-0005-0000-0000-00003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07"/>
  <sheetViews>
    <sheetView tabSelected="1" topLeftCell="B1" zoomScaleNormal="100" workbookViewId="0"/>
  </sheetViews>
  <sheetFormatPr defaultRowHeight="12.75" outlineLevelRow="1" outlineLevelCol="1" x14ac:dyDescent="0.2"/>
  <cols>
    <col min="1" max="1" width="5.7109375" style="1" hidden="1" customWidth="1"/>
    <col min="2" max="2" width="30.7109375" style="1" customWidth="1"/>
    <col min="3" max="4" width="14.7109375" style="1" customWidth="1"/>
    <col min="5" max="9" width="14.7109375" style="1" customWidth="1" outlineLevel="1"/>
    <col min="10" max="10" width="9.7109375" style="1" customWidth="1"/>
    <col min="11" max="11" width="7.42578125" style="1" customWidth="1"/>
    <col min="12" max="12" width="9.140625" style="1" customWidth="1"/>
    <col min="13" max="13" width="8.140625" style="1" hidden="1" customWidth="1"/>
    <col min="14" max="16384" width="9.140625" style="1"/>
  </cols>
  <sheetData>
    <row r="1" spans="2:13" ht="20.100000000000001" customHeight="1" x14ac:dyDescent="0.2">
      <c r="B1" s="117" t="str">
        <f>CONCATENATE("Informacja z wykonania budżetów powiatów za ",$D$104," ",$C$105," rok     ",$C$107,"")</f>
        <v xml:space="preserve">Informacja z wykonania budżetów powiatów za IV Kwartały 2024 rok     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2:13" ht="57.75" customHeight="1" x14ac:dyDescent="0.2">
      <c r="B2" s="130" t="s">
        <v>0</v>
      </c>
      <c r="C2" s="14" t="s">
        <v>26</v>
      </c>
      <c r="D2" s="14" t="s">
        <v>27</v>
      </c>
      <c r="E2" s="14" t="s">
        <v>86</v>
      </c>
      <c r="F2" s="14" t="s">
        <v>87</v>
      </c>
      <c r="G2" s="14" t="s">
        <v>88</v>
      </c>
      <c r="H2" s="14" t="s">
        <v>89</v>
      </c>
      <c r="I2" s="14" t="s">
        <v>90</v>
      </c>
      <c r="J2" s="16" t="s">
        <v>2</v>
      </c>
      <c r="K2" s="14" t="s">
        <v>18</v>
      </c>
      <c r="L2" s="14" t="s">
        <v>3</v>
      </c>
    </row>
    <row r="3" spans="2:13" x14ac:dyDescent="0.2">
      <c r="B3" s="130"/>
      <c r="C3" s="135" t="s">
        <v>59</v>
      </c>
      <c r="D3" s="137"/>
      <c r="E3" s="139" t="s">
        <v>85</v>
      </c>
      <c r="F3" s="140"/>
      <c r="G3" s="140"/>
      <c r="H3" s="140"/>
      <c r="I3" s="141"/>
      <c r="J3" s="135" t="s">
        <v>4</v>
      </c>
      <c r="K3" s="136"/>
      <c r="L3" s="137"/>
    </row>
    <row r="4" spans="2:13" ht="9" customHeight="1" x14ac:dyDescent="0.2">
      <c r="B4" s="16">
        <v>1</v>
      </c>
      <c r="C4" s="18">
        <v>2</v>
      </c>
      <c r="D4" s="18">
        <v>3</v>
      </c>
      <c r="E4" s="142"/>
      <c r="F4" s="143"/>
      <c r="G4" s="143"/>
      <c r="H4" s="143"/>
      <c r="I4" s="144"/>
      <c r="J4" s="18">
        <v>4</v>
      </c>
      <c r="K4" s="18">
        <v>5</v>
      </c>
      <c r="L4" s="18">
        <v>6</v>
      </c>
    </row>
    <row r="5" spans="2:13" ht="12.95" customHeight="1" x14ac:dyDescent="0.2">
      <c r="B5" s="106" t="s">
        <v>5</v>
      </c>
      <c r="C5" s="54">
        <f>55830852917.2</f>
        <v>55830852917.199997</v>
      </c>
      <c r="D5" s="54">
        <f>55596895875.21</f>
        <v>55596895875.209999</v>
      </c>
      <c r="E5" s="97" t="s">
        <v>85</v>
      </c>
      <c r="F5" s="97" t="s">
        <v>85</v>
      </c>
      <c r="G5" s="97" t="s">
        <v>85</v>
      </c>
      <c r="H5" s="97" t="s">
        <v>85</v>
      </c>
      <c r="I5" s="97" t="s">
        <v>85</v>
      </c>
      <c r="J5" s="55">
        <f t="shared" ref="J5:J40" si="0">IF($D$5=0,"",100*$D5/$D$5)</f>
        <v>100</v>
      </c>
      <c r="K5" s="55">
        <f t="shared" ref="K5:K43" si="1">IF(C5=0,"",100*D5/C5)</f>
        <v>99.580953845829711</v>
      </c>
      <c r="L5" s="55"/>
    </row>
    <row r="6" spans="2:13" ht="26.85" customHeight="1" x14ac:dyDescent="0.2">
      <c r="B6" s="107" t="s">
        <v>41</v>
      </c>
      <c r="C6" s="30">
        <f>C5-C11-C35</f>
        <v>18461412835.759998</v>
      </c>
      <c r="D6" s="30">
        <f>D5-D11-D35</f>
        <v>18898771009.550003</v>
      </c>
      <c r="E6" s="97" t="s">
        <v>85</v>
      </c>
      <c r="F6" s="97" t="s">
        <v>85</v>
      </c>
      <c r="G6" s="97" t="s">
        <v>85</v>
      </c>
      <c r="H6" s="97" t="s">
        <v>85</v>
      </c>
      <c r="I6" s="97" t="s">
        <v>85</v>
      </c>
      <c r="J6" s="31">
        <f t="shared" si="0"/>
        <v>33.992493127618552</v>
      </c>
      <c r="K6" s="31">
        <f t="shared" si="1"/>
        <v>102.36903956203631</v>
      </c>
      <c r="L6" s="31">
        <f>IF($D$6=0,"",100*$D6/$D$6)</f>
        <v>100</v>
      </c>
    </row>
    <row r="7" spans="2:13" ht="22.5" outlineLevel="1" x14ac:dyDescent="0.2">
      <c r="B7" s="109" t="s">
        <v>25</v>
      </c>
      <c r="C7" s="32">
        <f>596375302</f>
        <v>596375302</v>
      </c>
      <c r="D7" s="32">
        <f>597023640</f>
        <v>597023640</v>
      </c>
      <c r="E7" s="97" t="s">
        <v>85</v>
      </c>
      <c r="F7" s="97" t="s">
        <v>85</v>
      </c>
      <c r="G7" s="97" t="s">
        <v>85</v>
      </c>
      <c r="H7" s="97" t="s">
        <v>85</v>
      </c>
      <c r="I7" s="97" t="s">
        <v>85</v>
      </c>
      <c r="J7" s="33">
        <f t="shared" si="0"/>
        <v>1.0738434774129284</v>
      </c>
      <c r="K7" s="33">
        <f t="shared" si="1"/>
        <v>100.10871308684744</v>
      </c>
      <c r="L7" s="33">
        <f>IF($D$6=0,"",100*$D7/$D$6)</f>
        <v>3.159060659014862</v>
      </c>
    </row>
    <row r="8" spans="2:13" ht="22.5" outlineLevel="1" x14ac:dyDescent="0.2">
      <c r="B8" s="109" t="s">
        <v>19</v>
      </c>
      <c r="C8" s="32">
        <f>8779840193.51</f>
        <v>8779840193.5100002</v>
      </c>
      <c r="D8" s="32">
        <f>8920467891</f>
        <v>8920467891</v>
      </c>
      <c r="E8" s="97" t="s">
        <v>85</v>
      </c>
      <c r="F8" s="97" t="s">
        <v>85</v>
      </c>
      <c r="G8" s="97" t="s">
        <v>85</v>
      </c>
      <c r="H8" s="97" t="s">
        <v>85</v>
      </c>
      <c r="I8" s="97" t="s">
        <v>85</v>
      </c>
      <c r="J8" s="33">
        <f t="shared" si="0"/>
        <v>16.044902778425676</v>
      </c>
      <c r="K8" s="33">
        <f t="shared" si="1"/>
        <v>101.6017113568189</v>
      </c>
      <c r="L8" s="33">
        <f>IF($D$6=0,"",100*$D8/$D$6)</f>
        <v>47.20131211967314</v>
      </c>
    </row>
    <row r="9" spans="2:13" ht="12.95" customHeight="1" outlineLevel="1" x14ac:dyDescent="0.2">
      <c r="B9" s="109" t="s">
        <v>20</v>
      </c>
      <c r="C9" s="32">
        <f>392785945.54</f>
        <v>392785945.54000002</v>
      </c>
      <c r="D9" s="56">
        <f>358725409.04</f>
        <v>358725409.04000002</v>
      </c>
      <c r="E9" s="97" t="s">
        <v>85</v>
      </c>
      <c r="F9" s="97" t="s">
        <v>85</v>
      </c>
      <c r="G9" s="97" t="s">
        <v>85</v>
      </c>
      <c r="H9" s="97" t="s">
        <v>85</v>
      </c>
      <c r="I9" s="97" t="s">
        <v>85</v>
      </c>
      <c r="J9" s="33">
        <f t="shared" si="0"/>
        <v>0.64522560728062417</v>
      </c>
      <c r="K9" s="33">
        <f t="shared" si="1"/>
        <v>91.328473717873536</v>
      </c>
      <c r="L9" s="33">
        <f>IF($D$6=0,"",100*$D9/$D$6)</f>
        <v>1.8981414657002162</v>
      </c>
    </row>
    <row r="10" spans="2:13" ht="12.95" customHeight="1" outlineLevel="1" x14ac:dyDescent="0.2">
      <c r="B10" s="109" t="s">
        <v>21</v>
      </c>
      <c r="C10" s="32">
        <f>C6-C8-C7-C9</f>
        <v>8692411394.7099972</v>
      </c>
      <c r="D10" s="32">
        <f>D6-D8-D7-D9</f>
        <v>9022554069.5100021</v>
      </c>
      <c r="E10" s="97" t="s">
        <v>85</v>
      </c>
      <c r="F10" s="97" t="s">
        <v>85</v>
      </c>
      <c r="G10" s="97" t="s">
        <v>85</v>
      </c>
      <c r="H10" s="97" t="s">
        <v>85</v>
      </c>
      <c r="I10" s="97" t="s">
        <v>85</v>
      </c>
      <c r="J10" s="33">
        <f t="shared" si="0"/>
        <v>16.228521264499324</v>
      </c>
      <c r="K10" s="33">
        <f t="shared" si="1"/>
        <v>103.79805625629871</v>
      </c>
      <c r="L10" s="33">
        <f>IF($D$6=0,"",100*$D10/$D$6)</f>
        <v>47.741485755611777</v>
      </c>
    </row>
    <row r="11" spans="2:13" ht="26.85" customHeight="1" x14ac:dyDescent="0.2">
      <c r="B11" s="108" t="s">
        <v>91</v>
      </c>
      <c r="C11" s="54">
        <f>C12+C31+C33</f>
        <v>13813808172.429998</v>
      </c>
      <c r="D11" s="54">
        <f>D12+D31+D33</f>
        <v>12990090082.659998</v>
      </c>
      <c r="E11" s="97" t="s">
        <v>85</v>
      </c>
      <c r="F11" s="97" t="s">
        <v>85</v>
      </c>
      <c r="G11" s="97" t="s">
        <v>85</v>
      </c>
      <c r="H11" s="97" t="s">
        <v>85</v>
      </c>
      <c r="I11" s="97" t="s">
        <v>85</v>
      </c>
      <c r="J11" s="55">
        <f t="shared" si="0"/>
        <v>23.364775817370994</v>
      </c>
      <c r="K11" s="55">
        <f t="shared" si="1"/>
        <v>94.036994871450432</v>
      </c>
      <c r="L11" s="57"/>
    </row>
    <row r="12" spans="2:13" ht="26.85" customHeight="1" outlineLevel="1" x14ac:dyDescent="0.2">
      <c r="B12" s="110" t="s">
        <v>42</v>
      </c>
      <c r="C12" s="54">
        <f>C13+C15+C17+C19+C21+C23+C25+C27+C29</f>
        <v>12365925488.389999</v>
      </c>
      <c r="D12" s="54">
        <f>D13+D15+D17+D19+D21+D23+D25+D27+D29</f>
        <v>11679962747.799999</v>
      </c>
      <c r="E12" s="97" t="s">
        <v>85</v>
      </c>
      <c r="F12" s="97" t="s">
        <v>85</v>
      </c>
      <c r="G12" s="97" t="s">
        <v>85</v>
      </c>
      <c r="H12" s="97" t="s">
        <v>85</v>
      </c>
      <c r="I12" s="97" t="s">
        <v>85</v>
      </c>
      <c r="J12" s="55">
        <f t="shared" si="0"/>
        <v>21.008300128870967</v>
      </c>
      <c r="K12" s="55">
        <f t="shared" si="1"/>
        <v>94.452799014242572</v>
      </c>
      <c r="L12" s="36"/>
    </row>
    <row r="13" spans="2:13" ht="22.5" outlineLevel="1" x14ac:dyDescent="0.2">
      <c r="B13" s="111" t="s">
        <v>9</v>
      </c>
      <c r="C13" s="32">
        <f>3993098894.13</f>
        <v>3993098894.1300001</v>
      </c>
      <c r="D13" s="32">
        <f>3969284517.5</f>
        <v>3969284517.5</v>
      </c>
      <c r="E13" s="97" t="s">
        <v>85</v>
      </c>
      <c r="F13" s="97" t="s">
        <v>85</v>
      </c>
      <c r="G13" s="97" t="s">
        <v>85</v>
      </c>
      <c r="H13" s="97" t="s">
        <v>85</v>
      </c>
      <c r="I13" s="97" t="s">
        <v>85</v>
      </c>
      <c r="J13" s="33">
        <f t="shared" si="0"/>
        <v>7.1393995204503087</v>
      </c>
      <c r="K13" s="33">
        <f t="shared" si="1"/>
        <v>99.403611649463329</v>
      </c>
      <c r="L13" s="36"/>
    </row>
    <row r="14" spans="2:13" ht="12.95" customHeight="1" outlineLevel="1" x14ac:dyDescent="0.2">
      <c r="B14" s="114" t="s">
        <v>6</v>
      </c>
      <c r="C14" s="32">
        <f>171236266.6</f>
        <v>171236266.59999999</v>
      </c>
      <c r="D14" s="32">
        <f>170770875.72</f>
        <v>170770875.72</v>
      </c>
      <c r="E14" s="97" t="s">
        <v>85</v>
      </c>
      <c r="F14" s="97" t="s">
        <v>85</v>
      </c>
      <c r="G14" s="97" t="s">
        <v>85</v>
      </c>
      <c r="H14" s="97" t="s">
        <v>85</v>
      </c>
      <c r="I14" s="97" t="s">
        <v>85</v>
      </c>
      <c r="J14" s="33">
        <f t="shared" si="0"/>
        <v>0.30715901136513762</v>
      </c>
      <c r="K14" s="33">
        <f t="shared" si="1"/>
        <v>99.72821710655073</v>
      </c>
      <c r="L14" s="36"/>
    </row>
    <row r="15" spans="2:13" ht="12.95" customHeight="1" outlineLevel="1" x14ac:dyDescent="0.2">
      <c r="B15" s="111" t="s">
        <v>7</v>
      </c>
      <c r="C15" s="32">
        <f>1355432298.03</f>
        <v>1355432298.03</v>
      </c>
      <c r="D15" s="32">
        <f>1290368913.9</f>
        <v>1290368913.9000001</v>
      </c>
      <c r="E15" s="97" t="s">
        <v>85</v>
      </c>
      <c r="F15" s="97" t="s">
        <v>85</v>
      </c>
      <c r="G15" s="97" t="s">
        <v>85</v>
      </c>
      <c r="H15" s="97" t="s">
        <v>85</v>
      </c>
      <c r="I15" s="97" t="s">
        <v>85</v>
      </c>
      <c r="J15" s="33">
        <f t="shared" si="0"/>
        <v>2.3209369760432264</v>
      </c>
      <c r="K15" s="33">
        <f t="shared" si="1"/>
        <v>95.199805683798175</v>
      </c>
      <c r="L15" s="36"/>
    </row>
    <row r="16" spans="2:13" ht="12.95" customHeight="1" outlineLevel="1" x14ac:dyDescent="0.2">
      <c r="B16" s="114" t="s">
        <v>6</v>
      </c>
      <c r="C16" s="32">
        <f>198023341.56</f>
        <v>198023341.56</v>
      </c>
      <c r="D16" s="32">
        <f>168094203.34</f>
        <v>168094203.34</v>
      </c>
      <c r="E16" s="97" t="s">
        <v>85</v>
      </c>
      <c r="F16" s="97" t="s">
        <v>85</v>
      </c>
      <c r="G16" s="97" t="s">
        <v>85</v>
      </c>
      <c r="H16" s="97" t="s">
        <v>85</v>
      </c>
      <c r="I16" s="97" t="s">
        <v>85</v>
      </c>
      <c r="J16" s="33">
        <f t="shared" si="0"/>
        <v>0.30234458362081185</v>
      </c>
      <c r="K16" s="33">
        <f t="shared" si="1"/>
        <v>84.886055358816563</v>
      </c>
      <c r="L16" s="36"/>
    </row>
    <row r="17" spans="2:12" ht="33.75" outlineLevel="1" x14ac:dyDescent="0.2">
      <c r="B17" s="111" t="s">
        <v>10</v>
      </c>
      <c r="C17" s="32">
        <f>118552396.77</f>
        <v>118552396.77</v>
      </c>
      <c r="D17" s="32">
        <f>104375844.14</f>
        <v>104375844.14</v>
      </c>
      <c r="E17" s="97" t="s">
        <v>85</v>
      </c>
      <c r="F17" s="97" t="s">
        <v>85</v>
      </c>
      <c r="G17" s="97" t="s">
        <v>85</v>
      </c>
      <c r="H17" s="97" t="s">
        <v>85</v>
      </c>
      <c r="I17" s="97" t="s">
        <v>85</v>
      </c>
      <c r="J17" s="33">
        <f t="shared" si="0"/>
        <v>0.18773681964956601</v>
      </c>
      <c r="K17" s="33">
        <f t="shared" si="1"/>
        <v>88.041951899544046</v>
      </c>
      <c r="L17" s="36"/>
    </row>
    <row r="18" spans="2:12" ht="12.95" customHeight="1" outlineLevel="1" x14ac:dyDescent="0.2">
      <c r="B18" s="114" t="s">
        <v>6</v>
      </c>
      <c r="C18" s="32">
        <f>4111111.97</f>
        <v>4111111.97</v>
      </c>
      <c r="D18" s="32">
        <f>3694787.47</f>
        <v>3694787.47</v>
      </c>
      <c r="E18" s="97" t="s">
        <v>85</v>
      </c>
      <c r="F18" s="97" t="s">
        <v>85</v>
      </c>
      <c r="G18" s="97" t="s">
        <v>85</v>
      </c>
      <c r="H18" s="97" t="s">
        <v>85</v>
      </c>
      <c r="I18" s="97" t="s">
        <v>85</v>
      </c>
      <c r="J18" s="33">
        <f t="shared" si="0"/>
        <v>6.6456722301423705E-3</v>
      </c>
      <c r="K18" s="33">
        <f t="shared" si="1"/>
        <v>89.87318995352004</v>
      </c>
      <c r="L18" s="36"/>
    </row>
    <row r="19" spans="2:12" ht="25.5" customHeight="1" outlineLevel="1" x14ac:dyDescent="0.2">
      <c r="B19" s="111" t="s">
        <v>11</v>
      </c>
      <c r="C19" s="32">
        <f>510262739.08</f>
        <v>510262739.07999998</v>
      </c>
      <c r="D19" s="32">
        <f>499784328.45</f>
        <v>499784328.44999999</v>
      </c>
      <c r="E19" s="97" t="s">
        <v>85</v>
      </c>
      <c r="F19" s="97" t="s">
        <v>85</v>
      </c>
      <c r="G19" s="97" t="s">
        <v>85</v>
      </c>
      <c r="H19" s="97" t="s">
        <v>85</v>
      </c>
      <c r="I19" s="97" t="s">
        <v>85</v>
      </c>
      <c r="J19" s="33">
        <f t="shared" si="0"/>
        <v>0.89894286467321993</v>
      </c>
      <c r="K19" s="33">
        <f t="shared" si="1"/>
        <v>97.946467608257564</v>
      </c>
      <c r="L19" s="36"/>
    </row>
    <row r="20" spans="2:12" ht="12.95" customHeight="1" outlineLevel="1" x14ac:dyDescent="0.2">
      <c r="B20" s="114" t="s">
        <v>6</v>
      </c>
      <c r="C20" s="32">
        <f>80676409.35</f>
        <v>80676409.349999994</v>
      </c>
      <c r="D20" s="32">
        <f>77574175.07</f>
        <v>77574175.069999993</v>
      </c>
      <c r="E20" s="97" t="s">
        <v>85</v>
      </c>
      <c r="F20" s="97" t="s">
        <v>85</v>
      </c>
      <c r="G20" s="97" t="s">
        <v>85</v>
      </c>
      <c r="H20" s="97" t="s">
        <v>85</v>
      </c>
      <c r="I20" s="97" t="s">
        <v>85</v>
      </c>
      <c r="J20" s="33">
        <f t="shared" si="0"/>
        <v>0.13952968749212022</v>
      </c>
      <c r="K20" s="33">
        <f t="shared" si="1"/>
        <v>96.154719446497026</v>
      </c>
      <c r="L20" s="36"/>
    </row>
    <row r="21" spans="2:12" ht="35.25" customHeight="1" outlineLevel="1" x14ac:dyDescent="0.2">
      <c r="B21" s="111" t="s">
        <v>60</v>
      </c>
      <c r="C21" s="32">
        <f>963657812.88</f>
        <v>963657812.88</v>
      </c>
      <c r="D21" s="32">
        <f>885971170.48</f>
        <v>885971170.48000002</v>
      </c>
      <c r="E21" s="97" t="s">
        <v>85</v>
      </c>
      <c r="F21" s="97" t="s">
        <v>85</v>
      </c>
      <c r="G21" s="97" t="s">
        <v>85</v>
      </c>
      <c r="H21" s="97" t="s">
        <v>85</v>
      </c>
      <c r="I21" s="97" t="s">
        <v>85</v>
      </c>
      <c r="J21" s="33">
        <f t="shared" si="0"/>
        <v>1.5935622961192049</v>
      </c>
      <c r="K21" s="33">
        <f t="shared" si="1"/>
        <v>91.938358060126689</v>
      </c>
      <c r="L21" s="36"/>
    </row>
    <row r="22" spans="2:12" ht="12.95" customHeight="1" outlineLevel="1" x14ac:dyDescent="0.2">
      <c r="B22" s="114" t="s">
        <v>6</v>
      </c>
      <c r="C22" s="32">
        <f>743901635.39</f>
        <v>743901635.38999999</v>
      </c>
      <c r="D22" s="32">
        <f>678556947.77</f>
        <v>678556947.76999998</v>
      </c>
      <c r="E22" s="97" t="s">
        <v>85</v>
      </c>
      <c r="F22" s="97" t="s">
        <v>85</v>
      </c>
      <c r="G22" s="97" t="s">
        <v>85</v>
      </c>
      <c r="H22" s="97" t="s">
        <v>85</v>
      </c>
      <c r="I22" s="97" t="s">
        <v>85</v>
      </c>
      <c r="J22" s="33">
        <f t="shared" si="0"/>
        <v>1.2204943047415</v>
      </c>
      <c r="K22" s="33">
        <f t="shared" si="1"/>
        <v>91.21595053548414</v>
      </c>
      <c r="L22" s="36"/>
    </row>
    <row r="23" spans="2:12" ht="12.95" customHeight="1" outlineLevel="1" x14ac:dyDescent="0.2">
      <c r="B23" s="111" t="s">
        <v>8</v>
      </c>
      <c r="C23" s="32">
        <f>107995712.49</f>
        <v>107995712.48999999</v>
      </c>
      <c r="D23" s="32">
        <f>104325931.63</f>
        <v>104325931.63</v>
      </c>
      <c r="E23" s="97" t="s">
        <v>85</v>
      </c>
      <c r="F23" s="97" t="s">
        <v>85</v>
      </c>
      <c r="G23" s="97" t="s">
        <v>85</v>
      </c>
      <c r="H23" s="97" t="s">
        <v>85</v>
      </c>
      <c r="I23" s="97" t="s">
        <v>85</v>
      </c>
      <c r="J23" s="33">
        <f t="shared" si="0"/>
        <v>0.18764704393598655</v>
      </c>
      <c r="K23" s="33">
        <f t="shared" si="1"/>
        <v>96.601919858309373</v>
      </c>
      <c r="L23" s="36"/>
    </row>
    <row r="24" spans="2:12" ht="12.95" customHeight="1" outlineLevel="1" x14ac:dyDescent="0.2">
      <c r="B24" s="114" t="s">
        <v>6</v>
      </c>
      <c r="C24" s="32">
        <f>76822169.28</f>
        <v>76822169.280000001</v>
      </c>
      <c r="D24" s="32">
        <f>70933595.94</f>
        <v>70933595.939999998</v>
      </c>
      <c r="E24" s="97" t="s">
        <v>85</v>
      </c>
      <c r="F24" s="97" t="s">
        <v>85</v>
      </c>
      <c r="G24" s="97" t="s">
        <v>85</v>
      </c>
      <c r="H24" s="97" t="s">
        <v>85</v>
      </c>
      <c r="I24" s="97" t="s">
        <v>85</v>
      </c>
      <c r="J24" s="33">
        <f t="shared" si="0"/>
        <v>0.12758553301107672</v>
      </c>
      <c r="K24" s="33">
        <f t="shared" si="1"/>
        <v>92.334799452827951</v>
      </c>
      <c r="L24" s="36"/>
    </row>
    <row r="25" spans="2:12" ht="67.5" outlineLevel="1" x14ac:dyDescent="0.2">
      <c r="B25" s="111" t="s">
        <v>76</v>
      </c>
      <c r="C25" s="32">
        <f>794919.19</f>
        <v>794919.19</v>
      </c>
      <c r="D25" s="32">
        <f>819919.19</f>
        <v>819919.19</v>
      </c>
      <c r="E25" s="97" t="s">
        <v>85</v>
      </c>
      <c r="F25" s="97" t="s">
        <v>85</v>
      </c>
      <c r="G25" s="97" t="s">
        <v>85</v>
      </c>
      <c r="H25" s="97" t="s">
        <v>85</v>
      </c>
      <c r="I25" s="97" t="s">
        <v>85</v>
      </c>
      <c r="J25" s="33">
        <f t="shared" si="0"/>
        <v>1.4747571372336137E-3</v>
      </c>
      <c r="K25" s="33">
        <f t="shared" si="1"/>
        <v>103.14497376771091</v>
      </c>
      <c r="L25" s="36"/>
    </row>
    <row r="26" spans="2:12" ht="12.95" customHeight="1" outlineLevel="1" x14ac:dyDescent="0.2">
      <c r="B26" s="114" t="s">
        <v>77</v>
      </c>
      <c r="C26" s="32">
        <f>704000</f>
        <v>704000</v>
      </c>
      <c r="D26" s="32">
        <f>704000</f>
        <v>704000</v>
      </c>
      <c r="E26" s="97" t="s">
        <v>85</v>
      </c>
      <c r="F26" s="97" t="s">
        <v>85</v>
      </c>
      <c r="G26" s="97" t="s">
        <v>85</v>
      </c>
      <c r="H26" s="97" t="s">
        <v>85</v>
      </c>
      <c r="I26" s="97" t="s">
        <v>85</v>
      </c>
      <c r="J26" s="33">
        <f t="shared" si="0"/>
        <v>1.2662577450010214E-3</v>
      </c>
      <c r="K26" s="33">
        <f t="shared" si="1"/>
        <v>100</v>
      </c>
      <c r="L26" s="36"/>
    </row>
    <row r="27" spans="2:12" ht="45" outlineLevel="1" x14ac:dyDescent="0.2">
      <c r="B27" s="112" t="s">
        <v>75</v>
      </c>
      <c r="C27" s="69">
        <f>4568947547.52</f>
        <v>4568947547.5200005</v>
      </c>
      <c r="D27" s="69">
        <f>4116582245.58</f>
        <v>4116582245.5799999</v>
      </c>
      <c r="E27" s="97" t="s">
        <v>85</v>
      </c>
      <c r="F27" s="97" t="s">
        <v>85</v>
      </c>
      <c r="G27" s="97" t="s">
        <v>85</v>
      </c>
      <c r="H27" s="97" t="s">
        <v>85</v>
      </c>
      <c r="I27" s="97" t="s">
        <v>85</v>
      </c>
      <c r="J27" s="70">
        <f t="shared" si="0"/>
        <v>7.4043382832377436</v>
      </c>
      <c r="K27" s="70">
        <f t="shared" si="1"/>
        <v>90.099135583520933</v>
      </c>
      <c r="L27" s="36"/>
    </row>
    <row r="28" spans="2:12" ht="12.95" customHeight="1" outlineLevel="1" x14ac:dyDescent="0.2">
      <c r="B28" s="114" t="s">
        <v>6</v>
      </c>
      <c r="C28" s="32">
        <f>4520248454.79</f>
        <v>4520248454.79</v>
      </c>
      <c r="D28" s="32">
        <f>4069109619.88</f>
        <v>4069109619.8800001</v>
      </c>
      <c r="E28" s="97" t="s">
        <v>85</v>
      </c>
      <c r="F28" s="97" t="s">
        <v>85</v>
      </c>
      <c r="G28" s="97" t="s">
        <v>85</v>
      </c>
      <c r="H28" s="97" t="s">
        <v>85</v>
      </c>
      <c r="I28" s="97" t="s">
        <v>85</v>
      </c>
      <c r="J28" s="33">
        <f t="shared" si="0"/>
        <v>7.318951095782972</v>
      </c>
      <c r="K28" s="33">
        <f t="shared" si="1"/>
        <v>90.019600926317693</v>
      </c>
      <c r="L28" s="36"/>
    </row>
    <row r="29" spans="2:12" ht="22.5" outlineLevel="1" x14ac:dyDescent="0.2">
      <c r="B29" s="112" t="s">
        <v>94</v>
      </c>
      <c r="C29" s="32">
        <f>747183168.3</f>
        <v>747183168.29999995</v>
      </c>
      <c r="D29" s="32">
        <f>708449876.93</f>
        <v>708449876.92999995</v>
      </c>
      <c r="E29" s="97" t="s">
        <v>85</v>
      </c>
      <c r="F29" s="97" t="s">
        <v>85</v>
      </c>
      <c r="G29" s="97" t="s">
        <v>85</v>
      </c>
      <c r="H29" s="97" t="s">
        <v>85</v>
      </c>
      <c r="I29" s="97" t="s">
        <v>85</v>
      </c>
      <c r="J29" s="33">
        <f t="shared" si="0"/>
        <v>1.2742615676244786</v>
      </c>
      <c r="K29" s="33">
        <f t="shared" si="1"/>
        <v>94.816091553811845</v>
      </c>
      <c r="L29" s="36"/>
    </row>
    <row r="30" spans="2:12" ht="12.95" customHeight="1" outlineLevel="1" x14ac:dyDescent="0.2">
      <c r="B30" s="114" t="s">
        <v>6</v>
      </c>
      <c r="C30" s="32">
        <f>0</f>
        <v>0</v>
      </c>
      <c r="D30" s="32">
        <f>0</f>
        <v>0</v>
      </c>
      <c r="E30" s="97" t="s">
        <v>85</v>
      </c>
      <c r="F30" s="97" t="s">
        <v>85</v>
      </c>
      <c r="G30" s="97" t="s">
        <v>85</v>
      </c>
      <c r="H30" s="97" t="s">
        <v>85</v>
      </c>
      <c r="I30" s="97" t="s">
        <v>85</v>
      </c>
      <c r="J30" s="33">
        <f t="shared" si="0"/>
        <v>0</v>
      </c>
      <c r="K30" s="33" t="str">
        <f t="shared" si="1"/>
        <v/>
      </c>
      <c r="L30" s="36"/>
    </row>
    <row r="31" spans="2:12" ht="12.95" customHeight="1" outlineLevel="1" x14ac:dyDescent="0.2">
      <c r="B31" s="113" t="s">
        <v>67</v>
      </c>
      <c r="C31" s="30">
        <f>122501402.32</f>
        <v>122501402.31999999</v>
      </c>
      <c r="D31" s="30">
        <f>109814598.8</f>
        <v>109814598.8</v>
      </c>
      <c r="E31" s="97" t="s">
        <v>85</v>
      </c>
      <c r="F31" s="97" t="s">
        <v>85</v>
      </c>
      <c r="G31" s="97" t="s">
        <v>85</v>
      </c>
      <c r="H31" s="97" t="s">
        <v>85</v>
      </c>
      <c r="I31" s="97" t="s">
        <v>85</v>
      </c>
      <c r="J31" s="34">
        <f t="shared" si="0"/>
        <v>0.19751929864301118</v>
      </c>
      <c r="K31" s="34">
        <f t="shared" si="1"/>
        <v>89.643544253592026</v>
      </c>
      <c r="L31" s="21"/>
    </row>
    <row r="32" spans="2:12" ht="12.95" customHeight="1" outlineLevel="1" x14ac:dyDescent="0.2">
      <c r="B32" s="115" t="s">
        <v>53</v>
      </c>
      <c r="C32" s="35">
        <f>50789200.96</f>
        <v>50789200.960000001</v>
      </c>
      <c r="D32" s="35">
        <f>39364123.31</f>
        <v>39364123.310000002</v>
      </c>
      <c r="E32" s="97" t="s">
        <v>85</v>
      </c>
      <c r="F32" s="97" t="s">
        <v>85</v>
      </c>
      <c r="G32" s="97" t="s">
        <v>85</v>
      </c>
      <c r="H32" s="97" t="s">
        <v>85</v>
      </c>
      <c r="I32" s="97" t="s">
        <v>85</v>
      </c>
      <c r="J32" s="33">
        <f t="shared" si="0"/>
        <v>7.0802735818839127E-2</v>
      </c>
      <c r="K32" s="33">
        <f t="shared" si="1"/>
        <v>77.504907669254266</v>
      </c>
      <c r="L32" s="21"/>
    </row>
    <row r="33" spans="1:26" ht="12.95" customHeight="1" outlineLevel="1" x14ac:dyDescent="0.2">
      <c r="B33" s="113" t="s">
        <v>68</v>
      </c>
      <c r="C33" s="58">
        <f>1325381281.72</f>
        <v>1325381281.72</v>
      </c>
      <c r="D33" s="58">
        <f>1200312736.06</f>
        <v>1200312736.0599999</v>
      </c>
      <c r="E33" s="97" t="s">
        <v>85</v>
      </c>
      <c r="F33" s="97" t="s">
        <v>85</v>
      </c>
      <c r="G33" s="97" t="s">
        <v>85</v>
      </c>
      <c r="H33" s="97" t="s">
        <v>85</v>
      </c>
      <c r="I33" s="97" t="s">
        <v>85</v>
      </c>
      <c r="J33" s="59">
        <f t="shared" si="0"/>
        <v>2.1589563898570194</v>
      </c>
      <c r="K33" s="59">
        <f t="shared" si="1"/>
        <v>90.563579900744216</v>
      </c>
      <c r="L33" s="21"/>
    </row>
    <row r="34" spans="1:26" ht="12.95" customHeight="1" outlineLevel="1" x14ac:dyDescent="0.2">
      <c r="B34" s="115" t="s">
        <v>65</v>
      </c>
      <c r="C34" s="35">
        <f>869098513.01</f>
        <v>869098513.00999999</v>
      </c>
      <c r="D34" s="35">
        <f>736736118.34</f>
        <v>736736118.34000003</v>
      </c>
      <c r="E34" s="97" t="s">
        <v>85</v>
      </c>
      <c r="F34" s="97" t="s">
        <v>85</v>
      </c>
      <c r="G34" s="97" t="s">
        <v>85</v>
      </c>
      <c r="H34" s="97" t="s">
        <v>85</v>
      </c>
      <c r="I34" s="97" t="s">
        <v>85</v>
      </c>
      <c r="J34" s="33">
        <f t="shared" si="0"/>
        <v>1.3251389429971789</v>
      </c>
      <c r="K34" s="33">
        <f t="shared" si="1"/>
        <v>84.770150599892119</v>
      </c>
      <c r="L34" s="21"/>
    </row>
    <row r="35" spans="1:26" s="5" customFormat="1" ht="26.85" customHeight="1" x14ac:dyDescent="0.2">
      <c r="B35" s="107" t="s">
        <v>43</v>
      </c>
      <c r="C35" s="30">
        <f>C36+C37+C38+C39+C40</f>
        <v>23555631909.009998</v>
      </c>
      <c r="D35" s="30">
        <f>D36+D37+D38+D39+D40</f>
        <v>23708034783</v>
      </c>
      <c r="E35" s="97" t="s">
        <v>85</v>
      </c>
      <c r="F35" s="97" t="s">
        <v>85</v>
      </c>
      <c r="G35" s="97" t="s">
        <v>85</v>
      </c>
      <c r="H35" s="97" t="s">
        <v>85</v>
      </c>
      <c r="I35" s="97" t="s">
        <v>85</v>
      </c>
      <c r="J35" s="31">
        <f t="shared" si="0"/>
        <v>42.642731055010451</v>
      </c>
      <c r="K35" s="31">
        <f t="shared" si="1"/>
        <v>100.64699123580594</v>
      </c>
      <c r="L35" s="22"/>
    </row>
    <row r="36" spans="1:26" ht="12.95" customHeight="1" outlineLevel="1" x14ac:dyDescent="0.2">
      <c r="B36" s="109" t="s">
        <v>30</v>
      </c>
      <c r="C36" s="32">
        <f>17165597272</f>
        <v>17165597272</v>
      </c>
      <c r="D36" s="32">
        <f>17187094339</f>
        <v>17187094339</v>
      </c>
      <c r="E36" s="97" t="s">
        <v>85</v>
      </c>
      <c r="F36" s="97" t="s">
        <v>85</v>
      </c>
      <c r="G36" s="97" t="s">
        <v>85</v>
      </c>
      <c r="H36" s="97" t="s">
        <v>85</v>
      </c>
      <c r="I36" s="97" t="s">
        <v>85</v>
      </c>
      <c r="J36" s="33">
        <f t="shared" si="0"/>
        <v>30.91376608071301</v>
      </c>
      <c r="K36" s="33">
        <f t="shared" si="1"/>
        <v>100.12523343440583</v>
      </c>
      <c r="L36" s="21"/>
    </row>
    <row r="37" spans="1:26" ht="12.95" customHeight="1" outlineLevel="1" x14ac:dyDescent="0.2">
      <c r="B37" s="109" t="s">
        <v>29</v>
      </c>
      <c r="C37" s="32">
        <f>1132570835</f>
        <v>1132570835</v>
      </c>
      <c r="D37" s="32">
        <f>1132570835</f>
        <v>1132570835</v>
      </c>
      <c r="E37" s="97" t="s">
        <v>85</v>
      </c>
      <c r="F37" s="97" t="s">
        <v>85</v>
      </c>
      <c r="G37" s="97" t="s">
        <v>85</v>
      </c>
      <c r="H37" s="97" t="s">
        <v>85</v>
      </c>
      <c r="I37" s="97" t="s">
        <v>85</v>
      </c>
      <c r="J37" s="33">
        <f t="shared" si="0"/>
        <v>2.0371116357685</v>
      </c>
      <c r="K37" s="33">
        <f t="shared" si="1"/>
        <v>100</v>
      </c>
      <c r="L37" s="21"/>
    </row>
    <row r="38" spans="1:26" ht="12.95" customHeight="1" outlineLevel="1" x14ac:dyDescent="0.2">
      <c r="B38" s="109" t="s">
        <v>31</v>
      </c>
      <c r="C38" s="32">
        <f>4272721049</f>
        <v>4272721049</v>
      </c>
      <c r="D38" s="32">
        <f>4272721049</f>
        <v>4272721049</v>
      </c>
      <c r="E38" s="97" t="s">
        <v>85</v>
      </c>
      <c r="F38" s="97" t="s">
        <v>85</v>
      </c>
      <c r="G38" s="97" t="s">
        <v>85</v>
      </c>
      <c r="H38" s="97" t="s">
        <v>85</v>
      </c>
      <c r="I38" s="97" t="s">
        <v>85</v>
      </c>
      <c r="J38" s="33">
        <f t="shared" si="0"/>
        <v>7.6851791484732086</v>
      </c>
      <c r="K38" s="33">
        <f t="shared" si="1"/>
        <v>100</v>
      </c>
      <c r="L38" s="21"/>
    </row>
    <row r="39" spans="1:26" ht="12.95" customHeight="1" outlineLevel="1" x14ac:dyDescent="0.2">
      <c r="B39" s="109" t="s">
        <v>104</v>
      </c>
      <c r="C39" s="32">
        <f>434126925</f>
        <v>434126925</v>
      </c>
      <c r="D39" s="32">
        <f>434126925</f>
        <v>434126925</v>
      </c>
      <c r="E39" s="97" t="s">
        <v>85</v>
      </c>
      <c r="F39" s="97" t="s">
        <v>85</v>
      </c>
      <c r="G39" s="97" t="s">
        <v>85</v>
      </c>
      <c r="H39" s="97" t="s">
        <v>85</v>
      </c>
      <c r="I39" s="97" t="s">
        <v>85</v>
      </c>
      <c r="J39" s="33">
        <f t="shared" si="0"/>
        <v>0.78084741632773802</v>
      </c>
      <c r="K39" s="33">
        <f>IF(C39=0,"",100*D39/C39)</f>
        <v>100</v>
      </c>
      <c r="L39" s="21"/>
    </row>
    <row r="40" spans="1:26" s="5" customFormat="1" ht="12.95" customHeight="1" outlineLevel="1" x14ac:dyDescent="0.2">
      <c r="B40" s="109" t="s">
        <v>28</v>
      </c>
      <c r="C40" s="32">
        <f>550615828.01</f>
        <v>550615828.00999999</v>
      </c>
      <c r="D40" s="32">
        <f>681521635</f>
        <v>681521635</v>
      </c>
      <c r="E40" s="97" t="s">
        <v>85</v>
      </c>
      <c r="F40" s="97" t="s">
        <v>85</v>
      </c>
      <c r="G40" s="97" t="s">
        <v>85</v>
      </c>
      <c r="H40" s="97" t="s">
        <v>85</v>
      </c>
      <c r="I40" s="97" t="s">
        <v>85</v>
      </c>
      <c r="J40" s="33">
        <f t="shared" si="0"/>
        <v>1.225826773727996</v>
      </c>
      <c r="K40" s="33">
        <f>IF(C40=0,"",100*D40/C40)</f>
        <v>123.7744358826573</v>
      </c>
      <c r="L40" s="22"/>
    </row>
    <row r="41" spans="1:26" s="5" customFormat="1" ht="12.95" customHeight="1" x14ac:dyDescent="0.2">
      <c r="B41" s="106" t="s">
        <v>5</v>
      </c>
      <c r="C41" s="58">
        <f>+C5</f>
        <v>55830852917.199997</v>
      </c>
      <c r="D41" s="58">
        <f>+D5</f>
        <v>55596895875.209999</v>
      </c>
      <c r="E41" s="97" t="s">
        <v>85</v>
      </c>
      <c r="F41" s="97" t="s">
        <v>85</v>
      </c>
      <c r="G41" s="97" t="s">
        <v>85</v>
      </c>
      <c r="H41" s="97" t="s">
        <v>85</v>
      </c>
      <c r="I41" s="97" t="s">
        <v>85</v>
      </c>
      <c r="J41" s="59">
        <f>IF($D$5=0,"",100*$D41/$D$41)</f>
        <v>100</v>
      </c>
      <c r="K41" s="59">
        <f t="shared" si="1"/>
        <v>99.580953845829711</v>
      </c>
    </row>
    <row r="42" spans="1:26" s="5" customFormat="1" ht="12.95" customHeight="1" x14ac:dyDescent="0.2">
      <c r="B42" s="116" t="s">
        <v>55</v>
      </c>
      <c r="C42" s="32">
        <f>8932461204.79</f>
        <v>8932461204.7900009</v>
      </c>
      <c r="D42" s="32">
        <f>8258937118.47</f>
        <v>8258937118.4700003</v>
      </c>
      <c r="E42" s="97" t="s">
        <v>85</v>
      </c>
      <c r="F42" s="97" t="s">
        <v>85</v>
      </c>
      <c r="G42" s="97" t="s">
        <v>85</v>
      </c>
      <c r="H42" s="97" t="s">
        <v>85</v>
      </c>
      <c r="I42" s="97" t="s">
        <v>85</v>
      </c>
      <c r="J42" s="33">
        <f>IF($D$5=0,"",100*$D42/$D$41)</f>
        <v>14.855032800765704</v>
      </c>
      <c r="K42" s="33">
        <f t="shared" si="1"/>
        <v>92.459815151967007</v>
      </c>
    </row>
    <row r="43" spans="1:26" s="5" customFormat="1" ht="12.95" customHeight="1" x14ac:dyDescent="0.2">
      <c r="A43" s="2"/>
      <c r="B43" s="116" t="s">
        <v>56</v>
      </c>
      <c r="C43" s="32">
        <f>C41-C42</f>
        <v>46898391712.409996</v>
      </c>
      <c r="D43" s="32">
        <f>D41-D42</f>
        <v>47337958756.739998</v>
      </c>
      <c r="E43" s="97" t="s">
        <v>85</v>
      </c>
      <c r="F43" s="97" t="s">
        <v>85</v>
      </c>
      <c r="G43" s="97" t="s">
        <v>85</v>
      </c>
      <c r="H43" s="97" t="s">
        <v>85</v>
      </c>
      <c r="I43" s="97" t="s">
        <v>85</v>
      </c>
      <c r="J43" s="33">
        <f>IF($D$5=0,"",100*$D43/$D$41)</f>
        <v>85.144967199234301</v>
      </c>
      <c r="K43" s="33">
        <f t="shared" si="1"/>
        <v>100.93727530578343</v>
      </c>
      <c r="M43" s="15"/>
      <c r="N43" s="15"/>
      <c r="O43" s="9"/>
      <c r="P43" s="9"/>
      <c r="Q43" s="3"/>
    </row>
    <row r="44" spans="1:26" s="5" customFormat="1" ht="12.95" customHeight="1" x14ac:dyDescent="0.2">
      <c r="A44" s="2"/>
      <c r="B44" s="128" t="s">
        <v>95</v>
      </c>
      <c r="C44" s="76"/>
      <c r="D44" s="76"/>
      <c r="E44" s="127"/>
      <c r="F44" s="127"/>
      <c r="G44" s="127"/>
      <c r="H44" s="127"/>
      <c r="I44" s="127"/>
      <c r="J44" s="57"/>
      <c r="K44" s="57"/>
      <c r="M44" s="15"/>
      <c r="N44" s="15"/>
      <c r="O44" s="9"/>
      <c r="P44" s="9"/>
      <c r="Q44" s="3"/>
    </row>
    <row r="45" spans="1:26" ht="20.100000000000001" customHeight="1" x14ac:dyDescent="0.2">
      <c r="B45" s="117" t="str">
        <f>CONCATENATE("Informacja z wykonania budżetów powiatów za ",$D$104," ",$C$105," rok     ",$C$107,"")</f>
        <v xml:space="preserve">Informacja z wykonania budżetów powiatów za IV Kwartały 2024 rok     </v>
      </c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</row>
    <row r="46" spans="1:26" s="5" customFormat="1" ht="9" customHeight="1" x14ac:dyDescent="0.2">
      <c r="B46" s="6"/>
      <c r="C46" s="7"/>
      <c r="D46" s="8"/>
      <c r="E46" s="8"/>
      <c r="F46" s="4"/>
      <c r="G46" s="4"/>
      <c r="H46" s="4"/>
      <c r="I46" s="4"/>
      <c r="J46" s="4"/>
      <c r="K46" s="9"/>
      <c r="L46" s="9"/>
      <c r="M46" s="3"/>
    </row>
    <row r="47" spans="1:26" ht="29.25" customHeight="1" x14ac:dyDescent="0.2">
      <c r="B47" s="130" t="s">
        <v>0</v>
      </c>
      <c r="C47" s="131" t="s">
        <v>37</v>
      </c>
      <c r="D47" s="131" t="s">
        <v>39</v>
      </c>
      <c r="E47" s="131" t="s">
        <v>38</v>
      </c>
      <c r="F47" s="131" t="s">
        <v>12</v>
      </c>
      <c r="G47" s="131"/>
      <c r="H47" s="131"/>
      <c r="I47" s="132" t="s">
        <v>66</v>
      </c>
      <c r="J47" s="131" t="s">
        <v>2</v>
      </c>
      <c r="K47" s="163" t="s">
        <v>18</v>
      </c>
      <c r="M47" s="10"/>
      <c r="N47" s="73"/>
      <c r="O47" s="77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8" customHeight="1" x14ac:dyDescent="0.2">
      <c r="B48" s="130"/>
      <c r="C48" s="131"/>
      <c r="D48" s="131"/>
      <c r="E48" s="157"/>
      <c r="F48" s="158" t="s">
        <v>40</v>
      </c>
      <c r="G48" s="156" t="s">
        <v>24</v>
      </c>
      <c r="H48" s="157"/>
      <c r="I48" s="133"/>
      <c r="J48" s="131"/>
      <c r="K48" s="163"/>
      <c r="L48" s="11"/>
      <c r="M48" s="12"/>
      <c r="N48" s="74"/>
      <c r="O48" s="78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2:26" ht="57" customHeight="1" x14ac:dyDescent="0.2">
      <c r="B49" s="130"/>
      <c r="C49" s="131"/>
      <c r="D49" s="131"/>
      <c r="E49" s="157"/>
      <c r="F49" s="157"/>
      <c r="G49" s="17" t="s">
        <v>35</v>
      </c>
      <c r="H49" s="17" t="s">
        <v>36</v>
      </c>
      <c r="I49" s="134"/>
      <c r="J49" s="131"/>
      <c r="K49" s="163"/>
      <c r="L49" s="11"/>
      <c r="M49" s="10"/>
      <c r="N49" s="74"/>
      <c r="O49" s="76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2:26" ht="13.5" customHeight="1" x14ac:dyDescent="0.2">
      <c r="B50" s="130"/>
      <c r="C50" s="135" t="s">
        <v>59</v>
      </c>
      <c r="D50" s="136"/>
      <c r="E50" s="136"/>
      <c r="F50" s="136"/>
      <c r="G50" s="136"/>
      <c r="H50" s="136"/>
      <c r="I50" s="137"/>
      <c r="J50" s="138" t="s">
        <v>4</v>
      </c>
      <c r="K50" s="138"/>
      <c r="N50" s="10"/>
      <c r="O50" s="78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2:26" ht="11.25" customHeight="1" x14ac:dyDescent="0.2">
      <c r="B51" s="16">
        <v>1</v>
      </c>
      <c r="C51" s="18">
        <v>2</v>
      </c>
      <c r="D51" s="18">
        <v>3</v>
      </c>
      <c r="E51" s="18">
        <v>4</v>
      </c>
      <c r="F51" s="16">
        <v>5</v>
      </c>
      <c r="G51" s="16">
        <v>6</v>
      </c>
      <c r="H51" s="18">
        <v>7</v>
      </c>
      <c r="I51" s="18">
        <v>8</v>
      </c>
      <c r="J51" s="16">
        <v>9</v>
      </c>
      <c r="K51" s="18">
        <v>10</v>
      </c>
      <c r="M51" s="10"/>
      <c r="N51" s="10"/>
      <c r="O51" s="76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2:26" ht="26.85" customHeight="1" x14ac:dyDescent="0.2">
      <c r="B52" s="103" t="s">
        <v>44</v>
      </c>
      <c r="C52" s="60">
        <f>58911924264.03</f>
        <v>58911924264.029999</v>
      </c>
      <c r="D52" s="72">
        <f>54925539108.06</f>
        <v>54925539108.059998</v>
      </c>
      <c r="E52" s="72">
        <f>54946378664.21</f>
        <v>54946378664.209999</v>
      </c>
      <c r="F52" s="60">
        <f>2617011348.52</f>
        <v>2617011348.52</v>
      </c>
      <c r="G52" s="60">
        <f>192208.77</f>
        <v>192208.77</v>
      </c>
      <c r="H52" s="60">
        <f>133528.5</f>
        <v>133528.5</v>
      </c>
      <c r="I52" s="80">
        <f>217136725.89</f>
        <v>217136725.88999999</v>
      </c>
      <c r="J52" s="50">
        <f>IF($D$52=0,"",100*$D52/$D$52)</f>
        <v>100</v>
      </c>
      <c r="K52" s="50">
        <f>IF(C52=0,"",100*D52/C52)</f>
        <v>93.233313618981583</v>
      </c>
      <c r="O52" s="75"/>
    </row>
    <row r="53" spans="2:26" ht="12.95" customHeight="1" x14ac:dyDescent="0.2">
      <c r="B53" s="19" t="s">
        <v>14</v>
      </c>
      <c r="C53" s="38">
        <f>13264740409.72</f>
        <v>13264740409.719999</v>
      </c>
      <c r="D53" s="38">
        <f>11584833780.91</f>
        <v>11584833780.91</v>
      </c>
      <c r="E53" s="38">
        <f>11589654399.77</f>
        <v>11589654399.77</v>
      </c>
      <c r="F53" s="38">
        <f>211742555.21</f>
        <v>211742555.21000001</v>
      </c>
      <c r="G53" s="38">
        <f>6001.4</f>
        <v>6001.4</v>
      </c>
      <c r="H53" s="38">
        <f>78376.39</f>
        <v>78376.39</v>
      </c>
      <c r="I53" s="81">
        <f>172776117.69</f>
        <v>172776117.69</v>
      </c>
      <c r="J53" s="50">
        <f t="shared" ref="J53:J61" si="2">IF($D$52=0,"",100*$D53/$D$52)</f>
        <v>21.091889072072838</v>
      </c>
      <c r="K53" s="50">
        <f t="shared" ref="K53:K61" si="3">IF(C53=0,"",100*D53/C53)</f>
        <v>87.335548401844221</v>
      </c>
      <c r="O53" s="76"/>
    </row>
    <row r="54" spans="2:26" ht="12.95" customHeight="1" outlineLevel="1" x14ac:dyDescent="0.2">
      <c r="B54" s="20" t="s">
        <v>13</v>
      </c>
      <c r="C54" s="35">
        <f>13185501260.6</f>
        <v>13185501260.6</v>
      </c>
      <c r="D54" s="35">
        <f>11506522862.01</f>
        <v>11506522862.01</v>
      </c>
      <c r="E54" s="35">
        <f>11511343480.87</f>
        <v>11511343480.870001</v>
      </c>
      <c r="F54" s="35">
        <f>211742555.21</f>
        <v>211742555.21000001</v>
      </c>
      <c r="G54" s="35">
        <f>6001.4</f>
        <v>6001.4</v>
      </c>
      <c r="H54" s="35">
        <f>78376.39</f>
        <v>78376.39</v>
      </c>
      <c r="I54" s="82">
        <f>172776117.69</f>
        <v>172776117.69</v>
      </c>
      <c r="J54" s="50">
        <f t="shared" si="2"/>
        <v>20.949312558174757</v>
      </c>
      <c r="K54" s="50">
        <f t="shared" si="3"/>
        <v>87.266480314957704</v>
      </c>
      <c r="O54" s="75"/>
    </row>
    <row r="55" spans="2:26" ht="26.85" customHeight="1" x14ac:dyDescent="0.2">
      <c r="B55" s="19" t="s">
        <v>45</v>
      </c>
      <c r="C55" s="38">
        <f t="shared" ref="C55:I55" si="4">C52-C53</f>
        <v>45647183854.309998</v>
      </c>
      <c r="D55" s="38">
        <f>D52-D53</f>
        <v>43340705327.149994</v>
      </c>
      <c r="E55" s="38">
        <f>E52-E53</f>
        <v>43356724264.440002</v>
      </c>
      <c r="F55" s="38">
        <f t="shared" si="4"/>
        <v>2405268793.3099999</v>
      </c>
      <c r="G55" s="38">
        <f t="shared" si="4"/>
        <v>186207.37</v>
      </c>
      <c r="H55" s="38">
        <f t="shared" si="4"/>
        <v>55152.11</v>
      </c>
      <c r="I55" s="81">
        <f t="shared" si="4"/>
        <v>44360608.199999988</v>
      </c>
      <c r="J55" s="50">
        <f t="shared" si="2"/>
        <v>78.908110927927154</v>
      </c>
      <c r="K55" s="50">
        <f t="shared" si="3"/>
        <v>94.947161396590246</v>
      </c>
      <c r="O55" s="75"/>
    </row>
    <row r="56" spans="2:26" ht="22.5" outlineLevel="1" x14ac:dyDescent="0.2">
      <c r="B56" s="20" t="s">
        <v>84</v>
      </c>
      <c r="C56" s="35">
        <f>28924434282.08</f>
        <v>28924434282.080002</v>
      </c>
      <c r="D56" s="35">
        <f>28244551846.86</f>
        <v>28244551846.860001</v>
      </c>
      <c r="E56" s="35">
        <f>28252398963.54</f>
        <v>28252398963.540001</v>
      </c>
      <c r="F56" s="35">
        <f>2208012783.06</f>
        <v>2208012783.0599999</v>
      </c>
      <c r="G56" s="35">
        <f>1971.94</f>
        <v>1971.94</v>
      </c>
      <c r="H56" s="35">
        <f>13872.83</f>
        <v>13872.83</v>
      </c>
      <c r="I56" s="82">
        <f>36205.27</f>
        <v>36205.269999999997</v>
      </c>
      <c r="J56" s="50">
        <f t="shared" si="2"/>
        <v>51.423349329884466</v>
      </c>
      <c r="K56" s="50">
        <f t="shared" si="3"/>
        <v>97.649452955277951</v>
      </c>
      <c r="O56" s="76"/>
    </row>
    <row r="57" spans="2:26" ht="12.95" customHeight="1" outlineLevel="1" x14ac:dyDescent="0.2">
      <c r="B57" s="23" t="s">
        <v>34</v>
      </c>
      <c r="C57" s="61">
        <f>3826738104.37</f>
        <v>3826738104.3699999</v>
      </c>
      <c r="D57" s="61">
        <f>3688355463.31</f>
        <v>3688355463.3099999</v>
      </c>
      <c r="E57" s="61">
        <f>3688377408.98</f>
        <v>3688377408.98</v>
      </c>
      <c r="F57" s="61">
        <f>1782959.77</f>
        <v>1782959.77</v>
      </c>
      <c r="G57" s="61">
        <f>0</f>
        <v>0</v>
      </c>
      <c r="H57" s="61">
        <f>0</f>
        <v>0</v>
      </c>
      <c r="I57" s="83">
        <f>0</f>
        <v>0</v>
      </c>
      <c r="J57" s="50">
        <f t="shared" si="2"/>
        <v>6.71519210044268</v>
      </c>
      <c r="K57" s="50">
        <f t="shared" si="3"/>
        <v>96.383796400857122</v>
      </c>
    </row>
    <row r="58" spans="2:26" ht="12.95" customHeight="1" outlineLevel="1" x14ac:dyDescent="0.2">
      <c r="B58" s="23" t="s">
        <v>33</v>
      </c>
      <c r="C58" s="32">
        <f>491838835.99</f>
        <v>491838835.99000001</v>
      </c>
      <c r="D58" s="32">
        <f>449519418.48</f>
        <v>449519418.48000002</v>
      </c>
      <c r="E58" s="32">
        <f>449684544.93</f>
        <v>449684544.93000001</v>
      </c>
      <c r="F58" s="32">
        <f>6867947.75</f>
        <v>6867947.75</v>
      </c>
      <c r="G58" s="32">
        <f>0</f>
        <v>0</v>
      </c>
      <c r="H58" s="32">
        <f>0</f>
        <v>0</v>
      </c>
      <c r="I58" s="84">
        <f>0</f>
        <v>0</v>
      </c>
      <c r="J58" s="50">
        <f t="shared" si="2"/>
        <v>0.81841603337860669</v>
      </c>
      <c r="K58" s="50">
        <f t="shared" si="3"/>
        <v>91.395673864424069</v>
      </c>
    </row>
    <row r="59" spans="2:26" ht="22.5" customHeight="1" outlineLevel="1" x14ac:dyDescent="0.2">
      <c r="B59" s="23" t="s">
        <v>51</v>
      </c>
      <c r="C59" s="61">
        <f>27599884.61</f>
        <v>27599884.609999999</v>
      </c>
      <c r="D59" s="61">
        <f>3752854.4</f>
        <v>3752854.4</v>
      </c>
      <c r="E59" s="61">
        <f>3752854.4</f>
        <v>3752854.4</v>
      </c>
      <c r="F59" s="61">
        <f>0</f>
        <v>0</v>
      </c>
      <c r="G59" s="61">
        <f>0</f>
        <v>0</v>
      </c>
      <c r="H59" s="61">
        <f>0</f>
        <v>0</v>
      </c>
      <c r="I59" s="83">
        <f>0</f>
        <v>0</v>
      </c>
      <c r="J59" s="50">
        <f t="shared" si="2"/>
        <v>6.8326218748926051E-3</v>
      </c>
      <c r="K59" s="50">
        <f t="shared" si="3"/>
        <v>13.597355398508675</v>
      </c>
    </row>
    <row r="60" spans="2:26" ht="12.95" customHeight="1" outlineLevel="1" x14ac:dyDescent="0.2">
      <c r="B60" s="23" t="s">
        <v>52</v>
      </c>
      <c r="C60" s="61">
        <f>1294081473.7</f>
        <v>1294081473.7</v>
      </c>
      <c r="D60" s="61">
        <f>1222257400.29</f>
        <v>1222257400.29</v>
      </c>
      <c r="E60" s="61">
        <f>1226433817.53</f>
        <v>1226433817.53</v>
      </c>
      <c r="F60" s="61">
        <f>6499833.04</f>
        <v>6499833.04</v>
      </c>
      <c r="G60" s="61">
        <f>0</f>
        <v>0</v>
      </c>
      <c r="H60" s="61">
        <f>0</f>
        <v>0</v>
      </c>
      <c r="I60" s="85">
        <f>0</f>
        <v>0</v>
      </c>
      <c r="J60" s="50">
        <f t="shared" si="2"/>
        <v>2.2252988685014854</v>
      </c>
      <c r="K60" s="50">
        <f t="shared" si="3"/>
        <v>94.449802823879182</v>
      </c>
    </row>
    <row r="61" spans="2:26" ht="12.95" customHeight="1" outlineLevel="1" x14ac:dyDescent="0.2">
      <c r="B61" s="20" t="s">
        <v>32</v>
      </c>
      <c r="C61" s="35">
        <f t="shared" ref="C61:I61" si="5">C55-C56-C57-C58-C59-C60</f>
        <v>11082491273.559996</v>
      </c>
      <c r="D61" s="35">
        <f>D55-D56-D57-D58-D59-D60</f>
        <v>9732268343.8099937</v>
      </c>
      <c r="E61" s="86">
        <f>E55-E56-E57-E58-E59-E60</f>
        <v>9736076675.0600014</v>
      </c>
      <c r="F61" s="86">
        <f t="shared" si="5"/>
        <v>182105269.69</v>
      </c>
      <c r="G61" s="86">
        <f t="shared" si="5"/>
        <v>184235.43</v>
      </c>
      <c r="H61" s="86">
        <f t="shared" si="5"/>
        <v>41279.279999999999</v>
      </c>
      <c r="I61" s="87">
        <f t="shared" si="5"/>
        <v>44324402.929999985</v>
      </c>
      <c r="J61" s="50">
        <f t="shared" si="2"/>
        <v>17.719021973845024</v>
      </c>
      <c r="K61" s="50">
        <f t="shared" si="3"/>
        <v>87.816611839151278</v>
      </c>
    </row>
    <row r="62" spans="2:26" ht="12.95" customHeight="1" x14ac:dyDescent="0.2">
      <c r="B62" s="103" t="s">
        <v>15</v>
      </c>
      <c r="C62" s="64">
        <f>C5-C52</f>
        <v>-3081071346.8300018</v>
      </c>
      <c r="D62" s="64">
        <f>D5-D52</f>
        <v>671356767.15000153</v>
      </c>
      <c r="E62" s="92"/>
      <c r="F62" s="93"/>
      <c r="G62" s="93"/>
      <c r="H62" s="93"/>
      <c r="I62" s="162"/>
      <c r="J62" s="162"/>
      <c r="K62" s="94"/>
      <c r="L62" s="88"/>
      <c r="M62" s="13"/>
    </row>
    <row r="63" spans="2:26" ht="39" customHeight="1" x14ac:dyDescent="0.2">
      <c r="B63" s="104" t="s">
        <v>93</v>
      </c>
      <c r="C63" s="65">
        <f>C43-C55</f>
        <v>1251207858.0999985</v>
      </c>
      <c r="D63" s="65">
        <f>D43-D55</f>
        <v>3997253429.590004</v>
      </c>
      <c r="E63" s="91"/>
      <c r="F63" s="89"/>
      <c r="G63" s="89"/>
      <c r="H63" s="89"/>
      <c r="I63" s="89"/>
      <c r="J63" s="89"/>
      <c r="K63" s="90"/>
      <c r="L63" s="90"/>
      <c r="M63" s="10"/>
    </row>
    <row r="64" spans="2:26" ht="12" customHeight="1" x14ac:dyDescent="0.2">
      <c r="B64" s="37"/>
      <c r="C64" s="42"/>
      <c r="D64" s="42"/>
      <c r="E64" s="42"/>
      <c r="F64" s="43"/>
      <c r="G64" s="43"/>
      <c r="H64" s="43"/>
      <c r="I64" s="43"/>
      <c r="J64" s="40"/>
      <c r="K64" s="40"/>
      <c r="L64" s="41"/>
      <c r="M64" s="10"/>
    </row>
    <row r="65" spans="2:13" ht="12" customHeight="1" x14ac:dyDescent="0.2">
      <c r="B65" s="126" t="s">
        <v>96</v>
      </c>
      <c r="C65" s="42"/>
      <c r="D65" s="42"/>
      <c r="E65" s="42"/>
      <c r="F65" s="43"/>
      <c r="G65" s="43"/>
      <c r="H65" s="43"/>
      <c r="I65" s="43"/>
      <c r="J65" s="40"/>
      <c r="K65" s="40"/>
      <c r="L65" s="41"/>
      <c r="M65" s="10"/>
    </row>
    <row r="66" spans="2:13" ht="26.85" customHeight="1" x14ac:dyDescent="0.2">
      <c r="B66" s="124" t="s">
        <v>92</v>
      </c>
      <c r="C66" s="122">
        <f>1749731295.24</f>
        <v>1749731295.24</v>
      </c>
      <c r="D66" s="62">
        <f>1272827708.04</f>
        <v>1272827708.04</v>
      </c>
      <c r="E66" s="62">
        <f>1278661733.25</f>
        <v>1278661733.25</v>
      </c>
      <c r="F66" s="62">
        <f>15481915.01</f>
        <v>15481915.01</v>
      </c>
      <c r="G66" s="62">
        <f>0</f>
        <v>0</v>
      </c>
      <c r="H66" s="62">
        <f>0</f>
        <v>0</v>
      </c>
      <c r="I66" s="62">
        <f>5236218.65</f>
        <v>5236218.6500000004</v>
      </c>
      <c r="J66" s="50">
        <f>IF($D$66=0,"",100*$D66/$D$66)</f>
        <v>100</v>
      </c>
      <c r="K66" s="63">
        <f>IF(C66=0,"",100*D66/C66)</f>
        <v>72.744181435322275</v>
      </c>
      <c r="L66" s="10"/>
    </row>
    <row r="67" spans="2:13" ht="12.95" customHeight="1" x14ac:dyDescent="0.2">
      <c r="B67" s="125" t="s">
        <v>57</v>
      </c>
      <c r="C67" s="123">
        <f>1080806506.59</f>
        <v>1080806506.5899999</v>
      </c>
      <c r="D67" s="61">
        <f>832965132.3</f>
        <v>832965132.29999995</v>
      </c>
      <c r="E67" s="61">
        <f>832965178.97</f>
        <v>832965178.97000003</v>
      </c>
      <c r="F67" s="61">
        <f>11287953.04</f>
        <v>11287953.039999999</v>
      </c>
      <c r="G67" s="61">
        <f>0</f>
        <v>0</v>
      </c>
      <c r="H67" s="61">
        <f>0</f>
        <v>0</v>
      </c>
      <c r="I67" s="61">
        <f>4155038.98</f>
        <v>4155038.98</v>
      </c>
      <c r="J67" s="50">
        <f>IF($D$66=0,"",100*$D67/$D$66)</f>
        <v>65.442096132764519</v>
      </c>
      <c r="K67" s="63">
        <f>IF(C67=0,"",100*D67/C67)</f>
        <v>77.068848792190181</v>
      </c>
    </row>
    <row r="68" spans="2:13" ht="12.95" customHeight="1" x14ac:dyDescent="0.2">
      <c r="B68" s="125" t="s">
        <v>58</v>
      </c>
      <c r="C68" s="123">
        <f>C66-C67</f>
        <v>668924788.6500001</v>
      </c>
      <c r="D68" s="61">
        <f t="shared" ref="D68:I68" si="6">D66-D67</f>
        <v>439862575.74000001</v>
      </c>
      <c r="E68" s="61">
        <f t="shared" si="6"/>
        <v>445696554.27999997</v>
      </c>
      <c r="F68" s="61">
        <f t="shared" si="6"/>
        <v>4193961.9700000007</v>
      </c>
      <c r="G68" s="61">
        <f t="shared" si="6"/>
        <v>0</v>
      </c>
      <c r="H68" s="61">
        <f t="shared" si="6"/>
        <v>0</v>
      </c>
      <c r="I68" s="61">
        <f t="shared" si="6"/>
        <v>1081179.6700000004</v>
      </c>
      <c r="J68" s="50">
        <f>IF($D$66=0,"",100*$D68/$D$66)</f>
        <v>34.557903867235488</v>
      </c>
      <c r="K68" s="63">
        <f>IF(C68=0,"",100*D68/C68)</f>
        <v>65.756656533496809</v>
      </c>
    </row>
    <row r="69" spans="2:13" ht="20.100000000000001" customHeight="1" x14ac:dyDescent="0.2">
      <c r="B69" s="117" t="str">
        <f>CONCATENATE("Informacja z wykonania budżetów powiatów za ",$D$104," ",$C$105," rok     ",$C$107,"")</f>
        <v xml:space="preserve">Informacja z wykonania budżetów powiatów za IV Kwartały 2024 rok     </v>
      </c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</row>
    <row r="70" spans="2:13" x14ac:dyDescent="0.2">
      <c r="B70" s="28" t="s">
        <v>16</v>
      </c>
      <c r="C70" s="95" t="s">
        <v>17</v>
      </c>
      <c r="D70" s="71" t="s">
        <v>1</v>
      </c>
      <c r="E70" s="147" t="s">
        <v>85</v>
      </c>
      <c r="F70" s="148"/>
      <c r="G70" s="148"/>
      <c r="H70" s="148"/>
      <c r="I70" s="149"/>
      <c r="J70" s="18" t="s">
        <v>22</v>
      </c>
      <c r="K70" s="18" t="s">
        <v>23</v>
      </c>
    </row>
    <row r="71" spans="2:13" x14ac:dyDescent="0.2">
      <c r="B71" s="28"/>
      <c r="C71" s="158" t="s">
        <v>59</v>
      </c>
      <c r="D71" s="159"/>
      <c r="E71" s="150"/>
      <c r="F71" s="151"/>
      <c r="G71" s="151"/>
      <c r="H71" s="151"/>
      <c r="I71" s="152"/>
      <c r="J71" s="160" t="s">
        <v>4</v>
      </c>
      <c r="K71" s="161"/>
    </row>
    <row r="72" spans="2:13" x14ac:dyDescent="0.2">
      <c r="B72" s="26">
        <v>1</v>
      </c>
      <c r="C72" s="29">
        <v>2</v>
      </c>
      <c r="D72" s="27">
        <v>3</v>
      </c>
      <c r="E72" s="153"/>
      <c r="F72" s="154"/>
      <c r="G72" s="154"/>
      <c r="H72" s="154"/>
      <c r="I72" s="155"/>
      <c r="J72" s="27">
        <v>4</v>
      </c>
      <c r="K72" s="27">
        <v>5</v>
      </c>
    </row>
    <row r="73" spans="2:13" ht="26.85" customHeight="1" x14ac:dyDescent="0.2">
      <c r="B73" s="105" t="s">
        <v>46</v>
      </c>
      <c r="C73" s="44">
        <f>4366437526.45</f>
        <v>4366437526.4499998</v>
      </c>
      <c r="D73" s="72">
        <f>6198398399.5</f>
        <v>6198398399.5</v>
      </c>
      <c r="E73" s="102" t="s">
        <v>85</v>
      </c>
      <c r="F73" s="102" t="s">
        <v>85</v>
      </c>
      <c r="G73" s="102" t="s">
        <v>85</v>
      </c>
      <c r="H73" s="102" t="s">
        <v>85</v>
      </c>
      <c r="I73" s="102" t="s">
        <v>85</v>
      </c>
      <c r="J73" s="45">
        <f>IF($D$73=0,"",100*$D73/$D$73)</f>
        <v>100</v>
      </c>
      <c r="K73" s="39">
        <f t="shared" ref="K73:K87" si="7">IF(C73=0,"",100*D73/C73)</f>
        <v>141.95550404540933</v>
      </c>
    </row>
    <row r="74" spans="2:13" ht="25.5" customHeight="1" x14ac:dyDescent="0.2">
      <c r="B74" s="119" t="s">
        <v>69</v>
      </c>
      <c r="C74" s="46">
        <f>1364833196.03</f>
        <v>1364833196.03</v>
      </c>
      <c r="D74" s="98">
        <f>1212750887.47</f>
        <v>1212750887.47</v>
      </c>
      <c r="E74" s="102" t="s">
        <v>85</v>
      </c>
      <c r="F74" s="102" t="s">
        <v>85</v>
      </c>
      <c r="G74" s="102" t="s">
        <v>85</v>
      </c>
      <c r="H74" s="102" t="s">
        <v>85</v>
      </c>
      <c r="I74" s="102" t="s">
        <v>85</v>
      </c>
      <c r="J74" s="47">
        <f t="shared" ref="J74:J83" si="8">IF($D$73=0,"",100*$D74/$D$73)</f>
        <v>19.565552410568312</v>
      </c>
      <c r="K74" s="48">
        <f t="shared" si="7"/>
        <v>88.857077260256119</v>
      </c>
    </row>
    <row r="75" spans="2:13" ht="22.5" x14ac:dyDescent="0.2">
      <c r="B75" s="120" t="s">
        <v>70</v>
      </c>
      <c r="C75" s="66">
        <f>50800000</f>
        <v>50800000</v>
      </c>
      <c r="D75" s="56">
        <f>37300000</f>
        <v>37300000</v>
      </c>
      <c r="E75" s="102" t="s">
        <v>85</v>
      </c>
      <c r="F75" s="102" t="s">
        <v>85</v>
      </c>
      <c r="G75" s="102" t="s">
        <v>85</v>
      </c>
      <c r="H75" s="102" t="s">
        <v>85</v>
      </c>
      <c r="I75" s="102" t="s">
        <v>85</v>
      </c>
      <c r="J75" s="67">
        <f t="shared" si="8"/>
        <v>0.60176835362839598</v>
      </c>
      <c r="K75" s="68">
        <f t="shared" si="7"/>
        <v>73.425196850393704</v>
      </c>
    </row>
    <row r="76" spans="2:13" ht="12.95" customHeight="1" x14ac:dyDescent="0.2">
      <c r="B76" s="118" t="s">
        <v>71</v>
      </c>
      <c r="C76" s="66">
        <f>44381180.2</f>
        <v>44381180.200000003</v>
      </c>
      <c r="D76" s="56">
        <f>46591446.4</f>
        <v>46591446.399999999</v>
      </c>
      <c r="E76" s="102" t="s">
        <v>85</v>
      </c>
      <c r="F76" s="102" t="s">
        <v>85</v>
      </c>
      <c r="G76" s="102" t="s">
        <v>85</v>
      </c>
      <c r="H76" s="102" t="s">
        <v>85</v>
      </c>
      <c r="I76" s="102" t="s">
        <v>85</v>
      </c>
      <c r="J76" s="67">
        <f t="shared" si="8"/>
        <v>0.75166911510170664</v>
      </c>
      <c r="K76" s="68">
        <f t="shared" si="7"/>
        <v>104.98018797616382</v>
      </c>
    </row>
    <row r="77" spans="2:13" ht="48.75" customHeight="1" x14ac:dyDescent="0.2">
      <c r="B77" s="118" t="s">
        <v>78</v>
      </c>
      <c r="C77" s="66">
        <f>565191930.72</f>
        <v>565191930.72000003</v>
      </c>
      <c r="D77" s="56">
        <f>1435278525.62</f>
        <v>1435278525.6199999</v>
      </c>
      <c r="E77" s="102" t="s">
        <v>85</v>
      </c>
      <c r="F77" s="102" t="s">
        <v>85</v>
      </c>
      <c r="G77" s="102" t="s">
        <v>85</v>
      </c>
      <c r="H77" s="102" t="s">
        <v>85</v>
      </c>
      <c r="I77" s="102" t="s">
        <v>85</v>
      </c>
      <c r="J77" s="67">
        <f t="shared" si="8"/>
        <v>23.155635264357613</v>
      </c>
      <c r="K77" s="68">
        <f t="shared" si="7"/>
        <v>253.94533212666244</v>
      </c>
    </row>
    <row r="78" spans="2:13" ht="35.25" customHeight="1" x14ac:dyDescent="0.2">
      <c r="B78" s="118" t="s">
        <v>79</v>
      </c>
      <c r="C78" s="66">
        <f>964152513.1</f>
        <v>964152513.10000002</v>
      </c>
      <c r="D78" s="56">
        <f>1078956371.06</f>
        <v>1078956371.0599999</v>
      </c>
      <c r="E78" s="102" t="s">
        <v>85</v>
      </c>
      <c r="F78" s="102" t="s">
        <v>85</v>
      </c>
      <c r="G78" s="102" t="s">
        <v>85</v>
      </c>
      <c r="H78" s="102" t="s">
        <v>85</v>
      </c>
      <c r="I78" s="102" t="s">
        <v>85</v>
      </c>
      <c r="J78" s="67">
        <f t="shared" si="8"/>
        <v>17.407018741277344</v>
      </c>
      <c r="K78" s="68">
        <f t="shared" si="7"/>
        <v>111.90723006994773</v>
      </c>
    </row>
    <row r="79" spans="2:13" ht="12.95" customHeight="1" x14ac:dyDescent="0.2">
      <c r="B79" s="118" t="s">
        <v>72</v>
      </c>
      <c r="C79" s="66">
        <f>0</f>
        <v>0</v>
      </c>
      <c r="D79" s="56">
        <f>0</f>
        <v>0</v>
      </c>
      <c r="E79" s="102" t="s">
        <v>85</v>
      </c>
      <c r="F79" s="102" t="s">
        <v>85</v>
      </c>
      <c r="G79" s="102" t="s">
        <v>85</v>
      </c>
      <c r="H79" s="102" t="s">
        <v>85</v>
      </c>
      <c r="I79" s="102" t="s">
        <v>85</v>
      </c>
      <c r="J79" s="67">
        <f t="shared" si="8"/>
        <v>0</v>
      </c>
      <c r="K79" s="68" t="str">
        <f t="shared" si="7"/>
        <v/>
      </c>
    </row>
    <row r="80" spans="2:13" ht="33.75" x14ac:dyDescent="0.2">
      <c r="B80" s="118" t="s">
        <v>73</v>
      </c>
      <c r="C80" s="66">
        <f>1355421664.32</f>
        <v>1355421664.3199999</v>
      </c>
      <c r="D80" s="56">
        <f>2326287064.99</f>
        <v>2326287064.9899998</v>
      </c>
      <c r="E80" s="102" t="s">
        <v>85</v>
      </c>
      <c r="F80" s="102" t="s">
        <v>85</v>
      </c>
      <c r="G80" s="102" t="s">
        <v>85</v>
      </c>
      <c r="H80" s="102" t="s">
        <v>85</v>
      </c>
      <c r="I80" s="102" t="s">
        <v>85</v>
      </c>
      <c r="J80" s="67">
        <f t="shared" si="8"/>
        <v>37.530454079519188</v>
      </c>
      <c r="K80" s="68">
        <f t="shared" si="7"/>
        <v>171.62829296793572</v>
      </c>
    </row>
    <row r="81" spans="2:11" ht="56.25" x14ac:dyDescent="0.2">
      <c r="B81" s="118" t="s">
        <v>101</v>
      </c>
      <c r="C81" s="66">
        <f>0</f>
        <v>0</v>
      </c>
      <c r="D81" s="56">
        <f>0</f>
        <v>0</v>
      </c>
      <c r="E81" s="102" t="s">
        <v>85</v>
      </c>
      <c r="F81" s="102" t="s">
        <v>85</v>
      </c>
      <c r="G81" s="102" t="s">
        <v>85</v>
      </c>
      <c r="H81" s="102" t="s">
        <v>85</v>
      </c>
      <c r="I81" s="102" t="s">
        <v>85</v>
      </c>
      <c r="J81" s="67">
        <f t="shared" si="8"/>
        <v>0</v>
      </c>
      <c r="K81" s="68" t="str">
        <f>IF(C81=0,"",100*D81/C81)</f>
        <v/>
      </c>
    </row>
    <row r="82" spans="2:11" x14ac:dyDescent="0.2">
      <c r="B82" s="118" t="s">
        <v>97</v>
      </c>
      <c r="C82" s="66">
        <f>72457042.08</f>
        <v>72457042.079999998</v>
      </c>
      <c r="D82" s="56">
        <f>98534103.96</f>
        <v>98534103.959999993</v>
      </c>
      <c r="E82" s="102" t="s">
        <v>85</v>
      </c>
      <c r="F82" s="102" t="s">
        <v>85</v>
      </c>
      <c r="G82" s="102" t="s">
        <v>85</v>
      </c>
      <c r="H82" s="102" t="s">
        <v>85</v>
      </c>
      <c r="I82" s="102" t="s">
        <v>85</v>
      </c>
      <c r="J82" s="67">
        <f t="shared" si="8"/>
        <v>1.5896703891758288</v>
      </c>
      <c r="K82" s="68">
        <f>IF(C82=0,"",100*D82/C82)</f>
        <v>135.98968593171145</v>
      </c>
    </row>
    <row r="83" spans="2:11" ht="23.25" customHeight="1" x14ac:dyDescent="0.2">
      <c r="B83" s="120" t="s">
        <v>98</v>
      </c>
      <c r="C83" s="66">
        <f>72457042.08</f>
        <v>72457042.079999998</v>
      </c>
      <c r="D83" s="56">
        <f>72457042.08</f>
        <v>72457042.079999998</v>
      </c>
      <c r="E83" s="102" t="s">
        <v>85</v>
      </c>
      <c r="F83" s="102" t="s">
        <v>85</v>
      </c>
      <c r="G83" s="102" t="s">
        <v>85</v>
      </c>
      <c r="H83" s="102" t="s">
        <v>85</v>
      </c>
      <c r="I83" s="102" t="s">
        <v>85</v>
      </c>
      <c r="J83" s="67">
        <f t="shared" si="8"/>
        <v>1.1689639389079092</v>
      </c>
      <c r="K83" s="68">
        <f>IF(C83=0,"",100*D83/C83)</f>
        <v>100</v>
      </c>
    </row>
    <row r="84" spans="2:11" ht="26.85" customHeight="1" x14ac:dyDescent="0.2">
      <c r="B84" s="105" t="s">
        <v>47</v>
      </c>
      <c r="C84" s="51">
        <f>1265059734.07</f>
        <v>1265059734.0699999</v>
      </c>
      <c r="D84" s="72">
        <f>1172108402.21</f>
        <v>1172108402.21</v>
      </c>
      <c r="E84" s="102" t="s">
        <v>85</v>
      </c>
      <c r="F84" s="102" t="s">
        <v>85</v>
      </c>
      <c r="G84" s="102" t="s">
        <v>85</v>
      </c>
      <c r="H84" s="102" t="s">
        <v>85</v>
      </c>
      <c r="I84" s="102" t="s">
        <v>85</v>
      </c>
      <c r="J84" s="45">
        <f t="shared" ref="J84:J89" si="9">IF($D$84=0,"",100*$D84/$D$84)</f>
        <v>100</v>
      </c>
      <c r="K84" s="39">
        <f t="shared" si="7"/>
        <v>92.652415585076511</v>
      </c>
    </row>
    <row r="85" spans="2:11" ht="33.75" x14ac:dyDescent="0.2">
      <c r="B85" s="119" t="s">
        <v>102</v>
      </c>
      <c r="C85" s="46">
        <f>868693047.37</f>
        <v>868693047.37</v>
      </c>
      <c r="D85" s="99">
        <f>868555038.21</f>
        <v>868555038.21000004</v>
      </c>
      <c r="E85" s="102" t="s">
        <v>85</v>
      </c>
      <c r="F85" s="102" t="s">
        <v>85</v>
      </c>
      <c r="G85" s="102" t="s">
        <v>85</v>
      </c>
      <c r="H85" s="102" t="s">
        <v>85</v>
      </c>
      <c r="I85" s="102" t="s">
        <v>85</v>
      </c>
      <c r="J85" s="47">
        <f t="shared" si="9"/>
        <v>74.101937719441921</v>
      </c>
      <c r="K85" s="48">
        <f t="shared" si="7"/>
        <v>99.984113012022164</v>
      </c>
    </row>
    <row r="86" spans="2:11" ht="12.95" customHeight="1" x14ac:dyDescent="0.2">
      <c r="B86" s="120" t="s">
        <v>74</v>
      </c>
      <c r="C86" s="66">
        <f>24650000</f>
        <v>24650000</v>
      </c>
      <c r="D86" s="56">
        <f>24650000</f>
        <v>24650000</v>
      </c>
      <c r="E86" s="102" t="s">
        <v>85</v>
      </c>
      <c r="F86" s="102" t="s">
        <v>85</v>
      </c>
      <c r="G86" s="102" t="s">
        <v>85</v>
      </c>
      <c r="H86" s="102" t="s">
        <v>85</v>
      </c>
      <c r="I86" s="102" t="s">
        <v>85</v>
      </c>
      <c r="J86" s="67">
        <f t="shared" si="9"/>
        <v>2.1030478028757957</v>
      </c>
      <c r="K86" s="68">
        <f t="shared" si="7"/>
        <v>100</v>
      </c>
    </row>
    <row r="87" spans="2:11" ht="12.95" customHeight="1" x14ac:dyDescent="0.2">
      <c r="B87" s="118" t="s">
        <v>83</v>
      </c>
      <c r="C87" s="66">
        <f>111116710.35</f>
        <v>111116710.34999999</v>
      </c>
      <c r="D87" s="56">
        <f>111528775.28</f>
        <v>111528775.28</v>
      </c>
      <c r="E87" s="102" t="s">
        <v>85</v>
      </c>
      <c r="F87" s="102" t="s">
        <v>85</v>
      </c>
      <c r="G87" s="102" t="s">
        <v>85</v>
      </c>
      <c r="H87" s="102" t="s">
        <v>85</v>
      </c>
      <c r="I87" s="102" t="s">
        <v>85</v>
      </c>
      <c r="J87" s="67">
        <f t="shared" si="9"/>
        <v>9.5152270105489798</v>
      </c>
      <c r="K87" s="68">
        <f t="shared" si="7"/>
        <v>100.3708397492169</v>
      </c>
    </row>
    <row r="88" spans="2:11" ht="12.95" customHeight="1" x14ac:dyDescent="0.2">
      <c r="B88" s="118" t="s">
        <v>99</v>
      </c>
      <c r="C88" s="66">
        <f>285249976.35</f>
        <v>285249976.35000002</v>
      </c>
      <c r="D88" s="56">
        <f>192024588.72</f>
        <v>192024588.72</v>
      </c>
      <c r="E88" s="102" t="s">
        <v>85</v>
      </c>
      <c r="F88" s="102" t="s">
        <v>85</v>
      </c>
      <c r="G88" s="102" t="s">
        <v>85</v>
      </c>
      <c r="H88" s="102" t="s">
        <v>85</v>
      </c>
      <c r="I88" s="102" t="s">
        <v>85</v>
      </c>
      <c r="J88" s="67">
        <f t="shared" si="9"/>
        <v>16.3828352700091</v>
      </c>
      <c r="K88" s="68">
        <f>IF(C88=0,"",100*D88/C88)</f>
        <v>67.318003379739807</v>
      </c>
    </row>
    <row r="89" spans="2:11" ht="22.5" x14ac:dyDescent="0.2">
      <c r="B89" s="120" t="s">
        <v>100</v>
      </c>
      <c r="C89" s="66">
        <f>227904712.59</f>
        <v>227904712.59</v>
      </c>
      <c r="D89" s="56">
        <f>158246845.5</f>
        <v>158246845.5</v>
      </c>
      <c r="E89" s="102" t="s">
        <v>85</v>
      </c>
      <c r="F89" s="102" t="s">
        <v>85</v>
      </c>
      <c r="G89" s="102" t="s">
        <v>85</v>
      </c>
      <c r="H89" s="102" t="s">
        <v>85</v>
      </c>
      <c r="I89" s="102" t="s">
        <v>85</v>
      </c>
      <c r="J89" s="67">
        <f t="shared" si="9"/>
        <v>13.501041815042617</v>
      </c>
      <c r="K89" s="68">
        <f>IF(C89=0,"",100*D89/C89)</f>
        <v>69.435530183478775</v>
      </c>
    </row>
    <row r="90" spans="2:11" x14ac:dyDescent="0.2">
      <c r="B90" s="25"/>
    </row>
    <row r="91" spans="2:11" x14ac:dyDescent="0.2">
      <c r="B91" s="52" t="s">
        <v>16</v>
      </c>
      <c r="C91" s="79" t="s">
        <v>17</v>
      </c>
      <c r="D91" s="18" t="s">
        <v>1</v>
      </c>
    </row>
    <row r="92" spans="2:11" x14ac:dyDescent="0.2">
      <c r="B92" s="52"/>
      <c r="C92" s="131" t="s">
        <v>59</v>
      </c>
      <c r="D92" s="131"/>
    </row>
    <row r="93" spans="2:11" x14ac:dyDescent="0.2">
      <c r="B93" s="26">
        <v>1</v>
      </c>
      <c r="C93" s="27">
        <v>2</v>
      </c>
      <c r="D93" s="27">
        <v>3</v>
      </c>
    </row>
    <row r="94" spans="2:11" ht="36" customHeight="1" x14ac:dyDescent="0.2">
      <c r="B94" s="53" t="s">
        <v>103</v>
      </c>
      <c r="C94" s="49">
        <f>3239914415.51</f>
        <v>3239914415.5100002</v>
      </c>
      <c r="D94" s="96">
        <f>828279445.95</f>
        <v>828279445.95000005</v>
      </c>
    </row>
    <row r="95" spans="2:11" ht="35.25" customHeight="1" x14ac:dyDescent="0.2">
      <c r="B95" s="121" t="s">
        <v>61</v>
      </c>
      <c r="C95" s="66">
        <f>44800000</f>
        <v>44800000</v>
      </c>
      <c r="D95" s="56">
        <f>10500000</f>
        <v>10500000</v>
      </c>
    </row>
    <row r="96" spans="2:11" ht="12.95" customHeight="1" x14ac:dyDescent="0.2">
      <c r="B96" s="121" t="s">
        <v>62</v>
      </c>
      <c r="C96" s="66">
        <f>964813655.46</f>
        <v>964813655.46000004</v>
      </c>
      <c r="D96" s="56">
        <f>283308160.44</f>
        <v>283308160.44</v>
      </c>
    </row>
    <row r="97" spans="2:4" ht="24" customHeight="1" x14ac:dyDescent="0.2">
      <c r="B97" s="121" t="s">
        <v>63</v>
      </c>
      <c r="C97" s="66">
        <f>0</f>
        <v>0</v>
      </c>
      <c r="D97" s="56">
        <f>0</f>
        <v>0</v>
      </c>
    </row>
    <row r="98" spans="2:4" ht="57.75" customHeight="1" x14ac:dyDescent="0.2">
      <c r="B98" s="121" t="s">
        <v>80</v>
      </c>
      <c r="C98" s="66">
        <f>479993782.26</f>
        <v>479993782.25999999</v>
      </c>
      <c r="D98" s="56">
        <f>72187760.7</f>
        <v>72187760.700000003</v>
      </c>
    </row>
    <row r="99" spans="2:4" ht="81" customHeight="1" x14ac:dyDescent="0.2">
      <c r="B99" s="121" t="s">
        <v>64</v>
      </c>
      <c r="C99" s="66">
        <f>838822181.23</f>
        <v>838822181.23000002</v>
      </c>
      <c r="D99" s="56">
        <f>102840961.21</f>
        <v>102840961.20999999</v>
      </c>
    </row>
    <row r="100" spans="2:4" ht="149.25" customHeight="1" x14ac:dyDescent="0.2">
      <c r="B100" s="121" t="s">
        <v>81</v>
      </c>
      <c r="C100" s="66">
        <f>879308693.74</f>
        <v>879308693.74000001</v>
      </c>
      <c r="D100" s="56">
        <f>357428166.6</f>
        <v>357428166.60000002</v>
      </c>
    </row>
    <row r="101" spans="2:4" ht="25.5" customHeight="1" x14ac:dyDescent="0.2">
      <c r="B101" s="121" t="s">
        <v>82</v>
      </c>
      <c r="C101" s="66">
        <f>5578161.8</f>
        <v>5578161.7999999998</v>
      </c>
      <c r="D101" s="56">
        <f>0</f>
        <v>0</v>
      </c>
    </row>
    <row r="102" spans="2:4" ht="25.5" customHeight="1" x14ac:dyDescent="0.2">
      <c r="B102" s="129" t="s">
        <v>98</v>
      </c>
      <c r="C102" s="66">
        <f>26597941.02</f>
        <v>26597941.02</v>
      </c>
      <c r="D102" s="56">
        <f>2014397</f>
        <v>2014397</v>
      </c>
    </row>
    <row r="104" spans="2:4" ht="10.5" customHeight="1" x14ac:dyDescent="0.2">
      <c r="B104" s="24" t="s">
        <v>48</v>
      </c>
      <c r="C104" s="24">
        <f>4</f>
        <v>4</v>
      </c>
      <c r="D104" s="24" t="str">
        <f>IF(C104=1,"I Kwartał",IF(C104=2,"II Kwartały",IF(C104=3,"III Kwartały",IF(C104=4,"IV Kwartały",IF(C104="M1","Styczeń",IF(C104="M11","Listopad",IF(C104="M12","Grudzień","-")))))))</f>
        <v>IV Kwartały</v>
      </c>
    </row>
    <row r="105" spans="2:4" ht="10.5" customHeight="1" x14ac:dyDescent="0.2">
      <c r="B105" s="24" t="s">
        <v>49</v>
      </c>
      <c r="C105" s="100">
        <f>2024</f>
        <v>2024</v>
      </c>
      <c r="D105" s="25"/>
    </row>
    <row r="106" spans="2:4" ht="12" customHeight="1" x14ac:dyDescent="0.2">
      <c r="B106" s="24" t="s">
        <v>50</v>
      </c>
      <c r="C106" s="145" t="str">
        <f>"Mar 18 2025 12:00AM"</f>
        <v>Mar 18 2025 12:00AM</v>
      </c>
      <c r="D106" s="146"/>
    </row>
    <row r="107" spans="2:4" ht="9.75" hidden="1" customHeight="1" x14ac:dyDescent="0.2">
      <c r="B107" s="24" t="s">
        <v>54</v>
      </c>
      <c r="C107" s="101" t="str">
        <f>""</f>
        <v/>
      </c>
      <c r="D107" s="25"/>
    </row>
  </sheetData>
  <mergeCells count="22">
    <mergeCell ref="J71:K71"/>
    <mergeCell ref="D47:D49"/>
    <mergeCell ref="E47:E49"/>
    <mergeCell ref="F48:F49"/>
    <mergeCell ref="I62:J62"/>
    <mergeCell ref="K47:K49"/>
    <mergeCell ref="C106:D106"/>
    <mergeCell ref="E70:I72"/>
    <mergeCell ref="F47:H47"/>
    <mergeCell ref="G48:H48"/>
    <mergeCell ref="C71:D71"/>
    <mergeCell ref="C92:D92"/>
    <mergeCell ref="J47:J49"/>
    <mergeCell ref="J50:K50"/>
    <mergeCell ref="C3:D3"/>
    <mergeCell ref="J3:L3"/>
    <mergeCell ref="E3:I4"/>
    <mergeCell ref="B2:B3"/>
    <mergeCell ref="C47:C49"/>
    <mergeCell ref="B47:B50"/>
    <mergeCell ref="I47:I49"/>
    <mergeCell ref="C50:I50"/>
  </mergeCells>
  <phoneticPr fontId="0" type="noConversion"/>
  <pageMargins left="0.19685039370078741" right="0.19685039370078741" top="0.35433070866141736" bottom="0.39370078740157483" header="0.31496062992125984" footer="0.19685039370078741"/>
  <pageSetup paperSize="9" scale="85" orientation="landscape" useFirstPageNumber="1" r:id="rId1"/>
  <headerFooter alignWithMargins="0">
    <oddFooter>&amp;RStrona &amp;P z &amp;N</oddFooter>
  </headerFooter>
  <rowBreaks count="4" manualBreakCount="4">
    <brk id="34" min="1" max="11" man="1"/>
    <brk id="44" max="16383" man="1"/>
    <brk id="68" max="16383" man="1"/>
    <brk id="90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2017-03-30T11:49:59Z</cp:lastPrinted>
  <dcterms:created xsi:type="dcterms:W3CDTF">2001-05-17T08:58:03Z</dcterms:created>
  <dcterms:modified xsi:type="dcterms:W3CDTF">2025-03-28T13:57:28Z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2022-06-01T15:12:20.5504483+02:00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GRN-bdb4f178-0504-4a7c-baaa-5bdd997b4a6c</vt:lpwstr>
  </property>
  <property fmtid="{D5CDD505-2E9C-101B-9397-08002B2CF9AE}" pid="7" name="MFHash">
    <vt:lpwstr>cvgFc3qUTZFJKNGd/QdKw5m28phCkq0fuCyZvwRduGg=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