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<sst xmlns="http://schemas.openxmlformats.org/spreadsheetml/2006/main" count="98" uniqueCount="79">
  <si>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</si>
  <si>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</si>
  <si>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</si>
  <si>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</si>
  <si>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</si>
  <si>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</si>
  <si>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</si>
  <si>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</si>
  <si>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</si>
  <si>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</si>
  <si>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</si>
  <si>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</si>
  <si>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</si>
  <si>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</si>
  <si>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</si>
  <si>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</si>
  <si>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</si>
  <si>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</si>
  <si>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</si>
  <si>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</si>
  <si>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</si>
  <si>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</si>
  <si>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</si>
  <si>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</si>
  <si>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</si>
  <si>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</si>
  <si>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</si>
  <si>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</si>
  <si>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</si>
  <si>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</si>
  <si>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</si>
  <si>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</si>
  <si>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</si>
  <si>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</si>
  <si>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</si>
  <si>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</si>
  <si>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</si>
  <si>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</si>
  <si>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</si>
  <si>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</si>
  <si>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</si>
  <si>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</si>
  <si>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</si>
  <si>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</si>
  <si>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</si>
  <si>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</si>
  <si>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</si>
  <si>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</si>
  <si>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</si>
  <si>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</si>
  <si>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</si>
  <si>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</si>
  <si>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</si>
  <si>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</si>
  <si>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</si>
  <si>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</si>
  <si>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</si>
  <si>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</si>
  <si>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</si>
  <si>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</si>
  <si>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</si>
  <si>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</si>
  <si>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</si>
  <si>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</si>
  <si>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</si>
  <si>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</si>
  <si>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</si>
  <si>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</si>
  <si>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</si>
  <si>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</si>
  <si>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</si>
  <si>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</si>
  <si>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</si>
  <si>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</si>
  <si>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E1 papiery wartościowe  (E1.1+E1.2)</t>
  </si>
  <si>
    <t>E2 kredyty i pożyczki (E2.1+E2.2)</t>
  </si>
  <si>
    <t>E4  wymagalne zobowiązania (E4.1+E4.2)</t>
  </si>
  <si>
    <t>N5.2 z tytułu podatków i składek na ubezpieczenia społ.</t>
  </si>
  <si>
    <t xml:space="preserve">Informacja z wykonania budżetów powiatów za   II Kwartały 2018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</si>
</sst>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3" fillId="40" borderId="19" xfId="88" applyFont="1" applyFill="1" applyBorder="1" applyAlignment="1">
      <alignment horizontal="left" vertical="center" wrapText="1"/>
      <protection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88"/>
  <sheetViews>
    <sheetView tabSelected="1" zoomScaleSheetLayoutView="75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2.625" style="2" customWidth="1"/>
    <col min="10" max="10" width="12.875" style="2" customWidth="1"/>
    <col min="11" max="11" width="12.125" style="2" customWidth="1"/>
    <col min="12" max="12" width="11.375" style="2" customWidth="1"/>
    <col min="13" max="13" width="10.00390625" style="2" customWidth="1"/>
    <col min="14" max="14" width="10.25390625" style="2" customWidth="1"/>
    <col min="15" max="15" width="9.125" style="2" customWidth="1"/>
    <col min="16" max="16" width="10.25390625" style="2" customWidth="1"/>
    <col min="17" max="16384" width="9.125" style="2" customWidth="1"/>
  </cols>
  <sheetData>
    <row r="1" spans="1:13" ht="39.75" customHeight="1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9" t="s">
        <v>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2:17" ht="13.5" customHeight="1">
      <c r="B5" s="9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8"/>
      <c r="O5" s="8"/>
      <c r="P5" s="8"/>
      <c r="Q5" s="8"/>
    </row>
    <row r="6" spans="1:17" ht="13.5" customHeight="1">
      <c r="A6" s="72" t="s">
        <v>0</v>
      </c>
      <c r="B6" s="30" t="s">
        <v>59</v>
      </c>
      <c r="C6" s="25" t="s">
        <v>63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5" t="s">
        <v>62</v>
      </c>
      <c r="P6" s="26"/>
      <c r="Q6" s="27"/>
    </row>
    <row r="7" spans="1:17" ht="13.5" customHeight="1">
      <c r="A7" s="73"/>
      <c r="B7" s="31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69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1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73"/>
      <c r="B8" s="31"/>
      <c r="C8" s="28"/>
      <c r="D8" s="28"/>
      <c r="E8" s="28"/>
      <c r="F8" s="28"/>
      <c r="G8" s="28"/>
      <c r="H8" s="28"/>
      <c r="I8" s="69"/>
      <c r="J8" s="28"/>
      <c r="K8" s="28"/>
      <c r="L8" s="28"/>
      <c r="M8" s="28"/>
      <c r="N8" s="31"/>
      <c r="O8" s="28"/>
      <c r="P8" s="28"/>
      <c r="Q8" s="28"/>
    </row>
    <row r="9" spans="1:17" ht="11.25" customHeight="1">
      <c r="A9" s="73"/>
      <c r="B9" s="31"/>
      <c r="C9" s="28"/>
      <c r="D9" s="28"/>
      <c r="E9" s="28"/>
      <c r="F9" s="28"/>
      <c r="G9" s="28"/>
      <c r="H9" s="28"/>
      <c r="I9" s="69"/>
      <c r="J9" s="28"/>
      <c r="K9" s="28"/>
      <c r="L9" s="28"/>
      <c r="M9" s="28"/>
      <c r="N9" s="31"/>
      <c r="O9" s="28"/>
      <c r="P9" s="28"/>
      <c r="Q9" s="28"/>
    </row>
    <row r="10" spans="1:17" ht="33.75" customHeight="1">
      <c r="A10" s="74"/>
      <c r="B10" s="32"/>
      <c r="C10" s="28"/>
      <c r="D10" s="28"/>
      <c r="E10" s="28"/>
      <c r="F10" s="28"/>
      <c r="G10" s="28"/>
      <c r="H10" s="28"/>
      <c r="I10" s="70"/>
      <c r="J10" s="28"/>
      <c r="K10" s="28"/>
      <c r="L10" s="28"/>
      <c r="M10" s="28"/>
      <c r="N10" s="32"/>
      <c r="O10" s="28"/>
      <c r="P10" s="28"/>
      <c r="Q10" s="28"/>
    </row>
    <row r="11" spans="1:17" ht="15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2" customHeight="1">
      <c r="A12" s="10"/>
      <c r="B12" s="78" t="s">
        <v>73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</row>
    <row r="13" spans="1:17" ht="39.75" customHeight="1">
      <c r="A13" s="18" t="s">
        <v>43</v>
      </c>
      <c r="B13" s="19">
        <f>5409098566.25</f>
        <v>5409098566.25</v>
      </c>
      <c r="C13" s="19">
        <f>5409098566.25</f>
        <v>5409098566.25</v>
      </c>
      <c r="D13" s="19">
        <f>195007714.36</f>
        <v>195007714.36</v>
      </c>
      <c r="E13" s="19">
        <f>120488415.64</f>
        <v>120488415.64</v>
      </c>
      <c r="F13" s="19">
        <f>32740607.97</f>
        <v>32740607.97</v>
      </c>
      <c r="G13" s="19">
        <f>41407845.05</f>
        <v>41407845.05</v>
      </c>
      <c r="H13" s="19">
        <f>370845.7</f>
        <v>370845.7</v>
      </c>
      <c r="I13" s="19">
        <f>0</f>
        <v>0</v>
      </c>
      <c r="J13" s="19">
        <f>5117914150.65</f>
        <v>5117914150.65</v>
      </c>
      <c r="K13" s="19">
        <f>87154362.43</f>
        <v>87154362.43</v>
      </c>
      <c r="L13" s="19">
        <f>3344358.2</f>
        <v>3344358.2</v>
      </c>
      <c r="M13" s="19">
        <f>2279735.3</f>
        <v>2279735.3</v>
      </c>
      <c r="N13" s="19">
        <f>3398245.31</f>
        <v>3398245.31</v>
      </c>
      <c r="O13" s="19">
        <f>0</f>
        <v>0</v>
      </c>
      <c r="P13" s="19">
        <f>0</f>
        <v>0</v>
      </c>
      <c r="Q13" s="19">
        <f>0</f>
        <v>0</v>
      </c>
    </row>
    <row r="14" spans="1:17" ht="24.75" customHeight="1">
      <c r="A14" s="17" t="s">
        <v>74</v>
      </c>
      <c r="B14" s="19">
        <f>69545000</f>
        <v>69545000</v>
      </c>
      <c r="C14" s="19">
        <f>69545000</f>
        <v>69545000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66345000</f>
        <v>66345000</v>
      </c>
      <c r="K14" s="19">
        <f>3200000</f>
        <v>3200000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21" customHeight="1">
      <c r="A15" s="15" t="s">
        <v>44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20.25" customHeight="1">
      <c r="A16" s="15" t="s">
        <v>45</v>
      </c>
      <c r="B16" s="20">
        <f>69545000</f>
        <v>69545000</v>
      </c>
      <c r="C16" s="20">
        <f>69545000</f>
        <v>69545000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66345000</f>
        <v>66345000</v>
      </c>
      <c r="K16" s="20">
        <f>3200000</f>
        <v>3200000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24" customHeight="1">
      <c r="A17" s="18" t="s">
        <v>75</v>
      </c>
      <c r="B17" s="19">
        <f>5330612044.86</f>
        <v>5330612044.86</v>
      </c>
      <c r="C17" s="19">
        <f>5330612044.86</f>
        <v>5330612044.86</v>
      </c>
      <c r="D17" s="19">
        <f>187978781.71</f>
        <v>187978781.71</v>
      </c>
      <c r="E17" s="19">
        <f>117677110.66</f>
        <v>117677110.66</v>
      </c>
      <c r="F17" s="19">
        <f>29739059.24</f>
        <v>29739059.24</v>
      </c>
      <c r="G17" s="19">
        <f>40562611.81</f>
        <v>40562611.81</v>
      </c>
      <c r="H17" s="19">
        <f>0</f>
        <v>0</v>
      </c>
      <c r="I17" s="19">
        <f>0</f>
        <v>0</v>
      </c>
      <c r="J17" s="19">
        <f>5051569150.65</f>
        <v>5051569150.65</v>
      </c>
      <c r="K17" s="19">
        <f>83954362.43</f>
        <v>83954362.43</v>
      </c>
      <c r="L17" s="19">
        <f>2537024.31</f>
        <v>2537024.31</v>
      </c>
      <c r="M17" s="19">
        <f>1174480.45</f>
        <v>1174480.45</v>
      </c>
      <c r="N17" s="19">
        <f>3398245.31</f>
        <v>3398245.31</v>
      </c>
      <c r="O17" s="19">
        <f>0</f>
        <v>0</v>
      </c>
      <c r="P17" s="19">
        <f>0</f>
        <v>0</v>
      </c>
      <c r="Q17" s="19">
        <f>0</f>
        <v>0</v>
      </c>
    </row>
    <row r="18" spans="1:17" ht="23.25" customHeight="1">
      <c r="A18" s="15" t="s">
        <v>46</v>
      </c>
      <c r="B18" s="20">
        <f>34804345.06</f>
        <v>34804345.06</v>
      </c>
      <c r="C18" s="20">
        <f>34804345.06</f>
        <v>34804345.06</v>
      </c>
      <c r="D18" s="20">
        <f>3742104.81</f>
        <v>3742104.81</v>
      </c>
      <c r="E18" s="20">
        <f>3653354.81</f>
        <v>3653354.81</v>
      </c>
      <c r="F18" s="20">
        <f>0</f>
        <v>0</v>
      </c>
      <c r="G18" s="20">
        <f>88750</f>
        <v>88750</v>
      </c>
      <c r="H18" s="20">
        <f>0</f>
        <v>0</v>
      </c>
      <c r="I18" s="20">
        <f>0</f>
        <v>0</v>
      </c>
      <c r="J18" s="20">
        <f>29581086.59</f>
        <v>29581086.59</v>
      </c>
      <c r="K18" s="20">
        <f>0</f>
        <v>0</v>
      </c>
      <c r="L18" s="20">
        <f>1481153.66</f>
        <v>1481153.66</v>
      </c>
      <c r="M18" s="20">
        <f>0</f>
        <v>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21.75" customHeight="1">
      <c r="A19" s="15" t="s">
        <v>47</v>
      </c>
      <c r="B19" s="20">
        <f>5295807699.8</f>
        <v>5295807699.8</v>
      </c>
      <c r="C19" s="20">
        <f>5295807699.8</f>
        <v>5295807699.8</v>
      </c>
      <c r="D19" s="20">
        <f>184236676.9</f>
        <v>184236676.9</v>
      </c>
      <c r="E19" s="20">
        <f>114023755.85</f>
        <v>114023755.85</v>
      </c>
      <c r="F19" s="20">
        <f>29739059.24</f>
        <v>29739059.24</v>
      </c>
      <c r="G19" s="20">
        <f>40473861.81</f>
        <v>40473861.81</v>
      </c>
      <c r="H19" s="20">
        <f>0</f>
        <v>0</v>
      </c>
      <c r="I19" s="20">
        <f>0</f>
        <v>0</v>
      </c>
      <c r="J19" s="20">
        <f>5021988064.06</f>
        <v>5021988064.06</v>
      </c>
      <c r="K19" s="20">
        <f>83954362.43</f>
        <v>83954362.43</v>
      </c>
      <c r="L19" s="20">
        <f>1055870.65</f>
        <v>1055870.65</v>
      </c>
      <c r="M19" s="20">
        <f>1174480.45</f>
        <v>1174480.45</v>
      </c>
      <c r="N19" s="20">
        <f>3398245.31</f>
        <v>3398245.31</v>
      </c>
      <c r="O19" s="20">
        <f>0</f>
        <v>0</v>
      </c>
      <c r="P19" s="20">
        <f>0</f>
        <v>0</v>
      </c>
      <c r="Q19" s="20">
        <f>0</f>
        <v>0</v>
      </c>
    </row>
    <row r="20" spans="1:17" ht="21.75" customHeight="1">
      <c r="A20" s="15" t="s">
        <v>48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4.75" customHeight="1">
      <c r="A21" s="18" t="s">
        <v>76</v>
      </c>
      <c r="B21" s="19">
        <f>8941521.39</f>
        <v>8941521.39</v>
      </c>
      <c r="C21" s="19">
        <f>8941521.39</f>
        <v>8941521.39</v>
      </c>
      <c r="D21" s="19">
        <f>7028932.65</f>
        <v>7028932.65</v>
      </c>
      <c r="E21" s="19">
        <f>2811304.98</f>
        <v>2811304.98</v>
      </c>
      <c r="F21" s="19">
        <f>3001548.73</f>
        <v>3001548.73</v>
      </c>
      <c r="G21" s="19">
        <f>845233.24</f>
        <v>845233.24</v>
      </c>
      <c r="H21" s="19">
        <f>370845.7</f>
        <v>370845.7</v>
      </c>
      <c r="I21" s="19">
        <f>0</f>
        <v>0</v>
      </c>
      <c r="J21" s="19">
        <f>0</f>
        <v>0</v>
      </c>
      <c r="K21" s="19">
        <f>0</f>
        <v>0</v>
      </c>
      <c r="L21" s="19">
        <f>807333.89</f>
        <v>807333.89</v>
      </c>
      <c r="M21" s="19">
        <f>1105254.85</f>
        <v>1105254.85</v>
      </c>
      <c r="N21" s="19">
        <f>0</f>
        <v>0</v>
      </c>
      <c r="O21" s="19">
        <f>0</f>
        <v>0</v>
      </c>
      <c r="P21" s="19">
        <f>0</f>
        <v>0</v>
      </c>
      <c r="Q21" s="19">
        <f>0</f>
        <v>0</v>
      </c>
    </row>
    <row r="22" spans="1:17" ht="22.5">
      <c r="A22" s="15" t="s">
        <v>49</v>
      </c>
      <c r="B22" s="20">
        <f>914693.95</f>
        <v>914693.95</v>
      </c>
      <c r="C22" s="20">
        <f>914693.95</f>
        <v>914693.95</v>
      </c>
      <c r="D22" s="20">
        <f>330</f>
        <v>330</v>
      </c>
      <c r="E22" s="20">
        <f>0</f>
        <v>0</v>
      </c>
      <c r="F22" s="20">
        <f>0</f>
        <v>0</v>
      </c>
      <c r="G22" s="20">
        <f>330</f>
        <v>330</v>
      </c>
      <c r="H22" s="20">
        <f>0</f>
        <v>0</v>
      </c>
      <c r="I22" s="20">
        <f>0</f>
        <v>0</v>
      </c>
      <c r="J22" s="20">
        <f>0</f>
        <v>0</v>
      </c>
      <c r="K22" s="20">
        <f>0</f>
        <v>0</v>
      </c>
      <c r="L22" s="20">
        <f>777770.33</f>
        <v>777770.33</v>
      </c>
      <c r="M22" s="20">
        <f>136593.62</f>
        <v>136593.62</v>
      </c>
      <c r="N22" s="20">
        <f>0</f>
        <v>0</v>
      </c>
      <c r="O22" s="20">
        <f>0</f>
        <v>0</v>
      </c>
      <c r="P22" s="20">
        <f>0</f>
        <v>0</v>
      </c>
      <c r="Q22" s="20">
        <f>0</f>
        <v>0</v>
      </c>
    </row>
    <row r="23" spans="1:17" ht="23.25" customHeight="1">
      <c r="A23" s="15" t="s">
        <v>50</v>
      </c>
      <c r="B23" s="20">
        <f>8026827.44</f>
        <v>8026827.44</v>
      </c>
      <c r="C23" s="20">
        <f>8026827.44</f>
        <v>8026827.44</v>
      </c>
      <c r="D23" s="20">
        <f>7028602.65</f>
        <v>7028602.65</v>
      </c>
      <c r="E23" s="20">
        <f>2811304.98</f>
        <v>2811304.98</v>
      </c>
      <c r="F23" s="20">
        <f>3001548.73</f>
        <v>3001548.73</v>
      </c>
      <c r="G23" s="20">
        <f>844903.24</f>
        <v>844903.24</v>
      </c>
      <c r="H23" s="20">
        <f>370845.7</f>
        <v>370845.7</v>
      </c>
      <c r="I23" s="20">
        <f>0</f>
        <v>0</v>
      </c>
      <c r="J23" s="20">
        <f>0</f>
        <v>0</v>
      </c>
      <c r="K23" s="20">
        <f>0</f>
        <v>0</v>
      </c>
      <c r="L23" s="20">
        <f>29563.56</f>
        <v>29563.56</v>
      </c>
      <c r="M23" s="20">
        <f>968661.23</f>
        <v>968661.23</v>
      </c>
      <c r="N23" s="20">
        <f>0</f>
        <v>0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3" ht="45.75" customHeight="1">
      <c r="A27" s="29" t="s">
        <v>78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9" spans="1:13" ht="13.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1" spans="1:17" ht="13.5" customHeight="1">
      <c r="A31" s="72" t="s">
        <v>0</v>
      </c>
      <c r="B31" s="30" t="s">
        <v>9</v>
      </c>
      <c r="C31" s="75" t="s">
        <v>11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75" t="s">
        <v>21</v>
      </c>
      <c r="P31" s="76"/>
      <c r="Q31" s="77"/>
    </row>
    <row r="32" spans="1:17" ht="13.5" customHeight="1">
      <c r="A32" s="73"/>
      <c r="B32" s="31"/>
      <c r="C32" s="31" t="s">
        <v>10</v>
      </c>
      <c r="D32" s="28" t="s">
        <v>12</v>
      </c>
      <c r="E32" s="28" t="s">
        <v>22</v>
      </c>
      <c r="F32" s="28" t="s">
        <v>23</v>
      </c>
      <c r="G32" s="28" t="s">
        <v>68</v>
      </c>
      <c r="H32" s="28" t="s">
        <v>25</v>
      </c>
      <c r="I32" s="28" t="s">
        <v>1</v>
      </c>
      <c r="J32" s="28" t="s">
        <v>13</v>
      </c>
      <c r="K32" s="28" t="s">
        <v>14</v>
      </c>
      <c r="L32" s="28" t="s">
        <v>15</v>
      </c>
      <c r="M32" s="28" t="s">
        <v>16</v>
      </c>
      <c r="N32" s="33" t="s">
        <v>17</v>
      </c>
      <c r="O32" s="28" t="s">
        <v>18</v>
      </c>
      <c r="P32" s="28" t="s">
        <v>19</v>
      </c>
      <c r="Q32" s="30" t="s">
        <v>20</v>
      </c>
    </row>
    <row r="33" spans="1:17" ht="13.5" customHeight="1">
      <c r="A33" s="73"/>
      <c r="B33" s="31"/>
      <c r="C33" s="3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3"/>
      <c r="O33" s="28"/>
      <c r="P33" s="28"/>
      <c r="Q33" s="31"/>
    </row>
    <row r="34" spans="1:17" ht="11.25" customHeight="1">
      <c r="A34" s="73"/>
      <c r="B34" s="31"/>
      <c r="C34" s="3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3"/>
      <c r="O34" s="28"/>
      <c r="P34" s="28"/>
      <c r="Q34" s="31"/>
    </row>
    <row r="35" spans="1:17" ht="41.25" customHeight="1">
      <c r="A35" s="74"/>
      <c r="B35" s="32"/>
      <c r="C35" s="3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3"/>
      <c r="O35" s="28"/>
      <c r="P35" s="28"/>
      <c r="Q35" s="32"/>
    </row>
    <row r="36" spans="1:17" ht="15.75" customHeight="1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  <c r="G36" s="10">
        <v>7</v>
      </c>
      <c r="H36" s="10">
        <v>8</v>
      </c>
      <c r="I36" s="10">
        <v>9</v>
      </c>
      <c r="J36" s="10">
        <v>10</v>
      </c>
      <c r="K36" s="10">
        <v>11</v>
      </c>
      <c r="L36" s="10">
        <v>12</v>
      </c>
      <c r="M36" s="10">
        <v>13</v>
      </c>
      <c r="N36" s="10">
        <v>14</v>
      </c>
      <c r="O36" s="10">
        <v>15</v>
      </c>
      <c r="P36" s="10">
        <v>16</v>
      </c>
      <c r="Q36" s="10">
        <v>17</v>
      </c>
    </row>
    <row r="37" spans="1:17" ht="12" customHeight="1">
      <c r="A37" s="10"/>
      <c r="B37" s="78" t="s">
        <v>73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 ht="27.75" customHeight="1" hidden="1">
      <c r="A38" s="11" t="s">
        <v>26</v>
      </c>
      <c r="B38" s="12">
        <f>0</f>
        <v>0</v>
      </c>
      <c r="C38" s="12">
        <f>0</f>
        <v>0</v>
      </c>
      <c r="D38" s="12">
        <f>0</f>
        <v>0</v>
      </c>
      <c r="E38" s="12">
        <f>0</f>
        <v>0</v>
      </c>
      <c r="F38" s="12">
        <f>0</f>
        <v>0</v>
      </c>
      <c r="G38" s="12">
        <f>0</f>
        <v>0</v>
      </c>
      <c r="H38" s="12">
        <f>0</f>
        <v>0</v>
      </c>
      <c r="I38" s="12">
        <f>0</f>
        <v>0</v>
      </c>
      <c r="J38" s="12">
        <f>0</f>
        <v>0</v>
      </c>
      <c r="K38" s="12">
        <f>0</f>
        <v>0</v>
      </c>
      <c r="L38" s="12">
        <f>0</f>
        <v>0</v>
      </c>
      <c r="M38" s="12">
        <f>0</f>
        <v>0</v>
      </c>
      <c r="N38" s="12">
        <f>0</f>
        <v>0</v>
      </c>
      <c r="O38" s="12">
        <f>0</f>
        <v>0</v>
      </c>
      <c r="P38" s="12">
        <f>0</f>
        <v>0</v>
      </c>
      <c r="Q38" s="12">
        <f>0</f>
        <v>0</v>
      </c>
    </row>
    <row r="39" spans="1:17" ht="30" customHeight="1">
      <c r="A39" s="23" t="s">
        <v>38</v>
      </c>
      <c r="B39" s="21">
        <f>50009</f>
        <v>50009</v>
      </c>
      <c r="C39" s="21">
        <f>50009</f>
        <v>50009</v>
      </c>
      <c r="D39" s="21">
        <f>50009</f>
        <v>50009</v>
      </c>
      <c r="E39" s="21">
        <f>50009</f>
        <v>50009</v>
      </c>
      <c r="F39" s="21">
        <f>0</f>
        <v>0</v>
      </c>
      <c r="G39" s="21">
        <f>0</f>
        <v>0</v>
      </c>
      <c r="H39" s="21">
        <f>0</f>
        <v>0</v>
      </c>
      <c r="I39" s="21">
        <f>0</f>
        <v>0</v>
      </c>
      <c r="J39" s="21">
        <f>0</f>
        <v>0</v>
      </c>
      <c r="K39" s="21">
        <f>0</f>
        <v>0</v>
      </c>
      <c r="L39" s="21">
        <f>0</f>
        <v>0</v>
      </c>
      <c r="M39" s="21">
        <f>0</f>
        <v>0</v>
      </c>
      <c r="N39" s="21">
        <f>0</f>
        <v>0</v>
      </c>
      <c r="O39" s="21">
        <f>0</f>
        <v>0</v>
      </c>
      <c r="P39" s="21">
        <f>0</f>
        <v>0</v>
      </c>
      <c r="Q39" s="21">
        <f>0</f>
        <v>0</v>
      </c>
    </row>
    <row r="40" spans="1:17" ht="25.5" customHeight="1">
      <c r="A40" s="16" t="s">
        <v>27</v>
      </c>
      <c r="B40" s="22">
        <f>0</f>
        <v>0</v>
      </c>
      <c r="C40" s="22">
        <f>0</f>
        <v>0</v>
      </c>
      <c r="D40" s="22">
        <f>0</f>
        <v>0</v>
      </c>
      <c r="E40" s="22">
        <f>0</f>
        <v>0</v>
      </c>
      <c r="F40" s="22">
        <f>0</f>
        <v>0</v>
      </c>
      <c r="G40" s="22">
        <f>0</f>
        <v>0</v>
      </c>
      <c r="H40" s="22">
        <f>0</f>
        <v>0</v>
      </c>
      <c r="I40" s="22">
        <f>0</f>
        <v>0</v>
      </c>
      <c r="J40" s="22">
        <f>0</f>
        <v>0</v>
      </c>
      <c r="K40" s="22">
        <f>0</f>
        <v>0</v>
      </c>
      <c r="L40" s="22">
        <f>0</f>
        <v>0</v>
      </c>
      <c r="M40" s="22">
        <f>0</f>
        <v>0</v>
      </c>
      <c r="N40" s="22">
        <f>0</f>
        <v>0</v>
      </c>
      <c r="O40" s="22">
        <f>0</f>
        <v>0</v>
      </c>
      <c r="P40" s="22">
        <f>0</f>
        <v>0</v>
      </c>
      <c r="Q40" s="22">
        <f>0</f>
        <v>0</v>
      </c>
    </row>
    <row r="41" spans="1:17" ht="25.5" customHeight="1">
      <c r="A41" s="16" t="s">
        <v>28</v>
      </c>
      <c r="B41" s="22">
        <f>50009</f>
        <v>50009</v>
      </c>
      <c r="C41" s="22">
        <f>50009</f>
        <v>50009</v>
      </c>
      <c r="D41" s="22">
        <f>50009</f>
        <v>50009</v>
      </c>
      <c r="E41" s="22">
        <f>50009</f>
        <v>50009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30" customHeight="1">
      <c r="A42" s="23" t="s">
        <v>39</v>
      </c>
      <c r="B42" s="21">
        <f>140330526.04</f>
        <v>140330526.04</v>
      </c>
      <c r="C42" s="21">
        <f>140330526.04</f>
        <v>140330526.04</v>
      </c>
      <c r="D42" s="21">
        <f>83971901.42</f>
        <v>83971901.42</v>
      </c>
      <c r="E42" s="21">
        <f>257910.7</f>
        <v>257910.7</v>
      </c>
      <c r="F42" s="21">
        <f>1428501.79</f>
        <v>1428501.79</v>
      </c>
      <c r="G42" s="21">
        <f>82285488.93</f>
        <v>82285488.93</v>
      </c>
      <c r="H42" s="21">
        <f>0</f>
        <v>0</v>
      </c>
      <c r="I42" s="21">
        <f>0</f>
        <v>0</v>
      </c>
      <c r="J42" s="21">
        <f>0</f>
        <v>0</v>
      </c>
      <c r="K42" s="21">
        <f>7083.2</f>
        <v>7083.2</v>
      </c>
      <c r="L42" s="21">
        <f>37692459.17</f>
        <v>37692459.17</v>
      </c>
      <c r="M42" s="21">
        <f>16991052.62</f>
        <v>16991052.62</v>
      </c>
      <c r="N42" s="21">
        <f>1668029.63</f>
        <v>1668029.63</v>
      </c>
      <c r="O42" s="21">
        <f>0</f>
        <v>0</v>
      </c>
      <c r="P42" s="21">
        <f>0</f>
        <v>0</v>
      </c>
      <c r="Q42" s="21">
        <f>0</f>
        <v>0</v>
      </c>
    </row>
    <row r="43" spans="1:17" ht="25.5" customHeight="1">
      <c r="A43" s="16" t="s">
        <v>29</v>
      </c>
      <c r="B43" s="22">
        <f>36258920.23</f>
        <v>36258920.23</v>
      </c>
      <c r="C43" s="22">
        <f>36258920.23</f>
        <v>36258920.23</v>
      </c>
      <c r="D43" s="22">
        <f>26762353.56</f>
        <v>26762353.56</v>
      </c>
      <c r="E43" s="22">
        <f>0</f>
        <v>0</v>
      </c>
      <c r="F43" s="22">
        <f>480000</f>
        <v>480000</v>
      </c>
      <c r="G43" s="22">
        <f>26282353.56</f>
        <v>26282353.56</v>
      </c>
      <c r="H43" s="22">
        <f>0</f>
        <v>0</v>
      </c>
      <c r="I43" s="22">
        <f>0</f>
        <v>0</v>
      </c>
      <c r="J43" s="22">
        <f>0</f>
        <v>0</v>
      </c>
      <c r="K43" s="22">
        <f>0</f>
        <v>0</v>
      </c>
      <c r="L43" s="22">
        <f>8014801.03</f>
        <v>8014801.03</v>
      </c>
      <c r="M43" s="22">
        <f>1015851.01</f>
        <v>1015851.01</v>
      </c>
      <c r="N43" s="22">
        <f>465914.63</f>
        <v>465914.63</v>
      </c>
      <c r="O43" s="22">
        <f>0</f>
        <v>0</v>
      </c>
      <c r="P43" s="22">
        <f>0</f>
        <v>0</v>
      </c>
      <c r="Q43" s="22">
        <f>0</f>
        <v>0</v>
      </c>
    </row>
    <row r="44" spans="1:17" ht="25.5" customHeight="1">
      <c r="A44" s="16" t="s">
        <v>30</v>
      </c>
      <c r="B44" s="22">
        <f>104071605.81</f>
        <v>104071605.81</v>
      </c>
      <c r="C44" s="22">
        <f>104071605.81</f>
        <v>104071605.81</v>
      </c>
      <c r="D44" s="22">
        <f>57209547.86</f>
        <v>57209547.86</v>
      </c>
      <c r="E44" s="22">
        <f>257910.7</f>
        <v>257910.7</v>
      </c>
      <c r="F44" s="22">
        <f>948501.79</f>
        <v>948501.79</v>
      </c>
      <c r="G44" s="22">
        <f>56003135.37</f>
        <v>56003135.37</v>
      </c>
      <c r="H44" s="22">
        <f>0</f>
        <v>0</v>
      </c>
      <c r="I44" s="22">
        <f>0</f>
        <v>0</v>
      </c>
      <c r="J44" s="22">
        <f>0</f>
        <v>0</v>
      </c>
      <c r="K44" s="22">
        <f>7083.2</f>
        <v>7083.2</v>
      </c>
      <c r="L44" s="22">
        <f>29677658.14</f>
        <v>29677658.14</v>
      </c>
      <c r="M44" s="22">
        <f>15975201.61</f>
        <v>15975201.61</v>
      </c>
      <c r="N44" s="22">
        <f>1202115</f>
        <v>1202115</v>
      </c>
      <c r="O44" s="22">
        <f>0</f>
        <v>0</v>
      </c>
      <c r="P44" s="22">
        <f>0</f>
        <v>0</v>
      </c>
      <c r="Q44" s="22">
        <f>0</f>
        <v>0</v>
      </c>
    </row>
    <row r="45" spans="1:17" ht="30" customHeight="1">
      <c r="A45" s="23" t="s">
        <v>40</v>
      </c>
      <c r="B45" s="21">
        <f>3528185271.58</f>
        <v>3528185271.58</v>
      </c>
      <c r="C45" s="21">
        <f>3528185271.58</f>
        <v>3528185271.58</v>
      </c>
      <c r="D45" s="21">
        <f>2852652.87</f>
        <v>2852652.87</v>
      </c>
      <c r="E45" s="21">
        <f>17809</f>
        <v>17809</v>
      </c>
      <c r="F45" s="21">
        <f>0</f>
        <v>0</v>
      </c>
      <c r="G45" s="21">
        <f>2834843.87</f>
        <v>2834843.87</v>
      </c>
      <c r="H45" s="21">
        <f>0</f>
        <v>0</v>
      </c>
      <c r="I45" s="21">
        <f>3035334.99</f>
        <v>3035334.99</v>
      </c>
      <c r="J45" s="21">
        <f>3522137354.28</f>
        <v>3522137354.28</v>
      </c>
      <c r="K45" s="21">
        <f>13244.5</f>
        <v>13244.5</v>
      </c>
      <c r="L45" s="21">
        <f>39287.56</f>
        <v>39287.56</v>
      </c>
      <c r="M45" s="21">
        <f>2000</f>
        <v>2000</v>
      </c>
      <c r="N45" s="21">
        <f>105397.38</f>
        <v>105397.38</v>
      </c>
      <c r="O45" s="21">
        <f>0</f>
        <v>0</v>
      </c>
      <c r="P45" s="21">
        <f>0</f>
        <v>0</v>
      </c>
      <c r="Q45" s="21">
        <f>0</f>
        <v>0</v>
      </c>
    </row>
    <row r="46" spans="1:17" ht="25.5" customHeight="1">
      <c r="A46" s="16" t="s">
        <v>31</v>
      </c>
      <c r="B46" s="22">
        <f>2834843.87</f>
        <v>2834843.87</v>
      </c>
      <c r="C46" s="22">
        <f>2834843.87</f>
        <v>2834843.87</v>
      </c>
      <c r="D46" s="22">
        <f>2834843.87</f>
        <v>2834843.87</v>
      </c>
      <c r="E46" s="22">
        <f>0</f>
        <v>0</v>
      </c>
      <c r="F46" s="22">
        <f>0</f>
        <v>0</v>
      </c>
      <c r="G46" s="22">
        <f>2834843.87</f>
        <v>2834843.87</v>
      </c>
      <c r="H46" s="22">
        <f>0</f>
        <v>0</v>
      </c>
      <c r="I46" s="22">
        <f>0</f>
        <v>0</v>
      </c>
      <c r="J46" s="22">
        <f>0</f>
        <v>0</v>
      </c>
      <c r="K46" s="22">
        <f>0</f>
        <v>0</v>
      </c>
      <c r="L46" s="22">
        <f>0</f>
        <v>0</v>
      </c>
      <c r="M46" s="22">
        <f>0</f>
        <v>0</v>
      </c>
      <c r="N46" s="22">
        <f>0</f>
        <v>0</v>
      </c>
      <c r="O46" s="22">
        <f>0</f>
        <v>0</v>
      </c>
      <c r="P46" s="22">
        <f>0</f>
        <v>0</v>
      </c>
      <c r="Q46" s="22">
        <f>0</f>
        <v>0</v>
      </c>
    </row>
    <row r="47" spans="1:17" ht="25.5" customHeight="1">
      <c r="A47" s="16" t="s">
        <v>32</v>
      </c>
      <c r="B47" s="22">
        <f>3015977771.08</f>
        <v>3015977771.08</v>
      </c>
      <c r="C47" s="22">
        <f>3015977771.08</f>
        <v>3015977771.08</v>
      </c>
      <c r="D47" s="22">
        <f>0</f>
        <v>0</v>
      </c>
      <c r="E47" s="22">
        <f>0</f>
        <v>0</v>
      </c>
      <c r="F47" s="22">
        <f>0</f>
        <v>0</v>
      </c>
      <c r="G47" s="22">
        <f>0</f>
        <v>0</v>
      </c>
      <c r="H47" s="22">
        <f>0</f>
        <v>0</v>
      </c>
      <c r="I47" s="22">
        <f>3035334.99</f>
        <v>3035334.99</v>
      </c>
      <c r="J47" s="22">
        <f>3012833079.77</f>
        <v>3012833079.77</v>
      </c>
      <c r="K47" s="22">
        <f>0</f>
        <v>0</v>
      </c>
      <c r="L47" s="22">
        <f>3958.94</f>
        <v>3958.94</v>
      </c>
      <c r="M47" s="22">
        <f>0</f>
        <v>0</v>
      </c>
      <c r="N47" s="22">
        <f>105397.38</f>
        <v>105397.38</v>
      </c>
      <c r="O47" s="22">
        <f>0</f>
        <v>0</v>
      </c>
      <c r="P47" s="22">
        <f>0</f>
        <v>0</v>
      </c>
      <c r="Q47" s="22">
        <f>0</f>
        <v>0</v>
      </c>
    </row>
    <row r="48" spans="1:17" ht="25.5" customHeight="1">
      <c r="A48" s="16" t="s">
        <v>33</v>
      </c>
      <c r="B48" s="22">
        <f>509372656.63</f>
        <v>509372656.63</v>
      </c>
      <c r="C48" s="22">
        <f>509372656.63</f>
        <v>509372656.63</v>
      </c>
      <c r="D48" s="22">
        <f>17809</f>
        <v>17809</v>
      </c>
      <c r="E48" s="22">
        <f>17809</f>
        <v>17809</v>
      </c>
      <c r="F48" s="22">
        <f>0</f>
        <v>0</v>
      </c>
      <c r="G48" s="22">
        <f>0</f>
        <v>0</v>
      </c>
      <c r="H48" s="22">
        <f>0</f>
        <v>0</v>
      </c>
      <c r="I48" s="22">
        <f>0</f>
        <v>0</v>
      </c>
      <c r="J48" s="22">
        <f>509304274.51</f>
        <v>509304274.51</v>
      </c>
      <c r="K48" s="22">
        <f>13244.5</f>
        <v>13244.5</v>
      </c>
      <c r="L48" s="22">
        <f>35328.62</f>
        <v>35328.62</v>
      </c>
      <c r="M48" s="22">
        <f>2000</f>
        <v>2000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30" customHeight="1">
      <c r="A49" s="23" t="s">
        <v>41</v>
      </c>
      <c r="B49" s="21">
        <f>493576501.98</f>
        <v>493576501.98</v>
      </c>
      <c r="C49" s="21">
        <f>493025433.39</f>
        <v>493025433.39</v>
      </c>
      <c r="D49" s="21">
        <f>29428098.44</f>
        <v>29428098.44</v>
      </c>
      <c r="E49" s="21">
        <f>5961560.37</f>
        <v>5961560.37</v>
      </c>
      <c r="F49" s="21">
        <f>91755.32</f>
        <v>91755.32</v>
      </c>
      <c r="G49" s="21">
        <f>22786148.05</f>
        <v>22786148.05</v>
      </c>
      <c r="H49" s="21">
        <f>588634.7</f>
        <v>588634.7</v>
      </c>
      <c r="I49" s="21">
        <f>0</f>
        <v>0</v>
      </c>
      <c r="J49" s="21">
        <f>21661</f>
        <v>21661</v>
      </c>
      <c r="K49" s="21">
        <f>246331.45</f>
        <v>246331.45</v>
      </c>
      <c r="L49" s="21">
        <f>123308646.77</f>
        <v>123308646.77</v>
      </c>
      <c r="M49" s="21">
        <f>337559388.2</f>
        <v>337559388.2</v>
      </c>
      <c r="N49" s="21">
        <f>2461307.53</f>
        <v>2461307.53</v>
      </c>
      <c r="O49" s="21">
        <f>551068.59</f>
        <v>551068.59</v>
      </c>
      <c r="P49" s="21">
        <f>203489.35</f>
        <v>203489.35</v>
      </c>
      <c r="Q49" s="21">
        <f>347579.24</f>
        <v>347579.24</v>
      </c>
    </row>
    <row r="50" spans="1:17" ht="25.5" customHeight="1">
      <c r="A50" s="16" t="s">
        <v>34</v>
      </c>
      <c r="B50" s="22">
        <f>115375313.78</f>
        <v>115375313.78</v>
      </c>
      <c r="C50" s="22">
        <f>115301076.49</f>
        <v>115301076.49</v>
      </c>
      <c r="D50" s="22">
        <f>3509281.28</f>
        <v>3509281.28</v>
      </c>
      <c r="E50" s="22">
        <f>27079.46</f>
        <v>27079.46</v>
      </c>
      <c r="F50" s="22">
        <f>25666.99</f>
        <v>25666.99</v>
      </c>
      <c r="G50" s="22">
        <f>2870825.98</f>
        <v>2870825.98</v>
      </c>
      <c r="H50" s="22">
        <f>585708.85</f>
        <v>585708.85</v>
      </c>
      <c r="I50" s="22">
        <f>0</f>
        <v>0</v>
      </c>
      <c r="J50" s="22">
        <f>19104.73</f>
        <v>19104.73</v>
      </c>
      <c r="K50" s="22">
        <f>168106.04</f>
        <v>168106.04</v>
      </c>
      <c r="L50" s="22">
        <f>58535568.38</f>
        <v>58535568.38</v>
      </c>
      <c r="M50" s="22">
        <f>52162123.22</f>
        <v>52162123.22</v>
      </c>
      <c r="N50" s="22">
        <f>906892.84</f>
        <v>906892.84</v>
      </c>
      <c r="O50" s="22">
        <f>74237.29</f>
        <v>74237.29</v>
      </c>
      <c r="P50" s="22">
        <f>74117.29</f>
        <v>74117.29</v>
      </c>
      <c r="Q50" s="22">
        <f>120</f>
        <v>120</v>
      </c>
    </row>
    <row r="51" spans="1:17" ht="25.5" customHeight="1">
      <c r="A51" s="16" t="s">
        <v>35</v>
      </c>
      <c r="B51" s="22">
        <f>378201188.2</f>
        <v>378201188.2</v>
      </c>
      <c r="C51" s="22">
        <f>377724356.9</f>
        <v>377724356.9</v>
      </c>
      <c r="D51" s="22">
        <f>25918817.16</f>
        <v>25918817.16</v>
      </c>
      <c r="E51" s="22">
        <f>5934480.91</f>
        <v>5934480.91</v>
      </c>
      <c r="F51" s="22">
        <f>66088.33</f>
        <v>66088.33</v>
      </c>
      <c r="G51" s="22">
        <f>19915322.07</f>
        <v>19915322.07</v>
      </c>
      <c r="H51" s="22">
        <f>2925.85</f>
        <v>2925.85</v>
      </c>
      <c r="I51" s="22">
        <f>0</f>
        <v>0</v>
      </c>
      <c r="J51" s="22">
        <f>2556.27</f>
        <v>2556.27</v>
      </c>
      <c r="K51" s="22">
        <f>78225.41</f>
        <v>78225.41</v>
      </c>
      <c r="L51" s="22">
        <f>64773078.39</f>
        <v>64773078.39</v>
      </c>
      <c r="M51" s="22">
        <f>285397264.98</f>
        <v>285397264.98</v>
      </c>
      <c r="N51" s="22">
        <f>1554414.69</f>
        <v>1554414.69</v>
      </c>
      <c r="O51" s="22">
        <f>476831.3</f>
        <v>476831.3</v>
      </c>
      <c r="P51" s="22">
        <f>129372.06</f>
        <v>129372.06</v>
      </c>
      <c r="Q51" s="22">
        <f>347459.24</f>
        <v>347459.24</v>
      </c>
    </row>
    <row r="52" spans="1:17" ht="30" customHeight="1">
      <c r="A52" s="23" t="s">
        <v>42</v>
      </c>
      <c r="B52" s="21">
        <f>507344554.5</f>
        <v>507344554.5</v>
      </c>
      <c r="C52" s="21">
        <f>507299282.8</f>
        <v>507299282.8</v>
      </c>
      <c r="D52" s="21">
        <f>313053793.65</f>
        <v>313053793.65</v>
      </c>
      <c r="E52" s="21">
        <f>190085092.73</f>
        <v>190085092.73</v>
      </c>
      <c r="F52" s="21">
        <f>5224688.73</f>
        <v>5224688.73</v>
      </c>
      <c r="G52" s="21">
        <f>112979947.62</f>
        <v>112979947.62</v>
      </c>
      <c r="H52" s="21">
        <f>4764064.57</f>
        <v>4764064.57</v>
      </c>
      <c r="I52" s="21">
        <f>0</f>
        <v>0</v>
      </c>
      <c r="J52" s="21">
        <f>1757760.75</f>
        <v>1757760.75</v>
      </c>
      <c r="K52" s="21">
        <f>3906655.31</f>
        <v>3906655.31</v>
      </c>
      <c r="L52" s="21">
        <f>121199677.68</f>
        <v>121199677.68</v>
      </c>
      <c r="M52" s="21">
        <f>65232519.38</f>
        <v>65232519.38</v>
      </c>
      <c r="N52" s="21">
        <f>2148876.03</f>
        <v>2148876.03</v>
      </c>
      <c r="O52" s="21">
        <f>45271.7</f>
        <v>45271.7</v>
      </c>
      <c r="P52" s="21">
        <f>30433.77</f>
        <v>30433.77</v>
      </c>
      <c r="Q52" s="21">
        <f>14837.93</f>
        <v>14837.93</v>
      </c>
    </row>
    <row r="53" spans="1:17" ht="31.5" customHeight="1">
      <c r="A53" s="16" t="s">
        <v>36</v>
      </c>
      <c r="B53" s="22">
        <f>60300041.2</f>
        <v>60300041.2</v>
      </c>
      <c r="C53" s="22">
        <f>60280158.5</f>
        <v>60280158.5</v>
      </c>
      <c r="D53" s="22">
        <f>24539616.05</f>
        <v>24539616.05</v>
      </c>
      <c r="E53" s="22">
        <f>899518.99</f>
        <v>899518.99</v>
      </c>
      <c r="F53" s="22">
        <f>169277.92</f>
        <v>169277.92</v>
      </c>
      <c r="G53" s="22">
        <f>21827837.65</f>
        <v>21827837.65</v>
      </c>
      <c r="H53" s="22">
        <f>1642981.49</f>
        <v>1642981.49</v>
      </c>
      <c r="I53" s="22">
        <f>0</f>
        <v>0</v>
      </c>
      <c r="J53" s="22">
        <f>62340.9</f>
        <v>62340.9</v>
      </c>
      <c r="K53" s="22">
        <f>111303.88</f>
        <v>111303.88</v>
      </c>
      <c r="L53" s="22">
        <f>18861507.23</f>
        <v>18861507.23</v>
      </c>
      <c r="M53" s="22">
        <f>15593868.62</f>
        <v>15593868.62</v>
      </c>
      <c r="N53" s="22">
        <f>1111521.82</f>
        <v>1111521.82</v>
      </c>
      <c r="O53" s="22">
        <f>19882.7</f>
        <v>19882.7</v>
      </c>
      <c r="P53" s="22">
        <f>5044.77</f>
        <v>5044.77</v>
      </c>
      <c r="Q53" s="22">
        <f>14837.93</f>
        <v>14837.93</v>
      </c>
    </row>
    <row r="54" spans="1:17" ht="35.25" customHeight="1">
      <c r="A54" s="16" t="s">
        <v>77</v>
      </c>
      <c r="B54" s="22">
        <f>147402988</f>
        <v>147402988</v>
      </c>
      <c r="C54" s="22">
        <f>147402988</f>
        <v>147402988</v>
      </c>
      <c r="D54" s="22">
        <f>146879073.83</f>
        <v>146879073.83</v>
      </c>
      <c r="E54" s="22">
        <f>143661577.61</f>
        <v>143661577.61</v>
      </c>
      <c r="F54" s="22">
        <f>2817208.39</f>
        <v>2817208.39</v>
      </c>
      <c r="G54" s="22">
        <f>183612.15</f>
        <v>183612.15</v>
      </c>
      <c r="H54" s="22">
        <f>216675.68</f>
        <v>216675.68</v>
      </c>
      <c r="I54" s="22">
        <f>0</f>
        <v>0</v>
      </c>
      <c r="J54" s="22">
        <f>383044.61</f>
        <v>383044.61</v>
      </c>
      <c r="K54" s="22">
        <f>13526.99</f>
        <v>13526.99</v>
      </c>
      <c r="L54" s="22">
        <f>88031.25</f>
        <v>88031.25</v>
      </c>
      <c r="M54" s="22">
        <f>38942.43</f>
        <v>38942.43</v>
      </c>
      <c r="N54" s="22">
        <f>368.89</f>
        <v>368.89</v>
      </c>
      <c r="O54" s="22">
        <f>0</f>
        <v>0</v>
      </c>
      <c r="P54" s="22">
        <f>0</f>
        <v>0</v>
      </c>
      <c r="Q54" s="22">
        <f>0</f>
        <v>0</v>
      </c>
    </row>
    <row r="55" spans="1:17" ht="31.5" customHeight="1">
      <c r="A55" s="16" t="s">
        <v>37</v>
      </c>
      <c r="B55" s="22">
        <f>299641525.3</f>
        <v>299641525.3</v>
      </c>
      <c r="C55" s="22">
        <f>299616136.3</f>
        <v>299616136.3</v>
      </c>
      <c r="D55" s="22">
        <f>141635103.77</f>
        <v>141635103.77</v>
      </c>
      <c r="E55" s="22">
        <f>45523996.13</f>
        <v>45523996.13</v>
      </c>
      <c r="F55" s="22">
        <f>2238202.42</f>
        <v>2238202.42</v>
      </c>
      <c r="G55" s="22">
        <f>90968497.82</f>
        <v>90968497.82</v>
      </c>
      <c r="H55" s="22">
        <f>2904407.4</f>
        <v>2904407.4</v>
      </c>
      <c r="I55" s="22">
        <f>0</f>
        <v>0</v>
      </c>
      <c r="J55" s="22">
        <f>1312375.24</f>
        <v>1312375.24</v>
      </c>
      <c r="K55" s="22">
        <f>3781824.44</f>
        <v>3781824.44</v>
      </c>
      <c r="L55" s="22">
        <f>102250139.2</f>
        <v>102250139.2</v>
      </c>
      <c r="M55" s="22">
        <f>49599708.33</f>
        <v>49599708.33</v>
      </c>
      <c r="N55" s="22">
        <f>1036985.32</f>
        <v>1036985.32</v>
      </c>
      <c r="O55" s="22">
        <f>25389</f>
        <v>25389</v>
      </c>
      <c r="P55" s="22">
        <f>25389</f>
        <v>25389</v>
      </c>
      <c r="Q55" s="22">
        <f>0</f>
        <v>0</v>
      </c>
    </row>
    <row r="64" spans="1:13" ht="66" customHeight="1">
      <c r="A64" s="29" t="s">
        <v>78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2:13" ht="13.5" customHeight="1">
      <c r="B65" s="39" t="s">
        <v>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7" spans="2:12" ht="13.5" customHeight="1">
      <c r="B67" s="43" t="s">
        <v>0</v>
      </c>
      <c r="C67" s="44"/>
      <c r="D67" s="44"/>
      <c r="E67" s="45"/>
      <c r="F67" s="65" t="s">
        <v>66</v>
      </c>
      <c r="G67" s="40" t="s">
        <v>72</v>
      </c>
      <c r="H67" s="54"/>
      <c r="I67" s="54"/>
      <c r="J67" s="54"/>
      <c r="K67" s="54"/>
      <c r="L67" s="41"/>
    </row>
    <row r="68" spans="2:12" ht="13.5" customHeight="1">
      <c r="B68" s="46"/>
      <c r="C68" s="47"/>
      <c r="D68" s="47"/>
      <c r="E68" s="48"/>
      <c r="F68" s="66"/>
      <c r="G68" s="68" t="s">
        <v>67</v>
      </c>
      <c r="H68" s="42" t="s">
        <v>64</v>
      </c>
      <c r="I68" s="42" t="s">
        <v>65</v>
      </c>
      <c r="J68" s="42" t="s">
        <v>68</v>
      </c>
      <c r="K68" s="42" t="s">
        <v>69</v>
      </c>
      <c r="L68" s="83" t="s">
        <v>70</v>
      </c>
    </row>
    <row r="69" spans="2:12" ht="13.5" customHeight="1">
      <c r="B69" s="46"/>
      <c r="C69" s="47"/>
      <c r="D69" s="47"/>
      <c r="E69" s="48"/>
      <c r="F69" s="66"/>
      <c r="G69" s="68"/>
      <c r="H69" s="42"/>
      <c r="I69" s="42"/>
      <c r="J69" s="42"/>
      <c r="K69" s="42"/>
      <c r="L69" s="83"/>
    </row>
    <row r="70" spans="2:12" ht="11.25" customHeight="1">
      <c r="B70" s="46"/>
      <c r="C70" s="47"/>
      <c r="D70" s="47"/>
      <c r="E70" s="48"/>
      <c r="F70" s="66"/>
      <c r="G70" s="68"/>
      <c r="H70" s="42"/>
      <c r="I70" s="42"/>
      <c r="J70" s="42"/>
      <c r="K70" s="42"/>
      <c r="L70" s="83"/>
    </row>
    <row r="71" spans="2:12" ht="11.25" customHeight="1">
      <c r="B71" s="49"/>
      <c r="C71" s="50"/>
      <c r="D71" s="50"/>
      <c r="E71" s="51"/>
      <c r="F71" s="67"/>
      <c r="G71" s="68"/>
      <c r="H71" s="42"/>
      <c r="I71" s="42"/>
      <c r="J71" s="42"/>
      <c r="K71" s="42"/>
      <c r="L71" s="83"/>
    </row>
    <row r="72" spans="2:12" ht="11.25" customHeight="1">
      <c r="B72" s="42">
        <v>1</v>
      </c>
      <c r="C72" s="42"/>
      <c r="D72" s="42"/>
      <c r="E72" s="42"/>
      <c r="F72" s="3">
        <v>2</v>
      </c>
      <c r="G72" s="3">
        <v>3</v>
      </c>
      <c r="H72" s="3">
        <v>4</v>
      </c>
      <c r="I72" s="3">
        <v>5</v>
      </c>
      <c r="J72" s="3">
        <v>6</v>
      </c>
      <c r="K72" s="3">
        <v>7</v>
      </c>
      <c r="L72" s="3">
        <v>8</v>
      </c>
    </row>
    <row r="73" spans="2:12" ht="12.75" customHeight="1">
      <c r="B73" s="42"/>
      <c r="C73" s="42"/>
      <c r="D73" s="42"/>
      <c r="E73" s="42"/>
      <c r="F73" s="40" t="s">
        <v>73</v>
      </c>
      <c r="G73" s="81"/>
      <c r="H73" s="81"/>
      <c r="I73" s="81"/>
      <c r="J73" s="81"/>
      <c r="K73" s="81"/>
      <c r="L73" s="82"/>
    </row>
    <row r="74" spans="2:12" ht="33.75" customHeight="1">
      <c r="B74" s="34" t="s">
        <v>51</v>
      </c>
      <c r="C74" s="35"/>
      <c r="D74" s="35"/>
      <c r="E74" s="36"/>
      <c r="F74" s="24">
        <f>485663438.05</f>
        <v>485663438.05</v>
      </c>
      <c r="G74" s="24">
        <f>226949599.46</f>
        <v>226949599.46</v>
      </c>
      <c r="H74" s="24">
        <f>5400664.75</f>
        <v>5400664.75</v>
      </c>
      <c r="I74" s="24">
        <f>9827973.74</f>
        <v>9827973.74</v>
      </c>
      <c r="J74" s="24">
        <f>206153082.05</f>
        <v>206153082.05</v>
      </c>
      <c r="K74" s="24">
        <f>5567878.92</f>
        <v>5567878.92</v>
      </c>
      <c r="L74" s="24">
        <f>258713838.59</f>
        <v>258713838.59</v>
      </c>
    </row>
    <row r="75" spans="2:12" ht="33.75" customHeight="1">
      <c r="B75" s="34" t="s">
        <v>52</v>
      </c>
      <c r="C75" s="35"/>
      <c r="D75" s="35"/>
      <c r="E75" s="36"/>
      <c r="F75" s="24">
        <f>227272.7</f>
        <v>227272.7</v>
      </c>
      <c r="G75" s="24">
        <f>227272.7</f>
        <v>227272.7</v>
      </c>
      <c r="H75" s="24">
        <f>0</f>
        <v>0</v>
      </c>
      <c r="I75" s="24">
        <f>227272.7</f>
        <v>227272.7</v>
      </c>
      <c r="J75" s="24">
        <f>0</f>
        <v>0</v>
      </c>
      <c r="K75" s="24">
        <f>0</f>
        <v>0</v>
      </c>
      <c r="L75" s="24">
        <f>0</f>
        <v>0</v>
      </c>
    </row>
    <row r="76" spans="2:12" ht="33.75" customHeight="1">
      <c r="B76" s="34" t="s">
        <v>53</v>
      </c>
      <c r="C76" s="35"/>
      <c r="D76" s="35"/>
      <c r="E76" s="36"/>
      <c r="F76" s="24">
        <f>37725290.41</f>
        <v>37725290.41</v>
      </c>
      <c r="G76" s="24">
        <f>720825.93</f>
        <v>720825.93</v>
      </c>
      <c r="H76" s="24">
        <f>95825.93</f>
        <v>95825.93</v>
      </c>
      <c r="I76" s="24">
        <f>0</f>
        <v>0</v>
      </c>
      <c r="J76" s="24">
        <f>625000</f>
        <v>625000</v>
      </c>
      <c r="K76" s="24">
        <f>0</f>
        <v>0</v>
      </c>
      <c r="L76" s="24">
        <f>37004464.48</f>
        <v>37004464.48</v>
      </c>
    </row>
    <row r="77" spans="2:12" ht="22.5" customHeight="1">
      <c r="B77" s="34" t="s">
        <v>54</v>
      </c>
      <c r="C77" s="35"/>
      <c r="D77" s="35"/>
      <c r="E77" s="36"/>
      <c r="F77" s="24">
        <f>51834907.59</f>
        <v>51834907.59</v>
      </c>
      <c r="G77" s="24">
        <f>39572105.17</f>
        <v>39572105.17</v>
      </c>
      <c r="H77" s="24">
        <f>0</f>
        <v>0</v>
      </c>
      <c r="I77" s="24">
        <f>2165422.12</f>
        <v>2165422.12</v>
      </c>
      <c r="J77" s="24">
        <f>37406683.05</f>
        <v>37406683.05</v>
      </c>
      <c r="K77" s="24">
        <f>0</f>
        <v>0</v>
      </c>
      <c r="L77" s="24">
        <f>12262802.42</f>
        <v>12262802.42</v>
      </c>
    </row>
    <row r="78" spans="2:12" ht="33.75" customHeight="1">
      <c r="B78" s="34" t="s">
        <v>55</v>
      </c>
      <c r="C78" s="35"/>
      <c r="D78" s="35"/>
      <c r="E78" s="36"/>
      <c r="F78" s="24">
        <f>12633371.35</f>
        <v>12633371.35</v>
      </c>
      <c r="G78" s="24">
        <f>12612986.04</f>
        <v>12612986.04</v>
      </c>
      <c r="H78" s="24">
        <f>0</f>
        <v>0</v>
      </c>
      <c r="I78" s="24">
        <f>0</f>
        <v>0</v>
      </c>
      <c r="J78" s="24">
        <f>12612986.04</f>
        <v>12612986.04</v>
      </c>
      <c r="K78" s="24">
        <f>0</f>
        <v>0</v>
      </c>
      <c r="L78" s="24">
        <f>20385.31</f>
        <v>20385.31</v>
      </c>
    </row>
    <row r="79" spans="2:12" ht="33.75" customHeight="1">
      <c r="B79" s="34" t="s">
        <v>56</v>
      </c>
      <c r="C79" s="35"/>
      <c r="D79" s="35"/>
      <c r="E79" s="36"/>
      <c r="F79" s="24">
        <f>2811762.71</f>
        <v>2811762.71</v>
      </c>
      <c r="G79" s="24">
        <f>1857889.13</f>
        <v>1857889.13</v>
      </c>
      <c r="H79" s="24">
        <f>0</f>
        <v>0</v>
      </c>
      <c r="I79" s="24">
        <f>0</f>
        <v>0</v>
      </c>
      <c r="J79" s="24">
        <f>1857889.13</f>
        <v>1857889.13</v>
      </c>
      <c r="K79" s="24">
        <f>0</f>
        <v>0</v>
      </c>
      <c r="L79" s="24">
        <f>953873.58</f>
        <v>953873.58</v>
      </c>
    </row>
    <row r="80" spans="2:12" ht="22.5" customHeight="1">
      <c r="B80" s="34" t="s">
        <v>57</v>
      </c>
      <c r="C80" s="35"/>
      <c r="D80" s="35"/>
      <c r="E80" s="36"/>
      <c r="F80" s="24">
        <f>1511675.15</f>
        <v>1511675.15</v>
      </c>
      <c r="G80" s="24">
        <f>1511675.15</f>
        <v>1511675.15</v>
      </c>
      <c r="H80" s="24">
        <f>0</f>
        <v>0</v>
      </c>
      <c r="I80" s="24">
        <f>0</f>
        <v>0</v>
      </c>
      <c r="J80" s="24">
        <f>1511675.15</f>
        <v>1511675.15</v>
      </c>
      <c r="K80" s="24">
        <f>0</f>
        <v>0</v>
      </c>
      <c r="L80" s="24">
        <f>0</f>
        <v>0</v>
      </c>
    </row>
    <row r="83" spans="1:13" ht="75" customHeight="1">
      <c r="A83" s="29" t="s">
        <v>78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ht="13.5" customHeight="1">
      <c r="B84" s="4"/>
    </row>
    <row r="85" spans="2:11" ht="13.5" customHeight="1">
      <c r="B85" s="5"/>
      <c r="C85" s="40"/>
      <c r="D85" s="54"/>
      <c r="E85" s="54"/>
      <c r="F85" s="41"/>
      <c r="G85" s="40" t="s">
        <v>3</v>
      </c>
      <c r="H85" s="41"/>
      <c r="I85" s="40" t="s">
        <v>4</v>
      </c>
      <c r="J85" s="41"/>
      <c r="K85" s="5"/>
    </row>
    <row r="86" spans="2:11" ht="13.5" customHeight="1">
      <c r="B86" s="6"/>
      <c r="C86" s="55" t="s">
        <v>5</v>
      </c>
      <c r="D86" s="56"/>
      <c r="E86" s="56"/>
      <c r="F86" s="57"/>
      <c r="G86" s="52">
        <f>304</f>
        <v>304</v>
      </c>
      <c r="H86" s="53"/>
      <c r="I86" s="37">
        <f>1986716444.57</f>
        <v>1986716444.57</v>
      </c>
      <c r="J86" s="38"/>
      <c r="K86" s="7"/>
    </row>
    <row r="87" spans="2:11" ht="13.5" customHeight="1">
      <c r="B87" s="6"/>
      <c r="C87" s="58" t="s">
        <v>6</v>
      </c>
      <c r="D87" s="59"/>
      <c r="E87" s="59"/>
      <c r="F87" s="60"/>
      <c r="G87" s="61">
        <f>10</f>
        <v>10</v>
      </c>
      <c r="H87" s="62"/>
      <c r="I87" s="63">
        <f>-16315270.49</f>
        <v>-16315270.49</v>
      </c>
      <c r="J87" s="64"/>
      <c r="K87" s="7"/>
    </row>
    <row r="88" spans="2:11" ht="13.5" customHeight="1">
      <c r="B88" s="6"/>
      <c r="C88" s="55" t="s">
        <v>7</v>
      </c>
      <c r="D88" s="56"/>
      <c r="E88" s="56"/>
      <c r="F88" s="57"/>
      <c r="G88" s="52">
        <f>0</f>
        <v>0</v>
      </c>
      <c r="H88" s="53"/>
      <c r="I88" s="37">
        <f>0</f>
        <v>0</v>
      </c>
      <c r="J88" s="38"/>
      <c r="K88" s="7"/>
    </row>
  </sheetData>
  <sheetProtection/>
  <mergeCells count="79">
    <mergeCell ref="B12:Q12"/>
    <mergeCell ref="B37:Q37"/>
    <mergeCell ref="B72:E72"/>
    <mergeCell ref="F73:L73"/>
    <mergeCell ref="L68:L71"/>
    <mergeCell ref="F32:F35"/>
    <mergeCell ref="G32:G35"/>
    <mergeCell ref="H32:H35"/>
    <mergeCell ref="K32:K35"/>
    <mergeCell ref="I32:I35"/>
    <mergeCell ref="J32:J35"/>
    <mergeCell ref="A31:A35"/>
    <mergeCell ref="C32:C35"/>
    <mergeCell ref="E32:E35"/>
    <mergeCell ref="B31:B35"/>
    <mergeCell ref="K68:K71"/>
    <mergeCell ref="H68:H71"/>
    <mergeCell ref="I68:I71"/>
    <mergeCell ref="J68:J71"/>
    <mergeCell ref="Q7:Q10"/>
    <mergeCell ref="C31:N31"/>
    <mergeCell ref="L7:L10"/>
    <mergeCell ref="M7:M10"/>
    <mergeCell ref="N7:N10"/>
    <mergeCell ref="P7:P10"/>
    <mergeCell ref="A27:M27"/>
    <mergeCell ref="O31:Q31"/>
    <mergeCell ref="A29:M29"/>
    <mergeCell ref="G7:G10"/>
    <mergeCell ref="F7:F10"/>
    <mergeCell ref="I7:I10"/>
    <mergeCell ref="J7:J10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B78:E78"/>
    <mergeCell ref="B75:E75"/>
    <mergeCell ref="M32:M35"/>
    <mergeCell ref="B74:E74"/>
    <mergeCell ref="F67:F71"/>
    <mergeCell ref="G68:G71"/>
    <mergeCell ref="G67:L67"/>
    <mergeCell ref="G88:H88"/>
    <mergeCell ref="I88:J88"/>
    <mergeCell ref="C85:F85"/>
    <mergeCell ref="C86:F86"/>
    <mergeCell ref="C87:F87"/>
    <mergeCell ref="C88:F88"/>
    <mergeCell ref="G86:H86"/>
    <mergeCell ref="G85:H85"/>
    <mergeCell ref="G87:H87"/>
    <mergeCell ref="I87:J87"/>
    <mergeCell ref="B79:E79"/>
    <mergeCell ref="I86:J86"/>
    <mergeCell ref="B65:M65"/>
    <mergeCell ref="I85:J85"/>
    <mergeCell ref="B73:E73"/>
    <mergeCell ref="B67:E71"/>
    <mergeCell ref="B80:E80"/>
    <mergeCell ref="A83:M83"/>
    <mergeCell ref="B76:E76"/>
    <mergeCell ref="B77:E77"/>
    <mergeCell ref="O6:Q6"/>
    <mergeCell ref="O7:O10"/>
    <mergeCell ref="A64:M64"/>
    <mergeCell ref="L32:L35"/>
    <mergeCell ref="P32:P35"/>
    <mergeCell ref="Q32:Q35"/>
    <mergeCell ref="N32:N35"/>
    <mergeCell ref="O32:O35"/>
    <mergeCell ref="D32:D35"/>
    <mergeCell ref="H7:H10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6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2009-11-20T13:10:55Z</cp:lastPrinted>
  <dcterms:created xsi:type="dcterms:W3CDTF">2001-05-17T08:58:03Z</dcterms:created>
  <dcterms:modified xsi:type="dcterms:W3CDTF">2018-08-22T13:27:31Z</dcterms:modified>
  <cp:category/>
  <cp:version/>
  <cp:contentType/>
  <cp:contentStatus/>
</cp:coreProperties>
</file>