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 KWARTAŁ\www\MF\Zestawienia zbiorcze\"/>
    </mc:Choice>
  </mc:AlternateContent>
  <bookViews>
    <workbookView xWindow="0" yWindow="0" windowWidth="21600" windowHeight="97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/>
  <c r="A82" i="7" s="1"/>
  <c r="A63" i="7" l="1"/>
  <c r="A27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<sst xmlns="http://schemas.openxmlformats.org/spreadsheetml/2006/main" count="97" uniqueCount="81">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</sst>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3"/>
  <sheetViews>
    <sheetView tabSelected="1" zoomScaleNormal="100" zoomScaleSheetLayoutView="75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47" t="str">
        <f>CONCATENATE("Informacja z wykonania budżetów powiatów za   ",$C$90," ",$B$91," roku    ",$B$93,"")</f>
        <v xml:space="preserve">Informacja z wykonania budżetów powiatów za   II Kwartały 2022 roku    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7" ht="13.5" customHeight="1" x14ac:dyDescent="0.2"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</row>
    <row r="6" spans="1:17" ht="13.5" customHeight="1" x14ac:dyDescent="0.2">
      <c r="A6" s="38" t="s">
        <v>0</v>
      </c>
      <c r="B6" s="43" t="s">
        <v>61</v>
      </c>
      <c r="C6" s="52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52" t="s">
        <v>64</v>
      </c>
      <c r="P6" s="30"/>
      <c r="Q6" s="31"/>
    </row>
    <row r="7" spans="1:17" ht="13.5" customHeight="1" x14ac:dyDescent="0.2">
      <c r="A7" s="39"/>
      <c r="B7" s="41"/>
      <c r="C7" s="42" t="s">
        <v>62</v>
      </c>
      <c r="D7" s="42" t="s">
        <v>73</v>
      </c>
      <c r="E7" s="42" t="s">
        <v>66</v>
      </c>
      <c r="F7" s="42" t="s">
        <v>67</v>
      </c>
      <c r="G7" s="42" t="s">
        <v>27</v>
      </c>
      <c r="H7" s="42" t="s">
        <v>28</v>
      </c>
      <c r="I7" s="49" t="s">
        <v>63</v>
      </c>
      <c r="J7" s="42" t="s">
        <v>16</v>
      </c>
      <c r="K7" s="42" t="s">
        <v>17</v>
      </c>
      <c r="L7" s="42" t="s">
        <v>18</v>
      </c>
      <c r="M7" s="42" t="s">
        <v>19</v>
      </c>
      <c r="N7" s="41" t="s">
        <v>20</v>
      </c>
      <c r="O7" s="37" t="s">
        <v>21</v>
      </c>
      <c r="P7" s="37" t="s">
        <v>22</v>
      </c>
      <c r="Q7" s="37" t="s">
        <v>23</v>
      </c>
    </row>
    <row r="8" spans="1:17" ht="13.5" customHeight="1" x14ac:dyDescent="0.2">
      <c r="A8" s="39"/>
      <c r="B8" s="41"/>
      <c r="C8" s="37"/>
      <c r="D8" s="37"/>
      <c r="E8" s="37"/>
      <c r="F8" s="37"/>
      <c r="G8" s="37"/>
      <c r="H8" s="37"/>
      <c r="I8" s="49"/>
      <c r="J8" s="37"/>
      <c r="K8" s="37"/>
      <c r="L8" s="37"/>
      <c r="M8" s="37"/>
      <c r="N8" s="41"/>
      <c r="O8" s="37"/>
      <c r="P8" s="37"/>
      <c r="Q8" s="37"/>
    </row>
    <row r="9" spans="1:17" ht="11.25" customHeight="1" x14ac:dyDescent="0.2">
      <c r="A9" s="39"/>
      <c r="B9" s="41"/>
      <c r="C9" s="37"/>
      <c r="D9" s="37"/>
      <c r="E9" s="37"/>
      <c r="F9" s="37"/>
      <c r="G9" s="37"/>
      <c r="H9" s="37"/>
      <c r="I9" s="49"/>
      <c r="J9" s="37"/>
      <c r="K9" s="37"/>
      <c r="L9" s="37"/>
      <c r="M9" s="37"/>
      <c r="N9" s="41"/>
      <c r="O9" s="37"/>
      <c r="P9" s="37"/>
      <c r="Q9" s="37"/>
    </row>
    <row r="10" spans="1:17" ht="33.75" customHeight="1" x14ac:dyDescent="0.2">
      <c r="A10" s="40"/>
      <c r="B10" s="42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42"/>
      <c r="O10" s="37"/>
      <c r="P10" s="37"/>
      <c r="Q10" s="37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27" t="s">
        <v>76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39.75" customHeight="1" x14ac:dyDescent="0.2">
      <c r="A13" s="20" t="s">
        <v>45</v>
      </c>
      <c r="B13" s="21">
        <f>5866982112.59</f>
        <v>5866982112.5900002</v>
      </c>
      <c r="C13" s="21">
        <f>5866982112.59</f>
        <v>5866982112.5900002</v>
      </c>
      <c r="D13" s="21">
        <f>255284994.45</f>
        <v>255284994.44999999</v>
      </c>
      <c r="E13" s="21">
        <f>208110364.95</f>
        <v>208110364.94999999</v>
      </c>
      <c r="F13" s="21">
        <f>14973952.89</f>
        <v>14973952.890000001</v>
      </c>
      <c r="G13" s="21">
        <f>32197729.31</f>
        <v>32197729.309999999</v>
      </c>
      <c r="H13" s="21">
        <f>2947.3</f>
        <v>2947.3</v>
      </c>
      <c r="I13" s="21">
        <f>0</f>
        <v>0</v>
      </c>
      <c r="J13" s="21">
        <f>5337488512.91</f>
        <v>5337488512.9099998</v>
      </c>
      <c r="K13" s="21">
        <f>267439505.97</f>
        <v>267439505.97</v>
      </c>
      <c r="L13" s="21">
        <f>5679783.41</f>
        <v>5679783.4100000001</v>
      </c>
      <c r="M13" s="21">
        <f>84310.85</f>
        <v>84310.85</v>
      </c>
      <c r="N13" s="21">
        <f>1005005</f>
        <v>1005005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69123000</f>
        <v>69123000</v>
      </c>
      <c r="C14" s="21">
        <f>69123000</f>
        <v>69123000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69123000</f>
        <v>69123000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69123000</f>
        <v>69123000</v>
      </c>
      <c r="C16" s="22">
        <f>69123000</f>
        <v>69123000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69123000</f>
        <v>69123000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5797419971.72</f>
        <v>5797419971.7200003</v>
      </c>
      <c r="C17" s="21">
        <f>5797419971.72</f>
        <v>5797419971.7200003</v>
      </c>
      <c r="D17" s="21">
        <f>255187964.68</f>
        <v>255187964.68000001</v>
      </c>
      <c r="E17" s="21">
        <f>208016801.84</f>
        <v>208016801.84</v>
      </c>
      <c r="F17" s="21">
        <f>14973952.89</f>
        <v>14973952.890000001</v>
      </c>
      <c r="G17" s="21">
        <f>32197209.95</f>
        <v>32197209.949999999</v>
      </c>
      <c r="H17" s="21">
        <f>0</f>
        <v>0</v>
      </c>
      <c r="I17" s="21">
        <f>0</f>
        <v>0</v>
      </c>
      <c r="J17" s="21">
        <f>5268365512.91</f>
        <v>5268365512.9099998</v>
      </c>
      <c r="K17" s="21">
        <f>267439505.97</f>
        <v>267439505.97</v>
      </c>
      <c r="L17" s="21">
        <f>5414300.3</f>
        <v>5414300.2999999998</v>
      </c>
      <c r="M17" s="21">
        <f>12687.86</f>
        <v>12687.86</v>
      </c>
      <c r="N17" s="21">
        <f>1000000</f>
        <v>1000000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23775667.99</f>
        <v>23775667.989999998</v>
      </c>
      <c r="C18" s="22">
        <f>23775667.99</f>
        <v>23775667.989999998</v>
      </c>
      <c r="D18" s="22">
        <f>110592</f>
        <v>110592</v>
      </c>
      <c r="E18" s="22">
        <f>0</f>
        <v>0</v>
      </c>
      <c r="F18" s="22">
        <f>110592</f>
        <v>110592</v>
      </c>
      <c r="G18" s="22">
        <f>0</f>
        <v>0</v>
      </c>
      <c r="H18" s="22">
        <f>0</f>
        <v>0</v>
      </c>
      <c r="I18" s="22">
        <f>0</f>
        <v>0</v>
      </c>
      <c r="J18" s="22">
        <f>23473294.09</f>
        <v>23473294.09</v>
      </c>
      <c r="K18" s="22">
        <f>191781.9</f>
        <v>191781.9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5773644303.73</f>
        <v>5773644303.7299995</v>
      </c>
      <c r="C19" s="22">
        <f>5773644303.73</f>
        <v>5773644303.7299995</v>
      </c>
      <c r="D19" s="22">
        <f>255077372.68</f>
        <v>255077372.68000001</v>
      </c>
      <c r="E19" s="22">
        <f>208016801.84</f>
        <v>208016801.84</v>
      </c>
      <c r="F19" s="22">
        <f>14863360.89</f>
        <v>14863360.890000001</v>
      </c>
      <c r="G19" s="22">
        <f>32197209.95</f>
        <v>32197209.949999999</v>
      </c>
      <c r="H19" s="22">
        <f>0</f>
        <v>0</v>
      </c>
      <c r="I19" s="22">
        <f>0</f>
        <v>0</v>
      </c>
      <c r="J19" s="22">
        <f>5244892218.82</f>
        <v>5244892218.8199997</v>
      </c>
      <c r="K19" s="22">
        <f>267247724.07</f>
        <v>267247724.06999999</v>
      </c>
      <c r="L19" s="22">
        <f>5414300.3</f>
        <v>5414300.2999999998</v>
      </c>
      <c r="M19" s="22">
        <f>12687.86</f>
        <v>12687.86</v>
      </c>
      <c r="N19" s="22">
        <f>1000000</f>
        <v>1000000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439140.87</f>
        <v>439140.87</v>
      </c>
      <c r="C21" s="21">
        <f>439140.87</f>
        <v>439140.87</v>
      </c>
      <c r="D21" s="21">
        <f>97029.77</f>
        <v>97029.77</v>
      </c>
      <c r="E21" s="21">
        <f>93563.11</f>
        <v>93563.11</v>
      </c>
      <c r="F21" s="21">
        <f>0</f>
        <v>0</v>
      </c>
      <c r="G21" s="21">
        <f>519.36</f>
        <v>519.36</v>
      </c>
      <c r="H21" s="21">
        <f>2947.3</f>
        <v>2947.3</v>
      </c>
      <c r="I21" s="21">
        <f>0</f>
        <v>0</v>
      </c>
      <c r="J21" s="21">
        <f>0</f>
        <v>0</v>
      </c>
      <c r="K21" s="21">
        <f>0</f>
        <v>0</v>
      </c>
      <c r="L21" s="21">
        <f>265483.11</f>
        <v>265483.11</v>
      </c>
      <c r="M21" s="21">
        <f>71622.99</f>
        <v>71622.990000000005</v>
      </c>
      <c r="N21" s="21">
        <f>5005</f>
        <v>5005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148564.98</f>
        <v>148564.98000000001</v>
      </c>
      <c r="C22" s="22">
        <f>148564.98</f>
        <v>148564.98000000001</v>
      </c>
      <c r="D22" s="22">
        <f>0</f>
        <v>0</v>
      </c>
      <c r="E22" s="22">
        <f>0</f>
        <v>0</v>
      </c>
      <c r="F22" s="22">
        <f>0</f>
        <v>0</v>
      </c>
      <c r="G22" s="22">
        <f>0</f>
        <v>0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145142.31</f>
        <v>145142.31</v>
      </c>
      <c r="M22" s="22">
        <f>3422.67</f>
        <v>3422.67</v>
      </c>
      <c r="N22" s="22">
        <f>0</f>
        <v>0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290575.89</f>
        <v>290575.89</v>
      </c>
      <c r="C23" s="22">
        <f>290575.89</f>
        <v>290575.89</v>
      </c>
      <c r="D23" s="22">
        <f>97029.77</f>
        <v>97029.77</v>
      </c>
      <c r="E23" s="22">
        <f>93563.11</f>
        <v>93563.11</v>
      </c>
      <c r="F23" s="22">
        <f>0</f>
        <v>0</v>
      </c>
      <c r="G23" s="22">
        <f>519.36</f>
        <v>519.36</v>
      </c>
      <c r="H23" s="22">
        <f>2947.3</f>
        <v>2947.3</v>
      </c>
      <c r="I23" s="22">
        <f>0</f>
        <v>0</v>
      </c>
      <c r="J23" s="22">
        <f>0</f>
        <v>0</v>
      </c>
      <c r="K23" s="22">
        <f>0</f>
        <v>0</v>
      </c>
      <c r="L23" s="22">
        <f>120340.8</f>
        <v>120340.8</v>
      </c>
      <c r="M23" s="22">
        <f>68200.32</f>
        <v>68200.320000000007</v>
      </c>
      <c r="N23" s="22">
        <f>5005</f>
        <v>5005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47" t="str">
        <f>CONCATENATE("Informacja z wykonania budżetów powiatów za   ",$C$90," ",$B$91," roku    ",$B$93,"")</f>
        <v xml:space="preserve">Informacja z wykonania budżetów powiatów za   II Kwartały 2022 roku    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9" spans="1:17" ht="13.5" customHeight="1" x14ac:dyDescent="0.2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1" spans="1:17" ht="13.5" customHeight="1" x14ac:dyDescent="0.2">
      <c r="A31" s="38" t="s">
        <v>0</v>
      </c>
      <c r="B31" s="43" t="s">
        <v>12</v>
      </c>
      <c r="C31" s="44" t="s">
        <v>14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4" t="s">
        <v>24</v>
      </c>
      <c r="P31" s="45"/>
      <c r="Q31" s="46"/>
    </row>
    <row r="32" spans="1:17" ht="13.5" customHeight="1" x14ac:dyDescent="0.2">
      <c r="A32" s="39"/>
      <c r="B32" s="41"/>
      <c r="C32" s="41" t="s">
        <v>13</v>
      </c>
      <c r="D32" s="37" t="s">
        <v>15</v>
      </c>
      <c r="E32" s="37" t="s">
        <v>25</v>
      </c>
      <c r="F32" s="37" t="s">
        <v>26</v>
      </c>
      <c r="G32" s="37" t="s">
        <v>70</v>
      </c>
      <c r="H32" s="37" t="s">
        <v>28</v>
      </c>
      <c r="I32" s="37" t="s">
        <v>1</v>
      </c>
      <c r="J32" s="37" t="s">
        <v>16</v>
      </c>
      <c r="K32" s="37" t="s">
        <v>17</v>
      </c>
      <c r="L32" s="37" t="s">
        <v>18</v>
      </c>
      <c r="M32" s="37" t="s">
        <v>19</v>
      </c>
      <c r="N32" s="85" t="s">
        <v>20</v>
      </c>
      <c r="O32" s="37" t="s">
        <v>21</v>
      </c>
      <c r="P32" s="37" t="s">
        <v>22</v>
      </c>
      <c r="Q32" s="43" t="s">
        <v>23</v>
      </c>
    </row>
    <row r="33" spans="1:17" ht="13.5" customHeight="1" x14ac:dyDescent="0.2">
      <c r="A33" s="39"/>
      <c r="B33" s="41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85"/>
      <c r="O33" s="37"/>
      <c r="P33" s="37"/>
      <c r="Q33" s="41"/>
    </row>
    <row r="34" spans="1:17" ht="11.25" customHeight="1" x14ac:dyDescent="0.2">
      <c r="A34" s="39"/>
      <c r="B34" s="41"/>
      <c r="C34" s="4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5"/>
      <c r="O34" s="37"/>
      <c r="P34" s="37"/>
      <c r="Q34" s="41"/>
    </row>
    <row r="35" spans="1:17" ht="41.25" customHeight="1" x14ac:dyDescent="0.2">
      <c r="A35" s="40"/>
      <c r="B35" s="42"/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5"/>
      <c r="O35" s="37"/>
      <c r="P35" s="37"/>
      <c r="Q35" s="42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27" t="s">
        <v>76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30" customHeight="1" x14ac:dyDescent="0.2">
      <c r="A38" s="25" t="s">
        <v>40</v>
      </c>
      <c r="B38" s="23">
        <f>3750000</f>
        <v>3750000</v>
      </c>
      <c r="C38" s="23">
        <f>3750000</f>
        <v>3750000</v>
      </c>
      <c r="D38" s="23">
        <f>3750000</f>
        <v>3750000</v>
      </c>
      <c r="E38" s="23">
        <f>50000</f>
        <v>50000</v>
      </c>
      <c r="F38" s="23">
        <f>0</f>
        <v>0</v>
      </c>
      <c r="G38" s="23">
        <f>3700000</f>
        <v>3700000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0</f>
        <v>0</v>
      </c>
      <c r="M38" s="23">
        <f>0</f>
        <v>0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0</f>
        <v>0</v>
      </c>
      <c r="C39" s="24">
        <f>0</f>
        <v>0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0</f>
        <v>0</v>
      </c>
      <c r="M39" s="24">
        <f>0</f>
        <v>0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3750000</f>
        <v>3750000</v>
      </c>
      <c r="C40" s="24">
        <f>3750000</f>
        <v>3750000</v>
      </c>
      <c r="D40" s="24">
        <f>3750000</f>
        <v>3750000</v>
      </c>
      <c r="E40" s="24">
        <f>50000</f>
        <v>50000</v>
      </c>
      <c r="F40" s="24">
        <f>0</f>
        <v>0</v>
      </c>
      <c r="G40" s="24">
        <f>3700000</f>
        <v>3700000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162519502.03</f>
        <v>162519502.03</v>
      </c>
      <c r="C41" s="23">
        <f>162519502.03</f>
        <v>162519502.03</v>
      </c>
      <c r="D41" s="23">
        <f>102364703.92</f>
        <v>102364703.92</v>
      </c>
      <c r="E41" s="23">
        <f>111095.49</f>
        <v>111095.49</v>
      </c>
      <c r="F41" s="23">
        <f>3003633.4</f>
        <v>3003633.4</v>
      </c>
      <c r="G41" s="23">
        <f>99249975.03</f>
        <v>99249975.030000001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42783006.05</f>
        <v>42783006.049999997</v>
      </c>
      <c r="M41" s="23">
        <f>15418675</f>
        <v>15418675</v>
      </c>
      <c r="N41" s="23">
        <f>1953117.06</f>
        <v>1953117.06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37352341.72</f>
        <v>37352341.719999999</v>
      </c>
      <c r="C42" s="24">
        <f>37352341.72</f>
        <v>37352341.719999999</v>
      </c>
      <c r="D42" s="24">
        <f>24600503.03</f>
        <v>24600503.030000001</v>
      </c>
      <c r="E42" s="24">
        <f>0</f>
        <v>0</v>
      </c>
      <c r="F42" s="24">
        <f>3000000</f>
        <v>3000000</v>
      </c>
      <c r="G42" s="24">
        <f>21600503.03</f>
        <v>21600503.030000001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9622446.98</f>
        <v>9622446.9800000004</v>
      </c>
      <c r="M42" s="24">
        <f>2461043.23</f>
        <v>2461043.23</v>
      </c>
      <c r="N42" s="24">
        <f>668348.48</f>
        <v>668348.48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125167160.31</f>
        <v>125167160.31</v>
      </c>
      <c r="C43" s="24">
        <f>125167160.31</f>
        <v>125167160.31</v>
      </c>
      <c r="D43" s="24">
        <f>77764200.89</f>
        <v>77764200.890000001</v>
      </c>
      <c r="E43" s="24">
        <f>111095.49</f>
        <v>111095.49</v>
      </c>
      <c r="F43" s="24">
        <f>3633.4</f>
        <v>3633.4</v>
      </c>
      <c r="G43" s="24">
        <f>77649472</f>
        <v>77649472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33160559.07</f>
        <v>33160559.07</v>
      </c>
      <c r="M43" s="24">
        <f>12957631.77</f>
        <v>12957631.77</v>
      </c>
      <c r="N43" s="24">
        <f>1284768.58</f>
        <v>1284768.58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9080837500.36</f>
        <v>9080837500.3600006</v>
      </c>
      <c r="C44" s="23">
        <f>9080837500.36</f>
        <v>9080837500.3600006</v>
      </c>
      <c r="D44" s="23">
        <f>2508250.36</f>
        <v>2508250.36</v>
      </c>
      <c r="E44" s="23">
        <f>19747.76</f>
        <v>19747.759999999998</v>
      </c>
      <c r="F44" s="23">
        <f>263</f>
        <v>263</v>
      </c>
      <c r="G44" s="23">
        <f>2488239.6</f>
        <v>2488239.6</v>
      </c>
      <c r="H44" s="23">
        <f>0</f>
        <v>0</v>
      </c>
      <c r="I44" s="23">
        <f>5796069.96</f>
        <v>5796069.96</v>
      </c>
      <c r="J44" s="23">
        <f>9072285116.87</f>
        <v>9072285116.8700008</v>
      </c>
      <c r="K44" s="23">
        <f>92673.82</f>
        <v>92673.82</v>
      </c>
      <c r="L44" s="23">
        <f>56105.37</f>
        <v>56105.37</v>
      </c>
      <c r="M44" s="23">
        <f>5000.86</f>
        <v>5000.8599999999997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2485369.21</f>
        <v>2485369.21</v>
      </c>
      <c r="C45" s="24">
        <f>2485369.21</f>
        <v>2485369.21</v>
      </c>
      <c r="D45" s="24">
        <f>2485369.21</f>
        <v>2485369.21</v>
      </c>
      <c r="E45" s="24">
        <f>0</f>
        <v>0</v>
      </c>
      <c r="F45" s="24">
        <f>0</f>
        <v>0</v>
      </c>
      <c r="G45" s="24">
        <f>2485369.21</f>
        <v>2485369.21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7886789122.12</f>
        <v>7886789122.1199999</v>
      </c>
      <c r="C46" s="24">
        <f>7886789122.12</f>
        <v>7886789122.1199999</v>
      </c>
      <c r="D46" s="24">
        <f>2608.42</f>
        <v>2608.42</v>
      </c>
      <c r="E46" s="24">
        <f>1212.42</f>
        <v>1212.42</v>
      </c>
      <c r="F46" s="24">
        <f>263</f>
        <v>263</v>
      </c>
      <c r="G46" s="24">
        <f>1133</f>
        <v>1133</v>
      </c>
      <c r="H46" s="24">
        <f>0</f>
        <v>0</v>
      </c>
      <c r="I46" s="24">
        <f>5796069.96</f>
        <v>5796069.96</v>
      </c>
      <c r="J46" s="24">
        <f>7880773369.66</f>
        <v>7880773369.6599998</v>
      </c>
      <c r="K46" s="24">
        <f>88022.12</f>
        <v>88022.12</v>
      </c>
      <c r="L46" s="24">
        <f>31767.98</f>
        <v>31767.98</v>
      </c>
      <c r="M46" s="24">
        <f>3000.86</f>
        <v>3000.86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1191563009.03</f>
        <v>1191563009.03</v>
      </c>
      <c r="C47" s="24">
        <f>1191563009.03</f>
        <v>1191563009.03</v>
      </c>
      <c r="D47" s="24">
        <f>20272.73</f>
        <v>20272.73</v>
      </c>
      <c r="E47" s="24">
        <f>18535.34</f>
        <v>18535.34</v>
      </c>
      <c r="F47" s="24">
        <f>0</f>
        <v>0</v>
      </c>
      <c r="G47" s="24">
        <f>1737.39</f>
        <v>1737.39</v>
      </c>
      <c r="H47" s="24">
        <f>0</f>
        <v>0</v>
      </c>
      <c r="I47" s="24">
        <f>0</f>
        <v>0</v>
      </c>
      <c r="J47" s="24">
        <f>1191511747.21</f>
        <v>1191511747.21</v>
      </c>
      <c r="K47" s="24">
        <f>4651.7</f>
        <v>4651.7</v>
      </c>
      <c r="L47" s="24">
        <f>24337.39</f>
        <v>24337.39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710317903.29</f>
        <v>710317903.28999996</v>
      </c>
      <c r="C48" s="23">
        <f>709363111.32</f>
        <v>709363111.32000005</v>
      </c>
      <c r="D48" s="23">
        <f>23992907.76</f>
        <v>23992907.760000002</v>
      </c>
      <c r="E48" s="23">
        <f>5556726.1</f>
        <v>5556726.0999999996</v>
      </c>
      <c r="F48" s="23">
        <f>1008440.85</f>
        <v>1008440.85</v>
      </c>
      <c r="G48" s="23">
        <f>16888973.64</f>
        <v>16888973.640000001</v>
      </c>
      <c r="H48" s="23">
        <f>538767.17</f>
        <v>538767.17000000004</v>
      </c>
      <c r="I48" s="23">
        <f>0</f>
        <v>0</v>
      </c>
      <c r="J48" s="23">
        <f>3382091.09</f>
        <v>3382091.09</v>
      </c>
      <c r="K48" s="23">
        <f>955488.73</f>
        <v>955488.73</v>
      </c>
      <c r="L48" s="23">
        <f>189430127.92</f>
        <v>189430127.91999999</v>
      </c>
      <c r="M48" s="23">
        <f>487169670.6</f>
        <v>487169670.60000002</v>
      </c>
      <c r="N48" s="23">
        <f>4432825.22</f>
        <v>4432825.22</v>
      </c>
      <c r="O48" s="23">
        <f>954791.97</f>
        <v>954791.97</v>
      </c>
      <c r="P48" s="23">
        <f>244436.42</f>
        <v>244436.42</v>
      </c>
      <c r="Q48" s="23">
        <f>710355.55</f>
        <v>710355.55</v>
      </c>
    </row>
    <row r="49" spans="1:17" ht="25.5" customHeight="1" x14ac:dyDescent="0.2">
      <c r="A49" s="18" t="s">
        <v>36</v>
      </c>
      <c r="B49" s="24">
        <f>139860278.1</f>
        <v>139860278.09999999</v>
      </c>
      <c r="C49" s="24">
        <f>139809501.73</f>
        <v>139809501.72999999</v>
      </c>
      <c r="D49" s="24">
        <f>3115481.45</f>
        <v>3115481.45</v>
      </c>
      <c r="E49" s="24">
        <f>240433.54</f>
        <v>240433.54</v>
      </c>
      <c r="F49" s="24">
        <f>165437.62</f>
        <v>165437.62</v>
      </c>
      <c r="G49" s="24">
        <f>2192016.4</f>
        <v>2192016.4</v>
      </c>
      <c r="H49" s="24">
        <f>517593.89</f>
        <v>517593.89</v>
      </c>
      <c r="I49" s="24">
        <f>0</f>
        <v>0</v>
      </c>
      <c r="J49" s="24">
        <f>379256.94</f>
        <v>379256.94</v>
      </c>
      <c r="K49" s="24">
        <f>841895.55</f>
        <v>841895.55</v>
      </c>
      <c r="L49" s="24">
        <f>67805636.37</f>
        <v>67805636.370000005</v>
      </c>
      <c r="M49" s="24">
        <f>66831246.12</f>
        <v>66831246.119999997</v>
      </c>
      <c r="N49" s="24">
        <f>835985.3</f>
        <v>835985.3</v>
      </c>
      <c r="O49" s="24">
        <f>50776.37</f>
        <v>50776.37</v>
      </c>
      <c r="P49" s="24">
        <f>50776.37</f>
        <v>50776.37</v>
      </c>
      <c r="Q49" s="24">
        <f>0</f>
        <v>0</v>
      </c>
    </row>
    <row r="50" spans="1:17" ht="25.5" customHeight="1" x14ac:dyDescent="0.2">
      <c r="A50" s="18" t="s">
        <v>37</v>
      </c>
      <c r="B50" s="24">
        <f>570457625.19</f>
        <v>570457625.19000006</v>
      </c>
      <c r="C50" s="24">
        <f>569553609.59</f>
        <v>569553609.59000003</v>
      </c>
      <c r="D50" s="24">
        <f>20877426.31</f>
        <v>20877426.309999999</v>
      </c>
      <c r="E50" s="24">
        <f>5316292.56</f>
        <v>5316292.5599999996</v>
      </c>
      <c r="F50" s="24">
        <f>843003.23</f>
        <v>843003.23</v>
      </c>
      <c r="G50" s="24">
        <f>14696957.24</f>
        <v>14696957.24</v>
      </c>
      <c r="H50" s="24">
        <f>21173.28</f>
        <v>21173.279999999999</v>
      </c>
      <c r="I50" s="24">
        <f>0</f>
        <v>0</v>
      </c>
      <c r="J50" s="24">
        <f>3002834.15</f>
        <v>3002834.15</v>
      </c>
      <c r="K50" s="24">
        <f>113593.18</f>
        <v>113593.18</v>
      </c>
      <c r="L50" s="24">
        <f>121624491.55</f>
        <v>121624491.55</v>
      </c>
      <c r="M50" s="24">
        <f>420338424.48</f>
        <v>420338424.48000002</v>
      </c>
      <c r="N50" s="24">
        <f>3596839.92</f>
        <v>3596839.92</v>
      </c>
      <c r="O50" s="24">
        <f>904015.6</f>
        <v>904015.6</v>
      </c>
      <c r="P50" s="24">
        <f>193660.05</f>
        <v>193660.05</v>
      </c>
      <c r="Q50" s="24">
        <f>710355.55</f>
        <v>710355.55</v>
      </c>
    </row>
    <row r="51" spans="1:17" ht="30" customHeight="1" x14ac:dyDescent="0.2">
      <c r="A51" s="25" t="s">
        <v>44</v>
      </c>
      <c r="B51" s="23">
        <f>656673956.93</f>
        <v>656673956.92999995</v>
      </c>
      <c r="C51" s="23">
        <f>656521348.94</f>
        <v>656521348.94000006</v>
      </c>
      <c r="D51" s="23">
        <f>222232628.05</f>
        <v>222232628.05000001</v>
      </c>
      <c r="E51" s="23">
        <f>28456775.51</f>
        <v>28456775.510000002</v>
      </c>
      <c r="F51" s="23">
        <f>2461522.93</f>
        <v>2461522.9300000002</v>
      </c>
      <c r="G51" s="23">
        <f>184677854.29</f>
        <v>184677854.28999999</v>
      </c>
      <c r="H51" s="23">
        <f>6636475.32</f>
        <v>6636475.3200000003</v>
      </c>
      <c r="I51" s="23">
        <f>0</f>
        <v>0</v>
      </c>
      <c r="J51" s="23">
        <f>1469374.82</f>
        <v>1469374.82</v>
      </c>
      <c r="K51" s="23">
        <f>7391957.29</f>
        <v>7391957.29</v>
      </c>
      <c r="L51" s="23">
        <f>337512988.62</f>
        <v>337512988.62</v>
      </c>
      <c r="M51" s="23">
        <f>83134261.65</f>
        <v>83134261.650000006</v>
      </c>
      <c r="N51" s="23">
        <f>4780138.51</f>
        <v>4780138.51</v>
      </c>
      <c r="O51" s="23">
        <f>152607.99</f>
        <v>152607.99</v>
      </c>
      <c r="P51" s="23">
        <f>137213.99</f>
        <v>137213.99</v>
      </c>
      <c r="Q51" s="23">
        <f>15394</f>
        <v>15394</v>
      </c>
    </row>
    <row r="52" spans="1:17" ht="31.5" customHeight="1" x14ac:dyDescent="0.2">
      <c r="A52" s="18" t="s">
        <v>38</v>
      </c>
      <c r="B52" s="24">
        <f>85200616.69</f>
        <v>85200616.689999998</v>
      </c>
      <c r="C52" s="24">
        <f>85067507.5</f>
        <v>85067507.5</v>
      </c>
      <c r="D52" s="24">
        <f>34166881.48</f>
        <v>34166881.479999997</v>
      </c>
      <c r="E52" s="24">
        <f>2176167</f>
        <v>2176167</v>
      </c>
      <c r="F52" s="24">
        <f>194652.68</f>
        <v>194652.68</v>
      </c>
      <c r="G52" s="24">
        <f>29417906.04</f>
        <v>29417906.039999999</v>
      </c>
      <c r="H52" s="24">
        <f>2378155.76</f>
        <v>2378155.7599999998</v>
      </c>
      <c r="I52" s="24">
        <f>0</f>
        <v>0</v>
      </c>
      <c r="J52" s="24">
        <f>1230413.33</f>
        <v>1230413.33</v>
      </c>
      <c r="K52" s="24">
        <f>234853.82</f>
        <v>234853.82</v>
      </c>
      <c r="L52" s="24">
        <f>28308031.36</f>
        <v>28308031.359999999</v>
      </c>
      <c r="M52" s="24">
        <f>19365619.31</f>
        <v>19365619.309999999</v>
      </c>
      <c r="N52" s="24">
        <f>1761708.2</f>
        <v>1761708.2</v>
      </c>
      <c r="O52" s="24">
        <f>133109.19</f>
        <v>133109.19</v>
      </c>
      <c r="P52" s="24">
        <f>118215.19</f>
        <v>118215.19</v>
      </c>
      <c r="Q52" s="24">
        <f>14894</f>
        <v>14894</v>
      </c>
    </row>
    <row r="53" spans="1:17" ht="35.25" customHeight="1" x14ac:dyDescent="0.2">
      <c r="A53" s="18" t="s">
        <v>80</v>
      </c>
      <c r="B53" s="24">
        <f>4543247.12</f>
        <v>4543247.12</v>
      </c>
      <c r="C53" s="24">
        <f>4543247.12</f>
        <v>4543247.12</v>
      </c>
      <c r="D53" s="24">
        <f>4516918.07</f>
        <v>4516918.07</v>
      </c>
      <c r="E53" s="24">
        <f>4253706.02</f>
        <v>4253706.0199999996</v>
      </c>
      <c r="F53" s="24">
        <f>0</f>
        <v>0</v>
      </c>
      <c r="G53" s="24">
        <f>40383.03</f>
        <v>40383.03</v>
      </c>
      <c r="H53" s="24">
        <f>222829.02</f>
        <v>222829.02</v>
      </c>
      <c r="I53" s="24">
        <f>0</f>
        <v>0</v>
      </c>
      <c r="J53" s="24">
        <f>0</f>
        <v>0</v>
      </c>
      <c r="K53" s="24">
        <f>143.75</f>
        <v>143.75</v>
      </c>
      <c r="L53" s="24">
        <f>2254.79</f>
        <v>2254.79</v>
      </c>
      <c r="M53" s="24">
        <f>16431.06</f>
        <v>16431.060000000001</v>
      </c>
      <c r="N53" s="24">
        <f>7499.45</f>
        <v>7499.45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566930093.12</f>
        <v>566930093.12</v>
      </c>
      <c r="C54" s="24">
        <f>566910594.32</f>
        <v>566910594.32000005</v>
      </c>
      <c r="D54" s="24">
        <f>183548828.5</f>
        <v>183548828.5</v>
      </c>
      <c r="E54" s="24">
        <f>22026902.49</f>
        <v>22026902.489999998</v>
      </c>
      <c r="F54" s="24">
        <f>2266870.25</f>
        <v>2266870.25</v>
      </c>
      <c r="G54" s="24">
        <f>155219565.22</f>
        <v>155219565.22</v>
      </c>
      <c r="H54" s="24">
        <f>4035490.54</f>
        <v>4035490.54</v>
      </c>
      <c r="I54" s="24">
        <f>0</f>
        <v>0</v>
      </c>
      <c r="J54" s="24">
        <f>238961.49</f>
        <v>238961.49</v>
      </c>
      <c r="K54" s="24">
        <f>7156959.72</f>
        <v>7156959.7199999997</v>
      </c>
      <c r="L54" s="24">
        <f>309202702.47</f>
        <v>309202702.47000003</v>
      </c>
      <c r="M54" s="24">
        <f>63752211.28</f>
        <v>63752211.280000001</v>
      </c>
      <c r="N54" s="24">
        <f>3010930.86</f>
        <v>3010930.86</v>
      </c>
      <c r="O54" s="24">
        <f>19498.8</f>
        <v>19498.8</v>
      </c>
      <c r="P54" s="24">
        <f>18998.8</f>
        <v>18998.8</v>
      </c>
      <c r="Q54" s="24">
        <f>500</f>
        <v>500</v>
      </c>
    </row>
    <row r="63" spans="1:17" ht="66" customHeight="1" x14ac:dyDescent="0.2">
      <c r="A63" s="47" t="str">
        <f>CONCATENATE("Informacja z wykonania budżetów powiatów za   ",$C$90," ",$B$91," roku    ",$B$93,"")</f>
        <v xml:space="preserve">Informacja z wykonania budżetów powiatów za   II Kwartały 2022 roku    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">
      <c r="B64" s="48" t="s">
        <v>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6" spans="2:12" ht="13.5" customHeight="1" x14ac:dyDescent="0.2">
      <c r="B66" s="76" t="s">
        <v>0</v>
      </c>
      <c r="C66" s="77"/>
      <c r="D66" s="77"/>
      <c r="E66" s="78"/>
      <c r="F66" s="56" t="s">
        <v>68</v>
      </c>
      <c r="G66" s="33" t="s">
        <v>74</v>
      </c>
      <c r="H66" s="60"/>
      <c r="I66" s="60"/>
      <c r="J66" s="60"/>
      <c r="K66" s="60"/>
      <c r="L66" s="61"/>
    </row>
    <row r="67" spans="2:12" ht="13.5" customHeight="1" x14ac:dyDescent="0.2">
      <c r="B67" s="79"/>
      <c r="C67" s="80"/>
      <c r="D67" s="80"/>
      <c r="E67" s="81"/>
      <c r="F67" s="57"/>
      <c r="G67" s="59" t="s">
        <v>69</v>
      </c>
      <c r="H67" s="32" t="s">
        <v>66</v>
      </c>
      <c r="I67" s="32" t="s">
        <v>67</v>
      </c>
      <c r="J67" s="32" t="s">
        <v>70</v>
      </c>
      <c r="K67" s="32" t="s">
        <v>71</v>
      </c>
      <c r="L67" s="36" t="s">
        <v>72</v>
      </c>
    </row>
    <row r="68" spans="2:12" ht="13.5" customHeight="1" x14ac:dyDescent="0.2">
      <c r="B68" s="79"/>
      <c r="C68" s="80"/>
      <c r="D68" s="80"/>
      <c r="E68" s="81"/>
      <c r="F68" s="57"/>
      <c r="G68" s="59"/>
      <c r="H68" s="32"/>
      <c r="I68" s="32"/>
      <c r="J68" s="32"/>
      <c r="K68" s="32"/>
      <c r="L68" s="36"/>
    </row>
    <row r="69" spans="2:12" ht="11.25" customHeight="1" x14ac:dyDescent="0.2">
      <c r="B69" s="79"/>
      <c r="C69" s="80"/>
      <c r="D69" s="80"/>
      <c r="E69" s="81"/>
      <c r="F69" s="57"/>
      <c r="G69" s="59"/>
      <c r="H69" s="32"/>
      <c r="I69" s="32"/>
      <c r="J69" s="32"/>
      <c r="K69" s="32"/>
      <c r="L69" s="36"/>
    </row>
    <row r="70" spans="2:12" ht="11.25" customHeight="1" x14ac:dyDescent="0.2">
      <c r="B70" s="82"/>
      <c r="C70" s="83"/>
      <c r="D70" s="83"/>
      <c r="E70" s="84"/>
      <c r="F70" s="58"/>
      <c r="G70" s="59"/>
      <c r="H70" s="32"/>
      <c r="I70" s="32"/>
      <c r="J70" s="32"/>
      <c r="K70" s="32"/>
      <c r="L70" s="36"/>
    </row>
    <row r="71" spans="2:12" ht="11.25" customHeight="1" x14ac:dyDescent="0.2">
      <c r="B71" s="32">
        <v>1</v>
      </c>
      <c r="C71" s="32"/>
      <c r="D71" s="32"/>
      <c r="E71" s="32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32"/>
      <c r="C72" s="32"/>
      <c r="D72" s="32"/>
      <c r="E72" s="32"/>
      <c r="F72" s="33" t="s">
        <v>76</v>
      </c>
      <c r="G72" s="34"/>
      <c r="H72" s="34"/>
      <c r="I72" s="34"/>
      <c r="J72" s="34"/>
      <c r="K72" s="34"/>
      <c r="L72" s="35"/>
    </row>
    <row r="73" spans="2:12" ht="33.75" customHeight="1" x14ac:dyDescent="0.2">
      <c r="B73" s="53" t="s">
        <v>53</v>
      </c>
      <c r="C73" s="54"/>
      <c r="D73" s="54"/>
      <c r="E73" s="55"/>
      <c r="F73" s="26">
        <f>551851277.69</f>
        <v>551851277.69000006</v>
      </c>
      <c r="G73" s="26">
        <f>298414691.58</f>
        <v>298414691.57999998</v>
      </c>
      <c r="H73" s="26">
        <f>13911793.81</f>
        <v>13911793.810000001</v>
      </c>
      <c r="I73" s="26">
        <f>35666085</f>
        <v>35666085</v>
      </c>
      <c r="J73" s="26">
        <f>244030633.43</f>
        <v>244030633.43000001</v>
      </c>
      <c r="K73" s="26">
        <f>4806179.34</f>
        <v>4806179.34</v>
      </c>
      <c r="L73" s="26">
        <f>253436586.11</f>
        <v>253436586.11000001</v>
      </c>
    </row>
    <row r="74" spans="2:12" ht="33.75" customHeight="1" x14ac:dyDescent="0.2">
      <c r="B74" s="53" t="s">
        <v>54</v>
      </c>
      <c r="C74" s="54"/>
      <c r="D74" s="54"/>
      <c r="E74" s="55"/>
      <c r="F74" s="26">
        <f>8213055</f>
        <v>8213055</v>
      </c>
      <c r="G74" s="26">
        <f>8213055</f>
        <v>8213055</v>
      </c>
      <c r="H74" s="26">
        <f>0</f>
        <v>0</v>
      </c>
      <c r="I74" s="26">
        <f>0</f>
        <v>0</v>
      </c>
      <c r="J74" s="26">
        <f>8213055</f>
        <v>8213055</v>
      </c>
      <c r="K74" s="26">
        <f>0</f>
        <v>0</v>
      </c>
      <c r="L74" s="26">
        <f>0</f>
        <v>0</v>
      </c>
    </row>
    <row r="75" spans="2:12" ht="33.75" customHeight="1" x14ac:dyDescent="0.2">
      <c r="B75" s="53" t="s">
        <v>55</v>
      </c>
      <c r="C75" s="54"/>
      <c r="D75" s="54"/>
      <c r="E75" s="55"/>
      <c r="F75" s="26">
        <f>10181455.3</f>
        <v>10181455.300000001</v>
      </c>
      <c r="G75" s="26">
        <f>5406672</f>
        <v>5406672</v>
      </c>
      <c r="H75" s="26">
        <f>0</f>
        <v>0</v>
      </c>
      <c r="I75" s="26">
        <f>0</f>
        <v>0</v>
      </c>
      <c r="J75" s="26">
        <f>5406672</f>
        <v>5406672</v>
      </c>
      <c r="K75" s="26">
        <f>0</f>
        <v>0</v>
      </c>
      <c r="L75" s="26">
        <f>4774783.3</f>
        <v>4774783.3</v>
      </c>
    </row>
    <row r="76" spans="2:12" ht="22.5" customHeight="1" x14ac:dyDescent="0.2">
      <c r="B76" s="53" t="s">
        <v>56</v>
      </c>
      <c r="C76" s="54"/>
      <c r="D76" s="54"/>
      <c r="E76" s="55"/>
      <c r="F76" s="26">
        <f>45900309.59</f>
        <v>45900309.590000004</v>
      </c>
      <c r="G76" s="26">
        <f>19137064.52</f>
        <v>19137064.52</v>
      </c>
      <c r="H76" s="26">
        <f>0</f>
        <v>0</v>
      </c>
      <c r="I76" s="26">
        <f>0</f>
        <v>0</v>
      </c>
      <c r="J76" s="26">
        <f>19137064.52</f>
        <v>19137064.52</v>
      </c>
      <c r="K76" s="26">
        <f>0</f>
        <v>0</v>
      </c>
      <c r="L76" s="26">
        <f>26763245.07</f>
        <v>26763245.07</v>
      </c>
    </row>
    <row r="77" spans="2:12" ht="33.75" customHeight="1" x14ac:dyDescent="0.2">
      <c r="B77" s="53" t="s">
        <v>57</v>
      </c>
      <c r="C77" s="54"/>
      <c r="D77" s="54"/>
      <c r="E77" s="55"/>
      <c r="F77" s="26">
        <f>12081852.1</f>
        <v>12081852.1</v>
      </c>
      <c r="G77" s="26">
        <f>11628240.83</f>
        <v>11628240.83</v>
      </c>
      <c r="H77" s="26">
        <f>0</f>
        <v>0</v>
      </c>
      <c r="I77" s="26">
        <f>0</f>
        <v>0</v>
      </c>
      <c r="J77" s="26">
        <f>11628240.83</f>
        <v>11628240.83</v>
      </c>
      <c r="K77" s="26">
        <f>0</f>
        <v>0</v>
      </c>
      <c r="L77" s="26">
        <f>453611.27</f>
        <v>453611.27</v>
      </c>
    </row>
    <row r="78" spans="2:12" ht="33.75" customHeight="1" x14ac:dyDescent="0.2">
      <c r="B78" s="53" t="s">
        <v>58</v>
      </c>
      <c r="C78" s="54"/>
      <c r="D78" s="54"/>
      <c r="E78" s="55"/>
      <c r="F78" s="26">
        <f>1390654.26</f>
        <v>1390654.26</v>
      </c>
      <c r="G78" s="26">
        <f>1027499.84</f>
        <v>1027499.84</v>
      </c>
      <c r="H78" s="26">
        <f>0</f>
        <v>0</v>
      </c>
      <c r="I78" s="26">
        <f>0</f>
        <v>0</v>
      </c>
      <c r="J78" s="26">
        <f>1027499.84</f>
        <v>1027499.84</v>
      </c>
      <c r="K78" s="26">
        <f>0</f>
        <v>0</v>
      </c>
      <c r="L78" s="26">
        <f>363154.42</f>
        <v>363154.42</v>
      </c>
    </row>
    <row r="79" spans="2:12" ht="22.5" customHeight="1" x14ac:dyDescent="0.2">
      <c r="B79" s="53" t="s">
        <v>59</v>
      </c>
      <c r="C79" s="54"/>
      <c r="D79" s="54"/>
      <c r="E79" s="55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2" spans="1:13" ht="75" customHeight="1" x14ac:dyDescent="0.2">
      <c r="A82" s="47" t="str">
        <f>CONCATENATE("Informacja z wykonania budżetów powiatów za   ",$C$90," ",$B$91," roku    ",$B$93,"")</f>
        <v xml:space="preserve">Informacja z wykonania budżetów powiatów za   II Kwartały 2022 roku    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3.5" customHeight="1" x14ac:dyDescent="0.2">
      <c r="B83" s="4"/>
    </row>
    <row r="84" spans="1:13" ht="13.5" customHeight="1" x14ac:dyDescent="0.2">
      <c r="B84" s="5"/>
      <c r="C84" s="33"/>
      <c r="D84" s="60"/>
      <c r="E84" s="60"/>
      <c r="F84" s="61"/>
      <c r="G84" s="33" t="s">
        <v>3</v>
      </c>
      <c r="H84" s="61"/>
      <c r="I84" s="33" t="s">
        <v>4</v>
      </c>
      <c r="J84" s="61"/>
      <c r="K84" s="5"/>
    </row>
    <row r="85" spans="1:13" ht="13.5" customHeight="1" x14ac:dyDescent="0.2">
      <c r="B85" s="6"/>
      <c r="C85" s="66" t="s">
        <v>5</v>
      </c>
      <c r="D85" s="67"/>
      <c r="E85" s="67"/>
      <c r="F85" s="68"/>
      <c r="G85" s="62">
        <f>272</f>
        <v>272</v>
      </c>
      <c r="H85" s="63"/>
      <c r="I85" s="64">
        <f>1856292051.18</f>
        <v>1856292051.1800001</v>
      </c>
      <c r="J85" s="65"/>
      <c r="K85" s="7"/>
    </row>
    <row r="86" spans="1:13" ht="13.5" customHeight="1" x14ac:dyDescent="0.2">
      <c r="B86" s="6"/>
      <c r="C86" s="69" t="s">
        <v>6</v>
      </c>
      <c r="D86" s="70"/>
      <c r="E86" s="70"/>
      <c r="F86" s="71"/>
      <c r="G86" s="72">
        <f>42</f>
        <v>42</v>
      </c>
      <c r="H86" s="73"/>
      <c r="I86" s="74">
        <f>-85228931.38</f>
        <v>-85228931.379999995</v>
      </c>
      <c r="J86" s="75"/>
      <c r="K86" s="7"/>
    </row>
    <row r="87" spans="1:13" ht="13.5" customHeight="1" x14ac:dyDescent="0.2">
      <c r="B87" s="6"/>
      <c r="C87" s="66" t="s">
        <v>7</v>
      </c>
      <c r="D87" s="67"/>
      <c r="E87" s="67"/>
      <c r="F87" s="68"/>
      <c r="G87" s="62">
        <f>0</f>
        <v>0</v>
      </c>
      <c r="H87" s="63"/>
      <c r="I87" s="64">
        <f>0</f>
        <v>0</v>
      </c>
      <c r="J87" s="65"/>
      <c r="K87" s="7"/>
    </row>
    <row r="90" spans="1:13" ht="13.5" customHeight="1" x14ac:dyDescent="0.2">
      <c r="A90" s="8" t="s">
        <v>8</v>
      </c>
      <c r="B90" s="8">
        <f>2</f>
        <v>2</v>
      </c>
      <c r="C90" s="8" t="str">
        <f>IF(B90=1,"I Kwartał",IF(B90=2,"II Kwartały",IF(B90=3,"III Kwartały",IF(B90=4,"IV Kwartały","-"))))</f>
        <v>II Kwartały</v>
      </c>
    </row>
    <row r="91" spans="1:13" ht="13.5" customHeight="1" x14ac:dyDescent="0.2">
      <c r="A91" s="8" t="s">
        <v>9</v>
      </c>
      <c r="B91" s="8">
        <f>2022</f>
        <v>2022</v>
      </c>
      <c r="C91" s="9"/>
    </row>
    <row r="92" spans="1:13" ht="13.5" customHeight="1" x14ac:dyDescent="0.2">
      <c r="A92" s="8" t="s">
        <v>10</v>
      </c>
      <c r="B92" s="10" t="str">
        <f>"Aug 18 2022 12:00AM"</f>
        <v>Aug 18 2022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7:E77"/>
    <mergeCell ref="B74:E74"/>
    <mergeCell ref="M32:M35"/>
    <mergeCell ref="B73:E73"/>
    <mergeCell ref="F66:F70"/>
    <mergeCell ref="G67:G70"/>
    <mergeCell ref="G66:L66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F7:F10"/>
    <mergeCell ref="I7:I10"/>
    <mergeCell ref="J7:J10"/>
    <mergeCell ref="A31:A35"/>
    <mergeCell ref="C32:C35"/>
    <mergeCell ref="E32:E35"/>
    <mergeCell ref="B31:B35"/>
    <mergeCell ref="K67:K70"/>
    <mergeCell ref="H67:H70"/>
    <mergeCell ref="I67:I70"/>
    <mergeCell ref="J67:J70"/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2022-08-19T13:38:59Z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2022-08-19T15:38:56.0919168+02:00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GRN-424986f6-12ae-4906-b1c2-a3721cc25a42</vt:lpwstr>
  </property>
  <property fmtid="{D5CDD505-2E9C-101B-9397-08002B2CF9AE}" pid="7" name="MFHash">
    <vt:lpwstr>baOL5fqIuaSTA2052n6cSgZ9rBtmePBxST5/B2m7daI=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