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sharedStrings.xml><?xml version="1.0" encoding="utf-8"?>
<sst xmlns="http://schemas.openxmlformats.org/spreadsheetml/2006/main" count="216" uniqueCount="98">
  <si>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</si>
  <si>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</si>
  <si>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</si>
  <si>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</si>
  <si>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</si>
  <si>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</si>
  <si>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</si>
  <si>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</si>
  <si>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</si>
  <si>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</si>
  <si>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</si>
  <si>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</si>
  <si>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</si>
  <si>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</si>
  <si>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</si>
  <si>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</si>
  <si>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</si>
  <si>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</si>
  <si>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</si>
  <si>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</si>
  <si>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</si>
  <si>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</si>
  <si>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</si>
  <si>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</si>
  <si>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</si>
  <si>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</si>
  <si>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</si>
  <si>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</si>
  <si>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</si>
  <si>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</si>
  <si>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</si>
  <si>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</si>
  <si>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</si>
  <si>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</si>
  <si>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</si>
  <si>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</si>
  <si>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</si>
  <si>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</si>
  <si>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</si>
  <si>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</si>
  <si>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</si>
  <si>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</si>
  <si>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</si>
  <si>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</si>
  <si>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</si>
  <si>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</si>
  <si>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</si>
  <si>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</si>
  <si>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</si>
  <si>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</si>
  <si>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</si>
  <si>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</si>
  <si>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</si>
  <si>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</si>
  <si>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</si>
  <si>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</si>
  <si>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</si>
  <si>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</si>
  <si>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</si>
  <si>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</si>
  <si>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</si>
  <si>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</si>
  <si>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</si>
  <si>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</si>
  <si>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</si>
  <si>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</si>
  <si>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</si>
  <si>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</si>
  <si>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</si>
  <si>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</si>
  <si>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</si>
  <si>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</si>
  <si>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</si>
  <si>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</si>
  <si>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</si>
  <si>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</si>
  <si>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</si>
  <si>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</si>
  <si>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</si>
  <si>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</si>
  <si>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</si>
  <si>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</si>
  <si>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</si>
  <si>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</si>
  <si>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</si>
  <si>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</si>
  <si>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</si>
  <si>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</si>
  <si>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</si>
  <si>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</si>
  <si>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</si>
  <si>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</si>
  <si>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</si>
  <si>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</si>
  <si>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</si>
  <si>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</si>
  <si>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#</t>
  </si>
  <si>
    <t xml:space="preserve">Informacja z wykonania budżetów województw za GRUDZIEŃ  2020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</si>
</sst>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40" borderId="1" applyNumberFormat="0" applyAlignment="0" applyProtection="0"/>
    <xf numFmtId="0" fontId="18" fillId="41" borderId="2" applyNumberFormat="0" applyAlignment="0" applyProtection="0"/>
    <xf numFmtId="0" fontId="39" fillId="42" borderId="3" applyNumberFormat="0" applyAlignment="0" applyProtection="0"/>
    <xf numFmtId="0" fontId="40" fillId="43" borderId="4" applyNumberFormat="0" applyAlignment="0" applyProtection="0"/>
    <xf numFmtId="0" fontId="41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6" borderId="1" applyNumberFormat="0" applyAlignment="0" applyProtection="0"/>
    <xf numFmtId="0" fontId="42" fillId="0" borderId="8" applyNumberFormat="0" applyFill="0" applyAlignment="0" applyProtection="0"/>
    <xf numFmtId="0" fontId="43" fillId="46" borderId="9" applyNumberFormat="0" applyAlignment="0" applyProtection="0"/>
    <xf numFmtId="0" fontId="25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7" fillId="47" borderId="0" applyNumberFormat="0" applyBorder="0" applyAlignment="0" applyProtection="0"/>
    <xf numFmtId="0" fontId="37" fillId="0" borderId="0">
      <alignment/>
      <protection/>
    </xf>
    <xf numFmtId="0" fontId="0" fillId="4" borderId="14" applyNumberFormat="0" applyFont="0" applyAlignment="0" applyProtection="0"/>
    <xf numFmtId="0" fontId="48" fillId="43" borderId="3" applyNumberFormat="0" applyAlignment="0" applyProtection="0"/>
    <xf numFmtId="0" fontId="2" fillId="0" borderId="0" applyNumberFormat="0" applyFill="0" applyBorder="0" applyAlignment="0" applyProtection="0"/>
    <xf numFmtId="0" fontId="27" fillId="40" borderId="15" applyNumberFormat="0" applyAlignment="0" applyProtection="0"/>
    <xf numFmtId="9" fontId="0" fillId="0" borderId="0" applyFont="0" applyFill="0" applyBorder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3" fillId="4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0" fontId="54" fillId="0" borderId="19" xfId="89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4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4" fillId="0" borderId="19" xfId="89" applyFont="1" applyFill="1" applyBorder="1" applyAlignment="1">
      <alignment horizontal="left" vertical="center" wrapText="1"/>
      <protection/>
    </xf>
    <xf numFmtId="4" fontId="13" fillId="51" borderId="19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2" fillId="51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12" fillId="51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13" fillId="40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7" fillId="0" borderId="20" xfId="0" applyNumberFormat="1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4" fontId="7" fillId="40" borderId="2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10" t="s">
        <v>97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8" ht="60" customHeight="1">
      <c r="B2" s="103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103"/>
      <c r="C3" s="96" t="s">
        <v>59</v>
      </c>
      <c r="D3" s="96"/>
      <c r="E3" s="96"/>
      <c r="F3" s="96" t="s">
        <v>4</v>
      </c>
      <c r="G3" s="96"/>
      <c r="H3" s="96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71" t="s">
        <v>5</v>
      </c>
      <c r="C5" s="72">
        <f>20488369281.1</f>
        <v>20488369281.1</v>
      </c>
      <c r="D5" s="72">
        <f>21002017682.94</f>
        <v>21002017682.94</v>
      </c>
      <c r="E5" s="92" t="s">
        <v>96</v>
      </c>
      <c r="F5" s="73">
        <f aca="true" t="shared" si="0" ref="F5:F33">IF($D$5=0,"",100*$D5/$D$5)</f>
        <v>100</v>
      </c>
      <c r="G5" s="73">
        <f>IF(C5=0,"",100*D5/C5)</f>
        <v>102.50702432581507</v>
      </c>
      <c r="H5" s="73"/>
      <c r="I5" s="34"/>
      <c r="J5" s="34"/>
      <c r="K5" s="34"/>
      <c r="L5" s="34"/>
      <c r="M5" s="34"/>
    </row>
    <row r="6" spans="2:13" ht="25.5" customHeight="1">
      <c r="B6" s="55" t="s">
        <v>44</v>
      </c>
      <c r="C6" s="22">
        <f>C5-C11-C29</f>
        <v>9736649520.899998</v>
      </c>
      <c r="D6" s="22">
        <f>D5-D11-D29</f>
        <v>10633212433.189999</v>
      </c>
      <c r="E6" s="92" t="s">
        <v>96</v>
      </c>
      <c r="F6" s="30">
        <f t="shared" si="0"/>
        <v>50.629480432384305</v>
      </c>
      <c r="G6" s="30">
        <f aca="true" t="shared" si="1" ref="G6:G36">IF(C6=0,"",100*D6/C6)</f>
        <v>109.20812555043193</v>
      </c>
      <c r="H6" s="30">
        <f>IF($D$6=0,"",100*$D6/$D$6)</f>
        <v>100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6657502238</f>
        <v>6657502238</v>
      </c>
      <c r="D7" s="20">
        <f>7228997149.32</f>
        <v>7228997149.32</v>
      </c>
      <c r="E7" s="93" t="s">
        <v>96</v>
      </c>
      <c r="F7" s="31">
        <f t="shared" si="0"/>
        <v>34.42048882375781</v>
      </c>
      <c r="G7" s="31">
        <f t="shared" si="1"/>
        <v>108.58422409620826</v>
      </c>
      <c r="H7" s="31">
        <f>IF($D$6=0,"",100*$D7/$D$6)</f>
        <v>67.98507219469965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1711857844</f>
        <v>1711857844</v>
      </c>
      <c r="D8" s="21">
        <f>1759067720</f>
        <v>1759067720</v>
      </c>
      <c r="E8" s="93" t="s">
        <v>96</v>
      </c>
      <c r="F8" s="31">
        <f t="shared" si="0"/>
        <v>8.375708213163232</v>
      </c>
      <c r="G8" s="31">
        <f t="shared" si="1"/>
        <v>102.75781521026812</v>
      </c>
      <c r="H8" s="31">
        <f>IF($D$6=0,"",100*$D8/$D$6)</f>
        <v>16.543144708642615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241409060</f>
        <v>241409060</v>
      </c>
      <c r="D9" s="74">
        <f>244343887.81</f>
        <v>244343887.81</v>
      </c>
      <c r="E9" s="93" t="s">
        <v>96</v>
      </c>
      <c r="F9" s="31">
        <f t="shared" si="0"/>
        <v>1.1634305403355663</v>
      </c>
      <c r="G9" s="31">
        <f t="shared" si="1"/>
        <v>101.21570740137093</v>
      </c>
      <c r="H9" s="31">
        <f>IF($D$6=0,"",100*$D9/$D$6)</f>
        <v>2.297931028325144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1125880378.8999977</v>
      </c>
      <c r="D10" s="21">
        <f>D6-D7-D8-D9</f>
        <v>1400803676.059999</v>
      </c>
      <c r="E10" s="93" t="s">
        <v>96</v>
      </c>
      <c r="F10" s="31">
        <f t="shared" si="0"/>
        <v>6.669852855127705</v>
      </c>
      <c r="G10" s="31">
        <f t="shared" si="1"/>
        <v>124.41851748305673</v>
      </c>
      <c r="H10" s="31">
        <f>IF($D$6=0,"",100*$D10/$D$6)</f>
        <v>13.173852068332593</v>
      </c>
      <c r="I10" s="34"/>
      <c r="J10" s="34"/>
      <c r="K10" s="34"/>
      <c r="L10" s="34"/>
      <c r="M10" s="34"/>
    </row>
    <row r="11" spans="2:13" ht="12.75">
      <c r="B11" s="71" t="s">
        <v>81</v>
      </c>
      <c r="C11" s="72">
        <f>C12+C25+C27</f>
        <v>7542668217.200001</v>
      </c>
      <c r="D11" s="72">
        <f>D12+D25+D27</f>
        <v>7189699425.75</v>
      </c>
      <c r="E11" s="92" t="s">
        <v>96</v>
      </c>
      <c r="F11" s="73">
        <f t="shared" si="0"/>
        <v>34.23337478470087</v>
      </c>
      <c r="G11" s="73">
        <f t="shared" si="1"/>
        <v>95.32037229683384</v>
      </c>
      <c r="H11" s="75"/>
      <c r="I11" s="34"/>
      <c r="J11" s="34"/>
      <c r="K11" s="34"/>
      <c r="L11" s="34"/>
      <c r="M11" s="34"/>
    </row>
    <row r="12" spans="2:13" ht="12.75">
      <c r="B12" s="71" t="s">
        <v>82</v>
      </c>
      <c r="C12" s="72">
        <f>C13+C15+C17+C19+C21+C23</f>
        <v>1102204537.65</v>
      </c>
      <c r="D12" s="72">
        <f>D13+D15+D17+D19+D21+D23</f>
        <v>954114022.7800001</v>
      </c>
      <c r="E12" s="92" t="s">
        <v>96</v>
      </c>
      <c r="F12" s="73">
        <f t="shared" si="0"/>
        <v>4.542963619895577</v>
      </c>
      <c r="G12" s="73">
        <f t="shared" si="1"/>
        <v>86.56415303953091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754510367.36</f>
        <v>754510367.36</v>
      </c>
      <c r="D13" s="21">
        <f>617256371.57</f>
        <v>617256371.57</v>
      </c>
      <c r="E13" s="93" t="s">
        <v>96</v>
      </c>
      <c r="F13" s="31">
        <f t="shared" si="0"/>
        <v>2.9390336723285366</v>
      </c>
      <c r="G13" s="31">
        <f t="shared" si="1"/>
        <v>81.80886549375778</v>
      </c>
      <c r="H13" s="26"/>
      <c r="I13" s="34"/>
      <c r="J13" s="34"/>
      <c r="K13" s="34"/>
      <c r="L13" s="34"/>
      <c r="M13" s="34"/>
    </row>
    <row r="14" spans="2:13" ht="11.25" customHeight="1">
      <c r="B14" s="78" t="s">
        <v>6</v>
      </c>
      <c r="C14" s="21">
        <f>63516611.92</f>
        <v>63516611.92</v>
      </c>
      <c r="D14" s="21">
        <f>52730433.96</f>
        <v>52730433.96</v>
      </c>
      <c r="E14" s="93" t="s">
        <v>96</v>
      </c>
      <c r="F14" s="31">
        <f t="shared" si="0"/>
        <v>0.251073181425007</v>
      </c>
      <c r="G14" s="31">
        <f t="shared" si="1"/>
        <v>83.0183354653971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71182916.53</f>
        <v>71182916.53</v>
      </c>
      <c r="D15" s="21">
        <f>51097952.41</f>
        <v>51097952.41</v>
      </c>
      <c r="E15" s="93" t="s">
        <v>96</v>
      </c>
      <c r="F15" s="31">
        <f t="shared" si="0"/>
        <v>0.24330020658685103</v>
      </c>
      <c r="G15" s="31">
        <f t="shared" si="1"/>
        <v>71.78401068810491</v>
      </c>
      <c r="H15" s="26"/>
      <c r="I15" s="34"/>
      <c r="J15" s="34"/>
      <c r="K15" s="34"/>
      <c r="L15" s="34"/>
      <c r="M15" s="34"/>
    </row>
    <row r="16" spans="2:13" ht="10.5" customHeight="1">
      <c r="B16" s="78" t="s">
        <v>6</v>
      </c>
      <c r="C16" s="21">
        <f>40273937.73</f>
        <v>40273937.73</v>
      </c>
      <c r="D16" s="21">
        <f>23069174.06</f>
        <v>23069174.06</v>
      </c>
      <c r="E16" s="93" t="s">
        <v>96</v>
      </c>
      <c r="F16" s="31">
        <f t="shared" si="0"/>
        <v>0.10984265611174662</v>
      </c>
      <c r="G16" s="31">
        <f t="shared" si="1"/>
        <v>57.28065185643818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19472046.84</f>
        <v>19472046.84</v>
      </c>
      <c r="D17" s="21">
        <f>15776858.69</f>
        <v>15776858.69</v>
      </c>
      <c r="E17" s="93" t="s">
        <v>96</v>
      </c>
      <c r="F17" s="31">
        <f t="shared" si="0"/>
        <v>0.07512068091827001</v>
      </c>
      <c r="G17" s="31">
        <f t="shared" si="1"/>
        <v>81.02311390084968</v>
      </c>
      <c r="H17" s="26"/>
      <c r="I17" s="34"/>
      <c r="J17" s="34"/>
      <c r="K17" s="34"/>
      <c r="L17" s="34"/>
      <c r="M17" s="34"/>
    </row>
    <row r="18" spans="2:13" ht="9.75" customHeight="1">
      <c r="B18" s="78" t="s">
        <v>6</v>
      </c>
      <c r="C18" s="21">
        <f>0</f>
        <v>0</v>
      </c>
      <c r="D18" s="21">
        <f>0</f>
        <v>0</v>
      </c>
      <c r="E18" s="93" t="s">
        <v>96</v>
      </c>
      <c r="F18" s="31">
        <f t="shared" si="0"/>
        <v>0</v>
      </c>
      <c r="G18" s="31">
        <f t="shared" si="1"/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61186878.44</f>
        <v>61186878.44</v>
      </c>
      <c r="D19" s="21">
        <f>58312121.36</f>
        <v>58312121.36</v>
      </c>
      <c r="E19" s="93" t="s">
        <v>96</v>
      </c>
      <c r="F19" s="31">
        <f t="shared" si="0"/>
        <v>0.2776500917212688</v>
      </c>
      <c r="G19" s="31">
        <f t="shared" si="1"/>
        <v>95.30167716789313</v>
      </c>
      <c r="H19" s="26"/>
      <c r="I19" s="34"/>
      <c r="J19" s="34"/>
      <c r="K19" s="34"/>
      <c r="L19" s="34"/>
      <c r="M19" s="34"/>
    </row>
    <row r="20" spans="2:13" ht="11.25" customHeight="1">
      <c r="B20" s="78" t="s">
        <v>6</v>
      </c>
      <c r="C20" s="21">
        <f>6676223.44</f>
        <v>6676223.44</v>
      </c>
      <c r="D20" s="21">
        <f>4750706.26</f>
        <v>4750706.26</v>
      </c>
      <c r="E20" s="93" t="s">
        <v>96</v>
      </c>
      <c r="F20" s="31">
        <f t="shared" si="0"/>
        <v>0.02262023740632793</v>
      </c>
      <c r="G20" s="31">
        <f t="shared" si="1"/>
        <v>71.1585869271026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61</v>
      </c>
      <c r="C21" s="21">
        <f>136775520.81</f>
        <v>136775520.81</v>
      </c>
      <c r="D21" s="21">
        <f>132509441.13</f>
        <v>132509441.13</v>
      </c>
      <c r="E21" s="93" t="s">
        <v>96</v>
      </c>
      <c r="F21" s="31">
        <f t="shared" si="0"/>
        <v>0.6309367182260675</v>
      </c>
      <c r="G21" s="31">
        <f t="shared" si="1"/>
        <v>96.88096257668346</v>
      </c>
      <c r="H21" s="26"/>
      <c r="I21" s="34"/>
      <c r="J21" s="34"/>
      <c r="K21" s="34"/>
      <c r="L21" s="34"/>
      <c r="M21" s="34"/>
    </row>
    <row r="22" spans="2:13" ht="12.75">
      <c r="B22" s="78" t="s">
        <v>6</v>
      </c>
      <c r="C22" s="21">
        <f>94416294.41</f>
        <v>94416294.41</v>
      </c>
      <c r="D22" s="21">
        <f>90788954.8</f>
        <v>90788954.8</v>
      </c>
      <c r="E22" s="93" t="s">
        <v>96</v>
      </c>
      <c r="F22" s="31">
        <f t="shared" si="0"/>
        <v>0.4322868220120971</v>
      </c>
      <c r="G22" s="31">
        <f t="shared" si="1"/>
        <v>96.15814237079843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59076807.67</f>
        <v>59076807.67</v>
      </c>
      <c r="D23" s="21">
        <f>79161277.62</f>
        <v>79161277.62</v>
      </c>
      <c r="E23" s="93" t="s">
        <v>96</v>
      </c>
      <c r="F23" s="31">
        <f t="shared" si="0"/>
        <v>0.37692225011458275</v>
      </c>
      <c r="G23" s="31">
        <f t="shared" si="1"/>
        <v>133.99721606859805</v>
      </c>
      <c r="H23" s="26"/>
      <c r="I23" s="34"/>
      <c r="J23" s="34"/>
      <c r="K23" s="34"/>
      <c r="L23" s="34"/>
      <c r="M23" s="34"/>
    </row>
    <row r="24" spans="2:13" ht="12.75">
      <c r="B24" s="78" t="s">
        <v>6</v>
      </c>
      <c r="C24" s="21">
        <f>500000</f>
        <v>500000</v>
      </c>
      <c r="D24" s="21">
        <f>22002597.07</f>
        <v>22002597.07</v>
      </c>
      <c r="E24" s="93" t="s">
        <v>96</v>
      </c>
      <c r="F24" s="31">
        <f t="shared" si="0"/>
        <v>0.10476420600232508</v>
      </c>
      <c r="G24" s="31">
        <f t="shared" si="1"/>
        <v>4400.519414</v>
      </c>
      <c r="H24" s="26"/>
      <c r="I24" s="34"/>
      <c r="J24" s="34"/>
      <c r="K24" s="34"/>
      <c r="L24" s="34"/>
      <c r="M24" s="34"/>
    </row>
    <row r="25" spans="2:13" ht="13.5" customHeight="1">
      <c r="B25" s="71" t="s">
        <v>52</v>
      </c>
      <c r="C25" s="72">
        <f>1319752810.7</f>
        <v>1319752810.7</v>
      </c>
      <c r="D25" s="72">
        <f>1249364740.72</f>
        <v>1249364740.72</v>
      </c>
      <c r="E25" s="92" t="s">
        <v>96</v>
      </c>
      <c r="F25" s="73">
        <f t="shared" si="0"/>
        <v>5.948784348157476</v>
      </c>
      <c r="G25" s="73">
        <f t="shared" si="1"/>
        <v>94.66657169362905</v>
      </c>
      <c r="H25" s="26"/>
      <c r="I25" s="34"/>
      <c r="J25" s="34"/>
      <c r="K25" s="34"/>
      <c r="L25" s="34"/>
      <c r="M25" s="34"/>
    </row>
    <row r="26" spans="2:13" ht="14.25" customHeight="1">
      <c r="B26" s="28" t="s">
        <v>53</v>
      </c>
      <c r="C26" s="20">
        <f>543522018</f>
        <v>543522018</v>
      </c>
      <c r="D26" s="20">
        <f>507947922.24</f>
        <v>507947922.24</v>
      </c>
      <c r="E26" s="93" t="s">
        <v>96</v>
      </c>
      <c r="F26" s="31">
        <f t="shared" si="0"/>
        <v>2.4185672534339764</v>
      </c>
      <c r="G26" s="31">
        <f t="shared" si="1"/>
        <v>93.45489334711736</v>
      </c>
      <c r="H26" s="26"/>
      <c r="I26" s="34"/>
      <c r="J26" s="34"/>
      <c r="K26" s="34"/>
      <c r="L26" s="34"/>
      <c r="M26" s="34"/>
    </row>
    <row r="27" spans="2:13" ht="14.25" customHeight="1">
      <c r="B27" s="71" t="s">
        <v>76</v>
      </c>
      <c r="C27" s="72">
        <f>5120710868.85</f>
        <v>5120710868.85</v>
      </c>
      <c r="D27" s="72">
        <f>4986220662.25</f>
        <v>4986220662.25</v>
      </c>
      <c r="E27" s="92" t="s">
        <v>96</v>
      </c>
      <c r="F27" s="77">
        <f t="shared" si="0"/>
        <v>23.74162681664782</v>
      </c>
      <c r="G27" s="77">
        <f t="shared" si="1"/>
        <v>97.37360280545963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77</v>
      </c>
      <c r="C28" s="20">
        <f>2836878855.72</f>
        <v>2836878855.72</v>
      </c>
      <c r="D28" s="20">
        <f>2763990261.44</f>
        <v>2763990261.44</v>
      </c>
      <c r="E28" s="93" t="s">
        <v>96</v>
      </c>
      <c r="F28" s="31">
        <f t="shared" si="0"/>
        <v>13.160593916103583</v>
      </c>
      <c r="G28" s="31">
        <f>IF(C27=0,"",100*D28/C28)</f>
        <v>97.43067652913572</v>
      </c>
      <c r="H28" s="26"/>
      <c r="I28" s="34"/>
      <c r="J28" s="34"/>
      <c r="K28" s="34"/>
      <c r="L28" s="34"/>
      <c r="M28" s="34"/>
    </row>
    <row r="29" spans="2:13" s="5" customFormat="1" ht="22.5" customHeight="1">
      <c r="B29" s="55" t="s">
        <v>45</v>
      </c>
      <c r="C29" s="22">
        <f>C30+C31+C32+C33</f>
        <v>3209051543</v>
      </c>
      <c r="D29" s="22">
        <f>D30+D31+D32+D33</f>
        <v>3179105824</v>
      </c>
      <c r="E29" s="92" t="s">
        <v>96</v>
      </c>
      <c r="F29" s="30">
        <f t="shared" si="0"/>
        <v>15.13714478291482</v>
      </c>
      <c r="G29" s="30">
        <f t="shared" si="1"/>
        <v>99.0668358361111</v>
      </c>
      <c r="H29" s="27"/>
      <c r="I29" s="56"/>
      <c r="J29" s="56"/>
      <c r="K29" s="56"/>
      <c r="L29" s="56"/>
      <c r="M29" s="56"/>
    </row>
    <row r="30" spans="2:13" ht="12.75">
      <c r="B30" s="29" t="s">
        <v>32</v>
      </c>
      <c r="C30" s="21">
        <f>642720718</f>
        <v>642720718</v>
      </c>
      <c r="D30" s="21">
        <f>642720718</f>
        <v>642720718</v>
      </c>
      <c r="E30" s="93" t="s">
        <v>96</v>
      </c>
      <c r="F30" s="31">
        <f t="shared" si="0"/>
        <v>3.0602808154098637</v>
      </c>
      <c r="G30" s="31">
        <f t="shared" si="1"/>
        <v>100</v>
      </c>
      <c r="H30" s="27"/>
      <c r="I30" s="34"/>
      <c r="J30" s="34"/>
      <c r="K30" s="34"/>
      <c r="L30" s="34"/>
      <c r="M30" s="34"/>
    </row>
    <row r="31" spans="2:13" ht="12.75">
      <c r="B31" s="29" t="s">
        <v>43</v>
      </c>
      <c r="C31" s="21">
        <f>592596922</f>
        <v>592596922</v>
      </c>
      <c r="D31" s="21">
        <f>592596922</f>
        <v>592596922</v>
      </c>
      <c r="E31" s="93" t="s">
        <v>96</v>
      </c>
      <c r="F31" s="31">
        <f t="shared" si="0"/>
        <v>2.8216190032130495</v>
      </c>
      <c r="G31" s="31">
        <f t="shared" si="1"/>
        <v>100</v>
      </c>
      <c r="H31" s="27"/>
      <c r="I31" s="34"/>
      <c r="J31" s="34"/>
      <c r="K31" s="34"/>
      <c r="L31" s="34"/>
      <c r="M31" s="34"/>
    </row>
    <row r="32" spans="2:13" ht="12.75">
      <c r="B32" s="29" t="s">
        <v>33</v>
      </c>
      <c r="C32" s="21">
        <f>1576054926</f>
        <v>1576054926</v>
      </c>
      <c r="D32" s="21">
        <f>1576054926</f>
        <v>1576054926</v>
      </c>
      <c r="E32" s="93" t="s">
        <v>96</v>
      </c>
      <c r="F32" s="31">
        <f t="shared" si="0"/>
        <v>7.504302442713559</v>
      </c>
      <c r="G32" s="31">
        <f t="shared" si="1"/>
        <v>100</v>
      </c>
      <c r="H32" s="27"/>
      <c r="I32" s="34"/>
      <c r="J32" s="34"/>
      <c r="K32" s="34"/>
      <c r="L32" s="34"/>
      <c r="M32" s="34"/>
    </row>
    <row r="33" spans="2:13" s="5" customFormat="1" ht="14.25" customHeight="1">
      <c r="B33" s="29" t="s">
        <v>31</v>
      </c>
      <c r="C33" s="21">
        <f>397678977</f>
        <v>397678977</v>
      </c>
      <c r="D33" s="21">
        <f>367733258</f>
        <v>367733258</v>
      </c>
      <c r="E33" s="93" t="s">
        <v>96</v>
      </c>
      <c r="F33" s="31">
        <f t="shared" si="0"/>
        <v>1.7509425215783474</v>
      </c>
      <c r="G33" s="31">
        <f t="shared" si="1"/>
        <v>92.46987627409834</v>
      </c>
      <c r="H33" s="27"/>
      <c r="I33" s="56"/>
      <c r="J33" s="56"/>
      <c r="K33" s="56"/>
      <c r="L33" s="56"/>
      <c r="M33" s="56"/>
    </row>
    <row r="34" spans="2:13" s="5" customFormat="1" ht="12.75">
      <c r="B34" s="79" t="s">
        <v>60</v>
      </c>
      <c r="C34" s="76">
        <f>+C5</f>
        <v>20488369281.1</v>
      </c>
      <c r="D34" s="76">
        <f>+D5</f>
        <v>21002017682.94</v>
      </c>
      <c r="E34" s="92" t="s">
        <v>96</v>
      </c>
      <c r="F34" s="77">
        <f>IF($D$5=0,"",100*$D34/$D$34)</f>
        <v>100</v>
      </c>
      <c r="G34" s="77">
        <f t="shared" si="1"/>
        <v>102.50702432581507</v>
      </c>
      <c r="H34" s="77"/>
      <c r="I34" s="56"/>
      <c r="J34" s="56"/>
      <c r="K34" s="56"/>
      <c r="L34" s="56"/>
      <c r="M34" s="56"/>
    </row>
    <row r="35" spans="2:13" s="5" customFormat="1" ht="12.75">
      <c r="B35" s="29" t="s">
        <v>54</v>
      </c>
      <c r="C35" s="21">
        <f>3962829423.94</f>
        <v>3962829423.94</v>
      </c>
      <c r="D35" s="21">
        <f>4051590834.94</f>
        <v>4051590834.94</v>
      </c>
      <c r="E35" s="93" t="s">
        <v>96</v>
      </c>
      <c r="F35" s="31">
        <f>IF($D$5=0,"",100*$D35/$D$34)</f>
        <v>19.29143616630282</v>
      </c>
      <c r="G35" s="31">
        <f t="shared" si="1"/>
        <v>102.23984939810379</v>
      </c>
      <c r="H35" s="31">
        <f>IF($D$6=0,"",100*$D35/$D$6)</f>
        <v>38.10316835478203</v>
      </c>
      <c r="I35" s="56"/>
      <c r="J35" s="56"/>
      <c r="K35" s="56"/>
      <c r="L35" s="56"/>
      <c r="M35" s="56"/>
    </row>
    <row r="36" spans="1:13" s="5" customFormat="1" ht="12.75">
      <c r="A36" s="2"/>
      <c r="B36" s="29" t="s">
        <v>55</v>
      </c>
      <c r="C36" s="21">
        <f>C34-C35</f>
        <v>16525539857.159998</v>
      </c>
      <c r="D36" s="21">
        <f>D34-D35</f>
        <v>16950426847.999998</v>
      </c>
      <c r="E36" s="93" t="s">
        <v>96</v>
      </c>
      <c r="F36" s="31">
        <f>IF($D$5=0,"",100*$D36/$D$34)</f>
        <v>80.70856383369717</v>
      </c>
      <c r="G36" s="31">
        <f t="shared" si="1"/>
        <v>102.57109295377064</v>
      </c>
      <c r="H36" s="31">
        <f>IF($D$6=0,"",100*$D36/$D$6)</f>
        <v>159.41021544055445</v>
      </c>
      <c r="I36" s="57"/>
      <c r="J36" s="57"/>
      <c r="K36" s="58"/>
      <c r="L36" s="58"/>
      <c r="M36" s="19"/>
    </row>
    <row r="37" spans="2:13" ht="21.75" customHeight="1">
      <c r="B37" s="110" t="s">
        <v>97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03" t="s">
        <v>0</v>
      </c>
      <c r="C39" s="104" t="s">
        <v>39</v>
      </c>
      <c r="D39" s="104" t="s">
        <v>40</v>
      </c>
      <c r="E39" s="104" t="s">
        <v>41</v>
      </c>
      <c r="F39" s="104" t="s">
        <v>12</v>
      </c>
      <c r="G39" s="104"/>
      <c r="H39" s="104"/>
      <c r="I39" s="104" t="s">
        <v>78</v>
      </c>
      <c r="J39" s="104"/>
      <c r="K39" s="104" t="s">
        <v>2</v>
      </c>
      <c r="L39" s="102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03"/>
      <c r="C40" s="104"/>
      <c r="D40" s="105"/>
      <c r="E40" s="104"/>
      <c r="F40" s="97" t="s">
        <v>42</v>
      </c>
      <c r="G40" s="111" t="s">
        <v>25</v>
      </c>
      <c r="H40" s="105"/>
      <c r="I40" s="104"/>
      <c r="J40" s="104"/>
      <c r="K40" s="104"/>
      <c r="L40" s="102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03"/>
      <c r="C41" s="104"/>
      <c r="D41" s="105"/>
      <c r="E41" s="104"/>
      <c r="F41" s="105"/>
      <c r="G41" s="15" t="s">
        <v>37</v>
      </c>
      <c r="H41" s="15" t="s">
        <v>38</v>
      </c>
      <c r="I41" s="104"/>
      <c r="J41" s="104"/>
      <c r="K41" s="104"/>
      <c r="L41" s="102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03"/>
      <c r="C42" s="96" t="s">
        <v>59</v>
      </c>
      <c r="D42" s="96"/>
      <c r="E42" s="96"/>
      <c r="F42" s="96"/>
      <c r="G42" s="96"/>
      <c r="H42" s="96"/>
      <c r="I42" s="96"/>
      <c r="J42" s="96"/>
      <c r="K42" s="96" t="s">
        <v>4</v>
      </c>
      <c r="L42" s="96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105">
        <v>8</v>
      </c>
      <c r="J43" s="105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71" t="s">
        <v>46</v>
      </c>
      <c r="C44" s="80">
        <f>21605033487.93</f>
        <v>21605033487.93</v>
      </c>
      <c r="D44" s="94" t="s">
        <v>96</v>
      </c>
      <c r="E44" s="80">
        <f>19708764353.74</f>
        <v>19708764353.74</v>
      </c>
      <c r="F44" s="94" t="s">
        <v>96</v>
      </c>
      <c r="G44" s="94" t="s">
        <v>96</v>
      </c>
      <c r="H44" s="94" t="s">
        <v>96</v>
      </c>
      <c r="I44" s="108" t="s">
        <v>96</v>
      </c>
      <c r="J44" s="109"/>
      <c r="K44" s="54">
        <f aca="true" t="shared" si="2" ref="K44:K53">IF($E$44=0,"",100*$E44/$E$44)</f>
        <v>100</v>
      </c>
      <c r="L44" s="54">
        <f aca="true" t="shared" si="3" ref="L44:L53">IF(C44=0,"",100*E44/C44)</f>
        <v>91.22302154611619</v>
      </c>
      <c r="M44" s="34"/>
    </row>
    <row r="45" spans="2:13" ht="12.75">
      <c r="B45" s="55" t="s">
        <v>14</v>
      </c>
      <c r="C45" s="23">
        <f>7759811581.16</f>
        <v>7759811581.16</v>
      </c>
      <c r="D45" s="94" t="s">
        <v>96</v>
      </c>
      <c r="E45" s="23">
        <f>6988752519.86</f>
        <v>6988752519.86</v>
      </c>
      <c r="F45" s="94" t="s">
        <v>96</v>
      </c>
      <c r="G45" s="94" t="s">
        <v>96</v>
      </c>
      <c r="H45" s="94" t="s">
        <v>96</v>
      </c>
      <c r="I45" s="108" t="s">
        <v>96</v>
      </c>
      <c r="J45" s="109"/>
      <c r="K45" s="32">
        <f t="shared" si="2"/>
        <v>35.46012522359775</v>
      </c>
      <c r="L45" s="32">
        <f t="shared" si="3"/>
        <v>90.06343062282531</v>
      </c>
      <c r="M45" s="34"/>
    </row>
    <row r="46" spans="2:13" ht="22.5" customHeight="1">
      <c r="B46" s="17" t="s">
        <v>13</v>
      </c>
      <c r="C46" s="20">
        <f>7430198305.16</f>
        <v>7430198305.16</v>
      </c>
      <c r="D46" s="95" t="s">
        <v>96</v>
      </c>
      <c r="E46" s="21">
        <f>6663860495.48</f>
        <v>6663860495.48</v>
      </c>
      <c r="F46" s="95" t="s">
        <v>96</v>
      </c>
      <c r="G46" s="95" t="s">
        <v>96</v>
      </c>
      <c r="H46" s="95" t="s">
        <v>96</v>
      </c>
      <c r="I46" s="106" t="s">
        <v>96</v>
      </c>
      <c r="J46" s="107"/>
      <c r="K46" s="33">
        <f t="shared" si="2"/>
        <v>33.81166051749684</v>
      </c>
      <c r="L46" s="33">
        <f t="shared" si="3"/>
        <v>89.68617285560458</v>
      </c>
      <c r="M46" s="34"/>
    </row>
    <row r="47" spans="2:13" ht="25.5" customHeight="1">
      <c r="B47" s="55" t="s">
        <v>47</v>
      </c>
      <c r="C47" s="23">
        <f>C44-C45</f>
        <v>13845221906.77</v>
      </c>
      <c r="D47" s="94" t="s">
        <v>96</v>
      </c>
      <c r="E47" s="23">
        <f>E44-E45</f>
        <v>12720011833.880001</v>
      </c>
      <c r="F47" s="94" t="s">
        <v>96</v>
      </c>
      <c r="G47" s="94" t="s">
        <v>96</v>
      </c>
      <c r="H47" s="94" t="s">
        <v>96</v>
      </c>
      <c r="I47" s="108" t="s">
        <v>96</v>
      </c>
      <c r="J47" s="109"/>
      <c r="K47" s="32">
        <f t="shared" si="2"/>
        <v>64.53987477640224</v>
      </c>
      <c r="L47" s="32">
        <f t="shared" si="3"/>
        <v>91.87293580076316</v>
      </c>
      <c r="M47" s="34"/>
    </row>
    <row r="48" spans="2:13" ht="22.5">
      <c r="B48" s="17" t="s">
        <v>95</v>
      </c>
      <c r="C48" s="20">
        <f>3335493740.37</f>
        <v>3335493740.37</v>
      </c>
      <c r="D48" s="95" t="s">
        <v>96</v>
      </c>
      <c r="E48" s="21">
        <f>3162146490.22</f>
        <v>3162146490.22</v>
      </c>
      <c r="F48" s="95" t="s">
        <v>96</v>
      </c>
      <c r="G48" s="95" t="s">
        <v>96</v>
      </c>
      <c r="H48" s="95" t="s">
        <v>96</v>
      </c>
      <c r="I48" s="106" t="s">
        <v>96</v>
      </c>
      <c r="J48" s="107"/>
      <c r="K48" s="33">
        <f t="shared" si="2"/>
        <v>16.044367031157588</v>
      </c>
      <c r="L48" s="33">
        <f t="shared" si="3"/>
        <v>94.80295081798683</v>
      </c>
      <c r="M48" s="34"/>
    </row>
    <row r="49" spans="2:13" ht="12.75">
      <c r="B49" s="29" t="s">
        <v>36</v>
      </c>
      <c r="C49" s="81">
        <f>6299074653.05</f>
        <v>6299074653.05</v>
      </c>
      <c r="D49" s="95" t="s">
        <v>96</v>
      </c>
      <c r="E49" s="81">
        <f>5925284794.75</f>
        <v>5925284794.75</v>
      </c>
      <c r="F49" s="95" t="s">
        <v>96</v>
      </c>
      <c r="G49" s="95" t="s">
        <v>96</v>
      </c>
      <c r="H49" s="95" t="s">
        <v>96</v>
      </c>
      <c r="I49" s="106" t="s">
        <v>96</v>
      </c>
      <c r="J49" s="107"/>
      <c r="K49" s="82">
        <f t="shared" si="2"/>
        <v>30.06421249146245</v>
      </c>
      <c r="L49" s="82">
        <f t="shared" si="3"/>
        <v>94.06595605087786</v>
      </c>
      <c r="M49" s="34"/>
    </row>
    <row r="50" spans="2:13" ht="12.75">
      <c r="B50" s="29" t="s">
        <v>35</v>
      </c>
      <c r="C50" s="21">
        <f>106931104.1</f>
        <v>106931104.1</v>
      </c>
      <c r="D50" s="95" t="s">
        <v>96</v>
      </c>
      <c r="E50" s="21">
        <f>98203995.71</f>
        <v>98203995.71</v>
      </c>
      <c r="F50" s="95" t="s">
        <v>96</v>
      </c>
      <c r="G50" s="95" t="s">
        <v>96</v>
      </c>
      <c r="H50" s="95" t="s">
        <v>96</v>
      </c>
      <c r="I50" s="106" t="s">
        <v>96</v>
      </c>
      <c r="J50" s="107"/>
      <c r="K50" s="82">
        <f t="shared" si="2"/>
        <v>0.4982757617240701</v>
      </c>
      <c r="L50" s="82">
        <f t="shared" si="3"/>
        <v>91.83856889587658</v>
      </c>
      <c r="M50" s="34"/>
    </row>
    <row r="51" spans="2:13" ht="22.5" customHeight="1">
      <c r="B51" s="29" t="s">
        <v>50</v>
      </c>
      <c r="C51" s="81">
        <f>42536526</f>
        <v>42536526</v>
      </c>
      <c r="D51" s="95" t="s">
        <v>96</v>
      </c>
      <c r="E51" s="81">
        <f>9455688.45</f>
        <v>9455688.45</v>
      </c>
      <c r="F51" s="95" t="s">
        <v>96</v>
      </c>
      <c r="G51" s="95" t="s">
        <v>96</v>
      </c>
      <c r="H51" s="95" t="s">
        <v>96</v>
      </c>
      <c r="I51" s="106" t="s">
        <v>96</v>
      </c>
      <c r="J51" s="107"/>
      <c r="K51" s="82">
        <f t="shared" si="2"/>
        <v>0.04797707395697618</v>
      </c>
      <c r="L51" s="82">
        <f t="shared" si="3"/>
        <v>22.229573825563467</v>
      </c>
      <c r="M51" s="34"/>
    </row>
    <row r="52" spans="2:13" ht="22.5">
      <c r="B52" s="29" t="s">
        <v>51</v>
      </c>
      <c r="C52" s="81">
        <f>127759740.34</f>
        <v>127759740.34</v>
      </c>
      <c r="D52" s="95" t="s">
        <v>96</v>
      </c>
      <c r="E52" s="81">
        <f>112480328.82</f>
        <v>112480328.82</v>
      </c>
      <c r="F52" s="95" t="s">
        <v>96</v>
      </c>
      <c r="G52" s="95" t="s">
        <v>96</v>
      </c>
      <c r="H52" s="95" t="s">
        <v>96</v>
      </c>
      <c r="I52" s="106" t="s">
        <v>96</v>
      </c>
      <c r="J52" s="107"/>
      <c r="K52" s="82">
        <f t="shared" si="2"/>
        <v>0.5707122313766736</v>
      </c>
      <c r="L52" s="82">
        <f t="shared" si="3"/>
        <v>88.0405114480213</v>
      </c>
      <c r="M52" s="34"/>
    </row>
    <row r="53" spans="2:13" ht="12.75">
      <c r="B53" s="29" t="s">
        <v>34</v>
      </c>
      <c r="C53" s="21">
        <f>C47-C48-C49-C50-C51-C52</f>
        <v>3933426142.9100013</v>
      </c>
      <c r="D53" s="95" t="s">
        <v>96</v>
      </c>
      <c r="E53" s="21">
        <f>E47-E48-E49-E50-E51-E52</f>
        <v>3412440535.9300017</v>
      </c>
      <c r="F53" s="95" t="s">
        <v>96</v>
      </c>
      <c r="G53" s="95" t="s">
        <v>96</v>
      </c>
      <c r="H53" s="95" t="s">
        <v>96</v>
      </c>
      <c r="I53" s="106" t="s">
        <v>96</v>
      </c>
      <c r="J53" s="107"/>
      <c r="K53" s="82">
        <f t="shared" si="2"/>
        <v>17.314330186724494</v>
      </c>
      <c r="L53" s="82">
        <f t="shared" si="3"/>
        <v>86.7549157388127</v>
      </c>
      <c r="M53" s="34"/>
    </row>
    <row r="54" spans="2:13" ht="12.75">
      <c r="B54" s="55" t="s">
        <v>15</v>
      </c>
      <c r="C54" s="23">
        <f>C5-C44</f>
        <v>-1116664206.8300018</v>
      </c>
      <c r="D54" s="23"/>
      <c r="E54" s="23">
        <f>D5-E44</f>
        <v>1293253329.199997</v>
      </c>
      <c r="F54" s="24"/>
      <c r="G54" s="24"/>
      <c r="H54" s="24"/>
      <c r="I54" s="112"/>
      <c r="J54" s="112"/>
      <c r="K54" s="25"/>
      <c r="L54" s="25"/>
      <c r="M54" s="59"/>
    </row>
    <row r="55" spans="2:13" ht="33.75">
      <c r="B55" s="60" t="s">
        <v>79</v>
      </c>
      <c r="C55" s="23">
        <f>+C36-C47</f>
        <v>2680317950.3899975</v>
      </c>
      <c r="D55" s="61"/>
      <c r="E55" s="23">
        <f>+D36-E47</f>
        <v>4230415014.119997</v>
      </c>
      <c r="F55" s="62"/>
      <c r="G55" s="62"/>
      <c r="H55" s="62"/>
      <c r="I55" s="115"/>
      <c r="J55" s="116"/>
      <c r="K55" s="34"/>
      <c r="L55" s="63"/>
      <c r="M55" s="63"/>
    </row>
    <row r="56" spans="2:13" ht="6.75" customHeight="1" thickBot="1">
      <c r="B56" s="64"/>
      <c r="C56" s="65"/>
      <c r="D56" s="65"/>
      <c r="E56" s="65"/>
      <c r="F56" s="18"/>
      <c r="G56" s="18"/>
      <c r="H56" s="18"/>
      <c r="I56" s="18"/>
      <c r="J56" s="34"/>
      <c r="K56" s="34"/>
      <c r="L56" s="63"/>
      <c r="M56" s="63"/>
    </row>
    <row r="57" spans="2:13" ht="12" customHeight="1" thickBot="1">
      <c r="B57" s="66" t="s">
        <v>56</v>
      </c>
      <c r="C57" s="65"/>
      <c r="D57" s="65"/>
      <c r="E57" s="65"/>
      <c r="F57" s="18"/>
      <c r="G57" s="18"/>
      <c r="H57" s="18"/>
      <c r="I57" s="18"/>
      <c r="J57" s="34"/>
      <c r="K57" s="34"/>
      <c r="L57" s="63"/>
      <c r="M57" s="63"/>
    </row>
    <row r="58" spans="2:13" ht="23.25" customHeight="1">
      <c r="B58" s="84" t="s">
        <v>80</v>
      </c>
      <c r="C58" s="23">
        <f>7890397319.36</f>
        <v>7890397319.36</v>
      </c>
      <c r="D58" s="94" t="s">
        <v>96</v>
      </c>
      <c r="E58" s="23">
        <f>7030027444.23</f>
        <v>7030027444.23</v>
      </c>
      <c r="F58" s="94" t="s">
        <v>96</v>
      </c>
      <c r="G58" s="94" t="s">
        <v>96</v>
      </c>
      <c r="H58" s="94" t="s">
        <v>96</v>
      </c>
      <c r="I58" s="108" t="s">
        <v>96</v>
      </c>
      <c r="J58" s="109"/>
      <c r="K58" s="33">
        <f>IF($E$44=0,"",100*$E58/$E$58)</f>
        <v>100</v>
      </c>
      <c r="L58" s="33">
        <f>IF(C58=0,"",100*E58/C58)</f>
        <v>89.09598794196354</v>
      </c>
      <c r="M58" s="63"/>
    </row>
    <row r="59" spans="2:13" ht="12.75">
      <c r="B59" s="83" t="s">
        <v>57</v>
      </c>
      <c r="C59" s="81">
        <f>4543122121.6</f>
        <v>4543122121.6</v>
      </c>
      <c r="D59" s="95" t="s">
        <v>96</v>
      </c>
      <c r="E59" s="81">
        <f>4146975471.26</f>
        <v>4146975471.26</v>
      </c>
      <c r="F59" s="95" t="s">
        <v>96</v>
      </c>
      <c r="G59" s="95" t="s">
        <v>96</v>
      </c>
      <c r="H59" s="95" t="s">
        <v>96</v>
      </c>
      <c r="I59" s="106" t="s">
        <v>96</v>
      </c>
      <c r="J59" s="107"/>
      <c r="K59" s="82">
        <f>IF($E$44=0,"",100*$E59/$E$58)</f>
        <v>58.98946347163541</v>
      </c>
      <c r="L59" s="82">
        <f>IF(C59=0,"",100*E59/C59)</f>
        <v>91.28029932419062</v>
      </c>
      <c r="M59" s="34"/>
    </row>
    <row r="60" spans="2:13" ht="12.75" customHeight="1">
      <c r="B60" s="83" t="s">
        <v>58</v>
      </c>
      <c r="C60" s="81">
        <f>C58-C59</f>
        <v>3347275197.7599993</v>
      </c>
      <c r="D60" s="95" t="s">
        <v>96</v>
      </c>
      <c r="E60" s="81">
        <f>E58-E59</f>
        <v>2883051972.9699993</v>
      </c>
      <c r="F60" s="95" t="s">
        <v>96</v>
      </c>
      <c r="G60" s="95" t="s">
        <v>96</v>
      </c>
      <c r="H60" s="95" t="s">
        <v>96</v>
      </c>
      <c r="I60" s="106" t="s">
        <v>96</v>
      </c>
      <c r="J60" s="107"/>
      <c r="K60" s="82">
        <f>IF($E$44=0,"",100*$E60/$E$58)</f>
        <v>41.01053652836459</v>
      </c>
      <c r="L60" s="82">
        <f>IF(C60=0,"",100*E60/C60)</f>
        <v>86.13130987554717</v>
      </c>
      <c r="M60" s="34"/>
    </row>
    <row r="61" spans="2:13" ht="23.25" customHeight="1">
      <c r="B61" s="110" t="s">
        <v>97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ht="6" customHeight="1"/>
    <row r="63" spans="2:8" ht="12.75">
      <c r="B63" s="37" t="s">
        <v>16</v>
      </c>
      <c r="C63" s="113" t="s">
        <v>17</v>
      </c>
      <c r="D63" s="109"/>
      <c r="E63" s="113" t="s">
        <v>1</v>
      </c>
      <c r="F63" s="109"/>
      <c r="G63" s="16" t="s">
        <v>22</v>
      </c>
      <c r="H63" s="16" t="s">
        <v>23</v>
      </c>
    </row>
    <row r="64" spans="2:8" ht="12.75">
      <c r="B64" s="37"/>
      <c r="C64" s="97" t="s">
        <v>59</v>
      </c>
      <c r="D64" s="98"/>
      <c r="E64" s="98"/>
      <c r="F64" s="99"/>
      <c r="G64" s="100" t="s">
        <v>4</v>
      </c>
      <c r="H64" s="101"/>
    </row>
    <row r="65" spans="2:8" ht="12.75">
      <c r="B65" s="35">
        <v>1</v>
      </c>
      <c r="C65" s="67">
        <v>2</v>
      </c>
      <c r="D65" s="68"/>
      <c r="E65" s="67">
        <v>3</v>
      </c>
      <c r="F65" s="68"/>
      <c r="G65" s="36">
        <v>4</v>
      </c>
      <c r="H65" s="36">
        <v>5</v>
      </c>
    </row>
    <row r="66" spans="2:8" ht="22.5">
      <c r="B66" s="69" t="s">
        <v>48</v>
      </c>
      <c r="C66" s="40">
        <f>0</f>
        <v>0</v>
      </c>
      <c r="D66" s="41"/>
      <c r="E66" s="40">
        <f>0</f>
        <v>0</v>
      </c>
      <c r="F66" s="41"/>
      <c r="G66" s="39">
        <f>IF($E$66=0,"",100*$E66/$E$66)</f>
      </c>
      <c r="H66" s="32">
        <f>IF(C66=0,"",100*E66/C66)</f>
      </c>
    </row>
    <row r="67" spans="2:8" ht="33.75">
      <c r="B67" s="38" t="s">
        <v>83</v>
      </c>
      <c r="C67" s="42">
        <f>0</f>
        <v>0</v>
      </c>
      <c r="D67" s="43"/>
      <c r="E67" s="42">
        <f>0</f>
        <v>0</v>
      </c>
      <c r="F67" s="43"/>
      <c r="G67" s="52">
        <f aca="true" t="shared" si="4" ref="G67:G73">IF($E$66=0,"",100*$E67/$E$66)</f>
      </c>
      <c r="H67" s="53">
        <f aca="true" t="shared" si="5" ref="H67:H78">IF(C67=0,"",100*E67/C67)</f>
      </c>
    </row>
    <row r="68" spans="2:8" ht="22.5">
      <c r="B68" s="85" t="s">
        <v>84</v>
      </c>
      <c r="C68" s="86">
        <f>0</f>
        <v>0</v>
      </c>
      <c r="D68" s="87"/>
      <c r="E68" s="86">
        <f>0</f>
        <v>0</v>
      </c>
      <c r="F68" s="87"/>
      <c r="G68" s="88">
        <f t="shared" si="4"/>
      </c>
      <c r="H68" s="89">
        <f t="shared" si="5"/>
      </c>
    </row>
    <row r="69" spans="2:8" ht="12.75">
      <c r="B69" s="90" t="s">
        <v>85</v>
      </c>
      <c r="C69" s="86">
        <f>0</f>
        <v>0</v>
      </c>
      <c r="D69" s="87"/>
      <c r="E69" s="86">
        <f>0</f>
        <v>0</v>
      </c>
      <c r="F69" s="87"/>
      <c r="G69" s="88">
        <f t="shared" si="4"/>
      </c>
      <c r="H69" s="89">
        <f t="shared" si="5"/>
      </c>
    </row>
    <row r="70" spans="2:8" ht="12.75">
      <c r="B70" s="90" t="s">
        <v>86</v>
      </c>
      <c r="C70" s="86">
        <f>0</f>
        <v>0</v>
      </c>
      <c r="D70" s="87"/>
      <c r="E70" s="86">
        <f>0</f>
        <v>0</v>
      </c>
      <c r="F70" s="87"/>
      <c r="G70" s="88">
        <f t="shared" si="4"/>
      </c>
      <c r="H70" s="89">
        <f t="shared" si="5"/>
      </c>
    </row>
    <row r="71" spans="2:8" ht="12.75">
      <c r="B71" s="90" t="s">
        <v>87</v>
      </c>
      <c r="C71" s="86">
        <f>0</f>
        <v>0</v>
      </c>
      <c r="D71" s="87"/>
      <c r="E71" s="86">
        <f>0</f>
        <v>0</v>
      </c>
      <c r="F71" s="87"/>
      <c r="G71" s="88">
        <f t="shared" si="4"/>
      </c>
      <c r="H71" s="89">
        <f t="shared" si="5"/>
      </c>
    </row>
    <row r="72" spans="2:8" ht="33.75">
      <c r="B72" s="90" t="s">
        <v>91</v>
      </c>
      <c r="C72" s="86">
        <f>0</f>
        <v>0</v>
      </c>
      <c r="D72" s="87"/>
      <c r="E72" s="86">
        <f>0</f>
        <v>0</v>
      </c>
      <c r="F72" s="87"/>
      <c r="G72" s="88">
        <f t="shared" si="4"/>
      </c>
      <c r="H72" s="89">
        <f t="shared" si="5"/>
      </c>
    </row>
    <row r="73" spans="2:8" ht="12.75">
      <c r="B73" s="85" t="s">
        <v>62</v>
      </c>
      <c r="C73" s="86">
        <f>0</f>
        <v>0</v>
      </c>
      <c r="D73" s="87"/>
      <c r="E73" s="86">
        <f>0</f>
        <v>0</v>
      </c>
      <c r="F73" s="87"/>
      <c r="G73" s="88">
        <f t="shared" si="4"/>
      </c>
      <c r="H73" s="89">
        <f t="shared" si="5"/>
      </c>
    </row>
    <row r="74" spans="2:8" ht="22.5">
      <c r="B74" s="69" t="s">
        <v>49</v>
      </c>
      <c r="C74" s="49">
        <f>0</f>
        <v>0</v>
      </c>
      <c r="D74" s="50"/>
      <c r="E74" s="49">
        <f>0</f>
        <v>0</v>
      </c>
      <c r="F74" s="50"/>
      <c r="G74" s="39">
        <f>IF($E$74=0,"",100*$E74/$E$74)</f>
      </c>
      <c r="H74" s="32">
        <f t="shared" si="5"/>
      </c>
    </row>
    <row r="75" spans="2:8" ht="33.75">
      <c r="B75" s="38" t="s">
        <v>88</v>
      </c>
      <c r="C75" s="42">
        <f>0</f>
        <v>0</v>
      </c>
      <c r="D75" s="47"/>
      <c r="E75" s="48">
        <f>0</f>
        <v>0</v>
      </c>
      <c r="F75" s="47"/>
      <c r="G75" s="52">
        <f>IF($E$74=0,"",100*$E75/$E$74)</f>
      </c>
      <c r="H75" s="53">
        <f t="shared" si="5"/>
      </c>
    </row>
    <row r="76" spans="2:8" ht="22.5">
      <c r="B76" s="90" t="s">
        <v>89</v>
      </c>
      <c r="C76" s="86">
        <f>0</f>
        <v>0</v>
      </c>
      <c r="D76" s="87"/>
      <c r="E76" s="86">
        <f>0</f>
        <v>0</v>
      </c>
      <c r="F76" s="87"/>
      <c r="G76" s="88">
        <f>IF($E$74=0,"",100*$E76/$E$74)</f>
      </c>
      <c r="H76" s="89">
        <f t="shared" si="5"/>
      </c>
    </row>
    <row r="77" spans="2:8" ht="12.75">
      <c r="B77" s="90" t="s">
        <v>90</v>
      </c>
      <c r="C77" s="86">
        <f>0</f>
        <v>0</v>
      </c>
      <c r="D77" s="87"/>
      <c r="E77" s="86">
        <f>0</f>
        <v>0</v>
      </c>
      <c r="F77" s="87"/>
      <c r="G77" s="88">
        <f>IF($E$74=0,"",100*$E77/$E$74)</f>
      </c>
      <c r="H77" s="89">
        <f t="shared" si="5"/>
      </c>
    </row>
    <row r="78" spans="2:8" ht="12.75">
      <c r="B78" s="90" t="s">
        <v>24</v>
      </c>
      <c r="C78" s="86">
        <f>0</f>
        <v>0</v>
      </c>
      <c r="D78" s="87"/>
      <c r="E78" s="86">
        <f>0</f>
        <v>0</v>
      </c>
      <c r="F78" s="87"/>
      <c r="G78" s="88">
        <f>IF($E$74=0,"",100*$E78/$E$74)</f>
      </c>
      <c r="H78" s="89">
        <f t="shared" si="5"/>
      </c>
    </row>
    <row r="80" spans="2:8" ht="12.75">
      <c r="B80" s="37" t="s">
        <v>16</v>
      </c>
      <c r="C80" s="113" t="s">
        <v>17</v>
      </c>
      <c r="D80" s="109"/>
      <c r="E80" s="113" t="s">
        <v>1</v>
      </c>
      <c r="F80" s="109"/>
      <c r="G80" s="16" t="s">
        <v>22</v>
      </c>
      <c r="H80" s="16" t="s">
        <v>23</v>
      </c>
    </row>
    <row r="81" spans="2:8" ht="12.75">
      <c r="B81" s="37"/>
      <c r="C81" s="97" t="s">
        <v>59</v>
      </c>
      <c r="D81" s="98"/>
      <c r="E81" s="98"/>
      <c r="F81" s="99"/>
      <c r="G81" s="100" t="s">
        <v>4</v>
      </c>
      <c r="H81" s="101"/>
    </row>
    <row r="82" spans="2:8" ht="12.75">
      <c r="B82" s="35">
        <v>1</v>
      </c>
      <c r="C82" s="67">
        <v>2</v>
      </c>
      <c r="D82" s="68"/>
      <c r="E82" s="67">
        <v>3</v>
      </c>
      <c r="F82" s="68"/>
      <c r="G82" s="36">
        <v>4</v>
      </c>
      <c r="H82" s="36">
        <v>5</v>
      </c>
    </row>
    <row r="83" spans="2:8" ht="22.5">
      <c r="B83" s="51" t="s">
        <v>63</v>
      </c>
      <c r="C83" s="46">
        <f>0</f>
        <v>0</v>
      </c>
      <c r="D83" s="44"/>
      <c r="E83" s="46">
        <f>0</f>
        <v>0</v>
      </c>
      <c r="F83" s="41"/>
      <c r="G83" s="39"/>
      <c r="H83" s="32"/>
    </row>
    <row r="84" spans="2:8" ht="56.25">
      <c r="B84" s="91" t="s">
        <v>64</v>
      </c>
      <c r="C84" s="86">
        <f>0</f>
        <v>0</v>
      </c>
      <c r="D84" s="87"/>
      <c r="E84" s="86">
        <f>0</f>
        <v>0</v>
      </c>
      <c r="F84" s="87"/>
      <c r="G84" s="88"/>
      <c r="H84" s="89"/>
    </row>
    <row r="85" spans="2:8" ht="12.75">
      <c r="B85" s="91" t="s">
        <v>65</v>
      </c>
      <c r="C85" s="86">
        <f>0</f>
        <v>0</v>
      </c>
      <c r="D85" s="87"/>
      <c r="E85" s="86">
        <f>0</f>
        <v>0</v>
      </c>
      <c r="F85" s="87"/>
      <c r="G85" s="88"/>
      <c r="H85" s="89"/>
    </row>
    <row r="86" spans="2:8" ht="22.5">
      <c r="B86" s="91" t="s">
        <v>66</v>
      </c>
      <c r="C86" s="86">
        <f>0</f>
        <v>0</v>
      </c>
      <c r="D86" s="87"/>
      <c r="E86" s="86">
        <f>0</f>
        <v>0</v>
      </c>
      <c r="F86" s="87"/>
      <c r="G86" s="88"/>
      <c r="H86" s="89"/>
    </row>
    <row r="87" spans="2:8" ht="33.75">
      <c r="B87" s="91" t="s">
        <v>67</v>
      </c>
      <c r="C87" s="86">
        <f>0</f>
        <v>0</v>
      </c>
      <c r="D87" s="87"/>
      <c r="E87" s="86">
        <f>0</f>
        <v>0</v>
      </c>
      <c r="F87" s="87"/>
      <c r="G87" s="88"/>
      <c r="H87" s="89"/>
    </row>
    <row r="88" spans="2:8" ht="101.25">
      <c r="B88" s="91" t="s">
        <v>68</v>
      </c>
      <c r="C88" s="86">
        <f>0</f>
        <v>0</v>
      </c>
      <c r="D88" s="87"/>
      <c r="E88" s="86">
        <f>0</f>
        <v>0</v>
      </c>
      <c r="F88" s="87"/>
      <c r="G88" s="88"/>
      <c r="H88" s="89"/>
    </row>
    <row r="90" spans="2:6" ht="12.75">
      <c r="B90" s="70" t="s">
        <v>16</v>
      </c>
      <c r="C90" s="113" t="s">
        <v>94</v>
      </c>
      <c r="D90" s="114"/>
      <c r="E90" s="114"/>
      <c r="F90" s="109"/>
    </row>
    <row r="91" spans="2:6" ht="12.75">
      <c r="B91" s="37"/>
      <c r="C91" s="97" t="s">
        <v>59</v>
      </c>
      <c r="D91" s="98"/>
      <c r="E91" s="98"/>
      <c r="F91" s="99"/>
    </row>
    <row r="92" spans="2:6" ht="12.75">
      <c r="B92" s="35">
        <v>1</v>
      </c>
      <c r="C92" s="118">
        <v>2</v>
      </c>
      <c r="D92" s="119"/>
      <c r="E92" s="119"/>
      <c r="F92" s="120"/>
    </row>
    <row r="93" spans="2:6" ht="56.25">
      <c r="B93" s="51" t="s">
        <v>69</v>
      </c>
      <c r="C93" s="117">
        <f>0</f>
        <v>0</v>
      </c>
      <c r="D93" s="114"/>
      <c r="E93" s="114"/>
      <c r="F93" s="109"/>
    </row>
    <row r="94" spans="2:6" ht="41.25" customHeight="1">
      <c r="B94" s="45" t="s">
        <v>70</v>
      </c>
      <c r="C94" s="117">
        <f>0</f>
        <v>0</v>
      </c>
      <c r="D94" s="114"/>
      <c r="E94" s="114"/>
      <c r="F94" s="109"/>
    </row>
    <row r="95" spans="2:6" ht="45">
      <c r="B95" s="45" t="s">
        <v>71</v>
      </c>
      <c r="C95" s="117">
        <f>0</f>
        <v>0</v>
      </c>
      <c r="D95" s="114"/>
      <c r="E95" s="114"/>
      <c r="F95" s="109"/>
    </row>
    <row r="96" spans="2:6" ht="69" customHeight="1">
      <c r="B96" s="45" t="s">
        <v>72</v>
      </c>
      <c r="C96" s="117">
        <f>0</f>
        <v>0</v>
      </c>
      <c r="D96" s="114"/>
      <c r="E96" s="114"/>
      <c r="F96" s="109"/>
    </row>
    <row r="97" spans="2:6" ht="56.25">
      <c r="B97" s="45" t="s">
        <v>73</v>
      </c>
      <c r="C97" s="117">
        <f>0</f>
        <v>0</v>
      </c>
      <c r="D97" s="114"/>
      <c r="E97" s="114"/>
      <c r="F97" s="109"/>
    </row>
    <row r="98" spans="2:6" ht="56.25">
      <c r="B98" s="91" t="s">
        <v>74</v>
      </c>
      <c r="C98" s="117">
        <f>0</f>
        <v>0</v>
      </c>
      <c r="D98" s="114"/>
      <c r="E98" s="114"/>
      <c r="F98" s="109"/>
    </row>
    <row r="99" spans="2:6" ht="45">
      <c r="B99" s="91" t="s">
        <v>75</v>
      </c>
      <c r="C99" s="117">
        <f>0</f>
        <v>0</v>
      </c>
      <c r="D99" s="114"/>
      <c r="E99" s="114"/>
      <c r="F99" s="109"/>
    </row>
    <row r="100" spans="2:6" ht="90">
      <c r="B100" s="91" t="s">
        <v>92</v>
      </c>
      <c r="C100" s="117">
        <f>0</f>
        <v>0</v>
      </c>
      <c r="D100" s="114"/>
      <c r="E100" s="114"/>
      <c r="F100" s="109"/>
    </row>
    <row r="101" spans="2:6" ht="90">
      <c r="B101" s="91" t="s">
        <v>93</v>
      </c>
      <c r="C101" s="117">
        <f>0</f>
        <v>0</v>
      </c>
      <c r="D101" s="114"/>
      <c r="E101" s="114"/>
      <c r="F101" s="109"/>
    </row>
  </sheetData>
  <sheetProtection/>
  <mergeCells count="54"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97:F97"/>
    <mergeCell ref="I55:J55"/>
    <mergeCell ref="I58:J58"/>
    <mergeCell ref="I59:J59"/>
    <mergeCell ref="I60:J60"/>
    <mergeCell ref="C63:D63"/>
    <mergeCell ref="E63:F63"/>
    <mergeCell ref="C91:F91"/>
    <mergeCell ref="C80:D80"/>
    <mergeCell ref="E80:F80"/>
    <mergeCell ref="C81:F81"/>
    <mergeCell ref="G81:H81"/>
    <mergeCell ref="C90:F90"/>
    <mergeCell ref="I49:J49"/>
    <mergeCell ref="I50:J50"/>
    <mergeCell ref="I51:J51"/>
    <mergeCell ref="I53:J53"/>
    <mergeCell ref="I54:J54"/>
    <mergeCell ref="I52:J52"/>
    <mergeCell ref="B1:M1"/>
    <mergeCell ref="B61:M61"/>
    <mergeCell ref="I39:J41"/>
    <mergeCell ref="D39:D41"/>
    <mergeCell ref="E39:E41"/>
    <mergeCell ref="F40:F41"/>
    <mergeCell ref="F39:H39"/>
    <mergeCell ref="G40:H40"/>
    <mergeCell ref="F3:H3"/>
    <mergeCell ref="B37:M37"/>
    <mergeCell ref="I43:J43"/>
    <mergeCell ref="I46:J46"/>
    <mergeCell ref="I47:J47"/>
    <mergeCell ref="I44:J44"/>
    <mergeCell ref="I45:J45"/>
    <mergeCell ref="I48:J48"/>
    <mergeCell ref="C42:J42"/>
    <mergeCell ref="C3:E3"/>
    <mergeCell ref="C64:F64"/>
    <mergeCell ref="G64:H64"/>
    <mergeCell ref="L39:L41"/>
    <mergeCell ref="B2:B3"/>
    <mergeCell ref="C39:C41"/>
    <mergeCell ref="B39:B42"/>
    <mergeCell ref="K39:K41"/>
    <mergeCell ref="K42:L42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1"/>
  <headerFooter alignWithMargins="0">
    <oddFooter>&amp;RStrona &amp;P z &amp;N</oddFooter>
  </headerFooter>
  <rowBreaks count="3" manualBreakCount="3">
    <brk id="36" max="255" man="1"/>
    <brk id="60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2021-02-08T10:25:41Z</dcterms:modified>
  <cp:category/>
  <cp:version/>
  <cp:contentType/>
  <cp:contentStatus/>
</cp:coreProperties>
</file>