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BIP'!$A$1:$P$40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<sst xmlns="http://schemas.openxmlformats.org/spreadsheetml/2006/main" count="52" uniqueCount="45">
  <si>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</si>
  <si>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</si>
  <si>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</si>
  <si>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</si>
  <si>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</si>
  <si>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</si>
  <si>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</si>
  <si>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</si>
  <si>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</si>
  <si>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</si>
  <si>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</si>
  <si>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</si>
  <si>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</si>
  <si>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</si>
  <si>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</si>
  <si>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</si>
  <si>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</si>
  <si>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</si>
  <si>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</si>
  <si>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</si>
  <si>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</si>
  <si>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</si>
  <si>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</si>
  <si>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</si>
  <si>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</si>
  <si>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</si>
  <si>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</si>
  <si>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</si>
  <si>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</si>
  <si>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</si>
  <si>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</si>
  <si>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</si>
  <si>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</si>
  <si>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</si>
  <si>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</si>
  <si>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</si>
  <si>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</si>
  <si>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</si>
  <si>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</si>
  <si>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</si>
  <si>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</si>
  <si>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</si>
  <si>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</si>
  <si>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Plan wydatków wg ustawy budżetowej po nowelizacji</t>
  </si>
  <si>
    <t>Budżet Wojewody Podkarpackiego wg stanu na 17.10.2023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</si>
</sst>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9" sqref="J29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9" t="s">
        <v>0</v>
      </c>
      <c r="B3" s="51" t="s">
        <v>1</v>
      </c>
      <c r="C3" s="41" t="s">
        <v>43</v>
      </c>
      <c r="D3" s="39" t="s">
        <v>35</v>
      </c>
      <c r="E3" s="39"/>
      <c r="F3" s="40"/>
      <c r="G3" s="52" t="s">
        <v>42</v>
      </c>
      <c r="H3" s="39" t="s">
        <v>35</v>
      </c>
      <c r="I3" s="39"/>
      <c r="J3" s="40"/>
      <c r="K3" s="41" t="s">
        <v>37</v>
      </c>
      <c r="L3" s="39" t="s">
        <v>35</v>
      </c>
      <c r="M3" s="39"/>
      <c r="N3" s="40"/>
      <c r="O3" s="43" t="s">
        <v>38</v>
      </c>
    </row>
    <row r="4" spans="1:19" ht="169.5" customHeight="1">
      <c r="A4" s="50"/>
      <c r="B4" s="51"/>
      <c r="C4" s="50"/>
      <c r="D4" s="9" t="s">
        <v>32</v>
      </c>
      <c r="E4" s="10" t="s">
        <v>33</v>
      </c>
      <c r="F4" s="9" t="s">
        <v>39</v>
      </c>
      <c r="G4" s="53"/>
      <c r="H4" s="9" t="s">
        <v>32</v>
      </c>
      <c r="I4" s="10" t="s">
        <v>33</v>
      </c>
      <c r="J4" s="9" t="s">
        <v>34</v>
      </c>
      <c r="K4" s="42"/>
      <c r="L4" s="9" t="s">
        <v>32</v>
      </c>
      <c r="M4" s="10" t="s">
        <v>33</v>
      </c>
      <c r="N4" s="9" t="s">
        <v>39</v>
      </c>
      <c r="O4" s="43"/>
      <c r="Q4" s="31"/>
      <c r="R4" s="31"/>
      <c r="S4" s="32"/>
    </row>
    <row r="5" spans="1:19" ht="14.2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215031000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156000+109323000+300000+515000+1056000+955000</f>
        <v>112305000</v>
      </c>
      <c r="G6" s="18">
        <f>H6+I6+J6</f>
        <v>83142994.67999999</v>
      </c>
      <c r="H6" s="18">
        <f>-1740.16+31393334.07+8434.03+2073000+2549.81-28000+5936.55+28846262.5+96688-120000-32000</f>
        <v>62244464.8</v>
      </c>
      <c r="I6" s="18">
        <f>1200000</f>
        <v>1200000</v>
      </c>
      <c r="J6" s="18">
        <f>1740.16-75000+1868100+1187000+9959000+294000+179000+29575+28000+220000+50000+936800+2300000+43304.04+4866+24421+43723.68+88700+1348300+1015000+120000+32000</f>
        <v>19698529.88</v>
      </c>
      <c r="K6" s="19">
        <f>C6+G6</f>
        <v>298173994.68</v>
      </c>
      <c r="L6" s="20">
        <f aca="true" t="shared" si="0" ref="L6:L34">D6+H6</f>
        <v>103330464.8</v>
      </c>
      <c r="M6" s="20">
        <f>E6+I6</f>
        <v>62840000</v>
      </c>
      <c r="N6" s="20">
        <f>F6+J6</f>
        <v>132003529.88</v>
      </c>
      <c r="O6" s="21">
        <f>K6/C6%</f>
        <v>138.66558527840172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6118</v>
      </c>
      <c r="H7" s="18">
        <f>6118</f>
        <v>6118</v>
      </c>
      <c r="I7" s="18"/>
      <c r="J7" s="18"/>
      <c r="K7" s="19">
        <f aca="true" t="shared" si="2" ref="K7:K34">C7+G7</f>
        <v>148118</v>
      </c>
      <c r="L7" s="20">
        <f t="shared" si="0"/>
        <v>148118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104.30845070422535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3363000</v>
      </c>
      <c r="D8" s="16">
        <v>400000</v>
      </c>
      <c r="E8" s="16"/>
      <c r="F8" s="17">
        <f>110000+2616000+140000+70000+27000</f>
        <v>2963000</v>
      </c>
      <c r="G8" s="18">
        <f aca="true" t="shared" si="5" ref="G8:G33">H8+I8+J8</f>
        <v>135912</v>
      </c>
      <c r="H8" s="23"/>
      <c r="I8" s="23"/>
      <c r="J8" s="23">
        <f>91000+42000+2912</f>
        <v>135912</v>
      </c>
      <c r="K8" s="19">
        <f>C8+G8</f>
        <v>3498912</v>
      </c>
      <c r="L8" s="20">
        <f t="shared" si="0"/>
        <v>400000</v>
      </c>
      <c r="M8" s="20">
        <f t="shared" si="3"/>
        <v>0</v>
      </c>
      <c r="N8" s="20">
        <f t="shared" si="4"/>
        <v>3098912</v>
      </c>
      <c r="O8" s="21">
        <f>K8/C8%</f>
        <v>104.04139161462979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1356000</v>
      </c>
      <c r="H10" s="23"/>
      <c r="I10" s="23">
        <f>1356000</f>
        <v>1356000</v>
      </c>
      <c r="J10" s="23"/>
      <c r="K10" s="19">
        <f t="shared" si="2"/>
        <v>1356000</v>
      </c>
      <c r="L10" s="20">
        <f t="shared" si="0"/>
        <v>0</v>
      </c>
      <c r="M10" s="20">
        <f t="shared" si="3"/>
        <v>1356000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5641000</v>
      </c>
      <c r="D11" s="16"/>
      <c r="E11" s="16"/>
      <c r="F11" s="17">
        <f>10000+5510000+50000+71000</f>
        <v>5641000</v>
      </c>
      <c r="G11" s="18">
        <f>H11+I11+J11</f>
        <v>830606</v>
      </c>
      <c r="H11" s="23"/>
      <c r="I11" s="23"/>
      <c r="J11" s="23">
        <f>723606+100000+7000</f>
        <v>830606</v>
      </c>
      <c r="K11" s="19">
        <f t="shared" si="2"/>
        <v>6471606</v>
      </c>
      <c r="L11" s="20">
        <f t="shared" si="0"/>
        <v>0</v>
      </c>
      <c r="M11" s="20">
        <f t="shared" si="3"/>
        <v>0</v>
      </c>
      <c r="N11" s="20">
        <f t="shared" si="4"/>
        <v>6471606</v>
      </c>
      <c r="O11" s="21">
        <f aca="true" t="shared" si="6" ref="O11:O16">K11/C11%</f>
        <v>114.72444602020919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97782000</v>
      </c>
      <c r="D12" s="16">
        <f>51604000+999000</f>
        <v>52603000</v>
      </c>
      <c r="E12" s="16"/>
      <c r="F12" s="17">
        <f>235000+41524000+3188000+232000</f>
        <v>45179000</v>
      </c>
      <c r="G12" s="37">
        <f>H12+I12+J12</f>
        <v>71661642.44999999</v>
      </c>
      <c r="H12" s="23">
        <f>5500000+37733</f>
        <v>5537733</v>
      </c>
      <c r="I12" s="23">
        <f>132560+3200000+25081880+687040-3235673+2739883+1184480+1458882.76+347139.84-2567967</f>
        <v>29028225.6</v>
      </c>
      <c r="J12" s="23">
        <f>36998.4+1617289+1160400+176142+6016463.32+5558424.6+250000+5623212.7+16307802.42+176000+8638-308600+439573+33340.41</f>
        <v>37095683.849999994</v>
      </c>
      <c r="K12" s="19">
        <f t="shared" si="2"/>
        <v>169443642.45</v>
      </c>
      <c r="L12" s="20">
        <f t="shared" si="0"/>
        <v>58140733</v>
      </c>
      <c r="M12" s="20">
        <f t="shared" si="3"/>
        <v>29028225.6</v>
      </c>
      <c r="N12" s="20">
        <f t="shared" si="4"/>
        <v>82274683.85</v>
      </c>
      <c r="O12" s="21">
        <f t="shared" si="6"/>
        <v>173.2871514695956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2614</v>
      </c>
      <c r="H13" s="23">
        <f>2614</f>
        <v>2614</v>
      </c>
      <c r="I13" s="23"/>
      <c r="J13" s="23"/>
      <c r="K13" s="19">
        <f t="shared" si="2"/>
        <v>60614</v>
      </c>
      <c r="L13" s="20">
        <f t="shared" si="0"/>
        <v>60614</v>
      </c>
      <c r="M13" s="20">
        <f t="shared" si="3"/>
        <v>0</v>
      </c>
      <c r="N13" s="20">
        <f t="shared" si="4"/>
        <v>0</v>
      </c>
      <c r="O13" s="21">
        <f t="shared" si="6"/>
        <v>104.50689655172414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12655200.27</v>
      </c>
      <c r="H14" s="23">
        <f>62514-25031.73-600000+1576537-43235+210418.56-9130.76+402052+235378+4950115</f>
        <v>6759617.07</v>
      </c>
      <c r="I14" s="23">
        <f>25031.73+1163628.41</f>
        <v>1188660.14</v>
      </c>
      <c r="J14" s="23">
        <f>600000+450000+400000+43235+547250+396404.75+9130.76+49402.55+1231500+980000</f>
        <v>4706923.06</v>
      </c>
      <c r="K14" s="19">
        <f t="shared" si="2"/>
        <v>21292200.27</v>
      </c>
      <c r="L14" s="20">
        <f t="shared" si="0"/>
        <v>14847617.07</v>
      </c>
      <c r="M14" s="20">
        <f t="shared" si="3"/>
        <v>1188660.14</v>
      </c>
      <c r="N14" s="20">
        <f t="shared" si="4"/>
        <v>5255923.06</v>
      </c>
      <c r="O14" s="21">
        <f t="shared" si="6"/>
        <v>246.5231014241056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37142000</v>
      </c>
      <c r="D15" s="16">
        <f>30819000+214000</f>
        <v>31033000</v>
      </c>
      <c r="E15" s="16">
        <v>231000</v>
      </c>
      <c r="F15" s="17">
        <f>8000+4914000+150000+753000+53000</f>
        <v>5878000</v>
      </c>
      <c r="G15" s="18">
        <f t="shared" si="5"/>
        <v>1625307.18</v>
      </c>
      <c r="H15" s="23">
        <f>50340+37500+40440.18+415105+450000+59357+16627+1821+129000+250293+30845</f>
        <v>1481328.18</v>
      </c>
      <c r="I15" s="23">
        <f>-1821</f>
        <v>-1821</v>
      </c>
      <c r="J15" s="23">
        <f>31000+50000+60000+4800</f>
        <v>145800</v>
      </c>
      <c r="K15" s="19">
        <f t="shared" si="2"/>
        <v>38767307.18</v>
      </c>
      <c r="L15" s="20">
        <f t="shared" si="0"/>
        <v>32514328.18</v>
      </c>
      <c r="M15" s="20">
        <f t="shared" si="3"/>
        <v>229179</v>
      </c>
      <c r="N15" s="20">
        <f t="shared" si="4"/>
        <v>6023800</v>
      </c>
      <c r="O15" s="21">
        <f t="shared" si="6"/>
        <v>104.3759280060309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107506000</v>
      </c>
      <c r="D18" s="16">
        <f>25420000+18000</f>
        <v>25438000</v>
      </c>
      <c r="E18" s="16"/>
      <c r="F18" s="17">
        <f>143000+77964000+1463000+1678000+820000</f>
        <v>82068000</v>
      </c>
      <c r="G18" s="18">
        <f t="shared" si="5"/>
        <v>17457715.38</v>
      </c>
      <c r="H18" s="23">
        <f>310971.43+451277+1215755</f>
        <v>1978003.43</v>
      </c>
      <c r="I18" s="23"/>
      <c r="J18" s="23">
        <f>1196600+51428.57+5000000-15600+2470425+1000000+389446.68+65234.08+119560.61+1500000+14877.59+671084.23+12792+662000+452843.19+110820+1300000+478200</f>
        <v>15479711.95</v>
      </c>
      <c r="K18" s="19">
        <f>C18+G18</f>
        <v>124963715.38</v>
      </c>
      <c r="L18" s="20">
        <f t="shared" si="0"/>
        <v>27416003.43</v>
      </c>
      <c r="M18" s="20">
        <f t="shared" si="3"/>
        <v>0</v>
      </c>
      <c r="N18" s="20">
        <f t="shared" si="4"/>
        <v>97547711.95</v>
      </c>
      <c r="O18" s="21">
        <f aca="true" t="shared" si="7" ref="O18:O35">K18/C18%</f>
        <v>116.23882888396926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196800</v>
      </c>
      <c r="H19" s="23">
        <f>-8000+196800</f>
        <v>188800</v>
      </c>
      <c r="I19" s="23"/>
      <c r="J19" s="23">
        <f>8000</f>
        <v>8000</v>
      </c>
      <c r="K19" s="19">
        <f>C19+G19</f>
        <v>2523800</v>
      </c>
      <c r="L19" s="20">
        <f t="shared" si="0"/>
        <v>2409800</v>
      </c>
      <c r="M19" s="20">
        <f t="shared" si="3"/>
        <v>0</v>
      </c>
      <c r="N19" s="20">
        <f t="shared" si="4"/>
        <v>114000</v>
      </c>
      <c r="O19" s="21">
        <f t="shared" si="7"/>
        <v>108.4572410829394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224839000</v>
      </c>
      <c r="D20" s="16">
        <f>193818000+1867000</f>
        <v>195685000</v>
      </c>
      <c r="E20" s="16">
        <f>8400000</f>
        <v>8400000</v>
      </c>
      <c r="F20" s="17">
        <f>240000+15216000+4450000+750000+98000</f>
        <v>20754000</v>
      </c>
      <c r="G20" s="18">
        <f t="shared" si="5"/>
        <v>34121402.68</v>
      </c>
      <c r="H20" s="23">
        <f>12384+1601160.91+1101097+218026.1+38111+2791146.31+25920+1651088.43+1166000+225000+26299.02+399000+6786+2871000+1058725+849000+860000</f>
        <v>14900743.77</v>
      </c>
      <c r="I20" s="23">
        <f>2611135+5000000+881973.9+144000+505000+1487000-801</f>
        <v>10628307.9</v>
      </c>
      <c r="J20" s="23">
        <f>136290.62+28183.2+257451.52+1981857.99+300000+80365+867592.8+3900000+565400.43-38111+203661+265232.15+1009000+270000+44656+8496.3+30000-399000-1058725+140000</f>
        <v>8592351.01</v>
      </c>
      <c r="K20" s="19">
        <f t="shared" si="2"/>
        <v>258960402.68</v>
      </c>
      <c r="L20" s="20">
        <f t="shared" si="0"/>
        <v>210585743.77</v>
      </c>
      <c r="M20" s="20">
        <f t="shared" si="3"/>
        <v>19028307.9</v>
      </c>
      <c r="N20" s="20">
        <f t="shared" si="4"/>
        <v>29346351.009999998</v>
      </c>
      <c r="O20" s="21">
        <f t="shared" si="7"/>
        <v>115.17592707670822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6000</v>
      </c>
      <c r="H21" s="23"/>
      <c r="I21" s="23"/>
      <c r="J21" s="23">
        <f>6000</f>
        <v>6000</v>
      </c>
      <c r="K21" s="19">
        <f t="shared" si="2"/>
        <v>5616000</v>
      </c>
      <c r="L21" s="20">
        <f t="shared" si="0"/>
        <v>5610000</v>
      </c>
      <c r="M21" s="20">
        <f t="shared" si="3"/>
        <v>0</v>
      </c>
      <c r="N21" s="20">
        <f t="shared" si="4"/>
        <v>6000</v>
      </c>
      <c r="O21" s="21">
        <f t="shared" si="7"/>
        <v>100.10695187165776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-1620889</v>
      </c>
      <c r="H23" s="23">
        <f>5208578.42-800000</f>
        <v>4408578.42</v>
      </c>
      <c r="I23" s="23">
        <f>4951511.17</f>
        <v>4951511.17</v>
      </c>
      <c r="J23" s="23">
        <f>-50340-28800-132667.68-12384-28183.2-36998.4-40440.18-2700-50000-2091.35-31000-50000-53152.2-1000000-5000+26576.1-6000-100000-1755300-220000-1500000-91000-110000-50000-80000-224000-250000-450000-60000-29122.23-43304.04-59357-25920-4000-42000-662000-200000-270000-225000-505000-8496.3-26299.02-43723.68-1300000-3140-140000-860000-30845-75950-33340.41</f>
        <v>-10980978.59</v>
      </c>
      <c r="K23" s="19">
        <f t="shared" si="2"/>
        <v>14179111</v>
      </c>
      <c r="L23" s="20">
        <f t="shared" si="0"/>
        <v>7677578.42</v>
      </c>
      <c r="M23" s="20">
        <f t="shared" si="3"/>
        <v>5021511.17</v>
      </c>
      <c r="N23" s="20">
        <f t="shared" si="4"/>
        <v>1480021.4100000001</v>
      </c>
      <c r="O23" s="21">
        <f t="shared" si="7"/>
        <v>89.7412088607595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17883000</v>
      </c>
      <c r="D24" s="16">
        <f>4390000</f>
        <v>4390000</v>
      </c>
      <c r="E24" s="16"/>
      <c r="F24" s="17">
        <f>382000+12786000+165000+160000</f>
        <v>13493000</v>
      </c>
      <c r="G24" s="18">
        <f t="shared" si="5"/>
        <v>136059132.91</v>
      </c>
      <c r="H24" s="23">
        <f>78086+97509895+2331050+1761650+2706685+16990680+4094936+1757934-300000+1019438-523000</f>
        <v>127427354</v>
      </c>
      <c r="I24" s="23">
        <f>1062298.98+891407.69+35250+886640.78+221000+294281.8+2296026.66+386544</f>
        <v>6073449.91</v>
      </c>
      <c r="J24" s="23">
        <f>1623679+11655+50000+21653+13238+15104+300000+523000</f>
        <v>2558329</v>
      </c>
      <c r="K24" s="19">
        <f t="shared" si="2"/>
        <v>153942132.91</v>
      </c>
      <c r="L24" s="20">
        <f t="shared" si="0"/>
        <v>131817354</v>
      </c>
      <c r="M24" s="20">
        <f t="shared" si="3"/>
        <v>6073449.91</v>
      </c>
      <c r="N24" s="20">
        <f t="shared" si="4"/>
        <v>16051329</v>
      </c>
      <c r="O24" s="21">
        <f t="shared" si="7"/>
        <v>860.8294632332382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224983000</v>
      </c>
      <c r="D26" s="16">
        <f>18564000</f>
        <v>18564000</v>
      </c>
      <c r="E26" s="16">
        <f>150000</f>
        <v>150000</v>
      </c>
      <c r="F26" s="17">
        <f>404000+200674000+2772000+70000+87000+2262000</f>
        <v>206269000</v>
      </c>
      <c r="G26" s="18">
        <f t="shared" si="5"/>
        <v>51457917.91</v>
      </c>
      <c r="H26" s="23">
        <f>26031.94+28800+5000+19205240+539.61</f>
        <v>19265611.55</v>
      </c>
      <c r="I26" s="23">
        <f>1175734+636608+1360000+2276446+2400000+1578171+1454587+160480+404496+10000000+2000000+344000</f>
        <v>23790522</v>
      </c>
      <c r="J26" s="23">
        <f>132667.68+2700+2091.35+10000+53152.2-26576.1+363997+1755300+110000+3374574+200000+142928+800000+84689.44+41310.79+800000+10000+469000+75950</f>
        <v>8401784.36</v>
      </c>
      <c r="K26" s="19">
        <f t="shared" si="2"/>
        <v>276440917.90999997</v>
      </c>
      <c r="L26" s="20">
        <f t="shared" si="0"/>
        <v>37829611.55</v>
      </c>
      <c r="M26" s="20">
        <f t="shared" si="3"/>
        <v>23940522</v>
      </c>
      <c r="N26" s="20">
        <f t="shared" si="4"/>
        <v>214670784.36</v>
      </c>
      <c r="O26" s="21">
        <f t="shared" si="7"/>
        <v>122.8719138379344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58225350.519999996</v>
      </c>
      <c r="H27" s="23">
        <f>320000+176000+16400+5585897+469500+45857.04+1243910+19428.48+27000+3713536+1490000+1800000+7203455+5197028+2868190+1453.89+31537.5+4000-72000+1537111-80000-24677.48+17068131+15000+30264+12000+815000+12000+66000+3754989+59000-55787.34+2839746+96597.55+1215.88+245959-100000-50000</f>
        <v>56383741.519999996</v>
      </c>
      <c r="I27" s="23">
        <f>24000+194750+1400859+72000+100000+50000</f>
        <v>1841609</v>
      </c>
      <c r="J27" s="23"/>
      <c r="K27" s="19">
        <f>C27+G27</f>
        <v>343059350.52</v>
      </c>
      <c r="L27" s="20">
        <f>D27+H27</f>
        <v>341217741.52</v>
      </c>
      <c r="M27" s="20">
        <f t="shared" si="3"/>
        <v>1841609</v>
      </c>
      <c r="N27" s="20">
        <f t="shared" si="4"/>
        <v>0</v>
      </c>
      <c r="O27" s="21">
        <f t="shared" si="7"/>
        <v>120.44185403427961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3385382.21</v>
      </c>
      <c r="H28" s="23">
        <f>20190.59+723916+13706.62+238892+33560+470000+570000+3140+458776</f>
        <v>2532181.21</v>
      </c>
      <c r="I28" s="23"/>
      <c r="J28" s="23">
        <f>30000+823201</f>
        <v>853201</v>
      </c>
      <c r="K28" s="19">
        <f t="shared" si="2"/>
        <v>18017382.21</v>
      </c>
      <c r="L28" s="20">
        <f t="shared" si="0"/>
        <v>16384181.21</v>
      </c>
      <c r="M28" s="20">
        <f t="shared" si="3"/>
        <v>0</v>
      </c>
      <c r="N28" s="20">
        <f t="shared" si="4"/>
        <v>1633201</v>
      </c>
      <c r="O28" s="21">
        <f t="shared" si="7"/>
        <v>123.13683850464736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17897544</v>
      </c>
      <c r="H29" s="23">
        <f>250000+10339038+879392+5233980+180134</f>
        <v>16882544</v>
      </c>
      <c r="I29" s="23"/>
      <c r="J29" s="23">
        <f>567000+448000</f>
        <v>1015000</v>
      </c>
      <c r="K29" s="19">
        <f>C29+G29</f>
        <v>19632544</v>
      </c>
      <c r="L29" s="20">
        <f>D29+H29</f>
        <v>18617544</v>
      </c>
      <c r="M29" s="20">
        <f t="shared" si="3"/>
        <v>0</v>
      </c>
      <c r="N29" s="20">
        <f t="shared" si="4"/>
        <v>1015000</v>
      </c>
      <c r="O29" s="21">
        <f t="shared" si="7"/>
        <v>1131.5587319884726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1091966000</v>
      </c>
      <c r="D30" s="16">
        <f>1087003000</f>
        <v>1087003000</v>
      </c>
      <c r="E30" s="16"/>
      <c r="F30" s="17">
        <f>6000+4870000+31000+56000</f>
        <v>4963000</v>
      </c>
      <c r="G30" s="18">
        <f>H30+I30+J30</f>
        <v>91727857.73000002</v>
      </c>
      <c r="H30" s="23">
        <f>142498+99000+1793.29+209114+1538059+763523+128372.43+72652+70574378+14196827.53-46659.05+2761600.29+43978+632148.17</f>
        <v>91117284.66000001</v>
      </c>
      <c r="I30" s="23">
        <f>593217.48</f>
        <v>593217.48</v>
      </c>
      <c r="J30" s="23">
        <f>1000+14877.59+1478</f>
        <v>17355.59</v>
      </c>
      <c r="K30" s="19">
        <f>C30+G30</f>
        <v>1183693857.73</v>
      </c>
      <c r="L30" s="20">
        <f t="shared" si="0"/>
        <v>1178120284.66</v>
      </c>
      <c r="M30" s="20">
        <f t="shared" si="3"/>
        <v>593217.48</v>
      </c>
      <c r="N30" s="20">
        <f t="shared" si="4"/>
        <v>4980355.59</v>
      </c>
      <c r="O30" s="21">
        <f t="shared" si="7"/>
        <v>108.400248517811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14006000</v>
      </c>
      <c r="D31" s="16"/>
      <c r="E31" s="16"/>
      <c r="F31" s="17">
        <f>24000+13703000+120000+159000</f>
        <v>14006000</v>
      </c>
      <c r="G31" s="18">
        <f t="shared" si="5"/>
        <v>3890991.09</v>
      </c>
      <c r="H31" s="23">
        <f>351055.29+122777.77-11383.2+29122.23</f>
        <v>491572.08999999997</v>
      </c>
      <c r="I31" s="23">
        <f>1100000+2208000</f>
        <v>3308000</v>
      </c>
      <c r="J31" s="23">
        <f>80000+11419</f>
        <v>91419</v>
      </c>
      <c r="K31" s="19">
        <f t="shared" si="2"/>
        <v>17896991.09</v>
      </c>
      <c r="L31" s="20">
        <f t="shared" si="0"/>
        <v>491572.08999999997</v>
      </c>
      <c r="M31" s="20">
        <f t="shared" si="3"/>
        <v>3308000</v>
      </c>
      <c r="N31" s="20">
        <f t="shared" si="4"/>
        <v>14097419</v>
      </c>
      <c r="O31" s="21">
        <f t="shared" si="7"/>
        <v>127.78088740539769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15924000</v>
      </c>
      <c r="D32" s="16">
        <f>9392000</f>
        <v>9392000</v>
      </c>
      <c r="E32" s="16"/>
      <c r="F32" s="17">
        <f>9000+6460000+63000</f>
        <v>6532000</v>
      </c>
      <c r="G32" s="18">
        <f t="shared" si="5"/>
        <v>5102149.92</v>
      </c>
      <c r="H32" s="23"/>
      <c r="I32" s="23">
        <f>154000+2099288.92+1757861</f>
        <v>4011149.92</v>
      </c>
      <c r="J32" s="23">
        <f>859000+224000+8000</f>
        <v>1091000</v>
      </c>
      <c r="K32" s="19">
        <f t="shared" si="2"/>
        <v>21026149.92</v>
      </c>
      <c r="L32" s="20">
        <f t="shared" si="0"/>
        <v>9392000</v>
      </c>
      <c r="M32" s="20">
        <f t="shared" si="3"/>
        <v>4011149.92</v>
      </c>
      <c r="N32" s="20">
        <f t="shared" si="4"/>
        <v>7623000</v>
      </c>
      <c r="O32" s="21">
        <f t="shared" si="7"/>
        <v>132.0406299924642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6" t="s">
        <v>22</v>
      </c>
      <c r="B35" s="47"/>
      <c r="C35" s="26">
        <f>SUM(C6:C34)</f>
        <v>2390491000</v>
      </c>
      <c r="D35" s="26">
        <f>SUM(D6:D34)</f>
        <v>1786053000</v>
      </c>
      <c r="E35" s="26">
        <f aca="true" t="shared" si="8" ref="E35:L35">SUM(E6:E34)</f>
        <v>70491000</v>
      </c>
      <c r="F35" s="26">
        <f t="shared" si="8"/>
        <v>533947000</v>
      </c>
      <c r="G35" s="27">
        <f>SUM(G6:G34)</f>
        <v>590109165.9300001</v>
      </c>
      <c r="H35" s="27">
        <f t="shared" si="8"/>
        <v>412393705.7</v>
      </c>
      <c r="I35" s="27">
        <f t="shared" si="8"/>
        <v>87968832.12</v>
      </c>
      <c r="J35" s="27">
        <f t="shared" si="8"/>
        <v>89746628.11</v>
      </c>
      <c r="K35" s="27">
        <f>SUM(K6:K34)</f>
        <v>2980600165.9300003</v>
      </c>
      <c r="L35" s="27">
        <f t="shared" si="8"/>
        <v>2198446705.7000003</v>
      </c>
      <c r="M35" s="27">
        <f>SUM(M6:M34)</f>
        <v>158459832.11999995</v>
      </c>
      <c r="N35" s="27">
        <f>SUM(N6:N34)</f>
        <v>623693628.11</v>
      </c>
      <c r="O35" s="28">
        <f t="shared" si="7"/>
        <v>124.6856886693989</v>
      </c>
      <c r="Q35" s="31"/>
      <c r="R35" s="31"/>
      <c r="S35" s="32"/>
    </row>
    <row r="36" spans="1:15" ht="64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5"/>
    </row>
    <row r="37" spans="1:18" s="6" customFormat="1" ht="31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44"/>
      <c r="M39" s="44"/>
      <c r="N39" s="44"/>
      <c r="O39" s="44"/>
    </row>
    <row r="40" spans="1:15" ht="12.75" customHeight="1">
      <c r="A40" s="3"/>
      <c r="G40" s="2"/>
      <c r="L40" s="44"/>
      <c r="M40" s="44"/>
      <c r="N40" s="44"/>
      <c r="O40" s="44"/>
    </row>
    <row r="41" spans="2:15" ht="15.75">
      <c r="B41" s="5"/>
      <c r="L41" s="44"/>
      <c r="M41" s="44"/>
      <c r="N41" s="44"/>
      <c r="O41" s="44"/>
    </row>
  </sheetData>
  <sheetProtection/>
  <mergeCells count="15"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  <mergeCell ref="L41:O41"/>
    <mergeCell ref="L39:O39"/>
    <mergeCell ref="L40:O40"/>
    <mergeCell ref="A36:N36"/>
    <mergeCell ref="A35:B35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F-VI.3121.4.18.2023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2023-10-03T05:50:07Z</cp:lastPrinted>
  <dcterms:created xsi:type="dcterms:W3CDTF">2005-05-12T09:31:11Z</dcterms:created>
  <dcterms:modified xsi:type="dcterms:W3CDTF">2023-10-19T05:56:21Z</dcterms:modified>
  <cp:category/>
  <cp:version/>
  <cp:contentType/>
  <cp:contentStatus/>
</cp:coreProperties>
</file>