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 z SubRozw - podmianka\"/>
    </mc:Choice>
  </mc:AlternateContent>
  <xr:revisionPtr revIDLastSave="0" documentId="13_ncr:1_{20DE6208-6A69-4FC8-BD2E-88D0A4901C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4" l="1"/>
  <c r="C120" i="4"/>
  <c r="C119" i="4"/>
  <c r="C118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K79" i="4" s="1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F74" i="4" s="1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5" i="4"/>
  <c r="I56" i="4" s="1"/>
  <c r="H55" i="4"/>
  <c r="G55" i="4"/>
  <c r="F55" i="4"/>
  <c r="E55" i="4"/>
  <c r="D55" i="4"/>
  <c r="C55" i="4"/>
  <c r="D52" i="4"/>
  <c r="C52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K16" i="4" s="1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I21" i="4" s="1"/>
  <c r="H12" i="4"/>
  <c r="H21" i="4" s="1"/>
  <c r="G12" i="4"/>
  <c r="F12" i="4"/>
  <c r="E12" i="4"/>
  <c r="D12" i="4"/>
  <c r="J12" i="4" s="1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J10" i="4" s="1"/>
  <c r="C10" i="4"/>
  <c r="K10" i="4" s="1"/>
  <c r="I9" i="4"/>
  <c r="H9" i="4"/>
  <c r="G9" i="4"/>
  <c r="F9" i="4"/>
  <c r="E9" i="4"/>
  <c r="D9" i="4"/>
  <c r="J9" i="4" s="1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J51" i="4"/>
  <c r="D46" i="4"/>
  <c r="C46" i="4"/>
  <c r="K51" i="4"/>
  <c r="E81" i="4"/>
  <c r="F81" i="4"/>
  <c r="K91" i="4"/>
  <c r="K100" i="4"/>
  <c r="K17" i="4"/>
  <c r="K102" i="4"/>
  <c r="G81" i="4"/>
  <c r="K33" i="4"/>
  <c r="K15" i="4"/>
  <c r="K71" i="4"/>
  <c r="K42" i="4"/>
  <c r="K103" i="4"/>
  <c r="K34" i="4"/>
  <c r="K65" i="4"/>
  <c r="C68" i="4"/>
  <c r="K72" i="4"/>
  <c r="G68" i="4"/>
  <c r="G74" i="4"/>
  <c r="K94" i="4"/>
  <c r="K36" i="4"/>
  <c r="H68" i="4"/>
  <c r="H74" i="4"/>
  <c r="J8" i="4"/>
  <c r="J11" i="4"/>
  <c r="J49" i="4"/>
  <c r="J29" i="4"/>
  <c r="J17" i="4"/>
  <c r="D75" i="4"/>
  <c r="J24" i="4"/>
  <c r="J41" i="4"/>
  <c r="J16" i="4"/>
  <c r="J40" i="4"/>
  <c r="J48" i="4"/>
  <c r="J6" i="4"/>
  <c r="J55" i="4"/>
  <c r="J32" i="4"/>
  <c r="J46" i="4"/>
  <c r="J20" i="4"/>
  <c r="J31" i="4"/>
  <c r="J14" i="4"/>
  <c r="J30" i="4"/>
  <c r="J19" i="4"/>
  <c r="J43" i="4"/>
  <c r="J25" i="4"/>
  <c r="J52" i="4"/>
  <c r="J45" i="4"/>
  <c r="J18" i="4"/>
  <c r="J38" i="4"/>
  <c r="J13" i="4"/>
  <c r="J26" i="4"/>
  <c r="J27" i="4"/>
  <c r="J47" i="4"/>
  <c r="J42" i="4"/>
  <c r="J39" i="4"/>
  <c r="J34" i="4"/>
  <c r="J15" i="4"/>
  <c r="J44" i="4"/>
  <c r="J28" i="4"/>
  <c r="J36" i="4"/>
  <c r="J35" i="4"/>
  <c r="D54" i="4"/>
  <c r="J54" i="4" s="1"/>
  <c r="D56" i="4"/>
  <c r="J56" i="4" s="1"/>
  <c r="J50" i="4"/>
  <c r="J37" i="4"/>
  <c r="J33" i="4"/>
  <c r="I68" i="4"/>
  <c r="I74" i="4"/>
  <c r="E7" i="4"/>
  <c r="E54" i="4"/>
  <c r="E56" i="4"/>
  <c r="K66" i="4"/>
  <c r="F7" i="4"/>
  <c r="F54" i="4"/>
  <c r="F56" i="4"/>
  <c r="K28" i="4"/>
  <c r="K39" i="4"/>
  <c r="J94" i="4"/>
  <c r="J87" i="4"/>
  <c r="J97" i="4"/>
  <c r="J93" i="4"/>
  <c r="J89" i="4"/>
  <c r="J90" i="4"/>
  <c r="J92" i="4"/>
  <c r="J88" i="4"/>
  <c r="J91" i="4"/>
  <c r="K8" i="4"/>
  <c r="K88" i="4"/>
  <c r="K99" i="4"/>
  <c r="K93" i="4"/>
  <c r="K24" i="4"/>
  <c r="C23" i="4"/>
  <c r="K45" i="4"/>
  <c r="D23" i="4"/>
  <c r="J23" i="4" s="1"/>
  <c r="D22" i="4"/>
  <c r="J22" i="4" s="1"/>
  <c r="K47" i="4"/>
  <c r="K27" i="4"/>
  <c r="K70" i="4"/>
  <c r="K49" i="4"/>
  <c r="K87" i="4"/>
  <c r="K97" i="4"/>
  <c r="K14" i="4"/>
  <c r="K20" i="4"/>
  <c r="K30" i="4"/>
  <c r="K40" i="4"/>
  <c r="K55" i="4"/>
  <c r="K90" i="4"/>
  <c r="K12" i="4"/>
  <c r="K92" i="4"/>
  <c r="K98" i="4"/>
  <c r="C54" i="4"/>
  <c r="C56" i="4" s="1"/>
  <c r="K6" i="4"/>
  <c r="C75" i="4"/>
  <c r="K19" i="4"/>
  <c r="K29" i="4"/>
  <c r="K35" i="4"/>
  <c r="K41" i="4"/>
  <c r="K48" i="4"/>
  <c r="K69" i="4"/>
  <c r="D81" i="4"/>
  <c r="J81" i="4"/>
  <c r="J79" i="4"/>
  <c r="J80" i="4"/>
  <c r="J101" i="4"/>
  <c r="J102" i="4"/>
  <c r="J99" i="4"/>
  <c r="J103" i="4"/>
  <c r="J98" i="4"/>
  <c r="J100" i="4"/>
  <c r="G7" i="4"/>
  <c r="G54" i="4"/>
  <c r="K11" i="4"/>
  <c r="K25" i="4"/>
  <c r="K31" i="4"/>
  <c r="K37" i="4"/>
  <c r="K43" i="4"/>
  <c r="K50" i="4"/>
  <c r="J72" i="4"/>
  <c r="J69" i="4"/>
  <c r="J66" i="4"/>
  <c r="J67" i="4"/>
  <c r="J71" i="4"/>
  <c r="D68" i="4"/>
  <c r="K68" i="4" s="1"/>
  <c r="D74" i="4"/>
  <c r="J74" i="4" s="1"/>
  <c r="J65" i="4"/>
  <c r="J73" i="4"/>
  <c r="J70" i="4"/>
  <c r="K73" i="4"/>
  <c r="H81" i="4"/>
  <c r="H54" i="4"/>
  <c r="H56" i="4"/>
  <c r="H7" i="4"/>
  <c r="K18" i="4"/>
  <c r="E68" i="4"/>
  <c r="E74" i="4"/>
  <c r="K67" i="4"/>
  <c r="I81" i="4"/>
  <c r="K89" i="4"/>
  <c r="K101" i="4"/>
  <c r="D118" i="4"/>
  <c r="I54" i="4"/>
  <c r="I7" i="4"/>
  <c r="K13" i="4"/>
  <c r="K26" i="4"/>
  <c r="K32" i="4"/>
  <c r="K38" i="4"/>
  <c r="K44" i="4"/>
  <c r="K52" i="4"/>
  <c r="F68" i="4"/>
  <c r="K80" i="4"/>
  <c r="B1" i="4"/>
  <c r="B82" i="4"/>
  <c r="B58" i="4"/>
  <c r="C74" i="4"/>
  <c r="F21" i="4" l="1"/>
  <c r="C81" i="4"/>
  <c r="K81" i="4" s="1"/>
  <c r="K74" i="4"/>
  <c r="J68" i="4"/>
  <c r="G56" i="4"/>
  <c r="D76" i="4"/>
  <c r="K46" i="4"/>
  <c r="D7" i="4"/>
  <c r="L20" i="4" s="1"/>
  <c r="K23" i="4"/>
  <c r="C22" i="4"/>
  <c r="E21" i="4"/>
  <c r="G21" i="4"/>
  <c r="K9" i="4"/>
  <c r="K56" i="4"/>
  <c r="C76" i="4"/>
  <c r="K54" i="4"/>
  <c r="L7" i="4" l="1"/>
  <c r="L13" i="4"/>
  <c r="L9" i="4"/>
  <c r="L10" i="4"/>
  <c r="L8" i="4"/>
  <c r="L11" i="4"/>
  <c r="L16" i="4"/>
  <c r="L18" i="4"/>
  <c r="L15" i="4"/>
  <c r="L12" i="4"/>
  <c r="D21" i="4"/>
  <c r="L21" i="4" s="1"/>
  <c r="J7" i="4"/>
  <c r="L14" i="4"/>
  <c r="L17" i="4"/>
  <c r="L19" i="4"/>
  <c r="C7" i="4"/>
  <c r="K22" i="4"/>
  <c r="J21" i="4" l="1"/>
  <c r="C21" i="4"/>
  <c r="K21" i="4" s="1"/>
  <c r="K7" i="4"/>
</calcChain>
</file>

<file path=xl/sharedStrings.xml><?xml version="1.0" encoding="utf-8"?>
<sst xmlns="http://schemas.openxmlformats.org/spreadsheetml/2006/main" count="376" uniqueCount="116">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</sst>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0" fontId="15" fillId="0" borderId="0"/>
  </cellStyleXfs>
  <cellXfs count="132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5" fontId="12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5" fontId="11" fillId="5" borderId="1" xfId="1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5" fontId="4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5" fillId="4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6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6" fillId="4" borderId="1" xfId="3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6" fontId="2" fillId="0" borderId="3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Dziesiętny" xfId="1" builtinId="3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21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12.7109375" style="1" customWidth="1"/>
    <col min="11" max="11" width="7.42578125" style="1" customWidth="1"/>
    <col min="12" max="13" width="8.140625" style="1" customWidth="1"/>
    <col min="14" max="16384" width="9.140625" style="1"/>
  </cols>
  <sheetData>
    <row r="1" spans="2:13" ht="15" x14ac:dyDescent="0.2">
      <c r="B1" s="91" t="str">
        <f>CONCATENATE("Informacja z wykonania budżetów gmin za ",$D$118," ",$C$119," rok     ",$C$121,"")</f>
        <v xml:space="preserve">Informacja z wykonania budżetów gmin za I Kwartał 2024 rok     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3" ht="0.75" customHeight="1" x14ac:dyDescent="0.2"/>
    <row r="3" spans="2:13" ht="69" customHeight="1" x14ac:dyDescent="0.2">
      <c r="B3" s="124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24"/>
      <c r="C4" s="121" t="s">
        <v>74</v>
      </c>
      <c r="D4" s="122"/>
      <c r="E4" s="122"/>
      <c r="F4" s="122"/>
      <c r="G4" s="122"/>
      <c r="H4" s="122"/>
      <c r="I4" s="123"/>
      <c r="J4" s="126" t="s">
        <v>4</v>
      </c>
      <c r="K4" s="126"/>
      <c r="L4" s="126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4" t="s">
        <v>5</v>
      </c>
      <c r="C6" s="45">
        <f>200907118193.22</f>
        <v>200907118193.22</v>
      </c>
      <c r="D6" s="45">
        <f>51243960012.47</f>
        <v>51243960012.470001</v>
      </c>
      <c r="E6" s="45">
        <f>1491432209.57</f>
        <v>1491432209.5699999</v>
      </c>
      <c r="F6" s="45">
        <f>216113062.15</f>
        <v>216113062.15000001</v>
      </c>
      <c r="G6" s="45">
        <f>26655774.32</f>
        <v>26655774.32</v>
      </c>
      <c r="H6" s="45">
        <f>60477421.28</f>
        <v>60477421.280000001</v>
      </c>
      <c r="I6" s="45">
        <f>1040406.79</f>
        <v>1040406.79</v>
      </c>
      <c r="J6" s="46">
        <f t="shared" ref="J6:J56" si="0">IF($D$6=0,"",100*$D6/$D$6)</f>
        <v>100</v>
      </c>
      <c r="K6" s="46">
        <f t="shared" ref="K6:K52" si="1">IF(C6=0,"",100*D6/C6)</f>
        <v>25.506293890088422</v>
      </c>
      <c r="L6" s="46"/>
    </row>
    <row r="7" spans="2:13" ht="25.5" customHeight="1" x14ac:dyDescent="0.2">
      <c r="B7" s="85" t="s">
        <v>58</v>
      </c>
      <c r="C7" s="25">
        <f>C6-C22-C46</f>
        <v>88176014058.509979</v>
      </c>
      <c r="D7" s="25">
        <f>D6-D22-D46</f>
        <v>23368204358.480003</v>
      </c>
      <c r="E7" s="25">
        <f>E6</f>
        <v>1491432209.5699999</v>
      </c>
      <c r="F7" s="25">
        <f>F6</f>
        <v>216113062.15000001</v>
      </c>
      <c r="G7" s="25">
        <f>G6</f>
        <v>26655774.32</v>
      </c>
      <c r="H7" s="25">
        <f>H6</f>
        <v>60477421.280000001</v>
      </c>
      <c r="I7" s="25">
        <f>I6</f>
        <v>1040406.79</v>
      </c>
      <c r="J7" s="34">
        <f t="shared" si="0"/>
        <v>45.601870645425237</v>
      </c>
      <c r="K7" s="34">
        <f t="shared" si="1"/>
        <v>26.501769906466656</v>
      </c>
      <c r="L7" s="34">
        <f t="shared" ref="L7:L21" si="2">IF($D$7=0,"",100*$D7/$D$7)</f>
        <v>100</v>
      </c>
    </row>
    <row r="8" spans="2:13" ht="22.5" customHeight="1" outlineLevel="1" x14ac:dyDescent="0.2">
      <c r="B8" s="54" t="s">
        <v>34</v>
      </c>
      <c r="C8" s="24">
        <f>2860440655.4</f>
        <v>2860440655.4000001</v>
      </c>
      <c r="D8" s="24">
        <f>715130512</f>
        <v>715130512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1.3955410780626165</v>
      </c>
      <c r="K8" s="35">
        <f t="shared" si="1"/>
        <v>25.000711364172563</v>
      </c>
      <c r="L8" s="35">
        <f t="shared" si="2"/>
        <v>3.0602715597208001</v>
      </c>
    </row>
    <row r="9" spans="2:13" ht="22.5" customHeight="1" outlineLevel="1" x14ac:dyDescent="0.2">
      <c r="B9" s="54" t="s">
        <v>19</v>
      </c>
      <c r="C9" s="24">
        <f>30057339918</f>
        <v>30057339918</v>
      </c>
      <c r="D9" s="24">
        <f>7514356605</f>
        <v>7514356605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14.663887418480956</v>
      </c>
      <c r="K9" s="35">
        <f t="shared" si="1"/>
        <v>25.000071947484571</v>
      </c>
      <c r="L9" s="35">
        <f t="shared" si="2"/>
        <v>32.156328700853486</v>
      </c>
    </row>
    <row r="10" spans="2:13" ht="13.5" customHeight="1" outlineLevel="1" x14ac:dyDescent="0.2">
      <c r="B10" s="54" t="s">
        <v>20</v>
      </c>
      <c r="C10" s="24">
        <f>2209428805.34</f>
        <v>2209428805.3400002</v>
      </c>
      <c r="D10" s="24">
        <f>863283782.69</f>
        <v>863283782.69000006</v>
      </c>
      <c r="E10" s="24">
        <f>128802303.66</f>
        <v>128802303.66</v>
      </c>
      <c r="F10" s="24">
        <f>1058795.79</f>
        <v>1058795.79</v>
      </c>
      <c r="G10" s="24">
        <f>819488.56</f>
        <v>819488.56</v>
      </c>
      <c r="H10" s="24">
        <f>1116584.66</f>
        <v>1116584.6599999999</v>
      </c>
      <c r="I10" s="24">
        <f>847</f>
        <v>847</v>
      </c>
      <c r="J10" s="35">
        <f t="shared" si="0"/>
        <v>1.6846547036566331</v>
      </c>
      <c r="K10" s="35">
        <f t="shared" si="1"/>
        <v>39.072713300537998</v>
      </c>
      <c r="L10" s="35">
        <f t="shared" si="2"/>
        <v>3.6942666601455239</v>
      </c>
    </row>
    <row r="11" spans="2:13" ht="13.5" customHeight="1" outlineLevel="1" x14ac:dyDescent="0.2">
      <c r="B11" s="54" t="s">
        <v>21</v>
      </c>
      <c r="C11" s="24">
        <f>21396707003</f>
        <v>21396707003</v>
      </c>
      <c r="D11" s="53">
        <f>6410480544.36</f>
        <v>6410480544.3599997</v>
      </c>
      <c r="E11" s="24">
        <f>955688257.34</f>
        <v>955688257.34000003</v>
      </c>
      <c r="F11" s="24">
        <f>213101221.5</f>
        <v>213101221.5</v>
      </c>
      <c r="G11" s="24">
        <f>19895354.87</f>
        <v>19895354.870000001</v>
      </c>
      <c r="H11" s="24">
        <f>44177003.87</f>
        <v>44177003.869999997</v>
      </c>
      <c r="I11" s="24">
        <f>839028.68</f>
        <v>839028.68</v>
      </c>
      <c r="J11" s="35">
        <f t="shared" si="0"/>
        <v>12.509729034992683</v>
      </c>
      <c r="K11" s="35">
        <f t="shared" si="1"/>
        <v>29.960126777738257</v>
      </c>
      <c r="L11" s="35">
        <f t="shared" si="2"/>
        <v>27.432490943762755</v>
      </c>
    </row>
    <row r="12" spans="2:13" ht="13.5" customHeight="1" outlineLevel="1" x14ac:dyDescent="0.2">
      <c r="B12" s="54" t="s">
        <v>22</v>
      </c>
      <c r="C12" s="24">
        <f>498472222.42</f>
        <v>498472222.42000002</v>
      </c>
      <c r="D12" s="53">
        <f>162286033.22</f>
        <v>162286033.22</v>
      </c>
      <c r="E12" s="24">
        <f>1736494.21</f>
        <v>1736494.21</v>
      </c>
      <c r="F12" s="24">
        <f>264511.04</f>
        <v>264511.03999999998</v>
      </c>
      <c r="G12" s="24">
        <f>38718.91</f>
        <v>38718.910000000003</v>
      </c>
      <c r="H12" s="24">
        <f>10517.97</f>
        <v>10517.97</v>
      </c>
      <c r="I12" s="24">
        <f>0</f>
        <v>0</v>
      </c>
      <c r="J12" s="35">
        <f t="shared" si="0"/>
        <v>0.31669299792699157</v>
      </c>
      <c r="K12" s="35">
        <f t="shared" si="1"/>
        <v>32.556685392042148</v>
      </c>
      <c r="L12" s="35">
        <f t="shared" si="2"/>
        <v>0.69447369909322365</v>
      </c>
    </row>
    <row r="13" spans="2:13" ht="13.5" customHeight="1" outlineLevel="1" x14ac:dyDescent="0.2">
      <c r="B13" s="54" t="s">
        <v>23</v>
      </c>
      <c r="C13" s="24">
        <f>1100962768.64</f>
        <v>1100962768.6400001</v>
      </c>
      <c r="D13" s="53">
        <f>496777518.63</f>
        <v>496777518.63</v>
      </c>
      <c r="E13" s="24">
        <f>399169266.01</f>
        <v>399169266.00999999</v>
      </c>
      <c r="F13" s="24">
        <f>1676888.82</f>
        <v>1676888.82</v>
      </c>
      <c r="G13" s="24">
        <f>773433.39</f>
        <v>773433.39</v>
      </c>
      <c r="H13" s="24">
        <f>5017720.33</f>
        <v>5017720.33</v>
      </c>
      <c r="I13" s="24">
        <f>4549</f>
        <v>4549</v>
      </c>
      <c r="J13" s="35">
        <f t="shared" si="0"/>
        <v>0.96943623894232855</v>
      </c>
      <c r="K13" s="35">
        <f t="shared" si="1"/>
        <v>45.12209974581252</v>
      </c>
      <c r="L13" s="35">
        <f t="shared" si="2"/>
        <v>2.1258694549618924</v>
      </c>
    </row>
    <row r="14" spans="2:13" ht="33.950000000000003" customHeight="1" outlineLevel="1" x14ac:dyDescent="0.2">
      <c r="B14" s="54" t="s">
        <v>43</v>
      </c>
      <c r="C14" s="24">
        <f>88371144.14</f>
        <v>88371144.140000001</v>
      </c>
      <c r="D14" s="53">
        <f>15312085.17</f>
        <v>15312085.17</v>
      </c>
      <c r="E14" s="24">
        <f>0</f>
        <v>0</v>
      </c>
      <c r="F14" s="24">
        <f>0</f>
        <v>0</v>
      </c>
      <c r="G14" s="24">
        <f>2534</f>
        <v>2534</v>
      </c>
      <c r="H14" s="24">
        <f>12476.43</f>
        <v>12476.43</v>
      </c>
      <c r="I14" s="24">
        <f>0</f>
        <v>0</v>
      </c>
      <c r="J14" s="35">
        <f t="shared" si="0"/>
        <v>2.9880760905819669E-2</v>
      </c>
      <c r="K14" s="35">
        <f t="shared" si="1"/>
        <v>17.327019265182503</v>
      </c>
      <c r="L14" s="35">
        <f t="shared" si="2"/>
        <v>6.5525296403202038E-2</v>
      </c>
    </row>
    <row r="15" spans="2:13" ht="13.5" customHeight="1" outlineLevel="1" x14ac:dyDescent="0.2">
      <c r="B15" s="54" t="s">
        <v>28</v>
      </c>
      <c r="C15" s="24">
        <f>203370324.47</f>
        <v>203370324.47</v>
      </c>
      <c r="D15" s="53">
        <f>63109105.13</f>
        <v>63109105.130000003</v>
      </c>
      <c r="E15" s="24">
        <f>0</f>
        <v>0</v>
      </c>
      <c r="F15" s="24">
        <f>0</f>
        <v>0</v>
      </c>
      <c r="G15" s="24">
        <f>1399360.37</f>
        <v>1399360.37</v>
      </c>
      <c r="H15" s="24">
        <f>4086238.36</f>
        <v>4086238.36</v>
      </c>
      <c r="I15" s="24">
        <f>0</f>
        <v>0</v>
      </c>
      <c r="J15" s="35">
        <f t="shared" si="0"/>
        <v>0.12315423147360717</v>
      </c>
      <c r="K15" s="35">
        <f t="shared" si="1"/>
        <v>31.031619433399431</v>
      </c>
      <c r="L15" s="35">
        <f t="shared" si="2"/>
        <v>0.27006399020598504</v>
      </c>
    </row>
    <row r="16" spans="2:13" ht="22.5" customHeight="1" outlineLevel="1" x14ac:dyDescent="0.2">
      <c r="B16" s="54" t="s">
        <v>29</v>
      </c>
      <c r="C16" s="24">
        <f>1641026185.05</f>
        <v>1641026185.05</v>
      </c>
      <c r="D16" s="53">
        <f>464783867.1</f>
        <v>464783867.10000002</v>
      </c>
      <c r="E16" s="24">
        <f>0</f>
        <v>0</v>
      </c>
      <c r="F16" s="24">
        <f>0</f>
        <v>0</v>
      </c>
      <c r="G16" s="24">
        <f>20242</f>
        <v>20242</v>
      </c>
      <c r="H16" s="24">
        <f>237000.01</f>
        <v>237000.01</v>
      </c>
      <c r="I16" s="24">
        <f>0</f>
        <v>0</v>
      </c>
      <c r="J16" s="35">
        <f t="shared" si="0"/>
        <v>0.9070022437510622</v>
      </c>
      <c r="K16" s="35">
        <f t="shared" si="1"/>
        <v>28.322757511991721</v>
      </c>
      <c r="L16" s="35">
        <f t="shared" si="2"/>
        <v>1.9889584153321402</v>
      </c>
    </row>
    <row r="17" spans="2:12" ht="13.5" customHeight="1" outlineLevel="1" x14ac:dyDescent="0.2">
      <c r="B17" s="54" t="s">
        <v>30</v>
      </c>
      <c r="C17" s="24">
        <f>197073329.46</f>
        <v>197073329.46000001</v>
      </c>
      <c r="D17" s="53">
        <f>49991490.02</f>
        <v>49991490.020000003</v>
      </c>
      <c r="E17" s="24">
        <f>0</f>
        <v>0</v>
      </c>
      <c r="F17" s="24">
        <f>0</f>
        <v>0</v>
      </c>
      <c r="G17" s="24">
        <f>49</f>
        <v>49</v>
      </c>
      <c r="H17" s="24">
        <f>4747</f>
        <v>4747</v>
      </c>
      <c r="I17" s="24">
        <f>0</f>
        <v>0</v>
      </c>
      <c r="J17" s="35">
        <f t="shared" si="0"/>
        <v>9.7555868062957629E-2</v>
      </c>
      <c r="K17" s="35">
        <f t="shared" si="1"/>
        <v>25.366948514535945</v>
      </c>
      <c r="L17" s="35">
        <f t="shared" si="2"/>
        <v>0.21392953114028537</v>
      </c>
    </row>
    <row r="18" spans="2:12" ht="13.5" customHeight="1" outlineLevel="1" x14ac:dyDescent="0.2">
      <c r="B18" s="54" t="s">
        <v>31</v>
      </c>
      <c r="C18" s="24">
        <f>432074011.62</f>
        <v>432074011.62</v>
      </c>
      <c r="D18" s="53">
        <f>196942581.72</f>
        <v>196942581.72</v>
      </c>
      <c r="E18" s="24">
        <f>0</f>
        <v>0</v>
      </c>
      <c r="F18" s="24">
        <f>0</f>
        <v>0</v>
      </c>
      <c r="G18" s="24">
        <f>1056</f>
        <v>1056</v>
      </c>
      <c r="H18" s="24">
        <f>231621.19</f>
        <v>231621.19</v>
      </c>
      <c r="I18" s="24">
        <f>0</f>
        <v>0</v>
      </c>
      <c r="J18" s="35">
        <f t="shared" si="0"/>
        <v>0.38432350207141458</v>
      </c>
      <c r="K18" s="35">
        <f t="shared" si="1"/>
        <v>45.580751543373744</v>
      </c>
      <c r="L18" s="35">
        <f t="shared" si="2"/>
        <v>0.84278012421836856</v>
      </c>
    </row>
    <row r="19" spans="2:12" ht="13.5" customHeight="1" outlineLevel="1" x14ac:dyDescent="0.2">
      <c r="B19" s="54" t="s">
        <v>32</v>
      </c>
      <c r="C19" s="24">
        <f>118657605.43</f>
        <v>118657605.43000001</v>
      </c>
      <c r="D19" s="53">
        <f>16620997.35</f>
        <v>16620997.35</v>
      </c>
      <c r="E19" s="24">
        <f>110796.74</f>
        <v>110796.74</v>
      </c>
      <c r="F19" s="24">
        <f>0</f>
        <v>0</v>
      </c>
      <c r="G19" s="24">
        <f>15769</f>
        <v>15769</v>
      </c>
      <c r="H19" s="24">
        <f>60303.23</f>
        <v>60303.23</v>
      </c>
      <c r="I19" s="24">
        <f>0</f>
        <v>0</v>
      </c>
      <c r="J19" s="35">
        <f t="shared" si="0"/>
        <v>3.2435036921337361E-2</v>
      </c>
      <c r="K19" s="35">
        <f t="shared" si="1"/>
        <v>14.007528038146082</v>
      </c>
      <c r="L19" s="35">
        <f t="shared" si="2"/>
        <v>7.1126549113597018E-2</v>
      </c>
    </row>
    <row r="20" spans="2:12" ht="13.5" customHeight="1" outlineLevel="1" x14ac:dyDescent="0.2">
      <c r="B20" s="54" t="s">
        <v>24</v>
      </c>
      <c r="C20" s="24">
        <f>5842216218</f>
        <v>5842216218</v>
      </c>
      <c r="D20" s="53">
        <f>1058701214.41</f>
        <v>1058701214.41</v>
      </c>
      <c r="E20" s="24">
        <f>0</f>
        <v>0</v>
      </c>
      <c r="F20" s="24">
        <f>0</f>
        <v>0</v>
      </c>
      <c r="G20" s="24">
        <f>0</f>
        <v>0</v>
      </c>
      <c r="H20" s="24">
        <f>4150.72</f>
        <v>4150.72</v>
      </c>
      <c r="I20" s="24">
        <f>0</f>
        <v>0</v>
      </c>
      <c r="J20" s="35">
        <f t="shared" si="0"/>
        <v>2.0660019525274187</v>
      </c>
      <c r="K20" s="35">
        <f t="shared" si="1"/>
        <v>18.121568509363239</v>
      </c>
      <c r="L20" s="35">
        <f t="shared" si="2"/>
        <v>4.5305201810502469</v>
      </c>
    </row>
    <row r="21" spans="2:12" ht="13.5" customHeight="1" outlineLevel="1" x14ac:dyDescent="0.2">
      <c r="B21" s="54" t="s">
        <v>25</v>
      </c>
      <c r="C21" s="24">
        <f>C7-C8-C9-C10-C11-C12-C13-C14-C15-C16-C17-C18-C19-C20</f>
        <v>21529873867.539993</v>
      </c>
      <c r="D21" s="24">
        <f t="shared" ref="D21:I21" si="3">D7-D8-D9-D10-D11-D12-D13-D14-D15-D16-D17-D18-D19-D20</f>
        <v>5340428021.6800013</v>
      </c>
      <c r="E21" s="24">
        <f t="shared" si="3"/>
        <v>5925091.6099998448</v>
      </c>
      <c r="F21" s="24">
        <f t="shared" si="3"/>
        <v>11645.000000014203</v>
      </c>
      <c r="G21" s="24">
        <f t="shared" si="3"/>
        <v>3689768.2200000007</v>
      </c>
      <c r="H21" s="24">
        <f t="shared" si="3"/>
        <v>5519057.5100000072</v>
      </c>
      <c r="I21" s="24">
        <f t="shared" si="3"/>
        <v>195982.11</v>
      </c>
      <c r="J21" s="35">
        <f t="shared" si="0"/>
        <v>10.421575577649406</v>
      </c>
      <c r="K21" s="35">
        <f t="shared" si="1"/>
        <v>24.804734363686261</v>
      </c>
      <c r="L21" s="35">
        <f t="shared" si="2"/>
        <v>22.853394893998487</v>
      </c>
    </row>
    <row r="22" spans="2:12" ht="27" customHeight="1" x14ac:dyDescent="0.2">
      <c r="B22" s="85" t="s">
        <v>98</v>
      </c>
      <c r="C22" s="45">
        <f>C23+C42+C44</f>
        <v>60424058251.550003</v>
      </c>
      <c r="D22" s="45">
        <f>D23+D42+D44</f>
        <v>9554936117.9899998</v>
      </c>
      <c r="E22" s="41" t="s">
        <v>57</v>
      </c>
      <c r="F22" s="41" t="s">
        <v>57</v>
      </c>
      <c r="G22" s="41" t="s">
        <v>57</v>
      </c>
      <c r="H22" s="41" t="s">
        <v>57</v>
      </c>
      <c r="I22" s="41" t="s">
        <v>57</v>
      </c>
      <c r="J22" s="46">
        <f t="shared" si="0"/>
        <v>18.645975283067209</v>
      </c>
      <c r="K22" s="46">
        <f t="shared" si="1"/>
        <v>15.813132044544354</v>
      </c>
      <c r="L22" s="29"/>
    </row>
    <row r="23" spans="2:12" ht="27" customHeight="1" outlineLevel="1" x14ac:dyDescent="0.2">
      <c r="B23" s="93" t="s">
        <v>59</v>
      </c>
      <c r="C23" s="45">
        <f>C24+C26+C28+C30+C32+C34+C36+C38+C40</f>
        <v>55542210367.059998</v>
      </c>
      <c r="D23" s="45">
        <f>D24+D26+D28+D30+D32+D34+D36+D38+D40</f>
        <v>8903014612.1900005</v>
      </c>
      <c r="E23" s="41" t="s">
        <v>57</v>
      </c>
      <c r="F23" s="41" t="s">
        <v>57</v>
      </c>
      <c r="G23" s="41" t="s">
        <v>57</v>
      </c>
      <c r="H23" s="41" t="s">
        <v>57</v>
      </c>
      <c r="I23" s="41" t="s">
        <v>57</v>
      </c>
      <c r="J23" s="46">
        <f t="shared" si="0"/>
        <v>17.373783388371017</v>
      </c>
      <c r="K23" s="46">
        <f t="shared" si="1"/>
        <v>16.029276748895906</v>
      </c>
      <c r="L23" s="29"/>
    </row>
    <row r="24" spans="2:12" ht="22.5" customHeight="1" outlineLevel="1" x14ac:dyDescent="0.2">
      <c r="B24" s="83" t="s">
        <v>9</v>
      </c>
      <c r="C24" s="24">
        <f>13071027167.75</f>
        <v>13071027167.75</v>
      </c>
      <c r="D24" s="24">
        <f>4436352478.14</f>
        <v>4436352478.1400003</v>
      </c>
      <c r="E24" s="24" t="s">
        <v>57</v>
      </c>
      <c r="F24" s="24" t="s">
        <v>57</v>
      </c>
      <c r="G24" s="24" t="s">
        <v>57</v>
      </c>
      <c r="H24" s="24" t="s">
        <v>57</v>
      </c>
      <c r="I24" s="24" t="s">
        <v>57</v>
      </c>
      <c r="J24" s="35">
        <f t="shared" si="0"/>
        <v>8.6573178127928312</v>
      </c>
      <c r="K24" s="35">
        <f t="shared" si="1"/>
        <v>33.940350832456105</v>
      </c>
      <c r="L24" s="29"/>
    </row>
    <row r="25" spans="2:12" ht="13.5" customHeight="1" outlineLevel="1" x14ac:dyDescent="0.2">
      <c r="B25" s="94" t="s">
        <v>6</v>
      </c>
      <c r="C25" s="24">
        <f>1979485</f>
        <v>1979485</v>
      </c>
      <c r="D25" s="24">
        <f>74585</f>
        <v>74585</v>
      </c>
      <c r="E25" s="24" t="s">
        <v>57</v>
      </c>
      <c r="F25" s="24" t="s">
        <v>57</v>
      </c>
      <c r="G25" s="24" t="s">
        <v>57</v>
      </c>
      <c r="H25" s="24" t="s">
        <v>57</v>
      </c>
      <c r="I25" s="24" t="s">
        <v>57</v>
      </c>
      <c r="J25" s="35">
        <f t="shared" si="0"/>
        <v>1.4554886074739356E-4</v>
      </c>
      <c r="K25" s="35">
        <f t="shared" si="1"/>
        <v>3.7678992263139151</v>
      </c>
      <c r="L25" s="29"/>
    </row>
    <row r="26" spans="2:12" ht="13.5" customHeight="1" outlineLevel="1" x14ac:dyDescent="0.2">
      <c r="B26" s="83" t="s">
        <v>7</v>
      </c>
      <c r="C26" s="24">
        <f>5239778041.55</f>
        <v>5239778041.5500002</v>
      </c>
      <c r="D26" s="24">
        <f>1168689942.28</f>
        <v>1168689942.28</v>
      </c>
      <c r="E26" s="24" t="s">
        <v>57</v>
      </c>
      <c r="F26" s="24" t="s">
        <v>57</v>
      </c>
      <c r="G26" s="24" t="s">
        <v>57</v>
      </c>
      <c r="H26" s="24" t="s">
        <v>57</v>
      </c>
      <c r="I26" s="24" t="s">
        <v>57</v>
      </c>
      <c r="J26" s="35">
        <f t="shared" si="0"/>
        <v>2.2806394002251276</v>
      </c>
      <c r="K26" s="35">
        <f t="shared" si="1"/>
        <v>22.304187944844415</v>
      </c>
      <c r="L26" s="29"/>
    </row>
    <row r="27" spans="2:12" ht="13.5" customHeight="1" outlineLevel="1" x14ac:dyDescent="0.2">
      <c r="B27" s="94" t="s">
        <v>6</v>
      </c>
      <c r="C27" s="24">
        <f>847525141.85</f>
        <v>847525141.85000002</v>
      </c>
      <c r="D27" s="24">
        <f>20661710.9</f>
        <v>20661710.899999999</v>
      </c>
      <c r="E27" s="24" t="s">
        <v>57</v>
      </c>
      <c r="F27" s="24" t="s">
        <v>57</v>
      </c>
      <c r="G27" s="24" t="s">
        <v>57</v>
      </c>
      <c r="H27" s="24" t="s">
        <v>57</v>
      </c>
      <c r="I27" s="24" t="s">
        <v>57</v>
      </c>
      <c r="J27" s="35">
        <f t="shared" si="0"/>
        <v>4.0320285346745366E-2</v>
      </c>
      <c r="K27" s="35">
        <f t="shared" si="1"/>
        <v>2.4378876660695958</v>
      </c>
      <c r="L27" s="29"/>
    </row>
    <row r="28" spans="2:12" ht="35.1" customHeight="1" outlineLevel="1" x14ac:dyDescent="0.2">
      <c r="B28" s="83" t="s">
        <v>10</v>
      </c>
      <c r="C28" s="24">
        <f>38384203.12</f>
        <v>38384203.119999997</v>
      </c>
      <c r="D28" s="24">
        <f>1989512.92</f>
        <v>1989512.92</v>
      </c>
      <c r="E28" s="24" t="s">
        <v>57</v>
      </c>
      <c r="F28" s="24" t="s">
        <v>57</v>
      </c>
      <c r="G28" s="24" t="s">
        <v>57</v>
      </c>
      <c r="H28" s="24" t="s">
        <v>57</v>
      </c>
      <c r="I28" s="24" t="s">
        <v>57</v>
      </c>
      <c r="J28" s="35">
        <f t="shared" si="0"/>
        <v>3.882433987373069E-3</v>
      </c>
      <c r="K28" s="35">
        <f t="shared" si="1"/>
        <v>5.1831554605424879</v>
      </c>
      <c r="L28" s="29"/>
    </row>
    <row r="29" spans="2:12" ht="13.5" customHeight="1" outlineLevel="1" x14ac:dyDescent="0.2">
      <c r="B29" s="94" t="s">
        <v>6</v>
      </c>
      <c r="C29" s="24">
        <f>23048139.38</f>
        <v>23048139.379999999</v>
      </c>
      <c r="D29" s="24">
        <f>599535.53</f>
        <v>599535.53</v>
      </c>
      <c r="E29" s="24" t="s">
        <v>57</v>
      </c>
      <c r="F29" s="24" t="s">
        <v>57</v>
      </c>
      <c r="G29" s="24" t="s">
        <v>57</v>
      </c>
      <c r="H29" s="24" t="s">
        <v>57</v>
      </c>
      <c r="I29" s="24" t="s">
        <v>57</v>
      </c>
      <c r="J29" s="35">
        <f t="shared" si="0"/>
        <v>1.1699633085618395E-3</v>
      </c>
      <c r="K29" s="35">
        <f t="shared" si="1"/>
        <v>2.601231796264849</v>
      </c>
      <c r="L29" s="29"/>
    </row>
    <row r="30" spans="2:12" ht="24" customHeight="1" outlineLevel="1" x14ac:dyDescent="0.2">
      <c r="B30" s="83" t="s">
        <v>11</v>
      </c>
      <c r="C30" s="24">
        <f>691014417.46</f>
        <v>691014417.46000004</v>
      </c>
      <c r="D30" s="24">
        <f>129866144.25</f>
        <v>129866144.25</v>
      </c>
      <c r="E30" s="24" t="s">
        <v>57</v>
      </c>
      <c r="F30" s="24" t="s">
        <v>57</v>
      </c>
      <c r="G30" s="24" t="s">
        <v>57</v>
      </c>
      <c r="H30" s="24" t="s">
        <v>57</v>
      </c>
      <c r="I30" s="24" t="s">
        <v>57</v>
      </c>
      <c r="J30" s="35">
        <f t="shared" si="0"/>
        <v>0.25342722189775657</v>
      </c>
      <c r="K30" s="35">
        <f t="shared" si="1"/>
        <v>18.7935506074325</v>
      </c>
      <c r="L30" s="29"/>
    </row>
    <row r="31" spans="2:12" ht="13.5" customHeight="1" outlineLevel="1" x14ac:dyDescent="0.2">
      <c r="B31" s="94" t="s">
        <v>6</v>
      </c>
      <c r="C31" s="24">
        <f>234218270.57</f>
        <v>234218270.56999999</v>
      </c>
      <c r="D31" s="24">
        <f>16661754.48</f>
        <v>16661754.48</v>
      </c>
      <c r="E31" s="24" t="s">
        <v>57</v>
      </c>
      <c r="F31" s="24" t="s">
        <v>57</v>
      </c>
      <c r="G31" s="24" t="s">
        <v>57</v>
      </c>
      <c r="H31" s="24" t="s">
        <v>57</v>
      </c>
      <c r="I31" s="24" t="s">
        <v>57</v>
      </c>
      <c r="J31" s="35">
        <f t="shared" si="0"/>
        <v>3.2514572402182487E-2</v>
      </c>
      <c r="K31" s="35">
        <f t="shared" si="1"/>
        <v>7.1137723113792521</v>
      </c>
      <c r="L31" s="29"/>
    </row>
    <row r="32" spans="2:12" ht="35.1" customHeight="1" outlineLevel="1" x14ac:dyDescent="0.2">
      <c r="B32" s="83" t="s">
        <v>75</v>
      </c>
      <c r="C32" s="24">
        <f>819587318.84</f>
        <v>819587318.84000003</v>
      </c>
      <c r="D32" s="24">
        <f>153075472.93</f>
        <v>153075472.93000001</v>
      </c>
      <c r="E32" s="24" t="s">
        <v>57</v>
      </c>
      <c r="F32" s="24" t="s">
        <v>57</v>
      </c>
      <c r="G32" s="24" t="s">
        <v>57</v>
      </c>
      <c r="H32" s="24" t="s">
        <v>57</v>
      </c>
      <c r="I32" s="24" t="s">
        <v>57</v>
      </c>
      <c r="J32" s="35">
        <f t="shared" si="0"/>
        <v>0.29871905468029741</v>
      </c>
      <c r="K32" s="35">
        <f t="shared" si="1"/>
        <v>18.677140240121677</v>
      </c>
      <c r="L32" s="29"/>
    </row>
    <row r="33" spans="2:12" ht="13.5" customHeight="1" outlineLevel="1" x14ac:dyDescent="0.2">
      <c r="B33" s="94" t="s">
        <v>6</v>
      </c>
      <c r="C33" s="24">
        <f>740310384.61</f>
        <v>740310384.61000001</v>
      </c>
      <c r="D33" s="24">
        <f>135470170.9</f>
        <v>135470170.90000001</v>
      </c>
      <c r="E33" s="24" t="s">
        <v>57</v>
      </c>
      <c r="F33" s="24" t="s">
        <v>57</v>
      </c>
      <c r="G33" s="24" t="s">
        <v>57</v>
      </c>
      <c r="H33" s="24" t="s">
        <v>57</v>
      </c>
      <c r="I33" s="24" t="s">
        <v>57</v>
      </c>
      <c r="J33" s="35">
        <f t="shared" si="0"/>
        <v>0.26436319688609916</v>
      </c>
      <c r="K33" s="35">
        <f t="shared" si="1"/>
        <v>18.299104499441341</v>
      </c>
      <c r="L33" s="29"/>
    </row>
    <row r="34" spans="2:12" ht="13.5" customHeight="1" outlineLevel="1" x14ac:dyDescent="0.2">
      <c r="B34" s="83" t="s">
        <v>8</v>
      </c>
      <c r="C34" s="24">
        <f>579404311.67</f>
        <v>579404311.66999996</v>
      </c>
      <c r="D34" s="24">
        <f>51847279.17</f>
        <v>51847279.170000002</v>
      </c>
      <c r="E34" s="24" t="s">
        <v>57</v>
      </c>
      <c r="F34" s="24" t="s">
        <v>57</v>
      </c>
      <c r="G34" s="24" t="s">
        <v>57</v>
      </c>
      <c r="H34" s="24" t="s">
        <v>57</v>
      </c>
      <c r="I34" s="24" t="s">
        <v>57</v>
      </c>
      <c r="J34" s="35">
        <f t="shared" si="0"/>
        <v>0.10117734686660278</v>
      </c>
      <c r="K34" s="35">
        <f t="shared" si="1"/>
        <v>8.9483764835235888</v>
      </c>
      <c r="L34" s="29"/>
    </row>
    <row r="35" spans="2:12" ht="13.5" customHeight="1" outlineLevel="1" x14ac:dyDescent="0.2">
      <c r="B35" s="95" t="s">
        <v>6</v>
      </c>
      <c r="C35" s="22">
        <f>540997958.11</f>
        <v>540997958.11000001</v>
      </c>
      <c r="D35" s="22">
        <f>42006211.31</f>
        <v>42006211.310000002</v>
      </c>
      <c r="E35" s="24" t="s">
        <v>57</v>
      </c>
      <c r="F35" s="24" t="s">
        <v>57</v>
      </c>
      <c r="G35" s="24" t="s">
        <v>57</v>
      </c>
      <c r="H35" s="24" t="s">
        <v>57</v>
      </c>
      <c r="I35" s="24" t="s">
        <v>57</v>
      </c>
      <c r="J35" s="35">
        <f t="shared" si="0"/>
        <v>8.1972999939462068E-2</v>
      </c>
      <c r="K35" s="35">
        <f t="shared" si="1"/>
        <v>7.7645785312666487</v>
      </c>
      <c r="L35" s="29"/>
    </row>
    <row r="36" spans="2:12" ht="71.099999999999994" customHeight="1" outlineLevel="1" x14ac:dyDescent="0.2">
      <c r="B36" s="83" t="s">
        <v>92</v>
      </c>
      <c r="C36" s="22">
        <f>4426299.96</f>
        <v>4426299.96</v>
      </c>
      <c r="D36" s="22">
        <f>0</f>
        <v>0</v>
      </c>
      <c r="E36" s="24" t="s">
        <v>57</v>
      </c>
      <c r="F36" s="24" t="s">
        <v>57</v>
      </c>
      <c r="G36" s="24" t="s">
        <v>57</v>
      </c>
      <c r="H36" s="24" t="s">
        <v>57</v>
      </c>
      <c r="I36" s="24" t="s">
        <v>57</v>
      </c>
      <c r="J36" s="35">
        <f t="shared" si="0"/>
        <v>0</v>
      </c>
      <c r="K36" s="35">
        <f>IF(C36=0,"",100*D36/C36)</f>
        <v>0</v>
      </c>
      <c r="L36" s="29"/>
    </row>
    <row r="37" spans="2:12" ht="13.5" customHeight="1" outlineLevel="1" x14ac:dyDescent="0.2">
      <c r="B37" s="95" t="s">
        <v>93</v>
      </c>
      <c r="C37" s="22">
        <f>3085719.96</f>
        <v>3085719.96</v>
      </c>
      <c r="D37" s="22">
        <f>0</f>
        <v>0</v>
      </c>
      <c r="E37" s="24" t="s">
        <v>57</v>
      </c>
      <c r="F37" s="24" t="s">
        <v>57</v>
      </c>
      <c r="G37" s="24" t="s">
        <v>57</v>
      </c>
      <c r="H37" s="24" t="s">
        <v>57</v>
      </c>
      <c r="I37" s="24" t="s">
        <v>57</v>
      </c>
      <c r="J37" s="35">
        <f t="shared" si="0"/>
        <v>0</v>
      </c>
      <c r="K37" s="35">
        <f>IF(C37=0,"",100*D37/C37)</f>
        <v>0</v>
      </c>
      <c r="L37" s="29"/>
    </row>
    <row r="38" spans="2:12" ht="48" customHeight="1" outlineLevel="1" x14ac:dyDescent="0.2">
      <c r="B38" s="96" t="s">
        <v>90</v>
      </c>
      <c r="C38" s="22">
        <f>34607032740.16</f>
        <v>34607032740.160004</v>
      </c>
      <c r="D38" s="22">
        <f>2556662940.04</f>
        <v>2556662940.04</v>
      </c>
      <c r="E38" s="24" t="s">
        <v>57</v>
      </c>
      <c r="F38" s="24" t="s">
        <v>57</v>
      </c>
      <c r="G38" s="24" t="s">
        <v>57</v>
      </c>
      <c r="H38" s="24" t="s">
        <v>57</v>
      </c>
      <c r="I38" s="24" t="s">
        <v>57</v>
      </c>
      <c r="J38" s="35">
        <f t="shared" si="0"/>
        <v>4.9891986088074516</v>
      </c>
      <c r="K38" s="35">
        <f t="shared" si="1"/>
        <v>7.3876976371715921</v>
      </c>
      <c r="L38" s="29"/>
    </row>
    <row r="39" spans="2:12" ht="13.5" customHeight="1" outlineLevel="1" x14ac:dyDescent="0.2">
      <c r="B39" s="95" t="s">
        <v>6</v>
      </c>
      <c r="C39" s="22">
        <f>34472137824.41</f>
        <v>34472137824.410004</v>
      </c>
      <c r="D39" s="22">
        <f>2506664346.1</f>
        <v>2506664346.0999999</v>
      </c>
      <c r="E39" s="24" t="s">
        <v>57</v>
      </c>
      <c r="F39" s="24" t="s">
        <v>57</v>
      </c>
      <c r="G39" s="24" t="s">
        <v>57</v>
      </c>
      <c r="H39" s="24" t="s">
        <v>57</v>
      </c>
      <c r="I39" s="24" t="s">
        <v>57</v>
      </c>
      <c r="J39" s="35">
        <f t="shared" si="0"/>
        <v>4.8916288778033818</v>
      </c>
      <c r="K39" s="35">
        <f t="shared" si="1"/>
        <v>7.2715662685852065</v>
      </c>
      <c r="L39" s="29"/>
    </row>
    <row r="40" spans="2:12" ht="22.5" outlineLevel="1" x14ac:dyDescent="0.2">
      <c r="B40" s="96" t="s">
        <v>104</v>
      </c>
      <c r="C40" s="22">
        <f>491555866.55</f>
        <v>491555866.55000001</v>
      </c>
      <c r="D40" s="22">
        <f>404530842.46</f>
        <v>404530842.45999998</v>
      </c>
      <c r="E40" s="24" t="s">
        <v>57</v>
      </c>
      <c r="F40" s="24" t="s">
        <v>57</v>
      </c>
      <c r="G40" s="24" t="s">
        <v>57</v>
      </c>
      <c r="H40" s="24" t="s">
        <v>57</v>
      </c>
      <c r="I40" s="24" t="s">
        <v>57</v>
      </c>
      <c r="J40" s="35">
        <f t="shared" si="0"/>
        <v>0.78942150911357967</v>
      </c>
      <c r="K40" s="35">
        <f t="shared" si="1"/>
        <v>82.296005395930308</v>
      </c>
      <c r="L40" s="29"/>
    </row>
    <row r="41" spans="2:12" ht="13.5" customHeight="1" outlineLevel="1" x14ac:dyDescent="0.2">
      <c r="B41" s="95" t="s">
        <v>6</v>
      </c>
      <c r="C41" s="22">
        <f>1891576.39</f>
        <v>1891576.39</v>
      </c>
      <c r="D41" s="22">
        <f>20747.39</f>
        <v>20747.39</v>
      </c>
      <c r="E41" s="24" t="s">
        <v>57</v>
      </c>
      <c r="F41" s="24" t="s">
        <v>57</v>
      </c>
      <c r="G41" s="24" t="s">
        <v>57</v>
      </c>
      <c r="H41" s="24" t="s">
        <v>57</v>
      </c>
      <c r="I41" s="24" t="s">
        <v>57</v>
      </c>
      <c r="J41" s="35">
        <f t="shared" si="0"/>
        <v>4.0487483783359463E-5</v>
      </c>
      <c r="K41" s="35">
        <f t="shared" si="1"/>
        <v>1.0968306704229904</v>
      </c>
      <c r="L41" s="29"/>
    </row>
    <row r="42" spans="2:12" outlineLevel="1" x14ac:dyDescent="0.2">
      <c r="B42" s="93" t="s">
        <v>86</v>
      </c>
      <c r="C42" s="45">
        <f>626296997.23</f>
        <v>626296997.23000002</v>
      </c>
      <c r="D42" s="45">
        <f>108726513.17</f>
        <v>108726513.17</v>
      </c>
      <c r="E42" s="41" t="s">
        <v>57</v>
      </c>
      <c r="F42" s="41" t="s">
        <v>57</v>
      </c>
      <c r="G42" s="41" t="s">
        <v>57</v>
      </c>
      <c r="H42" s="41" t="s">
        <v>57</v>
      </c>
      <c r="I42" s="41" t="s">
        <v>57</v>
      </c>
      <c r="J42" s="46">
        <f t="shared" si="0"/>
        <v>0.21217429945605659</v>
      </c>
      <c r="K42" s="46">
        <f t="shared" si="1"/>
        <v>17.360216263350772</v>
      </c>
      <c r="L42" s="29"/>
    </row>
    <row r="43" spans="2:12" ht="13.5" customHeight="1" outlineLevel="1" x14ac:dyDescent="0.2">
      <c r="B43" s="95" t="s">
        <v>87</v>
      </c>
      <c r="C43" s="22">
        <f>543663309.21</f>
        <v>543663309.21000004</v>
      </c>
      <c r="D43" s="22">
        <f>87520101.13</f>
        <v>87520101.129999995</v>
      </c>
      <c r="E43" s="24" t="s">
        <v>57</v>
      </c>
      <c r="F43" s="24" t="s">
        <v>57</v>
      </c>
      <c r="G43" s="24" t="s">
        <v>57</v>
      </c>
      <c r="H43" s="24" t="s">
        <v>57</v>
      </c>
      <c r="I43" s="24" t="s">
        <v>57</v>
      </c>
      <c r="J43" s="35">
        <f t="shared" si="0"/>
        <v>0.17079105734354322</v>
      </c>
      <c r="K43" s="35">
        <f t="shared" si="1"/>
        <v>16.09821734285801</v>
      </c>
      <c r="L43" s="29"/>
    </row>
    <row r="44" spans="2:12" ht="13.5" customHeight="1" outlineLevel="1" x14ac:dyDescent="0.2">
      <c r="B44" s="93" t="s">
        <v>88</v>
      </c>
      <c r="C44" s="41">
        <f>4255550887.26</f>
        <v>4255550887.2600002</v>
      </c>
      <c r="D44" s="41">
        <f>543194992.63</f>
        <v>543194992.63</v>
      </c>
      <c r="E44" s="41" t="s">
        <v>57</v>
      </c>
      <c r="F44" s="41" t="s">
        <v>57</v>
      </c>
      <c r="G44" s="41" t="s">
        <v>57</v>
      </c>
      <c r="H44" s="41" t="s">
        <v>57</v>
      </c>
      <c r="I44" s="41" t="s">
        <v>57</v>
      </c>
      <c r="J44" s="55">
        <f t="shared" si="0"/>
        <v>1.0600175952401332</v>
      </c>
      <c r="K44" s="55">
        <f t="shared" si="1"/>
        <v>12.76438719734695</v>
      </c>
      <c r="L44" s="29"/>
    </row>
    <row r="45" spans="2:12" ht="13.5" customHeight="1" outlineLevel="1" x14ac:dyDescent="0.2">
      <c r="B45" s="95" t="s">
        <v>89</v>
      </c>
      <c r="C45" s="22">
        <f>3837890331.11</f>
        <v>3837890331.1100001</v>
      </c>
      <c r="D45" s="22">
        <f>477623834.16</f>
        <v>477623834.16000003</v>
      </c>
      <c r="E45" s="24" t="s">
        <v>57</v>
      </c>
      <c r="F45" s="24" t="s">
        <v>57</v>
      </c>
      <c r="G45" s="24" t="s">
        <v>57</v>
      </c>
      <c r="H45" s="24" t="s">
        <v>57</v>
      </c>
      <c r="I45" s="24" t="s">
        <v>57</v>
      </c>
      <c r="J45" s="35">
        <f t="shared" si="0"/>
        <v>0.93205879101414535</v>
      </c>
      <c r="K45" s="35">
        <f t="shared" si="1"/>
        <v>12.444957853234461</v>
      </c>
      <c r="L45" s="29"/>
    </row>
    <row r="46" spans="2:12" s="5" customFormat="1" ht="25.5" customHeight="1" x14ac:dyDescent="0.2">
      <c r="B46" s="85" t="s">
        <v>60</v>
      </c>
      <c r="C46" s="25">
        <f>C47+C48+C49+C50+C51+C52</f>
        <v>52307045883.159996</v>
      </c>
      <c r="D46" s="45">
        <f>D47+D48+D49+D50+D51+D52</f>
        <v>18320819536</v>
      </c>
      <c r="E46" s="23" t="s">
        <v>57</v>
      </c>
      <c r="F46" s="23" t="s">
        <v>57</v>
      </c>
      <c r="G46" s="23" t="s">
        <v>57</v>
      </c>
      <c r="H46" s="23" t="s">
        <v>57</v>
      </c>
      <c r="I46" s="23" t="s">
        <v>57</v>
      </c>
      <c r="J46" s="34">
        <f t="shared" si="0"/>
        <v>35.752154071507562</v>
      </c>
      <c r="K46" s="34">
        <f t="shared" si="1"/>
        <v>35.025529021317375</v>
      </c>
      <c r="L46" s="30"/>
    </row>
    <row r="47" spans="2:12" ht="13.5" customHeight="1" outlineLevel="1" x14ac:dyDescent="0.2">
      <c r="B47" s="32" t="s">
        <v>47</v>
      </c>
      <c r="C47" s="22">
        <f>12642887481</f>
        <v>12642887481</v>
      </c>
      <c r="D47" s="22">
        <f>3161765004</f>
        <v>3161765004</v>
      </c>
      <c r="E47" s="24" t="s">
        <v>57</v>
      </c>
      <c r="F47" s="24" t="s">
        <v>57</v>
      </c>
      <c r="G47" s="24" t="s">
        <v>57</v>
      </c>
      <c r="H47" s="24" t="s">
        <v>57</v>
      </c>
      <c r="I47" s="24" t="s">
        <v>57</v>
      </c>
      <c r="J47" s="35">
        <f t="shared" si="0"/>
        <v>6.1700247272665845</v>
      </c>
      <c r="K47" s="35">
        <f t="shared" si="1"/>
        <v>25.008250755624992</v>
      </c>
      <c r="L47" s="29"/>
    </row>
    <row r="48" spans="2:12" ht="13.5" customHeight="1" outlineLevel="1" x14ac:dyDescent="0.2">
      <c r="B48" s="54" t="s">
        <v>46</v>
      </c>
      <c r="C48" s="24">
        <f>37766286077.25</f>
        <v>37766286077.25</v>
      </c>
      <c r="D48" s="24">
        <f>14648338150</f>
        <v>14648338150</v>
      </c>
      <c r="E48" s="24" t="s">
        <v>57</v>
      </c>
      <c r="F48" s="24" t="s">
        <v>57</v>
      </c>
      <c r="G48" s="24" t="s">
        <v>57</v>
      </c>
      <c r="H48" s="24" t="s">
        <v>57</v>
      </c>
      <c r="I48" s="24" t="s">
        <v>57</v>
      </c>
      <c r="J48" s="35">
        <f t="shared" si="0"/>
        <v>28.585492117383957</v>
      </c>
      <c r="K48" s="35">
        <f t="shared" si="1"/>
        <v>38.786811390553964</v>
      </c>
      <c r="L48" s="29"/>
    </row>
    <row r="49" spans="1:26" ht="13.5" customHeight="1" outlineLevel="1" x14ac:dyDescent="0.2">
      <c r="B49" s="54" t="s">
        <v>45</v>
      </c>
      <c r="C49" s="24">
        <f>280006</f>
        <v>280006</v>
      </c>
      <c r="D49" s="24">
        <f>0</f>
        <v>0</v>
      </c>
      <c r="E49" s="24" t="s">
        <v>57</v>
      </c>
      <c r="F49" s="24" t="s">
        <v>57</v>
      </c>
      <c r="G49" s="24" t="s">
        <v>57</v>
      </c>
      <c r="H49" s="24" t="s">
        <v>57</v>
      </c>
      <c r="I49" s="24" t="s">
        <v>57</v>
      </c>
      <c r="J49" s="35">
        <f t="shared" si="0"/>
        <v>0</v>
      </c>
      <c r="K49" s="35">
        <f t="shared" si="1"/>
        <v>0</v>
      </c>
      <c r="L49" s="29"/>
    </row>
    <row r="50" spans="1:26" ht="13.5" customHeight="1" outlineLevel="1" x14ac:dyDescent="0.2">
      <c r="B50" s="54" t="s">
        <v>44</v>
      </c>
      <c r="C50" s="24">
        <f>482690653</f>
        <v>482690653</v>
      </c>
      <c r="D50" s="24">
        <f>119923092</f>
        <v>119923092</v>
      </c>
      <c r="E50" s="24" t="s">
        <v>57</v>
      </c>
      <c r="F50" s="24" t="s">
        <v>57</v>
      </c>
      <c r="G50" s="24" t="s">
        <v>57</v>
      </c>
      <c r="H50" s="24" t="s">
        <v>57</v>
      </c>
      <c r="I50" s="24" t="s">
        <v>57</v>
      </c>
      <c r="J50" s="35">
        <f t="shared" si="0"/>
        <v>0.23402385758402985</v>
      </c>
      <c r="K50" s="35">
        <f t="shared" si="1"/>
        <v>24.844709806303211</v>
      </c>
      <c r="L50" s="29"/>
    </row>
    <row r="51" spans="1:26" ht="13.5" customHeight="1" outlineLevel="1" x14ac:dyDescent="0.2">
      <c r="B51" s="54" t="s">
        <v>115</v>
      </c>
      <c r="C51" s="22">
        <f>1400549695.95</f>
        <v>1400549695.95</v>
      </c>
      <c r="D51" s="22">
        <f>390637830</f>
        <v>390637830</v>
      </c>
      <c r="E51" s="24" t="s">
        <v>57</v>
      </c>
      <c r="F51" s="24" t="s">
        <v>57</v>
      </c>
      <c r="G51" s="24" t="s">
        <v>57</v>
      </c>
      <c r="H51" s="24" t="s">
        <v>57</v>
      </c>
      <c r="I51" s="24" t="s">
        <v>57</v>
      </c>
      <c r="J51" s="35">
        <f t="shared" si="0"/>
        <v>0.76230999693415558</v>
      </c>
      <c r="K51" s="35">
        <f>IF(C51=0,"",100*D51/C51)</f>
        <v>27.891750726847885</v>
      </c>
      <c r="L51" s="29"/>
    </row>
    <row r="52" spans="1:26" s="5" customFormat="1" ht="13.5" customHeight="1" outlineLevel="1" x14ac:dyDescent="0.2">
      <c r="B52" s="54" t="s">
        <v>42</v>
      </c>
      <c r="C52" s="24">
        <f>14351969.96</f>
        <v>14351969.960000001</v>
      </c>
      <c r="D52" s="24">
        <f>155460</f>
        <v>155460</v>
      </c>
      <c r="E52" s="24" t="s">
        <v>57</v>
      </c>
      <c r="F52" s="24" t="s">
        <v>57</v>
      </c>
      <c r="G52" s="24" t="s">
        <v>57</v>
      </c>
      <c r="H52" s="24" t="s">
        <v>57</v>
      </c>
      <c r="I52" s="24" t="s">
        <v>57</v>
      </c>
      <c r="J52" s="35">
        <f t="shared" si="0"/>
        <v>3.0337233883206814E-4</v>
      </c>
      <c r="K52" s="35">
        <f t="shared" si="1"/>
        <v>1.0831962471582541</v>
      </c>
      <c r="L52" s="30"/>
    </row>
    <row r="53" spans="1:26" s="5" customFormat="1" x14ac:dyDescent="0.2">
      <c r="A53" s="2"/>
      <c r="B53" s="20"/>
      <c r="C53" s="7"/>
      <c r="D53" s="8"/>
      <c r="E53" s="16"/>
      <c r="F53" s="16"/>
      <c r="G53" s="16"/>
      <c r="H53" s="16"/>
      <c r="I53" s="16"/>
      <c r="J53" s="9"/>
      <c r="K53" s="9"/>
      <c r="L53" s="3"/>
    </row>
    <row r="54" spans="1:26" s="5" customFormat="1" ht="13.5" customHeight="1" x14ac:dyDescent="0.2">
      <c r="A54" s="2"/>
      <c r="B54" s="84" t="s">
        <v>5</v>
      </c>
      <c r="C54" s="41">
        <f t="shared" ref="C54:I54" si="4">+C6</f>
        <v>200907118193.22</v>
      </c>
      <c r="D54" s="41">
        <f t="shared" si="4"/>
        <v>51243960012.470001</v>
      </c>
      <c r="E54" s="41">
        <f t="shared" si="4"/>
        <v>1491432209.5699999</v>
      </c>
      <c r="F54" s="41">
        <f t="shared" si="4"/>
        <v>216113062.15000001</v>
      </c>
      <c r="G54" s="41">
        <f t="shared" si="4"/>
        <v>26655774.32</v>
      </c>
      <c r="H54" s="41">
        <f t="shared" si="4"/>
        <v>60477421.280000001</v>
      </c>
      <c r="I54" s="41">
        <f t="shared" si="4"/>
        <v>1040406.79</v>
      </c>
      <c r="J54" s="56">
        <f t="shared" si="0"/>
        <v>100</v>
      </c>
      <c r="K54" s="78">
        <f>IF(C54=0,"",100*D54/C54)</f>
        <v>25.506293890088422</v>
      </c>
      <c r="L54" s="80"/>
    </row>
    <row r="55" spans="1:26" s="5" customFormat="1" ht="13.5" customHeight="1" x14ac:dyDescent="0.2">
      <c r="A55" s="2"/>
      <c r="B55" s="86" t="s">
        <v>70</v>
      </c>
      <c r="C55" s="24">
        <f>49241888879.77</f>
        <v>49241888879.769997</v>
      </c>
      <c r="D55" s="24">
        <f>4371257979.34</f>
        <v>4371257979.3400002</v>
      </c>
      <c r="E55" s="24">
        <f>0</f>
        <v>0</v>
      </c>
      <c r="F55" s="24">
        <f>0</f>
        <v>0</v>
      </c>
      <c r="G55" s="24">
        <f>0</f>
        <v>0</v>
      </c>
      <c r="H55" s="24">
        <f>0</f>
        <v>0</v>
      </c>
      <c r="I55" s="24">
        <f>0</f>
        <v>0</v>
      </c>
      <c r="J55" s="38">
        <f t="shared" si="0"/>
        <v>8.530289185840191</v>
      </c>
      <c r="K55" s="79">
        <f>IF(C55=0,"",100*D55/C55)</f>
        <v>8.8771127159905525</v>
      </c>
      <c r="L55" s="80"/>
    </row>
    <row r="56" spans="1:26" s="5" customFormat="1" ht="13.5" customHeight="1" x14ac:dyDescent="0.2">
      <c r="A56" s="2"/>
      <c r="B56" s="86" t="s">
        <v>71</v>
      </c>
      <c r="C56" s="24">
        <f>C54-C55</f>
        <v>151665229313.45001</v>
      </c>
      <c r="D56" s="24">
        <f t="shared" ref="D56:I56" si="5">D54-D55</f>
        <v>46872702033.130005</v>
      </c>
      <c r="E56" s="24">
        <f t="shared" si="5"/>
        <v>1491432209.5699999</v>
      </c>
      <c r="F56" s="24">
        <f t="shared" si="5"/>
        <v>216113062.15000001</v>
      </c>
      <c r="G56" s="24">
        <f t="shared" si="5"/>
        <v>26655774.32</v>
      </c>
      <c r="H56" s="24">
        <f t="shared" si="5"/>
        <v>60477421.280000001</v>
      </c>
      <c r="I56" s="24">
        <f t="shared" si="5"/>
        <v>1040406.79</v>
      </c>
      <c r="J56" s="38">
        <f t="shared" si="0"/>
        <v>91.469710814159811</v>
      </c>
      <c r="K56" s="79">
        <f>IF(C56=0,"",100*D56/C56)</f>
        <v>30.90537115547896</v>
      </c>
      <c r="L56" s="80"/>
    </row>
    <row r="57" spans="1:26" s="5" customFormat="1" ht="13.5" customHeight="1" x14ac:dyDescent="0.2">
      <c r="A57" s="2"/>
      <c r="B57" s="105" t="s">
        <v>105</v>
      </c>
      <c r="C57" s="105"/>
      <c r="D57" s="105"/>
      <c r="E57" s="105"/>
      <c r="F57" s="76"/>
      <c r="G57" s="76"/>
      <c r="H57" s="76"/>
      <c r="I57" s="76"/>
      <c r="J57" s="9"/>
      <c r="K57" s="9"/>
      <c r="L57" s="9"/>
    </row>
    <row r="58" spans="1:26" ht="15" x14ac:dyDescent="0.2">
      <c r="B58" s="91" t="str">
        <f>CONCATENATE("Informacja z wykonania budżetów gmin za ",$D$118," ",$C$119," rok     ",$C$121,"")</f>
        <v xml:space="preserve">Informacja z wykonania budżetów gmin za I Kwartał 2024 rok     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</row>
    <row r="59" spans="1:26" s="5" customFormat="1" ht="7.5" customHeight="1" x14ac:dyDescent="0.2">
      <c r="B59" s="6"/>
      <c r="C59" s="7"/>
      <c r="D59" s="8"/>
      <c r="E59" s="8"/>
      <c r="F59" s="4"/>
      <c r="G59" s="4"/>
      <c r="H59" s="4"/>
      <c r="I59" s="4"/>
      <c r="J59" s="4"/>
      <c r="K59" s="9"/>
      <c r="L59" s="9"/>
      <c r="M59" s="3"/>
    </row>
    <row r="60" spans="1:26" ht="29.25" customHeight="1" x14ac:dyDescent="0.2">
      <c r="B60" s="124" t="s">
        <v>0</v>
      </c>
      <c r="C60" s="108" t="s">
        <v>53</v>
      </c>
      <c r="D60" s="108" t="s">
        <v>55</v>
      </c>
      <c r="E60" s="108" t="s">
        <v>54</v>
      </c>
      <c r="F60" s="108" t="s">
        <v>12</v>
      </c>
      <c r="G60" s="108"/>
      <c r="H60" s="108"/>
      <c r="I60" s="127" t="s">
        <v>80</v>
      </c>
      <c r="J60" s="108" t="s">
        <v>2</v>
      </c>
      <c r="K60" s="131" t="s">
        <v>18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8" customHeight="1" x14ac:dyDescent="0.2">
      <c r="B61" s="124"/>
      <c r="C61" s="108"/>
      <c r="D61" s="108"/>
      <c r="E61" s="109"/>
      <c r="F61" s="110" t="s">
        <v>56</v>
      </c>
      <c r="G61" s="111" t="s">
        <v>33</v>
      </c>
      <c r="H61" s="109"/>
      <c r="I61" s="128"/>
      <c r="J61" s="108"/>
      <c r="K61" s="131"/>
      <c r="L61" s="11"/>
      <c r="M61" s="12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.75" customHeight="1" x14ac:dyDescent="0.2">
      <c r="B62" s="124"/>
      <c r="C62" s="108"/>
      <c r="D62" s="108"/>
      <c r="E62" s="109"/>
      <c r="F62" s="109"/>
      <c r="G62" s="18" t="s">
        <v>51</v>
      </c>
      <c r="H62" s="18" t="s">
        <v>52</v>
      </c>
      <c r="I62" s="129"/>
      <c r="J62" s="108"/>
      <c r="K62" s="131"/>
      <c r="L62" s="11"/>
      <c r="M62" s="10"/>
      <c r="N62" s="2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 x14ac:dyDescent="0.2">
      <c r="B63" s="124"/>
      <c r="C63" s="121" t="s">
        <v>74</v>
      </c>
      <c r="D63" s="122"/>
      <c r="E63" s="122"/>
      <c r="F63" s="122"/>
      <c r="G63" s="122"/>
      <c r="H63" s="122"/>
      <c r="I63" s="123"/>
      <c r="J63" s="126" t="s">
        <v>4</v>
      </c>
      <c r="K63" s="126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customHeight="1" x14ac:dyDescent="0.2">
      <c r="B64" s="17">
        <v>1</v>
      </c>
      <c r="C64" s="19">
        <v>2</v>
      </c>
      <c r="D64" s="19">
        <v>3</v>
      </c>
      <c r="E64" s="19">
        <v>4</v>
      </c>
      <c r="F64" s="17">
        <v>5</v>
      </c>
      <c r="G64" s="17">
        <v>6</v>
      </c>
      <c r="H64" s="19">
        <v>7</v>
      </c>
      <c r="I64" s="19">
        <v>8</v>
      </c>
      <c r="J64" s="17">
        <v>9</v>
      </c>
      <c r="K64" s="19">
        <v>10</v>
      </c>
      <c r="M64" s="10"/>
      <c r="N64" s="2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14" ht="25.5" customHeight="1" x14ac:dyDescent="0.2">
      <c r="B65" s="84" t="s">
        <v>61</v>
      </c>
      <c r="C65" s="57">
        <f>218357604301.54</f>
        <v>218357604301.54001</v>
      </c>
      <c r="D65" s="68">
        <f>42136223397.99</f>
        <v>42136223397.989998</v>
      </c>
      <c r="E65" s="68">
        <f>125284710445.36</f>
        <v>125284710445.36</v>
      </c>
      <c r="F65" s="57">
        <f>4807868673.12</f>
        <v>4807868673.1199999</v>
      </c>
      <c r="G65" s="57">
        <f>7632504.52</f>
        <v>7632504.5199999996</v>
      </c>
      <c r="H65" s="57">
        <f>14943970.3</f>
        <v>14943970.300000001</v>
      </c>
      <c r="I65" s="69">
        <f>0</f>
        <v>0</v>
      </c>
      <c r="J65" s="52">
        <f>IF($D$65=0,"",100*$D65/$D$65)</f>
        <v>100</v>
      </c>
      <c r="K65" s="52">
        <f>IF(C65=0,"",100*D65/C65)</f>
        <v>19.296888483811244</v>
      </c>
      <c r="N65" s="77"/>
    </row>
    <row r="66" spans="2:14" ht="13.5" customHeight="1" x14ac:dyDescent="0.2">
      <c r="B66" s="85" t="s">
        <v>14</v>
      </c>
      <c r="C66" s="26">
        <f>69585923467.59</f>
        <v>69585923467.589996</v>
      </c>
      <c r="D66" s="26">
        <f>5482134429.85</f>
        <v>5482134429.8500004</v>
      </c>
      <c r="E66" s="26">
        <f>27991584024.48</f>
        <v>27991584024.48</v>
      </c>
      <c r="F66" s="26">
        <f>1215533406.1</f>
        <v>1215533406.0999999</v>
      </c>
      <c r="G66" s="26">
        <f>967603.52</f>
        <v>967603.52</v>
      </c>
      <c r="H66" s="26">
        <f>6802481.75</f>
        <v>6802481.75</v>
      </c>
      <c r="I66" s="70">
        <f>0</f>
        <v>0</v>
      </c>
      <c r="J66" s="52">
        <f t="shared" ref="J66:J74" si="6">IF($D$65=0,"",100*$D66/$D$65)</f>
        <v>13.01050257416167</v>
      </c>
      <c r="K66" s="52">
        <f t="shared" ref="K66:K74" si="7">IF(C66=0,"",100*D66/C66)</f>
        <v>7.8782232909552938</v>
      </c>
      <c r="N66" s="61"/>
    </row>
    <row r="67" spans="2:14" ht="13.5" customHeight="1" outlineLevel="1" x14ac:dyDescent="0.2">
      <c r="B67" s="32" t="s">
        <v>13</v>
      </c>
      <c r="C67" s="22">
        <f>68344995502.51</f>
        <v>68344995502.510002</v>
      </c>
      <c r="D67" s="22">
        <f>5090044053.95</f>
        <v>5090044053.9499998</v>
      </c>
      <c r="E67" s="22">
        <f>27463438319.96</f>
        <v>27463438319.959999</v>
      </c>
      <c r="F67" s="22">
        <f>1206357456.56</f>
        <v>1206357456.5599999</v>
      </c>
      <c r="G67" s="22">
        <f>967603.52</f>
        <v>967603.52</v>
      </c>
      <c r="H67" s="22">
        <f>6802481.75</f>
        <v>6802481.75</v>
      </c>
      <c r="I67" s="66">
        <f>0</f>
        <v>0</v>
      </c>
      <c r="J67" s="52">
        <f t="shared" si="6"/>
        <v>12.079972155721975</v>
      </c>
      <c r="K67" s="52">
        <f t="shared" si="7"/>
        <v>7.4475739101673737</v>
      </c>
      <c r="N67" s="76"/>
    </row>
    <row r="68" spans="2:14" ht="27" customHeight="1" x14ac:dyDescent="0.2">
      <c r="B68" s="85" t="s">
        <v>62</v>
      </c>
      <c r="C68" s="26">
        <f t="shared" ref="C68:I68" si="8">C65-C66</f>
        <v>148771680833.95001</v>
      </c>
      <c r="D68" s="26">
        <f>D65-D66</f>
        <v>36654088968.139999</v>
      </c>
      <c r="E68" s="26">
        <f>E65-E66</f>
        <v>97293126420.880005</v>
      </c>
      <c r="F68" s="26">
        <f t="shared" si="8"/>
        <v>3592335267.02</v>
      </c>
      <c r="G68" s="26">
        <f t="shared" si="8"/>
        <v>6664901</v>
      </c>
      <c r="H68" s="26">
        <f t="shared" si="8"/>
        <v>8141488.5500000007</v>
      </c>
      <c r="I68" s="70">
        <f t="shared" si="8"/>
        <v>0</v>
      </c>
      <c r="J68" s="52">
        <f t="shared" si="6"/>
        <v>86.989497425838337</v>
      </c>
      <c r="K68" s="52">
        <f t="shared" si="7"/>
        <v>24.637813300671844</v>
      </c>
      <c r="N68" s="61"/>
    </row>
    <row r="69" spans="2:14" ht="22.5" outlineLevel="1" x14ac:dyDescent="0.2">
      <c r="B69" s="32" t="s">
        <v>96</v>
      </c>
      <c r="C69" s="22">
        <f>71574831203.84</f>
        <v>71574831203.839996</v>
      </c>
      <c r="D69" s="22">
        <f>19087678882.75</f>
        <v>19087678882.75</v>
      </c>
      <c r="E69" s="22">
        <f>57604977194.27</f>
        <v>57604977194.269997</v>
      </c>
      <c r="F69" s="22">
        <f>1802688636.39</f>
        <v>1802688636.3900001</v>
      </c>
      <c r="G69" s="22">
        <f>954165.1</f>
        <v>954165.1</v>
      </c>
      <c r="H69" s="22">
        <f>566383.33</f>
        <v>566383.32999999996</v>
      </c>
      <c r="I69" s="66">
        <f>0</f>
        <v>0</v>
      </c>
      <c r="J69" s="52">
        <f t="shared" si="6"/>
        <v>45.299928051123182</v>
      </c>
      <c r="K69" s="52">
        <f t="shared" si="7"/>
        <v>26.668143761861842</v>
      </c>
      <c r="N69" s="76"/>
    </row>
    <row r="70" spans="2:14" ht="13.5" customHeight="1" outlineLevel="1" x14ac:dyDescent="0.2">
      <c r="B70" s="54" t="s">
        <v>50</v>
      </c>
      <c r="C70" s="59">
        <f>14006697404.56</f>
        <v>14006697404.559999</v>
      </c>
      <c r="D70" s="59">
        <f>3705733646.71</f>
        <v>3705733646.71</v>
      </c>
      <c r="E70" s="59">
        <f>7589696613.05</f>
        <v>7589696613.0500002</v>
      </c>
      <c r="F70" s="59">
        <f>91376796.92</f>
        <v>91376796.920000002</v>
      </c>
      <c r="G70" s="59">
        <f>11792</f>
        <v>11792</v>
      </c>
      <c r="H70" s="59">
        <f>310764</f>
        <v>310764</v>
      </c>
      <c r="I70" s="71">
        <f>0</f>
        <v>0</v>
      </c>
      <c r="J70" s="52">
        <f t="shared" si="6"/>
        <v>8.79465065416084</v>
      </c>
      <c r="K70" s="52">
        <f t="shared" si="7"/>
        <v>26.45686945092115</v>
      </c>
      <c r="N70" s="75"/>
    </row>
    <row r="71" spans="2:14" ht="13.5" customHeight="1" outlineLevel="1" x14ac:dyDescent="0.2">
      <c r="B71" s="54" t="s">
        <v>49</v>
      </c>
      <c r="C71" s="24">
        <f>2646685645.62</f>
        <v>2646685645.6199999</v>
      </c>
      <c r="D71" s="24">
        <f>382821787.59</f>
        <v>382821787.58999997</v>
      </c>
      <c r="E71" s="24">
        <f>838256883.9</f>
        <v>838256883.89999998</v>
      </c>
      <c r="F71" s="24">
        <f>113860804.59</f>
        <v>113860804.59</v>
      </c>
      <c r="G71" s="24">
        <f>0</f>
        <v>0</v>
      </c>
      <c r="H71" s="24">
        <f>27460</f>
        <v>27460</v>
      </c>
      <c r="I71" s="72">
        <f>0</f>
        <v>0</v>
      </c>
      <c r="J71" s="52">
        <f t="shared" si="6"/>
        <v>0.90853369551923713</v>
      </c>
      <c r="K71" s="52">
        <f t="shared" si="7"/>
        <v>14.464195558075883</v>
      </c>
      <c r="N71" s="76"/>
    </row>
    <row r="72" spans="2:14" ht="24" customHeight="1" outlineLevel="1" x14ac:dyDescent="0.2">
      <c r="B72" s="54" t="s">
        <v>68</v>
      </c>
      <c r="C72" s="59">
        <f>111003143.2</f>
        <v>111003143.2</v>
      </c>
      <c r="D72" s="59">
        <f>303668.88</f>
        <v>303668.88</v>
      </c>
      <c r="E72" s="59">
        <f>4412768.96</f>
        <v>4412768.96</v>
      </c>
      <c r="F72" s="59">
        <f>0</f>
        <v>0</v>
      </c>
      <c r="G72" s="59">
        <f>0</f>
        <v>0</v>
      </c>
      <c r="H72" s="59">
        <f>0</f>
        <v>0</v>
      </c>
      <c r="I72" s="71">
        <f>0</f>
        <v>0</v>
      </c>
      <c r="J72" s="52">
        <f t="shared" si="6"/>
        <v>7.2068366718998779E-4</v>
      </c>
      <c r="K72" s="52">
        <f t="shared" si="7"/>
        <v>0.27356782091554321</v>
      </c>
      <c r="N72" s="75"/>
    </row>
    <row r="73" spans="2:14" ht="22.5" outlineLevel="1" x14ac:dyDescent="0.2">
      <c r="B73" s="54" t="s">
        <v>69</v>
      </c>
      <c r="C73" s="59">
        <f>15706757407.85</f>
        <v>15706757407.85</v>
      </c>
      <c r="D73" s="59">
        <f>4403533247.32</f>
        <v>4403533247.3199997</v>
      </c>
      <c r="E73" s="59">
        <f>9877873641.7</f>
        <v>9877873641.7000008</v>
      </c>
      <c r="F73" s="59">
        <f>241530461.58</f>
        <v>241530461.58000001</v>
      </c>
      <c r="G73" s="59">
        <f>107792.22</f>
        <v>107792.22</v>
      </c>
      <c r="H73" s="59">
        <f>234193.19</f>
        <v>234193.19</v>
      </c>
      <c r="I73" s="73">
        <f>0</f>
        <v>0</v>
      </c>
      <c r="J73" s="52">
        <f t="shared" si="6"/>
        <v>10.450706997936743</v>
      </c>
      <c r="K73" s="52">
        <f t="shared" si="7"/>
        <v>28.035915580635251</v>
      </c>
      <c r="N73" s="75"/>
    </row>
    <row r="74" spans="2:14" ht="13.5" customHeight="1" outlineLevel="1" x14ac:dyDescent="0.2">
      <c r="B74" s="54" t="s">
        <v>48</v>
      </c>
      <c r="C74" s="24">
        <f t="shared" ref="C74:I74" si="9">C68-C69-C70-C71-C72-C73</f>
        <v>44725706028.88002</v>
      </c>
      <c r="D74" s="24">
        <f>D68-D69-D70-D71-D72-D73</f>
        <v>9074017734.8900013</v>
      </c>
      <c r="E74" s="24">
        <f>E68-E69-E70-E71-E72-E73</f>
        <v>21377909319.000008</v>
      </c>
      <c r="F74" s="24">
        <f t="shared" si="9"/>
        <v>1342878567.54</v>
      </c>
      <c r="G74" s="24">
        <f t="shared" si="9"/>
        <v>5591151.6800000006</v>
      </c>
      <c r="H74" s="24">
        <f t="shared" si="9"/>
        <v>7002688.0300000003</v>
      </c>
      <c r="I74" s="71">
        <f t="shared" si="9"/>
        <v>0</v>
      </c>
      <c r="J74" s="52">
        <f t="shared" si="6"/>
        <v>21.534957343431149</v>
      </c>
      <c r="K74" s="52">
        <f t="shared" si="7"/>
        <v>20.288148674569339</v>
      </c>
      <c r="N74" s="76"/>
    </row>
    <row r="75" spans="2:14" ht="18" customHeight="1" x14ac:dyDescent="0.2">
      <c r="B75" s="84" t="s">
        <v>15</v>
      </c>
      <c r="C75" s="26">
        <f>C6-C65</f>
        <v>-17450486108.320007</v>
      </c>
      <c r="D75" s="26">
        <f>D6-D65</f>
        <v>9107736614.4800034</v>
      </c>
      <c r="E75" s="81"/>
      <c r="F75" s="61"/>
      <c r="G75" s="61"/>
      <c r="H75" s="61"/>
      <c r="I75" s="82"/>
      <c r="J75" s="28"/>
      <c r="K75" s="28"/>
      <c r="L75" s="13"/>
      <c r="N75" s="61"/>
    </row>
    <row r="76" spans="2:14" ht="38.25" x14ac:dyDescent="0.2">
      <c r="B76" s="87" t="s">
        <v>101</v>
      </c>
      <c r="C76" s="26">
        <f>+C56-C68</f>
        <v>2893548479.5</v>
      </c>
      <c r="D76" s="26">
        <f>+D56-D68</f>
        <v>10218613064.990005</v>
      </c>
      <c r="E76" s="81"/>
      <c r="F76" s="61"/>
      <c r="G76" s="61"/>
      <c r="H76" s="61"/>
      <c r="I76" s="61"/>
      <c r="J76" s="28"/>
      <c r="K76" s="28"/>
      <c r="L76" s="13"/>
      <c r="N76" s="61"/>
    </row>
    <row r="77" spans="2:14" x14ac:dyDescent="0.2">
      <c r="B77" s="60"/>
      <c r="C77" s="61"/>
      <c r="D77" s="61"/>
      <c r="E77" s="61"/>
      <c r="F77" s="61"/>
      <c r="G77" s="61"/>
      <c r="H77" s="61"/>
      <c r="I77" s="61"/>
      <c r="J77" s="61"/>
      <c r="K77" s="28"/>
      <c r="L77" s="28"/>
      <c r="M77" s="13"/>
    </row>
    <row r="78" spans="2:14" ht="14.25" customHeight="1" x14ac:dyDescent="0.2">
      <c r="B78" s="103" t="s">
        <v>106</v>
      </c>
      <c r="C78" s="104"/>
      <c r="D78" s="104"/>
      <c r="E78" s="104"/>
      <c r="F78" s="104"/>
      <c r="G78" s="61"/>
      <c r="H78" s="61"/>
      <c r="I78" s="61"/>
      <c r="J78" s="61"/>
      <c r="K78" s="28"/>
      <c r="L78" s="28"/>
      <c r="M78" s="13"/>
    </row>
    <row r="79" spans="2:14" ht="27" customHeight="1" x14ac:dyDescent="0.2">
      <c r="B79" s="84" t="s">
        <v>102</v>
      </c>
      <c r="C79" s="41">
        <f>5444528195.65999</f>
        <v>5444528195.6599903</v>
      </c>
      <c r="D79" s="41">
        <f>362188251.63</f>
        <v>362188251.63</v>
      </c>
      <c r="E79" s="41">
        <f>1854630295.24</f>
        <v>1854630295.24</v>
      </c>
      <c r="F79" s="41">
        <f>83384610.2</f>
        <v>83384610.200000003</v>
      </c>
      <c r="G79" s="41">
        <f>3233.33</f>
        <v>3233.33</v>
      </c>
      <c r="H79" s="41">
        <f>0</f>
        <v>0</v>
      </c>
      <c r="I79" s="41">
        <f>0</f>
        <v>0</v>
      </c>
      <c r="J79" s="62">
        <f>IF($D$79=0,"",100*$D79/$D$79)</f>
        <v>100</v>
      </c>
      <c r="K79" s="62">
        <f>IF(C79=0,"",100*D79/C79)</f>
        <v>6.6523349427910388</v>
      </c>
      <c r="L79" s="13"/>
    </row>
    <row r="80" spans="2:14" ht="15" customHeight="1" x14ac:dyDescent="0.2">
      <c r="B80" s="88" t="s">
        <v>72</v>
      </c>
      <c r="C80" s="22">
        <f>4867931581.19</f>
        <v>4867931581.1899996</v>
      </c>
      <c r="D80" s="22">
        <f>306900335.26</f>
        <v>306900335.25999999</v>
      </c>
      <c r="E80" s="22">
        <f>1721931496.57</f>
        <v>1721931496.5699999</v>
      </c>
      <c r="F80" s="22">
        <f>78846141.82</f>
        <v>78846141.819999993</v>
      </c>
      <c r="G80" s="22">
        <f>3233.33</f>
        <v>3233.33</v>
      </c>
      <c r="H80" s="22">
        <f>0</f>
        <v>0</v>
      </c>
      <c r="I80" s="22">
        <f>0</f>
        <v>0</v>
      </c>
      <c r="J80" s="62">
        <f>IF($D$79=0,"",100*$D80/$D$79)</f>
        <v>84.735033198569795</v>
      </c>
      <c r="K80" s="62">
        <f>IF(C80=0,"",100*D80/C80)</f>
        <v>6.3045326365284717</v>
      </c>
      <c r="L80" s="13"/>
    </row>
    <row r="81" spans="2:13" ht="14.25" customHeight="1" x14ac:dyDescent="0.2">
      <c r="B81" s="89" t="s">
        <v>73</v>
      </c>
      <c r="C81" s="22">
        <f>+C79-C80</f>
        <v>576596614.46999073</v>
      </c>
      <c r="D81" s="22">
        <f t="shared" ref="D81:I81" si="10">+D79-D80</f>
        <v>55287916.370000005</v>
      </c>
      <c r="E81" s="22">
        <f t="shared" si="10"/>
        <v>132698798.67000008</v>
      </c>
      <c r="F81" s="22">
        <f t="shared" si="10"/>
        <v>4538468.3800000101</v>
      </c>
      <c r="G81" s="22">
        <f t="shared" si="10"/>
        <v>0</v>
      </c>
      <c r="H81" s="22">
        <f t="shared" si="10"/>
        <v>0</v>
      </c>
      <c r="I81" s="22">
        <f t="shared" si="10"/>
        <v>0</v>
      </c>
      <c r="J81" s="62">
        <f>IF($D$79=0,"",100*$D81/$D$79)</f>
        <v>15.264966801430207</v>
      </c>
      <c r="K81" s="62">
        <f>IF(C81=0,"",100*D81/C81)</f>
        <v>9.5886647584326887</v>
      </c>
      <c r="L81" s="10"/>
    </row>
    <row r="82" spans="2:13" ht="15" x14ac:dyDescent="0.2">
      <c r="B82" s="91" t="str">
        <f>CONCATENATE("Informacja z wykonania budżetów gmin za ",$D$118," ",$C$119," rok     ",$C$121,"")</f>
        <v xml:space="preserve">Informacja z wykonania budżetów gmin za I Kwartał 2024 rok     </v>
      </c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</row>
    <row r="84" spans="2:13" ht="18" customHeight="1" x14ac:dyDescent="0.2">
      <c r="B84" s="40" t="s">
        <v>16</v>
      </c>
      <c r="C84" s="67" t="s">
        <v>17</v>
      </c>
      <c r="D84" s="67" t="s">
        <v>1</v>
      </c>
      <c r="E84" s="112" t="s">
        <v>57</v>
      </c>
      <c r="F84" s="113"/>
      <c r="G84" s="113"/>
      <c r="H84" s="113"/>
      <c r="I84" s="114"/>
      <c r="J84" s="19" t="s">
        <v>26</v>
      </c>
      <c r="K84" s="19" t="s">
        <v>27</v>
      </c>
    </row>
    <row r="85" spans="2:13" ht="13.5" customHeight="1" x14ac:dyDescent="0.2">
      <c r="B85" s="40"/>
      <c r="C85" s="110" t="s">
        <v>74</v>
      </c>
      <c r="D85" s="125"/>
      <c r="E85" s="115"/>
      <c r="F85" s="116"/>
      <c r="G85" s="116"/>
      <c r="H85" s="116"/>
      <c r="I85" s="117"/>
      <c r="J85" s="110" t="s">
        <v>4</v>
      </c>
      <c r="K85" s="130"/>
      <c r="M85" s="14"/>
    </row>
    <row r="86" spans="2:13" ht="11.25" customHeight="1" x14ac:dyDescent="0.2">
      <c r="B86" s="39">
        <v>1</v>
      </c>
      <c r="C86" s="42">
        <v>2</v>
      </c>
      <c r="D86" s="42">
        <v>3</v>
      </c>
      <c r="E86" s="118"/>
      <c r="F86" s="119"/>
      <c r="G86" s="119"/>
      <c r="H86" s="119"/>
      <c r="I86" s="120"/>
      <c r="J86" s="31">
        <v>4</v>
      </c>
      <c r="K86" s="31">
        <v>5</v>
      </c>
      <c r="M86" s="10"/>
    </row>
    <row r="87" spans="2:13" ht="27" customHeight="1" x14ac:dyDescent="0.2">
      <c r="B87" s="90" t="s">
        <v>63</v>
      </c>
      <c r="C87" s="43">
        <f>22430471495.66</f>
        <v>22430471495.66</v>
      </c>
      <c r="D87" s="43">
        <f>18388949634.66</f>
        <v>18388949634.66</v>
      </c>
      <c r="E87" s="43" t="s">
        <v>57</v>
      </c>
      <c r="F87" s="43" t="s">
        <v>57</v>
      </c>
      <c r="G87" s="43" t="s">
        <v>57</v>
      </c>
      <c r="H87" s="43" t="s">
        <v>57</v>
      </c>
      <c r="I87" s="43" t="s">
        <v>57</v>
      </c>
      <c r="J87" s="37">
        <f t="shared" ref="J87:J97" si="11">IF($D$87=0,"",100*$D87/$D$87)</f>
        <v>100</v>
      </c>
      <c r="K87" s="36">
        <f t="shared" ref="K87:K102" si="12">IF(C87=0,"",100*D87/C87)</f>
        <v>81.982002198295376</v>
      </c>
    </row>
    <row r="88" spans="2:13" ht="36" customHeight="1" x14ac:dyDescent="0.2">
      <c r="B88" s="98" t="s">
        <v>103</v>
      </c>
      <c r="C88" s="44">
        <f>11224509866.01</f>
        <v>11224509866.01</v>
      </c>
      <c r="D88" s="44">
        <f>332428889.16</f>
        <v>332428889.16000003</v>
      </c>
      <c r="E88" s="43" t="s">
        <v>57</v>
      </c>
      <c r="F88" s="43" t="s">
        <v>57</v>
      </c>
      <c r="G88" s="43" t="s">
        <v>57</v>
      </c>
      <c r="H88" s="43" t="s">
        <v>57</v>
      </c>
      <c r="I88" s="43" t="s">
        <v>57</v>
      </c>
      <c r="J88" s="50">
        <f t="shared" si="11"/>
        <v>1.8077644224628735</v>
      </c>
      <c r="K88" s="51">
        <f t="shared" si="12"/>
        <v>2.9616338987474133</v>
      </c>
    </row>
    <row r="89" spans="2:13" ht="22.5" x14ac:dyDescent="0.2">
      <c r="B89" s="99" t="s">
        <v>81</v>
      </c>
      <c r="C89" s="63">
        <f>301206502.36</f>
        <v>301206502.36000001</v>
      </c>
      <c r="D89" s="63">
        <f>6124764.89</f>
        <v>6124764.8899999997</v>
      </c>
      <c r="E89" s="43" t="s">
        <v>57</v>
      </c>
      <c r="F89" s="43" t="s">
        <v>57</v>
      </c>
      <c r="G89" s="43" t="s">
        <v>57</v>
      </c>
      <c r="H89" s="43" t="s">
        <v>57</v>
      </c>
      <c r="I89" s="43" t="s">
        <v>57</v>
      </c>
      <c r="J89" s="64">
        <f t="shared" si="11"/>
        <v>3.3306768530465027E-2</v>
      </c>
      <c r="K89" s="58">
        <f t="shared" si="12"/>
        <v>2.0334105811167786</v>
      </c>
    </row>
    <row r="90" spans="2:13" ht="13.5" customHeight="1" x14ac:dyDescent="0.2">
      <c r="B90" s="100" t="s">
        <v>82</v>
      </c>
      <c r="C90" s="63">
        <f>151661213.07</f>
        <v>151661213.06999999</v>
      </c>
      <c r="D90" s="63">
        <f>27015542.69</f>
        <v>27015542.690000001</v>
      </c>
      <c r="E90" s="43" t="s">
        <v>57</v>
      </c>
      <c r="F90" s="43" t="s">
        <v>57</v>
      </c>
      <c r="G90" s="43" t="s">
        <v>57</v>
      </c>
      <c r="H90" s="43" t="s">
        <v>57</v>
      </c>
      <c r="I90" s="43" t="s">
        <v>57</v>
      </c>
      <c r="J90" s="64">
        <f t="shared" si="11"/>
        <v>0.1469118314353331</v>
      </c>
      <c r="K90" s="58">
        <f t="shared" si="12"/>
        <v>17.813086248710697</v>
      </c>
    </row>
    <row r="91" spans="2:13" ht="50.1" customHeight="1" x14ac:dyDescent="0.2">
      <c r="B91" s="100" t="s">
        <v>97</v>
      </c>
      <c r="C91" s="63">
        <f>3127548170.32</f>
        <v>3127548170.3200002</v>
      </c>
      <c r="D91" s="63">
        <f>5797945889.76</f>
        <v>5797945889.7600002</v>
      </c>
      <c r="E91" s="43" t="s">
        <v>57</v>
      </c>
      <c r="F91" s="43" t="s">
        <v>57</v>
      </c>
      <c r="G91" s="43" t="s">
        <v>57</v>
      </c>
      <c r="H91" s="43" t="s">
        <v>57</v>
      </c>
      <c r="I91" s="43" t="s">
        <v>57</v>
      </c>
      <c r="J91" s="64">
        <f t="shared" si="11"/>
        <v>31.529510956035637</v>
      </c>
      <c r="K91" s="58">
        <f t="shared" si="12"/>
        <v>185.3831044004919</v>
      </c>
    </row>
    <row r="92" spans="2:13" ht="35.1" customHeight="1" x14ac:dyDescent="0.2">
      <c r="B92" s="100" t="s">
        <v>113</v>
      </c>
      <c r="C92" s="63">
        <f>2079772171.2</f>
        <v>2079772171.2</v>
      </c>
      <c r="D92" s="63">
        <f>2712439691.82</f>
        <v>2712439691.8200002</v>
      </c>
      <c r="E92" s="43" t="s">
        <v>57</v>
      </c>
      <c r="F92" s="43" t="s">
        <v>57</v>
      </c>
      <c r="G92" s="43" t="s">
        <v>57</v>
      </c>
      <c r="H92" s="43" t="s">
        <v>57</v>
      </c>
      <c r="I92" s="43" t="s">
        <v>57</v>
      </c>
      <c r="J92" s="64">
        <f t="shared" si="11"/>
        <v>14.750378600784893</v>
      </c>
      <c r="K92" s="58">
        <f t="shared" si="12"/>
        <v>130.42003972266633</v>
      </c>
    </row>
    <row r="93" spans="2:13" ht="13.5" customHeight="1" x14ac:dyDescent="0.2">
      <c r="B93" s="100" t="s">
        <v>83</v>
      </c>
      <c r="C93" s="63">
        <f>0</f>
        <v>0</v>
      </c>
      <c r="D93" s="63">
        <f>0</f>
        <v>0</v>
      </c>
      <c r="E93" s="43" t="s">
        <v>57</v>
      </c>
      <c r="F93" s="43" t="s">
        <v>57</v>
      </c>
      <c r="G93" s="43" t="s">
        <v>57</v>
      </c>
      <c r="H93" s="43" t="s">
        <v>57</v>
      </c>
      <c r="I93" s="43" t="s">
        <v>57</v>
      </c>
      <c r="J93" s="64">
        <f t="shared" si="11"/>
        <v>0</v>
      </c>
      <c r="K93" s="58" t="str">
        <f t="shared" si="12"/>
        <v/>
      </c>
    </row>
    <row r="94" spans="2:13" ht="35.1" customHeight="1" x14ac:dyDescent="0.2">
      <c r="B94" s="100" t="s">
        <v>91</v>
      </c>
      <c r="C94" s="63">
        <f>5380305437.93</f>
        <v>5380305437.9300003</v>
      </c>
      <c r="D94" s="63">
        <f>8932400913.54</f>
        <v>8932400913.5400009</v>
      </c>
      <c r="E94" s="43" t="s">
        <v>57</v>
      </c>
      <c r="F94" s="43" t="s">
        <v>57</v>
      </c>
      <c r="G94" s="43" t="s">
        <v>57</v>
      </c>
      <c r="H94" s="43" t="s">
        <v>57</v>
      </c>
      <c r="I94" s="43" t="s">
        <v>57</v>
      </c>
      <c r="J94" s="64">
        <f t="shared" si="11"/>
        <v>48.574829400282688</v>
      </c>
      <c r="K94" s="58">
        <f t="shared" si="12"/>
        <v>166.02033130997526</v>
      </c>
    </row>
    <row r="95" spans="2:13" ht="56.25" x14ac:dyDescent="0.2">
      <c r="B95" s="100" t="s">
        <v>114</v>
      </c>
      <c r="C95" s="63">
        <f>0</f>
        <v>0</v>
      </c>
      <c r="D95" s="63">
        <f>119334664.96</f>
        <v>119334664.95999999</v>
      </c>
      <c r="E95" s="43" t="s">
        <v>57</v>
      </c>
      <c r="F95" s="43" t="s">
        <v>57</v>
      </c>
      <c r="G95" s="43" t="s">
        <v>57</v>
      </c>
      <c r="H95" s="43" t="s">
        <v>57</v>
      </c>
      <c r="I95" s="43" t="s">
        <v>57</v>
      </c>
      <c r="J95" s="64"/>
      <c r="K95" s="58"/>
    </row>
    <row r="96" spans="2:13" x14ac:dyDescent="0.2">
      <c r="B96" s="100" t="s">
        <v>108</v>
      </c>
      <c r="C96" s="63">
        <f>466674637.13</f>
        <v>466674637.13</v>
      </c>
      <c r="D96" s="63">
        <f>467384042.73</f>
        <v>467384042.73000002</v>
      </c>
      <c r="E96" s="43" t="s">
        <v>57</v>
      </c>
      <c r="F96" s="43" t="s">
        <v>57</v>
      </c>
      <c r="G96" s="43" t="s">
        <v>57</v>
      </c>
      <c r="H96" s="43" t="s">
        <v>57</v>
      </c>
      <c r="I96" s="43" t="s">
        <v>57</v>
      </c>
      <c r="J96" s="64"/>
      <c r="K96" s="58"/>
    </row>
    <row r="97" spans="2:11" ht="22.5" x14ac:dyDescent="0.2">
      <c r="B97" s="99" t="s">
        <v>109</v>
      </c>
      <c r="C97" s="63">
        <f>463386637.13</f>
        <v>463386637.13</v>
      </c>
      <c r="D97" s="63">
        <f>445378853.31</f>
        <v>445378853.31</v>
      </c>
      <c r="E97" s="43" t="s">
        <v>57</v>
      </c>
      <c r="F97" s="43" t="s">
        <v>57</v>
      </c>
      <c r="G97" s="43" t="s">
        <v>57</v>
      </c>
      <c r="H97" s="43" t="s">
        <v>57</v>
      </c>
      <c r="I97" s="43" t="s">
        <v>57</v>
      </c>
      <c r="J97" s="64">
        <f t="shared" si="11"/>
        <v>2.4219918057230285</v>
      </c>
      <c r="K97" s="58">
        <f t="shared" si="12"/>
        <v>96.11387502852223</v>
      </c>
    </row>
    <row r="98" spans="2:11" ht="27" customHeight="1" x14ac:dyDescent="0.2">
      <c r="B98" s="90" t="s">
        <v>64</v>
      </c>
      <c r="C98" s="49">
        <f>4979689602.93</f>
        <v>4979689602.9300003</v>
      </c>
      <c r="D98" s="49">
        <f>1955138601.41</f>
        <v>1955138601.4100001</v>
      </c>
      <c r="E98" s="43" t="s">
        <v>57</v>
      </c>
      <c r="F98" s="43" t="s">
        <v>57</v>
      </c>
      <c r="G98" s="43" t="s">
        <v>57</v>
      </c>
      <c r="H98" s="43" t="s">
        <v>57</v>
      </c>
      <c r="I98" s="43" t="s">
        <v>57</v>
      </c>
      <c r="J98" s="37">
        <f t="shared" ref="J98:J103" si="13">IF($D$98=0,"",100*$D98/$D$98)</f>
        <v>100</v>
      </c>
      <c r="K98" s="36">
        <f t="shared" si="12"/>
        <v>39.262258439956092</v>
      </c>
    </row>
    <row r="99" spans="2:11" ht="36" customHeight="1" x14ac:dyDescent="0.2">
      <c r="B99" s="98" t="s">
        <v>99</v>
      </c>
      <c r="C99" s="44">
        <f>4444987892.35</f>
        <v>4444987892.3500004</v>
      </c>
      <c r="D99" s="48">
        <f>1055493869.06</f>
        <v>1055493869.0599999</v>
      </c>
      <c r="E99" s="43" t="s">
        <v>57</v>
      </c>
      <c r="F99" s="43" t="s">
        <v>57</v>
      </c>
      <c r="G99" s="43" t="s">
        <v>57</v>
      </c>
      <c r="H99" s="43" t="s">
        <v>57</v>
      </c>
      <c r="I99" s="43" t="s">
        <v>57</v>
      </c>
      <c r="J99" s="50">
        <f t="shared" si="13"/>
        <v>53.985628860214952</v>
      </c>
      <c r="K99" s="51">
        <f t="shared" si="12"/>
        <v>23.745708528847661</v>
      </c>
    </row>
    <row r="100" spans="2:11" ht="13.5" customHeight="1" x14ac:dyDescent="0.2">
      <c r="B100" s="99" t="s">
        <v>84</v>
      </c>
      <c r="C100" s="63">
        <f>125290592</f>
        <v>125290592</v>
      </c>
      <c r="D100" s="63">
        <f>3055898</f>
        <v>3055898</v>
      </c>
      <c r="E100" s="43" t="s">
        <v>57</v>
      </c>
      <c r="F100" s="43" t="s">
        <v>57</v>
      </c>
      <c r="G100" s="43" t="s">
        <v>57</v>
      </c>
      <c r="H100" s="43" t="s">
        <v>57</v>
      </c>
      <c r="I100" s="43" t="s">
        <v>57</v>
      </c>
      <c r="J100" s="64">
        <f t="shared" si="13"/>
        <v>0.15630083707600873</v>
      </c>
      <c r="K100" s="58">
        <f t="shared" si="12"/>
        <v>2.4390482567118847</v>
      </c>
    </row>
    <row r="101" spans="2:11" ht="13.5" customHeight="1" x14ac:dyDescent="0.2">
      <c r="B101" s="100" t="s">
        <v>85</v>
      </c>
      <c r="C101" s="63">
        <f>101614161.51</f>
        <v>101614161.51000001</v>
      </c>
      <c r="D101" s="63">
        <f>34751134.4</f>
        <v>34751134.399999999</v>
      </c>
      <c r="E101" s="43" t="s">
        <v>57</v>
      </c>
      <c r="F101" s="43" t="s">
        <v>57</v>
      </c>
      <c r="G101" s="43" t="s">
        <v>57</v>
      </c>
      <c r="H101" s="43" t="s">
        <v>57</v>
      </c>
      <c r="I101" s="43" t="s">
        <v>57</v>
      </c>
      <c r="J101" s="64">
        <f t="shared" si="13"/>
        <v>1.7774256195923039</v>
      </c>
      <c r="K101" s="58">
        <f t="shared" si="12"/>
        <v>34.199105600630368</v>
      </c>
    </row>
    <row r="102" spans="2:11" ht="13.5" customHeight="1" x14ac:dyDescent="0.2">
      <c r="B102" s="100" t="s">
        <v>112</v>
      </c>
      <c r="C102" s="63">
        <f>433087549.07</f>
        <v>433087549.06999999</v>
      </c>
      <c r="D102" s="63">
        <f>865366827.7</f>
        <v>865366827.70000005</v>
      </c>
      <c r="E102" s="43" t="s">
        <v>57</v>
      </c>
      <c r="F102" s="43" t="s">
        <v>57</v>
      </c>
      <c r="G102" s="43" t="s">
        <v>57</v>
      </c>
      <c r="H102" s="43" t="s">
        <v>57</v>
      </c>
      <c r="I102" s="43" t="s">
        <v>57</v>
      </c>
      <c r="J102" s="64">
        <f t="shared" si="13"/>
        <v>44.261149929519974</v>
      </c>
      <c r="K102" s="58">
        <f t="shared" si="12"/>
        <v>199.81337019691847</v>
      </c>
    </row>
    <row r="103" spans="2:11" ht="22.5" x14ac:dyDescent="0.2">
      <c r="B103" s="99" t="s">
        <v>110</v>
      </c>
      <c r="C103" s="63">
        <f>53534603.52</f>
        <v>53534603.520000003</v>
      </c>
      <c r="D103" s="63">
        <f>38110011.8</f>
        <v>38110011.799999997</v>
      </c>
      <c r="E103" s="43" t="s">
        <v>57</v>
      </c>
      <c r="F103" s="43" t="s">
        <v>57</v>
      </c>
      <c r="G103" s="43" t="s">
        <v>57</v>
      </c>
      <c r="H103" s="43" t="s">
        <v>57</v>
      </c>
      <c r="I103" s="43" t="s">
        <v>57</v>
      </c>
      <c r="J103" s="64">
        <f t="shared" si="13"/>
        <v>1.9492230255448872</v>
      </c>
      <c r="K103" s="58">
        <f>IF(C103=0,"",100*D103/C103)</f>
        <v>71.18762313381562</v>
      </c>
    </row>
    <row r="104" spans="2:11" ht="7.5" customHeight="1" x14ac:dyDescent="0.2"/>
    <row r="105" spans="2:11" x14ac:dyDescent="0.2">
      <c r="B105" s="40" t="s">
        <v>16</v>
      </c>
      <c r="C105" s="67" t="s">
        <v>17</v>
      </c>
      <c r="D105" s="19" t="s">
        <v>1</v>
      </c>
    </row>
    <row r="106" spans="2:11" x14ac:dyDescent="0.2">
      <c r="B106" s="40"/>
      <c r="C106" s="110" t="s">
        <v>74</v>
      </c>
      <c r="D106" s="125"/>
    </row>
    <row r="107" spans="2:11" x14ac:dyDescent="0.2">
      <c r="B107" s="39">
        <v>1</v>
      </c>
      <c r="C107" s="42">
        <v>2</v>
      </c>
      <c r="D107" s="31">
        <v>3</v>
      </c>
    </row>
    <row r="108" spans="2:11" ht="37.5" customHeight="1" x14ac:dyDescent="0.2">
      <c r="B108" s="101" t="s">
        <v>111</v>
      </c>
      <c r="C108" s="47">
        <f>17698775020.62</f>
        <v>17698775020.619999</v>
      </c>
      <c r="D108" s="27">
        <f>0</f>
        <v>0</v>
      </c>
    </row>
    <row r="109" spans="2:11" ht="36" customHeight="1" x14ac:dyDescent="0.2">
      <c r="B109" s="102" t="s">
        <v>76</v>
      </c>
      <c r="C109" s="48">
        <f>252177064.96</f>
        <v>252177064.96000001</v>
      </c>
      <c r="D109" s="74">
        <f>0</f>
        <v>0</v>
      </c>
    </row>
    <row r="110" spans="2:11" ht="13.5" customHeight="1" x14ac:dyDescent="0.2">
      <c r="B110" s="102" t="s">
        <v>77</v>
      </c>
      <c r="C110" s="48">
        <f>8318711466.41</f>
        <v>8318711466.4099998</v>
      </c>
      <c r="D110" s="74">
        <f>0</f>
        <v>0</v>
      </c>
    </row>
    <row r="111" spans="2:11" ht="25.5" customHeight="1" x14ac:dyDescent="0.2">
      <c r="B111" s="102" t="s">
        <v>78</v>
      </c>
      <c r="C111" s="48">
        <f>0</f>
        <v>0</v>
      </c>
      <c r="D111" s="74">
        <f>0</f>
        <v>0</v>
      </c>
    </row>
    <row r="112" spans="2:11" ht="57.95" customHeight="1" x14ac:dyDescent="0.2">
      <c r="B112" s="102" t="s">
        <v>95</v>
      </c>
      <c r="C112" s="48">
        <f>2547466823.81</f>
        <v>2547466823.8099999</v>
      </c>
      <c r="D112" s="74">
        <f>0</f>
        <v>0</v>
      </c>
    </row>
    <row r="113" spans="2:4" ht="81.95" customHeight="1" x14ac:dyDescent="0.2">
      <c r="B113" s="102" t="s">
        <v>79</v>
      </c>
      <c r="C113" s="48">
        <f>4216728653.58</f>
        <v>4216728653.5799999</v>
      </c>
      <c r="D113" s="74">
        <f>0</f>
        <v>0</v>
      </c>
    </row>
    <row r="114" spans="2:4" ht="150.94999999999999" customHeight="1" x14ac:dyDescent="0.2">
      <c r="B114" s="97" t="s">
        <v>100</v>
      </c>
      <c r="C114" s="48">
        <f>1927268539.68</f>
        <v>1927268539.6800001</v>
      </c>
      <c r="D114" s="74">
        <f>0</f>
        <v>0</v>
      </c>
    </row>
    <row r="115" spans="2:4" ht="22.5" x14ac:dyDescent="0.2">
      <c r="B115" s="97" t="s">
        <v>94</v>
      </c>
      <c r="C115" s="48">
        <f>62057950.53</f>
        <v>62057950.530000001</v>
      </c>
      <c r="D115" s="74">
        <f>0</f>
        <v>0</v>
      </c>
    </row>
    <row r="116" spans="2:4" ht="22.5" x14ac:dyDescent="0.2">
      <c r="B116" s="97" t="s">
        <v>109</v>
      </c>
      <c r="C116" s="48">
        <f>374364521.65</f>
        <v>374364521.64999998</v>
      </c>
      <c r="D116" s="74">
        <f>0</f>
        <v>0</v>
      </c>
    </row>
    <row r="117" spans="2:4" ht="28.5" customHeight="1" x14ac:dyDescent="0.2"/>
    <row r="118" spans="2:4" x14ac:dyDescent="0.2">
      <c r="B118" s="65" t="s">
        <v>65</v>
      </c>
      <c r="C118" s="33">
        <f>1</f>
        <v>1</v>
      </c>
      <c r="D118" s="33" t="str">
        <f>IF(C118=1,"I Kwartał",IF(C118=2,"II Kwartały",IF(C118=3,"III Kwartały",IF(C118=4,"IV Kwartały",IF(C118="M1","Styczeń",IF(C118="M11","Listopad",IF(C118="M12","Grudzień","-")))))))</f>
        <v>I Kwartał</v>
      </c>
    </row>
    <row r="119" spans="2:4" x14ac:dyDescent="0.2">
      <c r="B119" s="65" t="s">
        <v>66</v>
      </c>
      <c r="C119" s="92">
        <f>2024</f>
        <v>2024</v>
      </c>
    </row>
    <row r="120" spans="2:4" x14ac:dyDescent="0.2">
      <c r="B120" s="65" t="s">
        <v>67</v>
      </c>
      <c r="C120" s="106" t="str">
        <f>"May 21 2024 12:00AM"</f>
        <v>May 21 2024 12:00AM</v>
      </c>
      <c r="D120" s="107"/>
    </row>
    <row r="121" spans="2:4" hidden="1" x14ac:dyDescent="0.2">
      <c r="B121" s="1" t="s">
        <v>107</v>
      </c>
      <c r="C121" s="1" t="str">
        <f>""</f>
        <v/>
      </c>
    </row>
  </sheetData>
  <mergeCells count="20">
    <mergeCell ref="B3:B4"/>
    <mergeCell ref="C106:D106"/>
    <mergeCell ref="B60:B63"/>
    <mergeCell ref="C85:D85"/>
    <mergeCell ref="J4:L4"/>
    <mergeCell ref="I60:I62"/>
    <mergeCell ref="J63:K63"/>
    <mergeCell ref="C4:I4"/>
    <mergeCell ref="J85:K85"/>
    <mergeCell ref="J60:J62"/>
    <mergeCell ref="K60:K62"/>
    <mergeCell ref="C120:D120"/>
    <mergeCell ref="D60:D62"/>
    <mergeCell ref="E60:E62"/>
    <mergeCell ref="F61:F62"/>
    <mergeCell ref="F60:H60"/>
    <mergeCell ref="G61:H61"/>
    <mergeCell ref="E84:I86"/>
    <mergeCell ref="C60:C62"/>
    <mergeCell ref="C63:I63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7" max="16383" man="1"/>
    <brk id="81" max="16383" man="1"/>
    <brk id="10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2022-10-25T14:00:45Z</cp:lastPrinted>
  <dcterms:created xsi:type="dcterms:W3CDTF">2001-05-17T08:58:03Z</dcterms:created>
  <dcterms:modified xsi:type="dcterms:W3CDTF">2024-06-03T10:54:18Z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