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 z SubRozw - podmianka\"/>
    </mc:Choice>
  </mc:AlternateContent>
  <xr:revisionPtr revIDLastSave="0" documentId="13_ncr:1_{95E18709-37CB-4B5A-B93F-EB548EC2B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K56" i="4" s="1"/>
  <c r="D53" i="4"/>
  <c r="C53" i="4"/>
  <c r="K53" i="4" s="1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K43" i="4" s="1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J28" i="4" s="1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K20" i="4" s="1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G21" i="4" s="1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E7" i="4" s="1"/>
  <c r="D6" i="4"/>
  <c r="D76" i="4" s="1"/>
  <c r="C6" i="4"/>
  <c r="C55" i="4" s="1"/>
  <c r="D46" i="4"/>
  <c r="K34" i="4"/>
  <c r="K81" i="4"/>
  <c r="K47" i="4"/>
  <c r="K17" i="4"/>
  <c r="K88" i="4"/>
  <c r="G69" i="4"/>
  <c r="G75" i="4"/>
  <c r="H69" i="4"/>
  <c r="H75" i="4"/>
  <c r="K100" i="4"/>
  <c r="G7" i="4"/>
  <c r="G55" i="4"/>
  <c r="G57" i="4"/>
  <c r="K33" i="4"/>
  <c r="K8" i="4"/>
  <c r="K48" i="4"/>
  <c r="K101" i="4"/>
  <c r="K68" i="4"/>
  <c r="K102" i="4"/>
  <c r="K14" i="4"/>
  <c r="K15" i="4"/>
  <c r="K12" i="4"/>
  <c r="K40" i="4"/>
  <c r="K94" i="4"/>
  <c r="D118" i="4"/>
  <c r="K28" i="4"/>
  <c r="K66" i="4"/>
  <c r="C69" i="4"/>
  <c r="C75" i="4" s="1"/>
  <c r="K95" i="4"/>
  <c r="K89" i="4"/>
  <c r="K35" i="4"/>
  <c r="K90" i="4"/>
  <c r="C76" i="4"/>
  <c r="K41" i="4"/>
  <c r="E69" i="4"/>
  <c r="E75" i="4" s="1"/>
  <c r="K71" i="4"/>
  <c r="G82" i="4"/>
  <c r="J51" i="4"/>
  <c r="J40" i="4"/>
  <c r="J31" i="4"/>
  <c r="K10" i="4"/>
  <c r="K19" i="4"/>
  <c r="K29" i="4"/>
  <c r="F69" i="4"/>
  <c r="F75" i="4"/>
  <c r="I82" i="4"/>
  <c r="K96" i="4"/>
  <c r="I69" i="4"/>
  <c r="I75" i="4"/>
  <c r="K73" i="4"/>
  <c r="K91" i="4"/>
  <c r="K97" i="4"/>
  <c r="K103" i="4"/>
  <c r="K9" i="4"/>
  <c r="K24" i="4"/>
  <c r="C23" i="4"/>
  <c r="C22" i="4" s="1"/>
  <c r="K30" i="4"/>
  <c r="K36" i="4"/>
  <c r="K42" i="4"/>
  <c r="K49" i="4"/>
  <c r="K67" i="4"/>
  <c r="F55" i="4"/>
  <c r="F57" i="4"/>
  <c r="F7" i="4"/>
  <c r="F21" i="4" s="1"/>
  <c r="K16" i="4"/>
  <c r="K80" i="4"/>
  <c r="C82" i="4"/>
  <c r="K92" i="4"/>
  <c r="K98" i="4"/>
  <c r="K11" i="4"/>
  <c r="K70" i="4"/>
  <c r="D82" i="4"/>
  <c r="K82" i="4" s="1"/>
  <c r="J82" i="4"/>
  <c r="J80" i="4"/>
  <c r="J81" i="4"/>
  <c r="J100" i="4"/>
  <c r="J101" i="4"/>
  <c r="J98" i="4"/>
  <c r="J102" i="4"/>
  <c r="J103" i="4"/>
  <c r="J99" i="4"/>
  <c r="K25" i="4"/>
  <c r="K31" i="4"/>
  <c r="K37" i="4"/>
  <c r="K50" i="4"/>
  <c r="H55" i="4"/>
  <c r="H57" i="4"/>
  <c r="H7" i="4"/>
  <c r="K18" i="4"/>
  <c r="E82" i="4"/>
  <c r="K87" i="4"/>
  <c r="K93" i="4"/>
  <c r="K99" i="4"/>
  <c r="I55" i="4"/>
  <c r="I57" i="4"/>
  <c r="I7" i="4"/>
  <c r="I21" i="4"/>
  <c r="K13" i="4"/>
  <c r="K32" i="4"/>
  <c r="K38" i="4"/>
  <c r="K44" i="4"/>
  <c r="K51" i="4"/>
  <c r="K72" i="4"/>
  <c r="F82" i="4"/>
  <c r="J95" i="4"/>
  <c r="J87" i="4"/>
  <c r="J88" i="4"/>
  <c r="J93" i="4"/>
  <c r="J92" i="4"/>
  <c r="J96" i="4"/>
  <c r="J91" i="4"/>
  <c r="J90" i="4"/>
  <c r="J89" i="4"/>
  <c r="J94" i="4"/>
  <c r="J97" i="4"/>
  <c r="K39" i="4"/>
  <c r="K45" i="4"/>
  <c r="K52" i="4"/>
  <c r="J72" i="4"/>
  <c r="J71" i="4"/>
  <c r="J67" i="4"/>
  <c r="J68" i="4"/>
  <c r="D69" i="4"/>
  <c r="J69" i="4" s="1"/>
  <c r="D75" i="4"/>
  <c r="J75" i="4" s="1"/>
  <c r="J73" i="4"/>
  <c r="J66" i="4"/>
  <c r="J74" i="4"/>
  <c r="J70" i="4"/>
  <c r="K74" i="4"/>
  <c r="H82" i="4"/>
  <c r="B59" i="4"/>
  <c r="B83" i="4"/>
  <c r="B1" i="4"/>
  <c r="K75" i="4" l="1"/>
  <c r="K69" i="4"/>
  <c r="C46" i="4"/>
  <c r="K46" i="4" s="1"/>
  <c r="D23" i="4"/>
  <c r="D22" i="4" s="1"/>
  <c r="J22" i="4" s="1"/>
  <c r="K27" i="4"/>
  <c r="K26" i="4"/>
  <c r="C7" i="4"/>
  <c r="H21" i="4"/>
  <c r="C21" i="4"/>
  <c r="E21" i="4"/>
  <c r="E55" i="4"/>
  <c r="E57" i="4" s="1"/>
  <c r="J15" i="4"/>
  <c r="J42" i="4"/>
  <c r="J34" i="4"/>
  <c r="J18" i="4"/>
  <c r="J20" i="4"/>
  <c r="J6" i="4"/>
  <c r="J25" i="4"/>
  <c r="J14" i="4"/>
  <c r="J13" i="4"/>
  <c r="D55" i="4"/>
  <c r="J47" i="4"/>
  <c r="J16" i="4"/>
  <c r="J44" i="4"/>
  <c r="J8" i="4"/>
  <c r="J19" i="4"/>
  <c r="J50" i="4"/>
  <c r="K6" i="4"/>
  <c r="J45" i="4"/>
  <c r="J49" i="4"/>
  <c r="J27" i="4"/>
  <c r="J52" i="4"/>
  <c r="J26" i="4"/>
  <c r="J46" i="4"/>
  <c r="J38" i="4"/>
  <c r="J29" i="4"/>
  <c r="J11" i="4"/>
  <c r="J37" i="4"/>
  <c r="J53" i="4"/>
  <c r="J39" i="4"/>
  <c r="J17" i="4"/>
  <c r="J43" i="4"/>
  <c r="J33" i="4"/>
  <c r="J9" i="4"/>
  <c r="J36" i="4"/>
  <c r="J30" i="4"/>
  <c r="J41" i="4"/>
  <c r="J12" i="4"/>
  <c r="J24" i="4"/>
  <c r="J10" i="4"/>
  <c r="J32" i="4"/>
  <c r="J35" i="4"/>
  <c r="J48" i="4"/>
  <c r="C57" i="4"/>
  <c r="K55" i="4"/>
  <c r="K23" i="4" l="1"/>
  <c r="J23" i="4"/>
  <c r="K22" i="4"/>
  <c r="D7" i="4"/>
  <c r="L17" i="4" s="1"/>
  <c r="L11" i="4"/>
  <c r="L9" i="4"/>
  <c r="L14" i="4"/>
  <c r="L8" i="4"/>
  <c r="L18" i="4"/>
  <c r="L10" i="4"/>
  <c r="L16" i="4"/>
  <c r="L19" i="4"/>
  <c r="D57" i="4"/>
  <c r="D77" i="4" s="1"/>
  <c r="J57" i="4"/>
  <c r="J56" i="4"/>
  <c r="J55" i="4"/>
  <c r="J7" i="4"/>
  <c r="K57" i="4"/>
  <c r="C77" i="4"/>
  <c r="K7" i="4" l="1"/>
  <c r="L7" i="4"/>
  <c r="L15" i="4"/>
  <c r="L12" i="4"/>
  <c r="L20" i="4"/>
  <c r="L13" i="4"/>
  <c r="D21" i="4"/>
  <c r="J21" i="4" s="1"/>
  <c r="L21" i="4" l="1"/>
  <c r="K21" i="4"/>
</calcChain>
</file>

<file path=xl/sharedStrings.xml><?xml version="1.0" encoding="utf-8"?>
<sst xmlns="http://schemas.openxmlformats.org/spreadsheetml/2006/main" count="371" uniqueCount="116">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</sst>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0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",$D$118," ",$C$119," roku")</f>
        <v>Informacja z wykonania budżetów jednostek samorządu terytorialnego za I Kwartał 2024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19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19"/>
      <c r="C4" s="120" t="s">
        <v>78</v>
      </c>
      <c r="D4" s="121"/>
      <c r="E4" s="121"/>
      <c r="F4" s="121"/>
      <c r="G4" s="121"/>
      <c r="H4" s="121"/>
      <c r="I4" s="122"/>
      <c r="J4" s="100" t="s">
        <v>4</v>
      </c>
      <c r="K4" s="100"/>
      <c r="L4" s="100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421544433425.25</f>
        <v>421544433425.25</v>
      </c>
      <c r="D6" s="58">
        <f>113312134306.58</f>
        <v>113312134306.58</v>
      </c>
      <c r="E6" s="58">
        <f>1797817864.66</f>
        <v>1797817864.6600001</v>
      </c>
      <c r="F6" s="58">
        <f>301044530.95</f>
        <v>301044530.94999999</v>
      </c>
      <c r="G6" s="58">
        <f>33948130.36</f>
        <v>33948130.359999999</v>
      </c>
      <c r="H6" s="58">
        <f>99014619.97</f>
        <v>99014619.969999999</v>
      </c>
      <c r="I6" s="58">
        <f>3973666.32</f>
        <v>3973666.32</v>
      </c>
      <c r="J6" s="59">
        <f t="shared" ref="J6:J53" si="0">IF($D$6=0,"",100*$D6/$D$6)</f>
        <v>100</v>
      </c>
      <c r="K6" s="59">
        <f t="shared" ref="K6:K51" si="1">IF(C6=0,"",100*D6/C6)</f>
        <v>26.880234993465518</v>
      </c>
      <c r="L6" s="59"/>
    </row>
    <row r="7" spans="2:13" ht="27.95" customHeight="1" x14ac:dyDescent="0.2">
      <c r="B7" s="76" t="s">
        <v>59</v>
      </c>
      <c r="C7" s="25">
        <f>C6-C22-C46</f>
        <v>206467534577.82001</v>
      </c>
      <c r="D7" s="25">
        <f>D6-D22-D46</f>
        <v>54268579742.429993</v>
      </c>
      <c r="E7" s="25">
        <f>E6</f>
        <v>1797817864.6600001</v>
      </c>
      <c r="F7" s="25">
        <f>F6</f>
        <v>301044530.94999999</v>
      </c>
      <c r="G7" s="25">
        <f>G6</f>
        <v>33948130.359999999</v>
      </c>
      <c r="H7" s="25">
        <f>H6</f>
        <v>99014619.969999999</v>
      </c>
      <c r="I7" s="25">
        <f>I6</f>
        <v>3973666.32</v>
      </c>
      <c r="J7" s="34">
        <f t="shared" si="0"/>
        <v>47.89299934603617</v>
      </c>
      <c r="K7" s="34">
        <f t="shared" si="1"/>
        <v>26.284316250202298</v>
      </c>
      <c r="L7" s="34">
        <f t="shared" ref="L7:L21" si="2">IF($D$7=0,"",100*$D7/$D$7)</f>
        <v>100</v>
      </c>
    </row>
    <row r="8" spans="2:13" ht="23.1" customHeight="1" outlineLevel="1" x14ac:dyDescent="0.2">
      <c r="B8" s="31" t="s">
        <v>34</v>
      </c>
      <c r="C8" s="23">
        <f>26369212593.4</f>
        <v>26369212593.400002</v>
      </c>
      <c r="D8" s="23">
        <f>6592547647</f>
        <v>6592547647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5.8180420723194981</v>
      </c>
      <c r="K8" s="35">
        <f t="shared" si="1"/>
        <v>25.000927212555677</v>
      </c>
      <c r="L8" s="35">
        <f t="shared" si="2"/>
        <v>12.148001068554967</v>
      </c>
    </row>
    <row r="9" spans="2:13" ht="23.1" customHeight="1" outlineLevel="1" x14ac:dyDescent="0.2">
      <c r="B9" s="31" t="s">
        <v>19</v>
      </c>
      <c r="C9" s="23">
        <f>72388115761</f>
        <v>72388115761</v>
      </c>
      <c r="D9" s="23">
        <f>18098050359</f>
        <v>18098050359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15.971855503165694</v>
      </c>
      <c r="K9" s="35">
        <f t="shared" si="1"/>
        <v>25.001411030994884</v>
      </c>
      <c r="L9" s="35">
        <f t="shared" si="2"/>
        <v>33.349039987589734</v>
      </c>
    </row>
    <row r="10" spans="2:13" ht="12.95" customHeight="1" outlineLevel="1" x14ac:dyDescent="0.2">
      <c r="B10" s="31" t="s">
        <v>20</v>
      </c>
      <c r="C10" s="23">
        <f>2239473632.34</f>
        <v>2239473632.3400002</v>
      </c>
      <c r="D10" s="23">
        <f>881129244.66</f>
        <v>881129244.65999997</v>
      </c>
      <c r="E10" s="23">
        <f>129441159.37</f>
        <v>129441159.37</v>
      </c>
      <c r="F10" s="23">
        <f>1061709.74</f>
        <v>1061709.74</v>
      </c>
      <c r="G10" s="23">
        <f>823838.82</f>
        <v>823838.82</v>
      </c>
      <c r="H10" s="23">
        <f>1142644.45</f>
        <v>1142644.45</v>
      </c>
      <c r="I10" s="24">
        <f>847</f>
        <v>847</v>
      </c>
      <c r="J10" s="35">
        <f t="shared" si="0"/>
        <v>0.77761243317153994</v>
      </c>
      <c r="K10" s="35">
        <f t="shared" si="1"/>
        <v>39.345372588259423</v>
      </c>
      <c r="L10" s="35">
        <f t="shared" si="2"/>
        <v>1.6236453005441147</v>
      </c>
    </row>
    <row r="11" spans="2:13" ht="12.95" customHeight="1" outlineLevel="1" x14ac:dyDescent="0.2">
      <c r="B11" s="31" t="s">
        <v>21</v>
      </c>
      <c r="C11" s="23">
        <f>34245656943.43</f>
        <v>34245656943.43</v>
      </c>
      <c r="D11" s="23">
        <f>10201146749</f>
        <v>10201146749</v>
      </c>
      <c r="E11" s="23">
        <f>1080551290.73</f>
        <v>1080551290.73</v>
      </c>
      <c r="F11" s="23">
        <f>297574370.87</f>
        <v>297574370.87</v>
      </c>
      <c r="G11" s="23">
        <f>25493803.71</f>
        <v>25493803.710000001</v>
      </c>
      <c r="H11" s="23">
        <f>74276554.17</f>
        <v>74276554.170000002</v>
      </c>
      <c r="I11" s="24">
        <f>3736175.79</f>
        <v>3736175.79</v>
      </c>
      <c r="J11" s="35">
        <f t="shared" si="0"/>
        <v>9.002695793726323</v>
      </c>
      <c r="K11" s="35">
        <f t="shared" si="1"/>
        <v>29.788147343329271</v>
      </c>
      <c r="L11" s="35">
        <f t="shared" si="2"/>
        <v>18.797519296463573</v>
      </c>
    </row>
    <row r="12" spans="2:13" ht="12.95" customHeight="1" outlineLevel="1" x14ac:dyDescent="0.2">
      <c r="B12" s="31" t="s">
        <v>22</v>
      </c>
      <c r="C12" s="23">
        <f>506034304.42</f>
        <v>506034304.42000002</v>
      </c>
      <c r="D12" s="23">
        <f>164868590.52</f>
        <v>164868590.52000001</v>
      </c>
      <c r="E12" s="23">
        <f>1736494.21</f>
        <v>1736494.21</v>
      </c>
      <c r="F12" s="23">
        <f>275469.52</f>
        <v>275469.52</v>
      </c>
      <c r="G12" s="23">
        <f>38755.13</f>
        <v>38755.129999999997</v>
      </c>
      <c r="H12" s="23">
        <f>11266.16</f>
        <v>11266.16</v>
      </c>
      <c r="I12" s="24">
        <f>0</f>
        <v>0</v>
      </c>
      <c r="J12" s="35">
        <f t="shared" si="0"/>
        <v>0.14549950146903742</v>
      </c>
      <c r="K12" s="35">
        <f t="shared" si="1"/>
        <v>32.580516593428783</v>
      </c>
      <c r="L12" s="35">
        <f t="shared" si="2"/>
        <v>0.30380118901674003</v>
      </c>
    </row>
    <row r="13" spans="2:13" ht="12.95" customHeight="1" outlineLevel="1" x14ac:dyDescent="0.2">
      <c r="B13" s="31" t="s">
        <v>23</v>
      </c>
      <c r="C13" s="23">
        <f>1519689107.64</f>
        <v>1519689107.6400001</v>
      </c>
      <c r="D13" s="23">
        <f>690466639.09</f>
        <v>690466639.09000003</v>
      </c>
      <c r="E13" s="23">
        <f>576734555.73</f>
        <v>576734555.73000002</v>
      </c>
      <c r="F13" s="23">
        <f>2121335.82</f>
        <v>2121335.8199999998</v>
      </c>
      <c r="G13" s="23">
        <f>817442.86</f>
        <v>817442.86</v>
      </c>
      <c r="H13" s="23">
        <f>5585935.92</f>
        <v>5585935.9199999999</v>
      </c>
      <c r="I13" s="24">
        <f>4549</f>
        <v>4549</v>
      </c>
      <c r="J13" s="35">
        <f t="shared" si="0"/>
        <v>0.60934924870610685</v>
      </c>
      <c r="K13" s="35">
        <f t="shared" si="1"/>
        <v>45.4347297495775</v>
      </c>
      <c r="L13" s="35">
        <f t="shared" si="2"/>
        <v>1.2723138183587976</v>
      </c>
    </row>
    <row r="14" spans="2:13" ht="33" customHeight="1" outlineLevel="1" x14ac:dyDescent="0.2">
      <c r="B14" s="31" t="s">
        <v>43</v>
      </c>
      <c r="C14" s="23">
        <f>180049854.14</f>
        <v>180049854.13999999</v>
      </c>
      <c r="D14" s="23">
        <f>30624362.56</f>
        <v>30624362.559999999</v>
      </c>
      <c r="E14" s="23">
        <f>0</f>
        <v>0</v>
      </c>
      <c r="F14" s="23">
        <f>0</f>
        <v>0</v>
      </c>
      <c r="G14" s="23">
        <f>28509.44</f>
        <v>28509.439999999999</v>
      </c>
      <c r="H14" s="23">
        <f>61945.81</f>
        <v>61945.81</v>
      </c>
      <c r="I14" s="24">
        <f>0</f>
        <v>0</v>
      </c>
      <c r="J14" s="35">
        <f t="shared" si="0"/>
        <v>2.7026551699345806E-2</v>
      </c>
      <c r="K14" s="35">
        <f t="shared" si="1"/>
        <v>17.008823865076639</v>
      </c>
      <c r="L14" s="35">
        <f t="shared" si="2"/>
        <v>5.6431111161098405E-2</v>
      </c>
    </row>
    <row r="15" spans="2:13" ht="12.95" customHeight="1" outlineLevel="1" x14ac:dyDescent="0.2">
      <c r="B15" s="31" t="s">
        <v>28</v>
      </c>
      <c r="C15" s="23">
        <f>478726888.47</f>
        <v>478726888.47000003</v>
      </c>
      <c r="D15" s="23">
        <f>145358529</f>
        <v>145358529</v>
      </c>
      <c r="E15" s="23">
        <f>0</f>
        <v>0</v>
      </c>
      <c r="F15" s="23">
        <f>0</f>
        <v>0</v>
      </c>
      <c r="G15" s="23">
        <f>1807165.5</f>
        <v>1807165.5</v>
      </c>
      <c r="H15" s="23">
        <f>7944197.26</f>
        <v>7944197.2599999998</v>
      </c>
      <c r="I15" s="24">
        <f>0</f>
        <v>0</v>
      </c>
      <c r="J15" s="35">
        <f t="shared" si="0"/>
        <v>0.12828152067695991</v>
      </c>
      <c r="K15" s="35">
        <f t="shared" si="1"/>
        <v>30.363560623169189</v>
      </c>
      <c r="L15" s="35">
        <f t="shared" si="2"/>
        <v>0.26785025458543771</v>
      </c>
    </row>
    <row r="16" spans="2:13" ht="23.1" customHeight="1" outlineLevel="1" x14ac:dyDescent="0.2">
      <c r="B16" s="31" t="s">
        <v>29</v>
      </c>
      <c r="C16" s="23">
        <f>3471325815.05</f>
        <v>3471325815.0500002</v>
      </c>
      <c r="D16" s="23">
        <f>955520560.49</f>
        <v>955520560.49000001</v>
      </c>
      <c r="E16" s="23">
        <f>0</f>
        <v>0</v>
      </c>
      <c r="F16" s="23">
        <f>0</f>
        <v>0</v>
      </c>
      <c r="G16" s="23">
        <f>38122.2</f>
        <v>38122.199999999997</v>
      </c>
      <c r="H16" s="23">
        <f>430797.25</f>
        <v>430797.25</v>
      </c>
      <c r="I16" s="24">
        <f>0</f>
        <v>0</v>
      </c>
      <c r="J16" s="35">
        <f t="shared" si="0"/>
        <v>0.84326410965371179</v>
      </c>
      <c r="K16" s="35">
        <f t="shared" si="1"/>
        <v>27.526098424622724</v>
      </c>
      <c r="L16" s="35">
        <f t="shared" si="2"/>
        <v>1.7607252023640567</v>
      </c>
    </row>
    <row r="17" spans="2:12" ht="12.95" customHeight="1" outlineLevel="1" x14ac:dyDescent="0.2">
      <c r="B17" s="31" t="s">
        <v>30</v>
      </c>
      <c r="C17" s="23">
        <f>606356523.46</f>
        <v>606356523.46000004</v>
      </c>
      <c r="D17" s="23">
        <f>178190443.72</f>
        <v>178190443.72</v>
      </c>
      <c r="E17" s="23">
        <f>0</f>
        <v>0</v>
      </c>
      <c r="F17" s="23">
        <f>0</f>
        <v>0</v>
      </c>
      <c r="G17" s="23">
        <f>2210</f>
        <v>2210</v>
      </c>
      <c r="H17" s="23">
        <f>4784</f>
        <v>4784</v>
      </c>
      <c r="I17" s="24">
        <f>0</f>
        <v>0</v>
      </c>
      <c r="J17" s="35">
        <f t="shared" si="0"/>
        <v>0.15725627692960376</v>
      </c>
      <c r="K17" s="35">
        <f t="shared" si="1"/>
        <v>29.387074571772924</v>
      </c>
      <c r="L17" s="35">
        <f t="shared" si="2"/>
        <v>0.32834919315325561</v>
      </c>
    </row>
    <row r="18" spans="2:12" ht="12.95" customHeight="1" outlineLevel="1" x14ac:dyDescent="0.2">
      <c r="B18" s="31" t="s">
        <v>31</v>
      </c>
      <c r="C18" s="23">
        <f>469555996.8</f>
        <v>469555996.80000001</v>
      </c>
      <c r="D18" s="23">
        <f>220250317.58</f>
        <v>220250317.58000001</v>
      </c>
      <c r="E18" s="23">
        <f>0</f>
        <v>0</v>
      </c>
      <c r="F18" s="23">
        <f>0</f>
        <v>0</v>
      </c>
      <c r="G18" s="23">
        <f>1056</f>
        <v>1056</v>
      </c>
      <c r="H18" s="23">
        <f>231621.19</f>
        <v>231621.19</v>
      </c>
      <c r="I18" s="24">
        <f>0</f>
        <v>0</v>
      </c>
      <c r="J18" s="35">
        <f t="shared" si="0"/>
        <v>0.19437487337771392</v>
      </c>
      <c r="K18" s="35">
        <f t="shared" si="1"/>
        <v>46.906081294029804</v>
      </c>
      <c r="L18" s="35">
        <f t="shared" si="2"/>
        <v>0.40585237097663873</v>
      </c>
    </row>
    <row r="19" spans="2:12" ht="12.95" customHeight="1" outlineLevel="1" x14ac:dyDescent="0.2">
      <c r="B19" s="31" t="s">
        <v>32</v>
      </c>
      <c r="C19" s="23">
        <f>131906605.43</f>
        <v>131906605.43000001</v>
      </c>
      <c r="D19" s="23">
        <f>18819751.45</f>
        <v>18819751.449999999</v>
      </c>
      <c r="E19" s="23">
        <f>110796.74</f>
        <v>110796.74</v>
      </c>
      <c r="F19" s="23">
        <f>0</f>
        <v>0</v>
      </c>
      <c r="G19" s="23">
        <f>15769</f>
        <v>15769</v>
      </c>
      <c r="H19" s="23">
        <f>60303.23</f>
        <v>60303.23</v>
      </c>
      <c r="I19" s="24">
        <f>0</f>
        <v>0</v>
      </c>
      <c r="J19" s="35">
        <f t="shared" si="0"/>
        <v>1.6608769718414122E-2</v>
      </c>
      <c r="K19" s="35">
        <f t="shared" si="1"/>
        <v>14.267482199735051</v>
      </c>
      <c r="L19" s="35">
        <f t="shared" si="2"/>
        <v>3.4678909120751764E-2</v>
      </c>
    </row>
    <row r="20" spans="2:12" ht="12.95" customHeight="1" outlineLevel="1" x14ac:dyDescent="0.2">
      <c r="B20" s="31" t="s">
        <v>24</v>
      </c>
      <c r="C20" s="23">
        <f>12111972066.92</f>
        <v>12111972066.92</v>
      </c>
      <c r="D20" s="23">
        <f>2607950870.91</f>
        <v>2607950870.9099998</v>
      </c>
      <c r="E20" s="23">
        <f>0</f>
        <v>0</v>
      </c>
      <c r="F20" s="23">
        <f>0</f>
        <v>0</v>
      </c>
      <c r="G20" s="23">
        <f>0</f>
        <v>0</v>
      </c>
      <c r="H20" s="23">
        <f>4150.72</f>
        <v>4150.72</v>
      </c>
      <c r="I20" s="24">
        <f>0</f>
        <v>0</v>
      </c>
      <c r="J20" s="35">
        <f t="shared" si="0"/>
        <v>2.3015636294113624</v>
      </c>
      <c r="K20" s="35">
        <f t="shared" si="1"/>
        <v>21.532008631631413</v>
      </c>
      <c r="L20" s="35">
        <f t="shared" si="2"/>
        <v>4.8056368589115088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51749458485.320023</v>
      </c>
      <c r="D21" s="23">
        <f t="shared" ref="D21:I21" si="3">D7-D8-D9-D10-D11-D12-D13-D14-D15-D16-D17-D18-D19-D20</f>
        <v>13483655677.449991</v>
      </c>
      <c r="E21" s="23">
        <f t="shared" si="3"/>
        <v>9243567.8799998853</v>
      </c>
      <c r="F21" s="23">
        <f t="shared" si="3"/>
        <v>11644.999999973923</v>
      </c>
      <c r="G21" s="23">
        <f t="shared" si="3"/>
        <v>4881457.6999999974</v>
      </c>
      <c r="H21" s="23">
        <f t="shared" si="3"/>
        <v>9260419.8099999968</v>
      </c>
      <c r="I21" s="24">
        <f t="shared" si="3"/>
        <v>232094.5299999998</v>
      </c>
      <c r="J21" s="35">
        <f t="shared" si="0"/>
        <v>11.899569062010862</v>
      </c>
      <c r="K21" s="35">
        <f t="shared" si="1"/>
        <v>26.055645937386867</v>
      </c>
      <c r="L21" s="35">
        <f t="shared" si="2"/>
        <v>24.846155439199322</v>
      </c>
    </row>
    <row r="22" spans="2:12" ht="27.95" customHeight="1" x14ac:dyDescent="0.2">
      <c r="B22" s="77" t="s">
        <v>103</v>
      </c>
      <c r="C22" s="58">
        <f>C23+C42+C44</f>
        <v>99997833388.98999</v>
      </c>
      <c r="D22" s="58">
        <f>D23+D42+D44</f>
        <v>18224716816.150002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16.083640933671568</v>
      </c>
      <c r="K22" s="59">
        <f t="shared" si="1"/>
        <v>18.225111683426324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85227973140.399994</v>
      </c>
      <c r="D23" s="58">
        <f>D24+D26+D28+D30+D32+D34+D36+D38+D40</f>
        <v>15918108620.809999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14.048017644554808</v>
      </c>
      <c r="K23" s="59">
        <f t="shared" si="1"/>
        <v>18.677093956684107</v>
      </c>
      <c r="L23" s="61"/>
    </row>
    <row r="24" spans="2:12" ht="24.95" customHeight="1" outlineLevel="1" x14ac:dyDescent="0.2">
      <c r="B24" s="81" t="s">
        <v>9</v>
      </c>
      <c r="C24" s="24">
        <f>24567255430.97</f>
        <v>24567255430.970001</v>
      </c>
      <c r="D24" s="24">
        <f>8539089067.22</f>
        <v>8539089067.2200003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7.5358999452930941</v>
      </c>
      <c r="K24" s="35">
        <f t="shared" si="1"/>
        <v>34.758009868922699</v>
      </c>
      <c r="L24" s="30"/>
    </row>
    <row r="25" spans="2:12" ht="12.95" customHeight="1" outlineLevel="1" x14ac:dyDescent="0.2">
      <c r="B25" s="83" t="s">
        <v>6</v>
      </c>
      <c r="C25" s="24">
        <f>264329303</f>
        <v>264329303</v>
      </c>
      <c r="D25" s="24">
        <f>9233021.85</f>
        <v>9233021.8499999996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8.148308128252988E-3</v>
      </c>
      <c r="K25" s="35">
        <f t="shared" si="1"/>
        <v>3.4929997337449947</v>
      </c>
      <c r="L25" s="30"/>
    </row>
    <row r="26" spans="2:12" ht="12.95" customHeight="1" outlineLevel="1" x14ac:dyDescent="0.2">
      <c r="B26" s="81" t="s">
        <v>7</v>
      </c>
      <c r="C26" s="24">
        <f>8580946228.21</f>
        <v>8580946228.21</v>
      </c>
      <c r="D26" s="24">
        <f>1934699755.87</f>
        <v>1934699755.8699999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1.7074073908407994</v>
      </c>
      <c r="K26" s="35">
        <f t="shared" si="1"/>
        <v>22.546461711992123</v>
      </c>
      <c r="L26" s="30"/>
    </row>
    <row r="27" spans="2:12" ht="12.95" customHeight="1" outlineLevel="1" x14ac:dyDescent="0.2">
      <c r="B27" s="83" t="s">
        <v>6</v>
      </c>
      <c r="C27" s="24">
        <f>1428127784.95</f>
        <v>1428127784.95</v>
      </c>
      <c r="D27" s="24">
        <f>27428811.68</f>
        <v>27428811.68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2.4206420475487607E-2</v>
      </c>
      <c r="K27" s="35">
        <f t="shared" si="1"/>
        <v>1.9206132650769976</v>
      </c>
      <c r="L27" s="30"/>
    </row>
    <row r="28" spans="2:12" ht="33" customHeight="1" outlineLevel="1" x14ac:dyDescent="0.2">
      <c r="B28" s="81" t="s">
        <v>10</v>
      </c>
      <c r="C28" s="24">
        <f>316171785.49</f>
        <v>316171785.49000001</v>
      </c>
      <c r="D28" s="24">
        <f>38434467.57</f>
        <v>38434467.57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3.3919110080488639E-2</v>
      </c>
      <c r="K28" s="35">
        <f t="shared" si="1"/>
        <v>12.156197780404291</v>
      </c>
      <c r="L28" s="30"/>
    </row>
    <row r="29" spans="2:12" ht="12.95" customHeight="1" outlineLevel="1" x14ac:dyDescent="0.2">
      <c r="B29" s="83" t="s">
        <v>6</v>
      </c>
      <c r="C29" s="24">
        <f>56672366.76</f>
        <v>56672366.759999998</v>
      </c>
      <c r="D29" s="24">
        <f>1549535.53</f>
        <v>1549535.53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1.3674930222455611E-3</v>
      </c>
      <c r="K29" s="35">
        <f t="shared" si="1"/>
        <v>2.7341994319066973</v>
      </c>
      <c r="L29" s="30"/>
    </row>
    <row r="30" spans="2:12" ht="27.95" customHeight="1" outlineLevel="1" x14ac:dyDescent="0.2">
      <c r="B30" s="81" t="s">
        <v>11</v>
      </c>
      <c r="C30" s="24">
        <f>1995009116.8</f>
        <v>1995009116.8</v>
      </c>
      <c r="D30" s="24">
        <f>434662130.57</f>
        <v>434662130.56999999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0.38359716126603688</v>
      </c>
      <c r="K30" s="35">
        <f t="shared" si="1"/>
        <v>21.78747590222541</v>
      </c>
      <c r="L30" s="30"/>
    </row>
    <row r="31" spans="2:12" ht="12.95" customHeight="1" outlineLevel="1" x14ac:dyDescent="0.2">
      <c r="B31" s="83" t="s">
        <v>6</v>
      </c>
      <c r="C31" s="24">
        <f>344446150.79</f>
        <v>344446150.79000002</v>
      </c>
      <c r="D31" s="24">
        <f>24262343.99</f>
        <v>24262343.989999998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2.1411955690778205E-2</v>
      </c>
      <c r="K31" s="35">
        <f t="shared" si="1"/>
        <v>7.043871424997322</v>
      </c>
      <c r="L31" s="30"/>
    </row>
    <row r="32" spans="2:12" ht="33.75" outlineLevel="1" x14ac:dyDescent="0.2">
      <c r="B32" s="81" t="s">
        <v>79</v>
      </c>
      <c r="C32" s="24">
        <f>2383237775.93</f>
        <v>2383237775.9299998</v>
      </c>
      <c r="D32" s="24">
        <f>394004055.66</f>
        <v>394004055.66000003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0.34771567764664396</v>
      </c>
      <c r="K32" s="35">
        <f t="shared" si="1"/>
        <v>16.532301545373482</v>
      </c>
      <c r="L32" s="30"/>
    </row>
    <row r="33" spans="2:12" ht="12.95" customHeight="1" outlineLevel="1" x14ac:dyDescent="0.2">
      <c r="B33" s="83" t="s">
        <v>6</v>
      </c>
      <c r="C33" s="24">
        <f>1966865404.11</f>
        <v>1966865404.1099999</v>
      </c>
      <c r="D33" s="24">
        <f>266746453.39</f>
        <v>266746453.38999999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0.23540855092207907</v>
      </c>
      <c r="K33" s="35">
        <f t="shared" si="1"/>
        <v>13.562008505137234</v>
      </c>
      <c r="L33" s="30"/>
    </row>
    <row r="34" spans="2:12" ht="12.95" customHeight="1" outlineLevel="1" x14ac:dyDescent="0.2">
      <c r="B34" s="81" t="s">
        <v>8</v>
      </c>
      <c r="C34" s="24">
        <f>966057981.93</f>
        <v>966057981.92999995</v>
      </c>
      <c r="D34" s="24">
        <f>113193962.54</f>
        <v>113193962.54000001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9.9895711286965727E-2</v>
      </c>
      <c r="K34" s="35">
        <f t="shared" si="1"/>
        <v>11.717098213283224</v>
      </c>
      <c r="L34" s="30"/>
    </row>
    <row r="35" spans="2:12" ht="12.95" customHeight="1" outlineLevel="1" x14ac:dyDescent="0.2">
      <c r="B35" s="83" t="s">
        <v>6</v>
      </c>
      <c r="C35" s="24">
        <f>856467095.08</f>
        <v>856467095.08000004</v>
      </c>
      <c r="D35" s="24">
        <f>66782319.12</f>
        <v>66782319.119999997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5.8936599799022556E-2</v>
      </c>
      <c r="K35" s="35">
        <f t="shared" si="1"/>
        <v>7.7974179631223386</v>
      </c>
      <c r="L35" s="30"/>
    </row>
    <row r="36" spans="2:12" ht="67.5" outlineLevel="1" x14ac:dyDescent="0.2">
      <c r="B36" s="81" t="s">
        <v>96</v>
      </c>
      <c r="C36" s="24">
        <f>6014074.96</f>
        <v>6014074.96</v>
      </c>
      <c r="D36" s="24">
        <f>0</f>
        <v>0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0</v>
      </c>
      <c r="K36" s="35">
        <f t="shared" si="1"/>
        <v>0</v>
      </c>
      <c r="L36" s="30"/>
    </row>
    <row r="37" spans="2:12" ht="12.95" customHeight="1" outlineLevel="1" x14ac:dyDescent="0.2">
      <c r="B37" s="83" t="s">
        <v>94</v>
      </c>
      <c r="C37" s="24">
        <f>4653719.96</f>
        <v>4653719.96</v>
      </c>
      <c r="D37" s="24">
        <f>0</f>
        <v>0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0</v>
      </c>
      <c r="K37" s="35">
        <f t="shared" si="1"/>
        <v>0</v>
      </c>
      <c r="L37" s="30"/>
    </row>
    <row r="38" spans="2:12" ht="45" outlineLevel="1" x14ac:dyDescent="0.2">
      <c r="B38" s="84" t="s">
        <v>93</v>
      </c>
      <c r="C38" s="24">
        <f>45004517982.92</f>
        <v>45004517982.919998</v>
      </c>
      <c r="D38" s="24">
        <f>3310916783.3</f>
        <v>3310916783.3000002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2.9219437119963736</v>
      </c>
      <c r="K38" s="35">
        <f t="shared" si="1"/>
        <v>7.3568542264057815</v>
      </c>
      <c r="L38" s="30"/>
    </row>
    <row r="39" spans="2:12" ht="12.95" customHeight="1" outlineLevel="1" x14ac:dyDescent="0.2">
      <c r="B39" s="85" t="s">
        <v>6</v>
      </c>
      <c r="C39" s="24">
        <f>44810645598.59</f>
        <v>44810645598.589996</v>
      </c>
      <c r="D39" s="24">
        <f>3248966216.58</f>
        <v>3248966216.5799999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2.8672712207410371</v>
      </c>
      <c r="K39" s="35">
        <f t="shared" si="1"/>
        <v>7.25043384932225</v>
      </c>
      <c r="L39" s="30"/>
    </row>
    <row r="40" spans="2:12" ht="22.5" outlineLevel="1" x14ac:dyDescent="0.2">
      <c r="B40" s="84" t="s">
        <v>105</v>
      </c>
      <c r="C40" s="24">
        <f>1408762763.19</f>
        <v>1408762763.1900001</v>
      </c>
      <c r="D40" s="24">
        <f>1153108398.08</f>
        <v>1153108398.0799999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1.0176389361444049</v>
      </c>
      <c r="K40" s="35">
        <f t="shared" si="1"/>
        <v>81.852560857649536</v>
      </c>
      <c r="L40" s="30"/>
    </row>
    <row r="41" spans="2:12" ht="12.95" customHeight="1" outlineLevel="1" x14ac:dyDescent="0.2">
      <c r="B41" s="85" t="s">
        <v>6</v>
      </c>
      <c r="C41" s="24">
        <f>2491576.39</f>
        <v>2491576.39</v>
      </c>
      <c r="D41" s="24">
        <f>20747.39</f>
        <v>20747.39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1.8309945467857282E-5</v>
      </c>
      <c r="K41" s="35">
        <f t="shared" si="1"/>
        <v>0.83270134053565981</v>
      </c>
      <c r="L41" s="30"/>
    </row>
    <row r="42" spans="2:12" ht="14.1" customHeight="1" outlineLevel="1" x14ac:dyDescent="0.2">
      <c r="B42" s="82" t="s">
        <v>71</v>
      </c>
      <c r="C42" s="58">
        <f>2031616468.28</f>
        <v>2031616468.28</v>
      </c>
      <c r="D42" s="58">
        <f>324280982.44</f>
        <v>324280982.44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0.28618380937262877</v>
      </c>
      <c r="K42" s="59">
        <f t="shared" si="1"/>
        <v>15.961722475824466</v>
      </c>
      <c r="L42" s="30"/>
    </row>
    <row r="43" spans="2:12" ht="12.95" customHeight="1" outlineLevel="1" x14ac:dyDescent="0.2">
      <c r="B43" s="88" t="s">
        <v>72</v>
      </c>
      <c r="C43" s="23">
        <f>1134984779.23</f>
        <v>1134984779.23</v>
      </c>
      <c r="D43" s="23">
        <f>161312158.96</f>
        <v>161312158.96000001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0.14236088654331583</v>
      </c>
      <c r="K43" s="35">
        <f t="shared" si="1"/>
        <v>14.212715616277947</v>
      </c>
      <c r="L43" s="30"/>
    </row>
    <row r="44" spans="2:12" ht="14.1" customHeight="1" outlineLevel="1" x14ac:dyDescent="0.2">
      <c r="B44" s="82" t="s">
        <v>84</v>
      </c>
      <c r="C44" s="58">
        <f>12738243780.31</f>
        <v>12738243780.309999</v>
      </c>
      <c r="D44" s="58">
        <f>1982327212.9</f>
        <v>1982327212.9000001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1.7494394797441273</v>
      </c>
      <c r="K44" s="59">
        <f t="shared" si="1"/>
        <v>15.562013469738744</v>
      </c>
      <c r="L44" s="30"/>
    </row>
    <row r="45" spans="2:12" ht="12.95" customHeight="1" outlineLevel="1" x14ac:dyDescent="0.2">
      <c r="B45" s="88" t="s">
        <v>85</v>
      </c>
      <c r="C45" s="23">
        <f>9779983243.44999</f>
        <v>9779983243.4499893</v>
      </c>
      <c r="D45" s="23">
        <f>1284068772.48</f>
        <v>1284068772.48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1.1332138259842437</v>
      </c>
      <c r="K45" s="35">
        <f t="shared" si="1"/>
        <v>13.129560046434513</v>
      </c>
      <c r="L45" s="30"/>
    </row>
    <row r="46" spans="2:12" ht="27.95" customHeight="1" x14ac:dyDescent="0.2">
      <c r="B46" s="77" t="s">
        <v>61</v>
      </c>
      <c r="C46" s="58">
        <f>C47+C48+C49+C50+C51+C52+C53</f>
        <v>115079065458.44</v>
      </c>
      <c r="D46" s="58">
        <f>D47+D48+D49+D50+D51+D52+D53</f>
        <v>40818837748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36.023359720292255</v>
      </c>
      <c r="K46" s="59">
        <f t="shared" si="1"/>
        <v>35.470254807327606</v>
      </c>
      <c r="L46" s="30"/>
    </row>
    <row r="47" spans="2:12" ht="15" customHeight="1" outlineLevel="1" x14ac:dyDescent="0.2">
      <c r="B47" s="31" t="s">
        <v>47</v>
      </c>
      <c r="C47" s="23">
        <f>20995018725</f>
        <v>20995018725</v>
      </c>
      <c r="D47" s="23">
        <f>5249806836</f>
        <v>5249806836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4.6330491152836268</v>
      </c>
      <c r="K47" s="35">
        <f t="shared" si="1"/>
        <v>25.005011449447991</v>
      </c>
      <c r="L47" s="30"/>
    </row>
    <row r="48" spans="2:12" ht="15" customHeight="1" outlineLevel="1" x14ac:dyDescent="0.2">
      <c r="B48" s="31" t="s">
        <v>46</v>
      </c>
      <c r="C48" s="23">
        <f>86519578702.25</f>
        <v>86519578702.25</v>
      </c>
      <c r="D48" s="23">
        <f>33670727260</f>
        <v>33670727260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29.715023431559132</v>
      </c>
      <c r="K48" s="35">
        <f t="shared" si="1"/>
        <v>38.916887674493921</v>
      </c>
      <c r="L48" s="30"/>
    </row>
    <row r="49" spans="1:26" ht="15" customHeight="1" outlineLevel="1" x14ac:dyDescent="0.2">
      <c r="B49" s="31" t="s">
        <v>45</v>
      </c>
      <c r="C49" s="23">
        <f>3473828</f>
        <v>3473828</v>
      </c>
      <c r="D49" s="23">
        <f>0</f>
        <v>0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0</v>
      </c>
      <c r="K49" s="35">
        <f t="shared" si="1"/>
        <v>0</v>
      </c>
      <c r="L49" s="30"/>
    </row>
    <row r="50" spans="1:26" ht="15" customHeight="1" outlineLevel="1" x14ac:dyDescent="0.2">
      <c r="B50" s="31" t="s">
        <v>44</v>
      </c>
      <c r="C50" s="23">
        <f>3107464747</f>
        <v>3107464747</v>
      </c>
      <c r="D50" s="23">
        <f>776123013</f>
        <v>776123013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0.68494254189944315</v>
      </c>
      <c r="K50" s="35">
        <f t="shared" si="1"/>
        <v>24.97608424196228</v>
      </c>
      <c r="L50" s="30"/>
    </row>
    <row r="51" spans="1:26" ht="15" customHeight="1" outlineLevel="1" x14ac:dyDescent="0.2">
      <c r="B51" s="31" t="s">
        <v>57</v>
      </c>
      <c r="C51" s="23">
        <f>1257099546</f>
        <v>1257099546</v>
      </c>
      <c r="D51" s="23">
        <f>314274885</f>
        <v>314274885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0.27735324810817735</v>
      </c>
      <c r="K51" s="35">
        <f t="shared" si="1"/>
        <v>24.999999880677706</v>
      </c>
      <c r="L51" s="30"/>
    </row>
    <row r="52" spans="1:26" ht="15" customHeight="1" outlineLevel="1" x14ac:dyDescent="0.2">
      <c r="B52" s="31" t="s">
        <v>115</v>
      </c>
      <c r="C52" s="23">
        <f>2810772897.23</f>
        <v>2810772897.23</v>
      </c>
      <c r="D52" s="23">
        <f>807750294</f>
        <v>807750294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0.71285418719104843</v>
      </c>
      <c r="K52" s="35">
        <f>IF(C52=0,"",100*D52/C52)</f>
        <v>28.737657702478671</v>
      </c>
      <c r="L52" s="30"/>
    </row>
    <row r="53" spans="1:26" ht="15" customHeight="1" outlineLevel="1" x14ac:dyDescent="0.2">
      <c r="B53" s="31" t="s">
        <v>42</v>
      </c>
      <c r="C53" s="23">
        <f>385657012.96</f>
        <v>385657012.95999998</v>
      </c>
      <c r="D53" s="23">
        <f>155460</f>
        <v>155460</v>
      </c>
      <c r="E53" s="23" t="s">
        <v>58</v>
      </c>
      <c r="F53" s="23" t="s">
        <v>58</v>
      </c>
      <c r="G53" s="23" t="s">
        <v>58</v>
      </c>
      <c r="H53" s="23" t="s">
        <v>58</v>
      </c>
      <c r="I53" s="23" t="s">
        <v>58</v>
      </c>
      <c r="J53" s="35">
        <f t="shared" si="0"/>
        <v>1.3719625082639757E-4</v>
      </c>
      <c r="K53" s="35">
        <f>IF(C53=0,"",100*D53/C53)</f>
        <v>4.0310429935348842E-2</v>
      </c>
      <c r="L53" s="30"/>
    </row>
    <row r="54" spans="1:26" s="6" customFormat="1" ht="13.5" customHeigh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ht="18.75" customHeight="1" x14ac:dyDescent="0.2">
      <c r="A55" s="3"/>
      <c r="B55" s="62" t="s">
        <v>5</v>
      </c>
      <c r="C55" s="63">
        <f t="shared" ref="C55:I55" si="4">+C6</f>
        <v>421544433425.25</v>
      </c>
      <c r="D55" s="63">
        <f t="shared" si="4"/>
        <v>113312134306.58</v>
      </c>
      <c r="E55" s="63">
        <f t="shared" si="4"/>
        <v>1797817864.6600001</v>
      </c>
      <c r="F55" s="63">
        <f t="shared" si="4"/>
        <v>301044530.94999999</v>
      </c>
      <c r="G55" s="63">
        <f t="shared" si="4"/>
        <v>33948130.359999999</v>
      </c>
      <c r="H55" s="63">
        <f t="shared" si="4"/>
        <v>99014619.969999999</v>
      </c>
      <c r="I55" s="63">
        <f t="shared" si="4"/>
        <v>3973666.32</v>
      </c>
      <c r="J55" s="64">
        <f>IF($D$55=0,"",100*$D55/$D$55)</f>
        <v>100</v>
      </c>
      <c r="K55" s="64">
        <f>IF(C55=0,"",100*D55/C55)</f>
        <v>26.880234993465518</v>
      </c>
      <c r="L55" s="4"/>
    </row>
    <row r="56" spans="1:26" s="6" customFormat="1" ht="20.100000000000001" customHeight="1" x14ac:dyDescent="0.2">
      <c r="A56" s="3"/>
      <c r="B56" s="55" t="s">
        <v>74</v>
      </c>
      <c r="C56" s="56">
        <f>76463381288.0801</f>
        <v>76463381288.080093</v>
      </c>
      <c r="D56" s="56">
        <f>7408586942.04</f>
        <v>7408586942.04</v>
      </c>
      <c r="E56" s="56">
        <f>0</f>
        <v>0</v>
      </c>
      <c r="F56" s="56">
        <f>0</f>
        <v>0</v>
      </c>
      <c r="G56" s="56">
        <f>0</f>
        <v>0</v>
      </c>
      <c r="H56" s="56">
        <f>0</f>
        <v>0</v>
      </c>
      <c r="I56" s="56">
        <f>0</f>
        <v>0</v>
      </c>
      <c r="J56" s="36">
        <f>IF($D$55=0,"",100*$D56/$D$55)</f>
        <v>6.538211452266137</v>
      </c>
      <c r="K56" s="36">
        <f>IF(C56=0,"",100*D56/C56)</f>
        <v>9.6890652979728049</v>
      </c>
      <c r="L56" s="4"/>
    </row>
    <row r="57" spans="1:26" s="6" customFormat="1" ht="20.100000000000001" customHeight="1" x14ac:dyDescent="0.2">
      <c r="A57" s="3"/>
      <c r="B57" s="55" t="s">
        <v>75</v>
      </c>
      <c r="C57" s="56">
        <f>+C55-C56</f>
        <v>345081052137.16992</v>
      </c>
      <c r="D57" s="56">
        <f t="shared" ref="D57:I57" si="5">+D55-D56</f>
        <v>105903547364.54001</v>
      </c>
      <c r="E57" s="56">
        <f t="shared" si="5"/>
        <v>1797817864.6600001</v>
      </c>
      <c r="F57" s="56">
        <f t="shared" si="5"/>
        <v>301044530.94999999</v>
      </c>
      <c r="G57" s="56">
        <f t="shared" si="5"/>
        <v>33948130.359999999</v>
      </c>
      <c r="H57" s="56">
        <f t="shared" si="5"/>
        <v>99014619.969999999</v>
      </c>
      <c r="I57" s="56">
        <f t="shared" si="5"/>
        <v>3973666.32</v>
      </c>
      <c r="J57" s="36">
        <f>IF($D$55=0,"",100*$D57/$D$55)</f>
        <v>93.46178854773386</v>
      </c>
      <c r="K57" s="36">
        <f>IF(C57=0,"",100*D57/C57)</f>
        <v>30.689470403736706</v>
      </c>
      <c r="L57" s="4"/>
    </row>
    <row r="58" spans="1:26" s="6" customFormat="1" ht="13.5" customHeight="1" x14ac:dyDescent="0.2">
      <c r="A58" s="3"/>
      <c r="B58" s="92" t="s">
        <v>106</v>
      </c>
      <c r="C58" s="92"/>
      <c r="D58" s="92"/>
      <c r="E58" s="92"/>
      <c r="F58" s="92"/>
      <c r="G58" s="16"/>
      <c r="H58" s="16"/>
      <c r="I58" s="16"/>
      <c r="J58" s="16"/>
      <c r="K58" s="10"/>
      <c r="L58" s="10"/>
      <c r="M58" s="4"/>
    </row>
    <row r="59" spans="1:26" ht="27" customHeight="1" x14ac:dyDescent="0.2">
      <c r="B59" s="87" t="str">
        <f>CONCATENATE("Informacja z wykonania budżetów jednostek samorządu terytorialnego za ",$D$118," ",$C$119," roku")</f>
        <v>Informacja z wykonania budżetów jednostek samorządu terytorialnego za I Kwartał 2024 roku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26" s="6" customFormat="1" ht="9.75" customHeigh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29.25" customHeight="1" x14ac:dyDescent="0.2">
      <c r="B61" s="119" t="s">
        <v>0</v>
      </c>
      <c r="C61" s="107" t="s">
        <v>53</v>
      </c>
      <c r="D61" s="107" t="s">
        <v>55</v>
      </c>
      <c r="E61" s="107" t="s">
        <v>54</v>
      </c>
      <c r="F61" s="107" t="s">
        <v>12</v>
      </c>
      <c r="G61" s="107"/>
      <c r="H61" s="107"/>
      <c r="I61" s="104" t="s">
        <v>86</v>
      </c>
      <c r="J61" s="104" t="s">
        <v>2</v>
      </c>
      <c r="K61" s="101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 x14ac:dyDescent="0.2">
      <c r="B62" s="119"/>
      <c r="C62" s="107"/>
      <c r="D62" s="107"/>
      <c r="E62" s="107"/>
      <c r="F62" s="96" t="s">
        <v>56</v>
      </c>
      <c r="G62" s="108" t="s">
        <v>33</v>
      </c>
      <c r="H62" s="109"/>
      <c r="I62" s="105"/>
      <c r="J62" s="105"/>
      <c r="K62" s="102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66.75" customHeight="1" x14ac:dyDescent="0.2">
      <c r="B63" s="119"/>
      <c r="C63" s="107"/>
      <c r="D63" s="107"/>
      <c r="E63" s="107"/>
      <c r="F63" s="109"/>
      <c r="G63" s="18" t="s">
        <v>51</v>
      </c>
      <c r="H63" s="18" t="s">
        <v>52</v>
      </c>
      <c r="I63" s="106"/>
      <c r="J63" s="106"/>
      <c r="K63" s="103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.5" customHeight="1" x14ac:dyDescent="0.2">
      <c r="B64" s="119"/>
      <c r="C64" s="120" t="s">
        <v>78</v>
      </c>
      <c r="D64" s="121"/>
      <c r="E64" s="121"/>
      <c r="F64" s="121"/>
      <c r="G64" s="121"/>
      <c r="H64" s="122"/>
      <c r="I64" s="72"/>
      <c r="J64" s="100" t="s">
        <v>4</v>
      </c>
      <c r="K64" s="100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7" customHeight="1" x14ac:dyDescent="0.2">
      <c r="B66" s="57" t="s">
        <v>62</v>
      </c>
      <c r="C66" s="63">
        <f>458500226525.85</f>
        <v>458500226525.84998</v>
      </c>
      <c r="D66" s="63">
        <f>89683016412.85</f>
        <v>89683016412.850006</v>
      </c>
      <c r="E66" s="63">
        <f>286887863205.35</f>
        <v>286887863205.34998</v>
      </c>
      <c r="F66" s="63">
        <f>11689823884.09</f>
        <v>11689823884.09</v>
      </c>
      <c r="G66" s="63">
        <f>18392695.55</f>
        <v>18392695.550000001</v>
      </c>
      <c r="H66" s="63">
        <f>19954324.73</f>
        <v>19954324.73</v>
      </c>
      <c r="I66" s="69">
        <f>0</f>
        <v>0</v>
      </c>
      <c r="J66" s="50">
        <f>IF($D$66=0,"",100*$D66/$D$66)</f>
        <v>100</v>
      </c>
      <c r="K66" s="50">
        <f>IF(C66=0,"",100*D66/C66)</f>
        <v>19.560081156861482</v>
      </c>
    </row>
    <row r="67" spans="2:26" ht="16.5" customHeight="1" x14ac:dyDescent="0.2">
      <c r="B67" s="76" t="s">
        <v>14</v>
      </c>
      <c r="C67" s="27">
        <f>124241762007.74</f>
        <v>124241762007.74001</v>
      </c>
      <c r="D67" s="27">
        <f>9292636867.51</f>
        <v>9292636867.5100002</v>
      </c>
      <c r="E67" s="27">
        <f>54475647654.6899</f>
        <v>54475647654.689903</v>
      </c>
      <c r="F67" s="27">
        <f>2108745171.55</f>
        <v>2108745171.55</v>
      </c>
      <c r="G67" s="27">
        <f>1098641.52</f>
        <v>1098641.52</v>
      </c>
      <c r="H67" s="27">
        <f>7758767.56</f>
        <v>7758767.5599999996</v>
      </c>
      <c r="I67" s="70">
        <f>0</f>
        <v>0</v>
      </c>
      <c r="J67" s="50">
        <f t="shared" ref="J67:J75" si="6">IF($D$66=0,"",100*$D67/$D$66)</f>
        <v>10.361646205934848</v>
      </c>
      <c r="K67" s="50">
        <f t="shared" ref="K67:K75" si="7">IF(C67=0,"",100*D67/C67)</f>
        <v>7.4794792969300357</v>
      </c>
    </row>
    <row r="68" spans="2:26" ht="18" customHeight="1" outlineLevel="1" x14ac:dyDescent="0.2">
      <c r="B68" s="31" t="s">
        <v>13</v>
      </c>
      <c r="C68" s="23">
        <f>120862476795.55</f>
        <v>120862476795.55</v>
      </c>
      <c r="D68" s="23">
        <f>8388290187.74</f>
        <v>8388290187.7399998</v>
      </c>
      <c r="E68" s="23">
        <f>52975476790.9399</f>
        <v>52975476790.939903</v>
      </c>
      <c r="F68" s="23">
        <f>2061379247.59</f>
        <v>2061379247.5899999</v>
      </c>
      <c r="G68" s="23">
        <f>1098641.52</f>
        <v>1098641.52</v>
      </c>
      <c r="H68" s="23">
        <f>7758767.56</f>
        <v>7758767.5599999996</v>
      </c>
      <c r="I68" s="71">
        <f>0</f>
        <v>0</v>
      </c>
      <c r="J68" s="50">
        <f t="shared" si="6"/>
        <v>9.3532650029578015</v>
      </c>
      <c r="K68" s="50">
        <f t="shared" si="7"/>
        <v>6.9403593324746806</v>
      </c>
    </row>
    <row r="69" spans="2:26" ht="27" customHeight="1" x14ac:dyDescent="0.2">
      <c r="B69" s="77" t="s">
        <v>63</v>
      </c>
      <c r="C69" s="63">
        <f t="shared" ref="C69:I69" si="8">C66-C67</f>
        <v>334258464518.10999</v>
      </c>
      <c r="D69" s="63">
        <f t="shared" si="8"/>
        <v>80390379545.340012</v>
      </c>
      <c r="E69" s="63">
        <f t="shared" si="8"/>
        <v>232412215550.66006</v>
      </c>
      <c r="F69" s="63">
        <f t="shared" si="8"/>
        <v>9581078712.5400009</v>
      </c>
      <c r="G69" s="63">
        <f t="shared" si="8"/>
        <v>17294054.030000001</v>
      </c>
      <c r="H69" s="63">
        <f t="shared" si="8"/>
        <v>12195557.170000002</v>
      </c>
      <c r="I69" s="69">
        <f t="shared" si="8"/>
        <v>0</v>
      </c>
      <c r="J69" s="50">
        <f t="shared" si="6"/>
        <v>89.638353794065154</v>
      </c>
      <c r="K69" s="50">
        <f t="shared" si="7"/>
        <v>24.050364636610269</v>
      </c>
    </row>
    <row r="70" spans="2:26" ht="23.1" customHeight="1" outlineLevel="1" x14ac:dyDescent="0.2">
      <c r="B70" s="31" t="s">
        <v>101</v>
      </c>
      <c r="C70" s="23">
        <f>154203595599.94</f>
        <v>154203595599.94</v>
      </c>
      <c r="D70" s="23">
        <f>41601271908.4999</f>
        <v>41601271908.499901</v>
      </c>
      <c r="E70" s="23">
        <f>127617784284.82</f>
        <v>127617784284.82001</v>
      </c>
      <c r="F70" s="23">
        <f>4791538286.46</f>
        <v>4791538286.46</v>
      </c>
      <c r="G70" s="23">
        <f>968334.65</f>
        <v>968334.65</v>
      </c>
      <c r="H70" s="23">
        <f>571265.29</f>
        <v>571265.29</v>
      </c>
      <c r="I70" s="71">
        <f>0</f>
        <v>0</v>
      </c>
      <c r="J70" s="50">
        <f t="shared" si="6"/>
        <v>46.387012360279144</v>
      </c>
      <c r="K70" s="50">
        <f t="shared" si="7"/>
        <v>26.978146486563567</v>
      </c>
    </row>
    <row r="71" spans="2:26" ht="18" customHeight="1" outlineLevel="1" x14ac:dyDescent="0.2">
      <c r="B71" s="31" t="s">
        <v>50</v>
      </c>
      <c r="C71" s="23">
        <f>42282939433.78</f>
        <v>42282939433.779999</v>
      </c>
      <c r="D71" s="23">
        <f>10711772971.15</f>
        <v>10711772971.15</v>
      </c>
      <c r="E71" s="23">
        <f>26475555092.82</f>
        <v>26475555092.82</v>
      </c>
      <c r="F71" s="23">
        <f>604371885.17</f>
        <v>604371885.16999996</v>
      </c>
      <c r="G71" s="23">
        <f>11792</f>
        <v>11792</v>
      </c>
      <c r="H71" s="23">
        <f>310764</f>
        <v>310764</v>
      </c>
      <c r="I71" s="71">
        <f>0</f>
        <v>0</v>
      </c>
      <c r="J71" s="50">
        <f t="shared" si="6"/>
        <v>11.944037343524487</v>
      </c>
      <c r="K71" s="50">
        <f t="shared" si="7"/>
        <v>25.333557965916448</v>
      </c>
    </row>
    <row r="72" spans="2:26" ht="18" customHeight="1" outlineLevel="1" x14ac:dyDescent="0.2">
      <c r="B72" s="31" t="s">
        <v>49</v>
      </c>
      <c r="C72" s="23">
        <f>6746109644.05</f>
        <v>6746109644.0500002</v>
      </c>
      <c r="D72" s="23">
        <f>1031276343.59</f>
        <v>1031276343.59</v>
      </c>
      <c r="E72" s="23">
        <f>3242451445.11</f>
        <v>3242451445.1100001</v>
      </c>
      <c r="F72" s="23">
        <f>369134137.09</f>
        <v>369134137.08999997</v>
      </c>
      <c r="G72" s="23">
        <f>0</f>
        <v>0</v>
      </c>
      <c r="H72" s="23">
        <f>27460</f>
        <v>27460</v>
      </c>
      <c r="I72" s="71">
        <f>0</f>
        <v>0</v>
      </c>
      <c r="J72" s="50">
        <f t="shared" si="6"/>
        <v>1.1499126421468537</v>
      </c>
      <c r="K72" s="50">
        <f t="shared" si="7"/>
        <v>15.286978688518282</v>
      </c>
    </row>
    <row r="73" spans="2:26" ht="23.1" customHeight="1" outlineLevel="1" x14ac:dyDescent="0.2">
      <c r="B73" s="31" t="s">
        <v>69</v>
      </c>
      <c r="C73" s="23">
        <f>443759504.63</f>
        <v>443759504.63</v>
      </c>
      <c r="D73" s="23">
        <f>8606787.68</f>
        <v>8606787.6799999997</v>
      </c>
      <c r="E73" s="23">
        <f>46171999.83</f>
        <v>46171999.829999998</v>
      </c>
      <c r="F73" s="23">
        <f>113433.62</f>
        <v>113433.62</v>
      </c>
      <c r="G73" s="23">
        <f>0</f>
        <v>0</v>
      </c>
      <c r="H73" s="23">
        <f>0</f>
        <v>0</v>
      </c>
      <c r="I73" s="71">
        <f>0</f>
        <v>0</v>
      </c>
      <c r="J73" s="50">
        <f t="shared" si="6"/>
        <v>9.5968980797648522E-3</v>
      </c>
      <c r="K73" s="50">
        <f t="shared" si="7"/>
        <v>1.9395162447678074</v>
      </c>
    </row>
    <row r="74" spans="2:26" ht="23.1" customHeight="1" outlineLevel="1" x14ac:dyDescent="0.2">
      <c r="B74" s="31" t="s">
        <v>70</v>
      </c>
      <c r="C74" s="23">
        <f>22669584668.85</f>
        <v>22669584668.849998</v>
      </c>
      <c r="D74" s="23">
        <f>6322217325.12</f>
        <v>6322217325.1199999</v>
      </c>
      <c r="E74" s="23">
        <f>14724183255.34</f>
        <v>14724183255.34</v>
      </c>
      <c r="F74" s="23">
        <f>322770057.89</f>
        <v>322770057.88999999</v>
      </c>
      <c r="G74" s="23">
        <f>434519.78</f>
        <v>434519.78</v>
      </c>
      <c r="H74" s="23">
        <f>250054.23</f>
        <v>250054.23</v>
      </c>
      <c r="I74" s="71">
        <f>0</f>
        <v>0</v>
      </c>
      <c r="J74" s="50">
        <f t="shared" si="6"/>
        <v>7.0495145881535457</v>
      </c>
      <c r="K74" s="50">
        <f t="shared" si="7"/>
        <v>27.888545015150992</v>
      </c>
    </row>
    <row r="75" spans="2:26" ht="18" customHeight="1" outlineLevel="1" x14ac:dyDescent="0.2">
      <c r="B75" s="31" t="s">
        <v>48</v>
      </c>
      <c r="C75" s="23">
        <f t="shared" ref="C75:I75" si="9">C69-C70-C71-C72-C73-C74</f>
        <v>107912475666.85999</v>
      </c>
      <c r="D75" s="23">
        <f t="shared" si="9"/>
        <v>20715234209.30011</v>
      </c>
      <c r="E75" s="23">
        <f t="shared" si="9"/>
        <v>60306069472.740051</v>
      </c>
      <c r="F75" s="23">
        <f t="shared" si="9"/>
        <v>3493150912.3100009</v>
      </c>
      <c r="G75" s="23">
        <f t="shared" si="9"/>
        <v>15879407.600000001</v>
      </c>
      <c r="H75" s="23">
        <f t="shared" si="9"/>
        <v>11036013.650000002</v>
      </c>
      <c r="I75" s="71">
        <f t="shared" si="9"/>
        <v>0</v>
      </c>
      <c r="J75" s="50">
        <f t="shared" si="6"/>
        <v>23.098279961881367</v>
      </c>
      <c r="K75" s="50">
        <f t="shared" si="7"/>
        <v>19.196329322710344</v>
      </c>
    </row>
    <row r="76" spans="2:26" ht="18.75" customHeight="1" x14ac:dyDescent="0.2">
      <c r="B76" s="20" t="s">
        <v>15</v>
      </c>
      <c r="C76" s="27">
        <f>C6-C66</f>
        <v>-36955793100.599976</v>
      </c>
      <c r="D76" s="27">
        <f>D6-D66</f>
        <v>23629117893.729996</v>
      </c>
      <c r="E76" s="29"/>
      <c r="F76" s="29"/>
      <c r="G76" s="14"/>
    </row>
    <row r="77" spans="2:26" ht="38.25" x14ac:dyDescent="0.2">
      <c r="B77" s="51" t="s">
        <v>104</v>
      </c>
      <c r="C77" s="52">
        <f>+C57-C69</f>
        <v>10822587619.059937</v>
      </c>
      <c r="D77" s="52">
        <f>+D57-D69</f>
        <v>25513167819.199997</v>
      </c>
      <c r="E77" s="29"/>
      <c r="F77" s="29"/>
      <c r="G77" s="14"/>
    </row>
    <row r="78" spans="2:26" ht="12" customHeight="1" x14ac:dyDescent="0.2">
      <c r="B78" s="53"/>
      <c r="C78" s="54"/>
      <c r="D78" s="54"/>
      <c r="E78" s="54"/>
      <c r="F78" s="2"/>
      <c r="G78" s="2"/>
      <c r="H78" s="2"/>
      <c r="I78" s="2"/>
      <c r="L78" s="11"/>
      <c r="M78" s="11"/>
    </row>
    <row r="79" spans="2:26" ht="12" customHeight="1" x14ac:dyDescent="0.2">
      <c r="B79" s="90" t="s">
        <v>107</v>
      </c>
      <c r="C79" s="54"/>
      <c r="D79" s="54"/>
      <c r="E79" s="54"/>
      <c r="F79" s="2"/>
      <c r="G79" s="2"/>
      <c r="H79" s="2"/>
      <c r="I79" s="2"/>
      <c r="L79" s="11"/>
      <c r="M79" s="11"/>
    </row>
    <row r="80" spans="2:26" ht="27.95" customHeight="1" x14ac:dyDescent="0.2">
      <c r="B80" s="91" t="s">
        <v>73</v>
      </c>
      <c r="C80" s="63">
        <f>16240203164.48</f>
        <v>16240203164.48</v>
      </c>
      <c r="D80" s="63">
        <f>1186975406.93</f>
        <v>1186975406.9300001</v>
      </c>
      <c r="E80" s="63">
        <f>6118612898.81999</f>
        <v>6118612898.8199902</v>
      </c>
      <c r="F80" s="63">
        <f>185778586.29</f>
        <v>185778586.28999999</v>
      </c>
      <c r="G80" s="63">
        <f>3433.33</f>
        <v>3433.33</v>
      </c>
      <c r="H80" s="63">
        <f>0</f>
        <v>0</v>
      </c>
      <c r="I80" s="69">
        <f>0</f>
        <v>0</v>
      </c>
      <c r="J80" s="50">
        <f>IF($D$80=0,"",100*$D80/$D$80)</f>
        <v>100</v>
      </c>
      <c r="K80" s="50">
        <f>IF(C80=0,"",100*D80/C80)</f>
        <v>7.3088704304273167</v>
      </c>
      <c r="L80" s="11"/>
    </row>
    <row r="81" spans="2:13" ht="20.100000000000001" customHeight="1" x14ac:dyDescent="0.2">
      <c r="B81" s="55" t="s">
        <v>76</v>
      </c>
      <c r="C81" s="65">
        <f>11636080727.6</f>
        <v>11636080727.6</v>
      </c>
      <c r="D81" s="65">
        <f>521659041.95</f>
        <v>521659041.94999999</v>
      </c>
      <c r="E81" s="65">
        <f>4277007974.28</f>
        <v>4277007974.2800002</v>
      </c>
      <c r="F81" s="65">
        <f>154531419.37</f>
        <v>154531419.37</v>
      </c>
      <c r="G81" s="65">
        <f>3233.33</f>
        <v>3233.33</v>
      </c>
      <c r="H81" s="65">
        <f>0</f>
        <v>0</v>
      </c>
      <c r="I81" s="74">
        <f>0</f>
        <v>0</v>
      </c>
      <c r="J81" s="50">
        <f>IF($D$80=0,"",100*$D81/$D$80)</f>
        <v>43.94859732597341</v>
      </c>
      <c r="K81" s="50">
        <f>IF(C81=0,"",100*D81/C81)</f>
        <v>4.4831163873988933</v>
      </c>
      <c r="L81" s="11"/>
    </row>
    <row r="82" spans="2:13" ht="20.100000000000001" customHeight="1" x14ac:dyDescent="0.2">
      <c r="B82" s="55" t="s">
        <v>77</v>
      </c>
      <c r="C82" s="65">
        <f t="shared" ref="C82:I82" si="10">C80-C81</f>
        <v>4604122436.8799992</v>
      </c>
      <c r="D82" s="65">
        <f t="shared" si="10"/>
        <v>665316364.98000002</v>
      </c>
      <c r="E82" s="65">
        <f t="shared" si="10"/>
        <v>1841604924.5399899</v>
      </c>
      <c r="F82" s="65">
        <f t="shared" si="10"/>
        <v>31247166.919999987</v>
      </c>
      <c r="G82" s="65">
        <f t="shared" si="10"/>
        <v>200</v>
      </c>
      <c r="H82" s="65">
        <f t="shared" si="10"/>
        <v>0</v>
      </c>
      <c r="I82" s="74">
        <f t="shared" si="10"/>
        <v>0</v>
      </c>
      <c r="J82" s="50">
        <f>IF($D$80=0,"",100*$D82/$D$80)</f>
        <v>56.051402674026583</v>
      </c>
      <c r="K82" s="50">
        <f>IF(C82=0,"",100*D82/C82)</f>
        <v>14.450449007408546</v>
      </c>
    </row>
    <row r="83" spans="2:13" ht="20.25" x14ac:dyDescent="0.2">
      <c r="B83" s="87" t="str">
        <f>CONCATENATE("Informacja z wykonania budżetów jednostek samorządu terytorialnego za ",$D$118," ",$C$119," roku")</f>
        <v>Informacja z wykonania budżetów jednostek samorządu terytorialnego za I Kwartał 2024 roku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</row>
    <row r="84" spans="2:13" ht="18" customHeight="1" x14ac:dyDescent="0.2">
      <c r="B84" s="41" t="s">
        <v>16</v>
      </c>
      <c r="C84" s="73" t="s">
        <v>17</v>
      </c>
      <c r="D84" s="73" t="s">
        <v>1</v>
      </c>
      <c r="E84" s="110" t="s">
        <v>58</v>
      </c>
      <c r="F84" s="111"/>
      <c r="G84" s="111"/>
      <c r="H84" s="111"/>
      <c r="I84" s="112"/>
      <c r="J84" s="19" t="s">
        <v>26</v>
      </c>
      <c r="K84" s="19" t="s">
        <v>27</v>
      </c>
    </row>
    <row r="85" spans="2:13" x14ac:dyDescent="0.2">
      <c r="B85" s="41"/>
      <c r="C85" s="96" t="s">
        <v>78</v>
      </c>
      <c r="D85" s="97"/>
      <c r="E85" s="113"/>
      <c r="F85" s="114"/>
      <c r="G85" s="114"/>
      <c r="H85" s="114"/>
      <c r="I85" s="115"/>
      <c r="J85" s="98" t="s">
        <v>4</v>
      </c>
      <c r="K85" s="99"/>
    </row>
    <row r="86" spans="2:13" x14ac:dyDescent="0.2">
      <c r="B86" s="39">
        <v>1</v>
      </c>
      <c r="C86" s="73">
        <v>2</v>
      </c>
      <c r="D86" s="73">
        <v>3</v>
      </c>
      <c r="E86" s="116"/>
      <c r="F86" s="117"/>
      <c r="G86" s="117"/>
      <c r="H86" s="117"/>
      <c r="I86" s="118"/>
      <c r="J86" s="40">
        <v>4</v>
      </c>
      <c r="K86" s="40">
        <v>5</v>
      </c>
    </row>
    <row r="87" spans="2:13" ht="25.5" x14ac:dyDescent="0.2">
      <c r="B87" s="38" t="s">
        <v>64</v>
      </c>
      <c r="C87" s="43">
        <f>47574393314.47</f>
        <v>47574393314.470001</v>
      </c>
      <c r="D87" s="43">
        <f>33523850368.69</f>
        <v>33523850368.689999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2">
        <f>IF($D$87=0,"",100*$D87/$D$87)</f>
        <v>100</v>
      </c>
      <c r="K87" s="37">
        <f t="shared" ref="K87:K102" si="11">IF(C87=0,"",100*D87/C87)</f>
        <v>70.466164743489315</v>
      </c>
    </row>
    <row r="88" spans="2:13" ht="33.75" x14ac:dyDescent="0.2">
      <c r="B88" s="78" t="s">
        <v>108</v>
      </c>
      <c r="C88" s="44">
        <f>27288199075.89</f>
        <v>27288199075.889999</v>
      </c>
      <c r="D88" s="44">
        <f>494564091.86</f>
        <v>494564091.86000001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48">
        <f t="shared" ref="J88:J97" si="12">IF($D$87=0,"",100*$D88/$D$87)</f>
        <v>1.4752604083983862</v>
      </c>
      <c r="K88" s="49">
        <f t="shared" si="11"/>
        <v>1.8123735116582438</v>
      </c>
    </row>
    <row r="89" spans="2:13" ht="22.5" x14ac:dyDescent="0.2">
      <c r="B89" s="79" t="s">
        <v>87</v>
      </c>
      <c r="C89" s="67">
        <f>1463677895.1</f>
        <v>1463677895.0999999</v>
      </c>
      <c r="D89" s="67">
        <f>6124764.89</f>
        <v>6124764.8899999997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1.8269873008740958E-2</v>
      </c>
      <c r="K89" s="66">
        <f t="shared" si="11"/>
        <v>0.41845032370196106</v>
      </c>
    </row>
    <row r="90" spans="2:13" x14ac:dyDescent="0.2">
      <c r="B90" s="32" t="s">
        <v>88</v>
      </c>
      <c r="C90" s="67">
        <f>398595404.13</f>
        <v>398595404.13</v>
      </c>
      <c r="D90" s="67">
        <f>55960779.89</f>
        <v>55960779.890000001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0.16692825935729996</v>
      </c>
      <c r="K90" s="66">
        <f t="shared" si="11"/>
        <v>14.039494512522944</v>
      </c>
    </row>
    <row r="91" spans="2:13" ht="48" customHeight="1" x14ac:dyDescent="0.2">
      <c r="B91" s="32" t="s">
        <v>97</v>
      </c>
      <c r="C91" s="67">
        <f>4807888315.29</f>
        <v>4807888315.29</v>
      </c>
      <c r="D91" s="67">
        <f>8941032237.99</f>
        <v>8941032237.9899998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26.670660260256334</v>
      </c>
      <c r="K91" s="66">
        <f t="shared" si="11"/>
        <v>185.96588879895182</v>
      </c>
    </row>
    <row r="92" spans="2:13" ht="33.75" x14ac:dyDescent="0.2">
      <c r="B92" s="32" t="s">
        <v>98</v>
      </c>
      <c r="C92" s="67">
        <f>3936044243.66</f>
        <v>3936044243.6599998</v>
      </c>
      <c r="D92" s="67">
        <f>5455379885.02</f>
        <v>5455379885.0200005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16.273130398276439</v>
      </c>
      <c r="K92" s="66">
        <f t="shared" si="11"/>
        <v>138.6005732483134</v>
      </c>
    </row>
    <row r="93" spans="2:13" x14ac:dyDescent="0.2">
      <c r="B93" s="32" t="s">
        <v>89</v>
      </c>
      <c r="C93" s="67">
        <f>0</f>
        <v>0</v>
      </c>
      <c r="D93" s="67">
        <f>0</f>
        <v>0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0</v>
      </c>
      <c r="K93" s="66" t="str">
        <f t="shared" si="11"/>
        <v/>
      </c>
    </row>
    <row r="94" spans="2:13" ht="33.75" x14ac:dyDescent="0.2">
      <c r="B94" s="32" t="s">
        <v>90</v>
      </c>
      <c r="C94" s="67">
        <f>10117749691.54</f>
        <v>10117749691.540001</v>
      </c>
      <c r="D94" s="67">
        <f>17696087729.87</f>
        <v>17696087729.869999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8">
        <f t="shared" si="12"/>
        <v>52.786561016265225</v>
      </c>
      <c r="K94" s="66">
        <f t="shared" si="11"/>
        <v>174.90141849097787</v>
      </c>
    </row>
    <row r="95" spans="2:13" ht="56.25" x14ac:dyDescent="0.2">
      <c r="B95" s="32" t="s">
        <v>109</v>
      </c>
      <c r="C95" s="67">
        <f>0</f>
        <v>0</v>
      </c>
      <c r="D95" s="67">
        <f>183199654.5</f>
        <v>183199654.5</v>
      </c>
      <c r="E95" s="43"/>
      <c r="F95" s="43"/>
      <c r="G95" s="43"/>
      <c r="H95" s="43"/>
      <c r="I95" s="43"/>
      <c r="J95" s="68">
        <f>IF($D$87=0,"",100*$D95/$D$87)</f>
        <v>0.54647557629925925</v>
      </c>
      <c r="K95" s="66" t="str">
        <f>IF(C95=0,"",100*D95/C95)</f>
        <v/>
      </c>
    </row>
    <row r="96" spans="2:13" x14ac:dyDescent="0.2">
      <c r="B96" s="32" t="s">
        <v>110</v>
      </c>
      <c r="C96" s="67">
        <f>1025916583.96</f>
        <v>1025916583.96</v>
      </c>
      <c r="D96" s="67">
        <f>697625989.56</f>
        <v>697625989.55999994</v>
      </c>
      <c r="E96" s="43"/>
      <c r="F96" s="43"/>
      <c r="G96" s="43"/>
      <c r="H96" s="43"/>
      <c r="I96" s="43"/>
      <c r="J96" s="48">
        <f t="shared" si="12"/>
        <v>2.0809840811470632</v>
      </c>
      <c r="K96" s="49">
        <f>IF(C96=0,"",100*D96/C96)</f>
        <v>68.000264394517288</v>
      </c>
    </row>
    <row r="97" spans="2:11" ht="22.5" x14ac:dyDescent="0.2">
      <c r="B97" s="79" t="s">
        <v>111</v>
      </c>
      <c r="C97" s="67">
        <f>702639651.17</f>
        <v>702639651.16999996</v>
      </c>
      <c r="D97" s="67">
        <f>655631867.35</f>
        <v>655631867.35000002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8">
        <f t="shared" si="12"/>
        <v>1.9557176760409813</v>
      </c>
      <c r="K97" s="66">
        <f>IF(C97=0,"",100*D97/C97)</f>
        <v>93.309830474023926</v>
      </c>
    </row>
    <row r="98" spans="2:11" ht="25.5" x14ac:dyDescent="0.2">
      <c r="B98" s="38" t="s">
        <v>65</v>
      </c>
      <c r="C98" s="26">
        <f>10618304429.46</f>
        <v>10618304429.459999</v>
      </c>
      <c r="D98" s="26">
        <f>3934675259.41</f>
        <v>3934675259.4099998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2">
        <f t="shared" ref="J98:J103" si="13">IF($D$98=0,"",100*$D98/$D$98)</f>
        <v>100</v>
      </c>
      <c r="K98" s="37">
        <f t="shared" si="11"/>
        <v>37.055589106048082</v>
      </c>
    </row>
    <row r="99" spans="2:11" ht="22.5" x14ac:dyDescent="0.2">
      <c r="B99" s="78" t="s">
        <v>91</v>
      </c>
      <c r="C99" s="67">
        <f>9484969548.53</f>
        <v>9484969548.5300007</v>
      </c>
      <c r="D99" s="67">
        <f>2177248490.85</f>
        <v>2177248490.8499999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48">
        <f t="shared" si="13"/>
        <v>55.334896714614153</v>
      </c>
      <c r="K99" s="49">
        <f t="shared" si="11"/>
        <v>22.954723045868231</v>
      </c>
    </row>
    <row r="100" spans="2:11" x14ac:dyDescent="0.2">
      <c r="B100" s="79" t="s">
        <v>92</v>
      </c>
      <c r="C100" s="67">
        <f>504875592</f>
        <v>504875592</v>
      </c>
      <c r="D100" s="67">
        <f>18255898</f>
        <v>18255898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0.46397470684118036</v>
      </c>
      <c r="K100" s="66">
        <f t="shared" si="11"/>
        <v>3.6159200977970825</v>
      </c>
    </row>
    <row r="101" spans="2:11" x14ac:dyDescent="0.2">
      <c r="B101" s="32" t="s">
        <v>99</v>
      </c>
      <c r="C101" s="67">
        <f>362089001.38</f>
        <v>362089001.38</v>
      </c>
      <c r="D101" s="67">
        <f>125059235.15</f>
        <v>125059235.15000001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68">
        <f t="shared" si="13"/>
        <v>3.1783877170273129</v>
      </c>
      <c r="K101" s="66">
        <f t="shared" si="11"/>
        <v>34.538258459487039</v>
      </c>
    </row>
    <row r="102" spans="2:11" x14ac:dyDescent="0.2">
      <c r="B102" s="80" t="s">
        <v>112</v>
      </c>
      <c r="C102" s="67">
        <f>771245879.55</f>
        <v>771245879.54999995</v>
      </c>
      <c r="D102" s="67">
        <f>1632840763.16</f>
        <v>1632840763.1600001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41.498742729910639</v>
      </c>
      <c r="K102" s="49">
        <f t="shared" si="11"/>
        <v>211.71468223761741</v>
      </c>
    </row>
    <row r="103" spans="2:11" ht="22.5" x14ac:dyDescent="0.2">
      <c r="B103" s="93" t="s">
        <v>113</v>
      </c>
      <c r="C103" s="67">
        <f>67470783.52</f>
        <v>67470783.519999996</v>
      </c>
      <c r="D103" s="67">
        <f>41110011.8</f>
        <v>41110011.799999997</v>
      </c>
      <c r="E103" s="43" t="s">
        <v>58</v>
      </c>
      <c r="F103" s="43" t="s">
        <v>58</v>
      </c>
      <c r="G103" s="43" t="s">
        <v>58</v>
      </c>
      <c r="H103" s="43" t="s">
        <v>58</v>
      </c>
      <c r="I103" s="43" t="s">
        <v>58</v>
      </c>
      <c r="J103" s="48">
        <f t="shared" si="13"/>
        <v>1.0448133350187683</v>
      </c>
      <c r="K103" s="49">
        <f>IF(C103=0,"",100*D103/C103)</f>
        <v>60.930093968471525</v>
      </c>
    </row>
    <row r="105" spans="2:11" ht="18" customHeight="1" x14ac:dyDescent="0.2">
      <c r="B105" s="41" t="s">
        <v>16</v>
      </c>
      <c r="C105" s="73" t="s">
        <v>17</v>
      </c>
      <c r="D105" s="19" t="s">
        <v>1</v>
      </c>
    </row>
    <row r="106" spans="2:11" x14ac:dyDescent="0.2">
      <c r="B106" s="41"/>
      <c r="C106" s="96" t="s">
        <v>78</v>
      </c>
      <c r="D106" s="97"/>
    </row>
    <row r="107" spans="2:11" x14ac:dyDescent="0.2">
      <c r="B107" s="39">
        <v>1</v>
      </c>
      <c r="C107" s="73">
        <v>2</v>
      </c>
      <c r="D107" s="19">
        <v>3</v>
      </c>
    </row>
    <row r="108" spans="2:11" ht="33.75" x14ac:dyDescent="0.2">
      <c r="B108" s="47" t="s">
        <v>114</v>
      </c>
      <c r="C108" s="45">
        <f>37358250432</f>
        <v>37358250432</v>
      </c>
      <c r="D108" s="28">
        <f>0</f>
        <v>0</v>
      </c>
    </row>
    <row r="109" spans="2:11" ht="33.75" x14ac:dyDescent="0.2">
      <c r="B109" s="86" t="s">
        <v>80</v>
      </c>
      <c r="C109" s="46">
        <f>982806415.7</f>
        <v>982806415.70000005</v>
      </c>
      <c r="D109" s="75">
        <f>0</f>
        <v>0</v>
      </c>
    </row>
    <row r="110" spans="2:11" x14ac:dyDescent="0.2">
      <c r="B110" s="86" t="s">
        <v>81</v>
      </c>
      <c r="C110" s="46">
        <f>20250547522.19</f>
        <v>20250547522.189999</v>
      </c>
      <c r="D110" s="75">
        <f>0</f>
        <v>0</v>
      </c>
    </row>
    <row r="111" spans="2:11" ht="22.5" x14ac:dyDescent="0.2">
      <c r="B111" s="86" t="s">
        <v>82</v>
      </c>
      <c r="C111" s="46">
        <f>0</f>
        <v>0</v>
      </c>
      <c r="D111" s="75">
        <f>0</f>
        <v>0</v>
      </c>
    </row>
    <row r="112" spans="2:11" ht="56.25" x14ac:dyDescent="0.2">
      <c r="B112" s="86" t="s">
        <v>100</v>
      </c>
      <c r="C112" s="46">
        <f>4000401439.43</f>
        <v>4000401439.4299998</v>
      </c>
      <c r="D112" s="75">
        <f>0</f>
        <v>0</v>
      </c>
    </row>
    <row r="113" spans="2:4" ht="78.75" x14ac:dyDescent="0.2">
      <c r="B113" s="86" t="s">
        <v>83</v>
      </c>
      <c r="C113" s="46">
        <f>7816382509.18</f>
        <v>7816382509.1800003</v>
      </c>
      <c r="D113" s="75">
        <f>0</f>
        <v>0</v>
      </c>
    </row>
    <row r="114" spans="2:4" ht="146.25" x14ac:dyDescent="0.2">
      <c r="B114" s="86" t="s">
        <v>102</v>
      </c>
      <c r="C114" s="46">
        <f>3643753384.56</f>
        <v>3643753384.5599999</v>
      </c>
      <c r="D114" s="75">
        <f>0</f>
        <v>0</v>
      </c>
    </row>
    <row r="115" spans="2:4" ht="22.5" x14ac:dyDescent="0.2">
      <c r="B115" s="86" t="s">
        <v>95</v>
      </c>
      <c r="C115" s="46">
        <f>93990719.25</f>
        <v>93990719.25</v>
      </c>
      <c r="D115" s="75">
        <f>0</f>
        <v>0</v>
      </c>
    </row>
    <row r="116" spans="2:4" ht="22.5" x14ac:dyDescent="0.2">
      <c r="B116" s="86" t="s">
        <v>111</v>
      </c>
      <c r="C116" s="46">
        <f>570368441.69</f>
        <v>570368441.69000006</v>
      </c>
      <c r="D116" s="75">
        <f>0</f>
        <v>0</v>
      </c>
    </row>
    <row r="118" spans="2:4" x14ac:dyDescent="0.2">
      <c r="B118" s="33" t="s">
        <v>66</v>
      </c>
      <c r="C118" s="33">
        <f>1</f>
        <v>1</v>
      </c>
      <c r="D118" s="33" t="str">
        <f>IF(C118=1,"I Kwartał",IF(C118=2,"II Kwartały",IF(C118=3,"III Kwartały",IF(C118=4,"IV Kwartały",IF(C118="M1","Styczeń",IF(C118="M11","Listopad",IF(C118="M12","Grudzień","-")))))))</f>
        <v>I Kwartał</v>
      </c>
    </row>
    <row r="119" spans="2:4" x14ac:dyDescent="0.2">
      <c r="B119" s="33" t="s">
        <v>67</v>
      </c>
      <c r="C119" s="89">
        <f>2024</f>
        <v>2024</v>
      </c>
    </row>
    <row r="120" spans="2:4" x14ac:dyDescent="0.2">
      <c r="B120" s="33" t="s">
        <v>68</v>
      </c>
      <c r="C120" s="94" t="str">
        <f>"May 21 2024 12:00AM"</f>
        <v>May 21 2024 12:00AM</v>
      </c>
      <c r="D120" s="95"/>
    </row>
  </sheetData>
  <mergeCells count="20">
    <mergeCell ref="B3:B4"/>
    <mergeCell ref="J4:L4"/>
    <mergeCell ref="B61:B64"/>
    <mergeCell ref="C4:I4"/>
    <mergeCell ref="D61:D63"/>
    <mergeCell ref="E61:E63"/>
    <mergeCell ref="C64:H64"/>
    <mergeCell ref="F62:F63"/>
    <mergeCell ref="C120:D120"/>
    <mergeCell ref="C106:D106"/>
    <mergeCell ref="J85:K85"/>
    <mergeCell ref="J64:K64"/>
    <mergeCell ref="K61:K63"/>
    <mergeCell ref="I61:I63"/>
    <mergeCell ref="J61:J63"/>
    <mergeCell ref="F61:H61"/>
    <mergeCell ref="C61:C63"/>
    <mergeCell ref="G62:H62"/>
    <mergeCell ref="E84:I86"/>
    <mergeCell ref="C85:D85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8" max="16383" man="1"/>
    <brk id="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2024-06-03T10:52:27Z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2024-05-23T09:43:42.7318029+02:00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GRN-81dcde46-464f-44e5-ade9-403510a3463b</vt:lpwstr>
  </property>
  <property fmtid="{D5CDD505-2E9C-101B-9397-08002B2CF9AE}" pid="7" name="MFHash">
    <vt:lpwstr>BPBj88qJYJadDzY1rpszcUQ/rDSN2s9uTjIMGacw8CY=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