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3BD944E0-422C-4C7B-BE3C-821D6C8EA0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4" l="1"/>
  <c r="C120" i="4"/>
  <c r="C119" i="4"/>
  <c r="C118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3" i="4"/>
  <c r="C103" i="4"/>
  <c r="D102" i="4"/>
  <c r="C102" i="4"/>
  <c r="D101" i="4"/>
  <c r="J101" i="4" s="1"/>
  <c r="C101" i="4"/>
  <c r="D100" i="4"/>
  <c r="J100" i="4" s="1"/>
  <c r="C100" i="4"/>
  <c r="D99" i="4"/>
  <c r="K99" i="4" s="1"/>
  <c r="C99" i="4"/>
  <c r="D98" i="4"/>
  <c r="C98" i="4"/>
  <c r="K98" i="4" s="1"/>
  <c r="D97" i="4"/>
  <c r="K97" i="4" s="1"/>
  <c r="C97" i="4"/>
  <c r="D96" i="4"/>
  <c r="C96" i="4"/>
  <c r="D95" i="4"/>
  <c r="C95" i="4"/>
  <c r="D94" i="4"/>
  <c r="J94" i="4" s="1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I80" i="4"/>
  <c r="H80" i="4"/>
  <c r="G80" i="4"/>
  <c r="F80" i="4"/>
  <c r="F81" i="4" s="1"/>
  <c r="E80" i="4"/>
  <c r="E81" i="4" s="1"/>
  <c r="D80" i="4"/>
  <c r="K80" i="4" s="1"/>
  <c r="C80" i="4"/>
  <c r="I79" i="4"/>
  <c r="H79" i="4"/>
  <c r="G79" i="4"/>
  <c r="F79" i="4"/>
  <c r="E79" i="4"/>
  <c r="D79" i="4"/>
  <c r="C79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5" i="4"/>
  <c r="H55" i="4"/>
  <c r="G55" i="4"/>
  <c r="F55" i="4"/>
  <c r="E55" i="4"/>
  <c r="D55" i="4"/>
  <c r="C55" i="4"/>
  <c r="K55" i="4" s="1"/>
  <c r="D52" i="4"/>
  <c r="C52" i="4"/>
  <c r="D51" i="4"/>
  <c r="J51" i="4" s="1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K39" i="4" s="1"/>
  <c r="D38" i="4"/>
  <c r="C38" i="4"/>
  <c r="D37" i="4"/>
  <c r="C37" i="4"/>
  <c r="D36" i="4"/>
  <c r="C36" i="4"/>
  <c r="D35" i="4"/>
  <c r="C35" i="4"/>
  <c r="K35" i="4" s="1"/>
  <c r="D34" i="4"/>
  <c r="C34" i="4"/>
  <c r="D33" i="4"/>
  <c r="K33" i="4" s="1"/>
  <c r="C33" i="4"/>
  <c r="D32" i="4"/>
  <c r="C32" i="4"/>
  <c r="D31" i="4"/>
  <c r="C31" i="4"/>
  <c r="D30" i="4"/>
  <c r="C30" i="4"/>
  <c r="K30" i="4" s="1"/>
  <c r="D29" i="4"/>
  <c r="J29" i="4" s="1"/>
  <c r="C29" i="4"/>
  <c r="D28" i="4"/>
  <c r="D23" i="4" s="1"/>
  <c r="D22" i="4" s="1"/>
  <c r="C28" i="4"/>
  <c r="D27" i="4"/>
  <c r="C27" i="4"/>
  <c r="D26" i="4"/>
  <c r="C26" i="4"/>
  <c r="D25" i="4"/>
  <c r="K25" i="4" s="1"/>
  <c r="C25" i="4"/>
  <c r="D24" i="4"/>
  <c r="C24" i="4"/>
  <c r="I20" i="4"/>
  <c r="H20" i="4"/>
  <c r="G20" i="4"/>
  <c r="F20" i="4"/>
  <c r="E20" i="4"/>
  <c r="D20" i="4"/>
  <c r="J20" i="4" s="1"/>
  <c r="C20" i="4"/>
  <c r="I19" i="4"/>
  <c r="H19" i="4"/>
  <c r="G19" i="4"/>
  <c r="F19" i="4"/>
  <c r="E19" i="4"/>
  <c r="D19" i="4"/>
  <c r="J19" i="4" s="1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K16" i="4" s="1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K14" i="4" s="1"/>
  <c r="I13" i="4"/>
  <c r="H13" i="4"/>
  <c r="G13" i="4"/>
  <c r="F13" i="4"/>
  <c r="E13" i="4"/>
  <c r="D13" i="4"/>
  <c r="C13" i="4"/>
  <c r="K13" i="4" s="1"/>
  <c r="I12" i="4"/>
  <c r="H12" i="4"/>
  <c r="G12" i="4"/>
  <c r="F12" i="4"/>
  <c r="E12" i="4"/>
  <c r="D12" i="4"/>
  <c r="C12" i="4"/>
  <c r="K12" i="4" s="1"/>
  <c r="I11" i="4"/>
  <c r="H11" i="4"/>
  <c r="G11" i="4"/>
  <c r="F11" i="4"/>
  <c r="E11" i="4"/>
  <c r="D11" i="4"/>
  <c r="C11" i="4"/>
  <c r="K11" i="4" s="1"/>
  <c r="I10" i="4"/>
  <c r="H10" i="4"/>
  <c r="G10" i="4"/>
  <c r="F10" i="4"/>
  <c r="E10" i="4"/>
  <c r="D10" i="4"/>
  <c r="K10" i="4" s="1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I68" i="4"/>
  <c r="I74" i="4"/>
  <c r="K66" i="4"/>
  <c r="K91" i="4"/>
  <c r="K103" i="4"/>
  <c r="C75" i="4"/>
  <c r="K6" i="4"/>
  <c r="C54" i="4"/>
  <c r="K48" i="4"/>
  <c r="J32" i="4"/>
  <c r="J9" i="4"/>
  <c r="J18" i="4"/>
  <c r="J36" i="4"/>
  <c r="J30" i="4"/>
  <c r="J8" i="4"/>
  <c r="J42" i="4"/>
  <c r="J44" i="4"/>
  <c r="J27" i="4"/>
  <c r="J52" i="4"/>
  <c r="J17" i="4"/>
  <c r="J47" i="4"/>
  <c r="J40" i="4"/>
  <c r="J12" i="4"/>
  <c r="D75" i="4"/>
  <c r="J43" i="4"/>
  <c r="J11" i="4"/>
  <c r="J16" i="4"/>
  <c r="J34" i="4"/>
  <c r="J48" i="4"/>
  <c r="J38" i="4"/>
  <c r="J55" i="4"/>
  <c r="J31" i="4"/>
  <c r="D54" i="4"/>
  <c r="D56" i="4"/>
  <c r="J56" i="4"/>
  <c r="J50" i="4"/>
  <c r="J24" i="4"/>
  <c r="J15" i="4"/>
  <c r="J49" i="4"/>
  <c r="J39" i="4"/>
  <c r="J13" i="4"/>
  <c r="J35" i="4"/>
  <c r="J45" i="4"/>
  <c r="J10" i="4"/>
  <c r="J26" i="4"/>
  <c r="J14" i="4"/>
  <c r="J6" i="4"/>
  <c r="J41" i="4"/>
  <c r="J37" i="4"/>
  <c r="K36" i="4"/>
  <c r="K72" i="4"/>
  <c r="K41" i="4"/>
  <c r="C81" i="4"/>
  <c r="K79" i="4"/>
  <c r="K9" i="4"/>
  <c r="K42" i="4"/>
  <c r="K69" i="4"/>
  <c r="J103" i="4"/>
  <c r="J102" i="4"/>
  <c r="J98" i="4"/>
  <c r="K92" i="4"/>
  <c r="E54" i="4"/>
  <c r="E56" i="4" s="1"/>
  <c r="E7" i="4"/>
  <c r="K24" i="4"/>
  <c r="K49" i="4"/>
  <c r="K40" i="4"/>
  <c r="G68" i="4"/>
  <c r="G74" i="4" s="1"/>
  <c r="K70" i="4"/>
  <c r="K90" i="4"/>
  <c r="K102" i="4"/>
  <c r="K17" i="4"/>
  <c r="K34" i="4"/>
  <c r="K47" i="4"/>
  <c r="H68" i="4"/>
  <c r="H74" i="4"/>
  <c r="K87" i="4"/>
  <c r="K93" i="4"/>
  <c r="G54" i="4"/>
  <c r="G56" i="4" s="1"/>
  <c r="G7" i="4"/>
  <c r="K31" i="4"/>
  <c r="K37" i="4"/>
  <c r="K43" i="4"/>
  <c r="K50" i="4"/>
  <c r="K71" i="4"/>
  <c r="J93" i="4"/>
  <c r="J88" i="4"/>
  <c r="J91" i="4"/>
  <c r="J92" i="4"/>
  <c r="J90" i="4"/>
  <c r="J89" i="4"/>
  <c r="J87" i="4"/>
  <c r="H7" i="4"/>
  <c r="H54" i="4"/>
  <c r="H56" i="4"/>
  <c r="K18" i="4"/>
  <c r="C68" i="4"/>
  <c r="K65" i="4"/>
  <c r="G81" i="4"/>
  <c r="K88" i="4"/>
  <c r="F7" i="4"/>
  <c r="F54" i="4"/>
  <c r="F56" i="4"/>
  <c r="D118" i="4"/>
  <c r="B1" i="4" s="1"/>
  <c r="I7" i="4"/>
  <c r="I21" i="4" s="1"/>
  <c r="I54" i="4"/>
  <c r="I56" i="4"/>
  <c r="K26" i="4"/>
  <c r="K32" i="4"/>
  <c r="K38" i="4"/>
  <c r="J67" i="4"/>
  <c r="J71" i="4"/>
  <c r="J73" i="4"/>
  <c r="D68" i="4"/>
  <c r="J68" i="4" s="1"/>
  <c r="J72" i="4"/>
  <c r="J69" i="4"/>
  <c r="J66" i="4"/>
  <c r="J65" i="4"/>
  <c r="J70" i="4"/>
  <c r="K73" i="4"/>
  <c r="K8" i="4"/>
  <c r="E68" i="4"/>
  <c r="E74" i="4" s="1"/>
  <c r="K67" i="4"/>
  <c r="I81" i="4"/>
  <c r="K89" i="4"/>
  <c r="K15" i="4"/>
  <c r="K27" i="4"/>
  <c r="K45" i="4"/>
  <c r="K52" i="4"/>
  <c r="F68" i="4"/>
  <c r="F74" i="4"/>
  <c r="J54" i="4"/>
  <c r="B82" i="4"/>
  <c r="B58" i="4"/>
  <c r="C56" i="4"/>
  <c r="K54" i="4"/>
  <c r="H21" i="4" l="1"/>
  <c r="K68" i="4"/>
  <c r="E21" i="4"/>
  <c r="D74" i="4"/>
  <c r="J74" i="4" s="1"/>
  <c r="K101" i="4"/>
  <c r="K100" i="4"/>
  <c r="J99" i="4"/>
  <c r="J97" i="4"/>
  <c r="K94" i="4"/>
  <c r="H81" i="4"/>
  <c r="D81" i="4"/>
  <c r="K81" i="4" s="1"/>
  <c r="J80" i="4"/>
  <c r="J79" i="4"/>
  <c r="D76" i="4"/>
  <c r="C74" i="4"/>
  <c r="C76" i="4"/>
  <c r="K56" i="4"/>
  <c r="D46" i="4"/>
  <c r="D7" i="4" s="1"/>
  <c r="L14" i="4" s="1"/>
  <c r="K51" i="4"/>
  <c r="C46" i="4"/>
  <c r="J46" i="4"/>
  <c r="K44" i="4"/>
  <c r="J33" i="4"/>
  <c r="K29" i="4"/>
  <c r="J28" i="4"/>
  <c r="K28" i="4"/>
  <c r="C23" i="4"/>
  <c r="K23" i="4" s="1"/>
  <c r="J25" i="4"/>
  <c r="J22" i="4"/>
  <c r="J23" i="4"/>
  <c r="K20" i="4"/>
  <c r="K19" i="4"/>
  <c r="F21" i="4"/>
  <c r="G21" i="4"/>
  <c r="K46" i="4" l="1"/>
  <c r="K74" i="4"/>
  <c r="J81" i="4"/>
  <c r="L11" i="4"/>
  <c r="L8" i="4"/>
  <c r="L10" i="4"/>
  <c r="L18" i="4"/>
  <c r="J7" i="4"/>
  <c r="L17" i="4"/>
  <c r="D21" i="4"/>
  <c r="J21" i="4" s="1"/>
  <c r="L16" i="4"/>
  <c r="L20" i="4"/>
  <c r="L15" i="4"/>
  <c r="L12" i="4"/>
  <c r="L13" i="4"/>
  <c r="C22" i="4"/>
  <c r="K22" i="4" s="1"/>
  <c r="L9" i="4"/>
  <c r="L7" i="4"/>
  <c r="L19" i="4"/>
  <c r="L21" i="4" l="1"/>
  <c r="C7" i="4"/>
  <c r="C21" i="4" s="1"/>
  <c r="K21" i="4" s="1"/>
  <c r="K7" i="4" l="1"/>
</calcChain>
</file>

<file path=xl/sharedStrings.xml><?xml version="1.0" encoding="utf-8"?>
<sst xmlns="http://schemas.openxmlformats.org/spreadsheetml/2006/main" count="376" uniqueCount="116">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</sst>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</cellStyleXfs>
  <cellXfs count="13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6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6" fillId="4" borderId="1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21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1" t="str">
        <f>CONCATENATE("Informacja z wykonania budżetów gmin za ",$D$118," ",$C$119," rok     ",$C$121,"")</f>
        <v xml:space="preserve">Informacja z wykonania budżetów gmin za III Kwartały 2024 rok    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ht="0.75" customHeight="1" x14ac:dyDescent="0.2"/>
    <row r="3" spans="2:13" ht="69" customHeight="1" x14ac:dyDescent="0.2">
      <c r="B3" s="106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06"/>
      <c r="C4" s="113" t="s">
        <v>74</v>
      </c>
      <c r="D4" s="114"/>
      <c r="E4" s="114"/>
      <c r="F4" s="114"/>
      <c r="G4" s="114"/>
      <c r="H4" s="114"/>
      <c r="I4" s="115"/>
      <c r="J4" s="109" t="s">
        <v>4</v>
      </c>
      <c r="K4" s="109"/>
      <c r="L4" s="109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205123167764.37</f>
        <v>205123167764.37</v>
      </c>
      <c r="D6" s="45">
        <f>145487350317.57</f>
        <v>145487350317.57001</v>
      </c>
      <c r="E6" s="45">
        <f>4333975070.61</f>
        <v>4333975070.6099997</v>
      </c>
      <c r="F6" s="45">
        <f>617134769.52</f>
        <v>617134769.51999998</v>
      </c>
      <c r="G6" s="45">
        <f>71738901.48</f>
        <v>71738901.480000004</v>
      </c>
      <c r="H6" s="45">
        <f>115017463.69</f>
        <v>115017463.69</v>
      </c>
      <c r="I6" s="45">
        <f>2481788.04</f>
        <v>2481788.04</v>
      </c>
      <c r="J6" s="46">
        <f t="shared" ref="J6:J56" si="0">IF($D$6=0,"",100*$D6/$D$6)</f>
        <v>100</v>
      </c>
      <c r="K6" s="46">
        <f t="shared" ref="K6:K52" si="1">IF(C6=0,"",100*D6/C6)</f>
        <v>70.926825040404452</v>
      </c>
      <c r="L6" s="46"/>
    </row>
    <row r="7" spans="2:13" ht="25.5" customHeight="1" x14ac:dyDescent="0.2">
      <c r="B7" s="85" t="s">
        <v>58</v>
      </c>
      <c r="C7" s="25">
        <f>C6-C22-C46</f>
        <v>90061484130.559998</v>
      </c>
      <c r="D7" s="25">
        <f>D6-D22-D46</f>
        <v>66572288015.600006</v>
      </c>
      <c r="E7" s="25">
        <f>E6</f>
        <v>4333975070.6099997</v>
      </c>
      <c r="F7" s="25">
        <f>F6</f>
        <v>617134769.51999998</v>
      </c>
      <c r="G7" s="25">
        <f>G6</f>
        <v>71738901.480000004</v>
      </c>
      <c r="H7" s="25">
        <f>H6</f>
        <v>115017463.69</v>
      </c>
      <c r="I7" s="25">
        <f>I6</f>
        <v>2481788.04</v>
      </c>
      <c r="J7" s="34">
        <f t="shared" si="0"/>
        <v>45.758128023010883</v>
      </c>
      <c r="K7" s="34">
        <f t="shared" si="1"/>
        <v>73.918710821033926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34</v>
      </c>
      <c r="C8" s="24">
        <f>2861046557.4</f>
        <v>2861046557.4000001</v>
      </c>
      <c r="D8" s="24">
        <f>2145452073</f>
        <v>2145452073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1.4746657137661137</v>
      </c>
      <c r="K8" s="35">
        <f t="shared" si="1"/>
        <v>74.988366318292194</v>
      </c>
      <c r="L8" s="35">
        <f t="shared" si="2"/>
        <v>3.2227404779857531</v>
      </c>
    </row>
    <row r="9" spans="2:13" ht="22.5" customHeight="1" outlineLevel="1" x14ac:dyDescent="0.2">
      <c r="B9" s="54" t="s">
        <v>19</v>
      </c>
      <c r="C9" s="24">
        <f>30059239918</f>
        <v>30059239918</v>
      </c>
      <c r="D9" s="24">
        <f>22543069815</f>
        <v>22543069815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15.494865887510462</v>
      </c>
      <c r="K9" s="35">
        <f t="shared" si="1"/>
        <v>74.99547518997916</v>
      </c>
      <c r="L9" s="35">
        <f t="shared" si="2"/>
        <v>33.862543239789865</v>
      </c>
    </row>
    <row r="10" spans="2:13" ht="13.5" customHeight="1" outlineLevel="1" x14ac:dyDescent="0.2">
      <c r="B10" s="54" t="s">
        <v>20</v>
      </c>
      <c r="C10" s="24">
        <f>2220249676.83</f>
        <v>2220249676.8299999</v>
      </c>
      <c r="D10" s="24">
        <f>1752971762.38</f>
        <v>1752971762.3800001</v>
      </c>
      <c r="E10" s="24">
        <f>342621325.94</f>
        <v>342621325.94</v>
      </c>
      <c r="F10" s="24">
        <f>2071975.46</f>
        <v>2071975.46</v>
      </c>
      <c r="G10" s="24">
        <f>2621147.74</f>
        <v>2621147.7400000002</v>
      </c>
      <c r="H10" s="24">
        <f>2321872.99</f>
        <v>2321872.9900000002</v>
      </c>
      <c r="I10" s="24">
        <f>2370</f>
        <v>2370</v>
      </c>
      <c r="J10" s="35">
        <f t="shared" si="0"/>
        <v>1.2048963422274244</v>
      </c>
      <c r="K10" s="35">
        <f t="shared" si="1"/>
        <v>78.953812297490614</v>
      </c>
      <c r="L10" s="35">
        <f t="shared" si="2"/>
        <v>2.6331853908479501</v>
      </c>
    </row>
    <row r="11" spans="2:13" ht="13.5" customHeight="1" outlineLevel="1" x14ac:dyDescent="0.2">
      <c r="B11" s="54" t="s">
        <v>21</v>
      </c>
      <c r="C11" s="24">
        <f>21616525009.76</f>
        <v>21616525009.759998</v>
      </c>
      <c r="D11" s="53">
        <f>16652194786.21</f>
        <v>16652194786.209999</v>
      </c>
      <c r="E11" s="24">
        <f>2828875685.33</f>
        <v>2828875685.3299999</v>
      </c>
      <c r="F11" s="24">
        <f>532611026.06</f>
        <v>532611026.06</v>
      </c>
      <c r="G11" s="24">
        <f>52287282.39</f>
        <v>52287282.390000001</v>
      </c>
      <c r="H11" s="24">
        <f>89001199.51</f>
        <v>89001199.510000005</v>
      </c>
      <c r="I11" s="24">
        <f>1898869.62</f>
        <v>1898869.62</v>
      </c>
      <c r="J11" s="35">
        <f t="shared" si="0"/>
        <v>11.445802504383758</v>
      </c>
      <c r="K11" s="35">
        <f t="shared" si="1"/>
        <v>77.034559341482634</v>
      </c>
      <c r="L11" s="35">
        <f t="shared" si="2"/>
        <v>25.013703573336493</v>
      </c>
    </row>
    <row r="12" spans="2:13" ht="13.5" customHeight="1" outlineLevel="1" x14ac:dyDescent="0.2">
      <c r="B12" s="54" t="s">
        <v>22</v>
      </c>
      <c r="C12" s="24">
        <f>499215201.95</f>
        <v>499215201.94999999</v>
      </c>
      <c r="D12" s="53">
        <f>388066493.52</f>
        <v>388066493.51999998</v>
      </c>
      <c r="E12" s="24">
        <f>6811594.94</f>
        <v>6811594.9400000004</v>
      </c>
      <c r="F12" s="24">
        <f>78834107.61</f>
        <v>78834107.609999999</v>
      </c>
      <c r="G12" s="24">
        <f>82542.47</f>
        <v>82542.47</v>
      </c>
      <c r="H12" s="24">
        <f>25126.09</f>
        <v>25126.09</v>
      </c>
      <c r="I12" s="24">
        <f>0</f>
        <v>0</v>
      </c>
      <c r="J12" s="35">
        <f t="shared" si="0"/>
        <v>0.26673555650915898</v>
      </c>
      <c r="K12" s="35">
        <f t="shared" si="1"/>
        <v>77.735311746149037</v>
      </c>
      <c r="L12" s="35">
        <f t="shared" si="2"/>
        <v>0.58292497537273114</v>
      </c>
    </row>
    <row r="13" spans="2:13" ht="13.5" customHeight="1" outlineLevel="1" x14ac:dyDescent="0.2">
      <c r="B13" s="54" t="s">
        <v>23</v>
      </c>
      <c r="C13" s="24">
        <f>1098909261.68</f>
        <v>1098909261.6800001</v>
      </c>
      <c r="D13" s="53">
        <f>971738863.63</f>
        <v>971738863.63</v>
      </c>
      <c r="E13" s="24">
        <f>1135788290.24</f>
        <v>1135788290.24</v>
      </c>
      <c r="F13" s="24">
        <f>3516131.89</f>
        <v>3516131.89</v>
      </c>
      <c r="G13" s="24">
        <f>1953233.74</f>
        <v>1953233.74</v>
      </c>
      <c r="H13" s="24">
        <f>4139577.28</f>
        <v>4139577.28</v>
      </c>
      <c r="I13" s="24">
        <f>7624</f>
        <v>7624</v>
      </c>
      <c r="J13" s="35">
        <f t="shared" si="0"/>
        <v>0.6679198304930889</v>
      </c>
      <c r="K13" s="35">
        <f t="shared" si="1"/>
        <v>88.427579738878222</v>
      </c>
      <c r="L13" s="35">
        <f t="shared" si="2"/>
        <v>1.459674727421552</v>
      </c>
    </row>
    <row r="14" spans="2:13" ht="33.950000000000003" customHeight="1" outlineLevel="1" x14ac:dyDescent="0.2">
      <c r="B14" s="54" t="s">
        <v>43</v>
      </c>
      <c r="C14" s="24">
        <f>90151944.68</f>
        <v>90151944.680000007</v>
      </c>
      <c r="D14" s="53">
        <f>73205627.28</f>
        <v>73205627.280000001</v>
      </c>
      <c r="E14" s="24">
        <f>0</f>
        <v>0</v>
      </c>
      <c r="F14" s="24">
        <f>0</f>
        <v>0</v>
      </c>
      <c r="G14" s="24">
        <f>27742.84</f>
        <v>27742.84</v>
      </c>
      <c r="H14" s="24">
        <f>88293.69</f>
        <v>88293.69</v>
      </c>
      <c r="I14" s="24">
        <f>0</f>
        <v>0</v>
      </c>
      <c r="J14" s="35">
        <f t="shared" si="0"/>
        <v>5.0317520471853151E-2</v>
      </c>
      <c r="K14" s="35">
        <f t="shared" si="1"/>
        <v>81.202493789621485</v>
      </c>
      <c r="L14" s="35">
        <f t="shared" si="2"/>
        <v>0.10996411489243932</v>
      </c>
    </row>
    <row r="15" spans="2:13" ht="13.5" customHeight="1" outlineLevel="1" x14ac:dyDescent="0.2">
      <c r="B15" s="54" t="s">
        <v>28</v>
      </c>
      <c r="C15" s="24">
        <f>235704516.58</f>
        <v>235704516.58000001</v>
      </c>
      <c r="D15" s="53">
        <f>197244901.15</f>
        <v>197244901.15000001</v>
      </c>
      <c r="E15" s="24">
        <f>0</f>
        <v>0</v>
      </c>
      <c r="F15" s="24">
        <f>0</f>
        <v>0</v>
      </c>
      <c r="G15" s="24">
        <f>3608806.14</f>
        <v>3608806.14</v>
      </c>
      <c r="H15" s="24">
        <f>7704394.23</f>
        <v>7704394.2300000004</v>
      </c>
      <c r="I15" s="24">
        <f>0</f>
        <v>0</v>
      </c>
      <c r="J15" s="35">
        <f t="shared" si="0"/>
        <v>0.13557529277937466</v>
      </c>
      <c r="K15" s="35">
        <f t="shared" si="1"/>
        <v>83.683123264654753</v>
      </c>
      <c r="L15" s="35">
        <f t="shared" si="2"/>
        <v>0.29628679895120813</v>
      </c>
    </row>
    <row r="16" spans="2:13" ht="22.5" customHeight="1" outlineLevel="1" x14ac:dyDescent="0.2">
      <c r="B16" s="54" t="s">
        <v>29</v>
      </c>
      <c r="C16" s="24">
        <f>1718052146.25</f>
        <v>1718052146.25</v>
      </c>
      <c r="D16" s="53">
        <f>1485119482.47</f>
        <v>1485119482.47</v>
      </c>
      <c r="E16" s="24">
        <f>0</f>
        <v>0</v>
      </c>
      <c r="F16" s="24">
        <f>0</f>
        <v>0</v>
      </c>
      <c r="G16" s="24">
        <f>121114.69</f>
        <v>121114.69</v>
      </c>
      <c r="H16" s="24">
        <f>598920.18</f>
        <v>598920.18000000005</v>
      </c>
      <c r="I16" s="24">
        <f>0</f>
        <v>0</v>
      </c>
      <c r="J16" s="35">
        <f t="shared" si="0"/>
        <v>1.0207894220550988</v>
      </c>
      <c r="K16" s="35">
        <f t="shared" si="1"/>
        <v>86.442049253951737</v>
      </c>
      <c r="L16" s="35">
        <f t="shared" si="2"/>
        <v>2.2308373750380777</v>
      </c>
    </row>
    <row r="17" spans="2:12" ht="13.5" customHeight="1" outlineLevel="1" x14ac:dyDescent="0.2">
      <c r="B17" s="54" t="s">
        <v>30</v>
      </c>
      <c r="C17" s="24">
        <f>198374554.32</f>
        <v>198374554.31999999</v>
      </c>
      <c r="D17" s="53">
        <f>147847364.59</f>
        <v>147847364.59</v>
      </c>
      <c r="E17" s="24">
        <f>0</f>
        <v>0</v>
      </c>
      <c r="F17" s="24">
        <f>0</f>
        <v>0</v>
      </c>
      <c r="G17" s="24">
        <f>37</f>
        <v>37</v>
      </c>
      <c r="H17" s="24">
        <f>847</f>
        <v>847</v>
      </c>
      <c r="I17" s="24">
        <f>0</f>
        <v>0</v>
      </c>
      <c r="J17" s="35">
        <f t="shared" si="0"/>
        <v>0.10162214396459798</v>
      </c>
      <c r="K17" s="35">
        <f t="shared" si="1"/>
        <v>74.529399749277289</v>
      </c>
      <c r="L17" s="35">
        <f t="shared" si="2"/>
        <v>0.22208544876113415</v>
      </c>
    </row>
    <row r="18" spans="2:12" ht="13.5" customHeight="1" outlineLevel="1" x14ac:dyDescent="0.2">
      <c r="B18" s="54" t="s">
        <v>31</v>
      </c>
      <c r="C18" s="24">
        <f>443693097.11</f>
        <v>443693097.11000001</v>
      </c>
      <c r="D18" s="53">
        <f>419065183.05</f>
        <v>419065183.05000001</v>
      </c>
      <c r="E18" s="24">
        <f>0</f>
        <v>0</v>
      </c>
      <c r="F18" s="24">
        <f>0</f>
        <v>0</v>
      </c>
      <c r="G18" s="24">
        <f>1364</f>
        <v>1364</v>
      </c>
      <c r="H18" s="24">
        <f>110219.39</f>
        <v>110219.39</v>
      </c>
      <c r="I18" s="24">
        <f>0</f>
        <v>0</v>
      </c>
      <c r="J18" s="35">
        <f t="shared" si="0"/>
        <v>0.28804235016670787</v>
      </c>
      <c r="K18" s="35">
        <f t="shared" si="1"/>
        <v>94.44933576374882</v>
      </c>
      <c r="L18" s="35">
        <f t="shared" si="2"/>
        <v>0.62948892931515243</v>
      </c>
    </row>
    <row r="19" spans="2:12" ht="13.5" customHeight="1" outlineLevel="1" x14ac:dyDescent="0.2">
      <c r="B19" s="54" t="s">
        <v>32</v>
      </c>
      <c r="C19" s="24">
        <f>118996311.86</f>
        <v>118996311.86</v>
      </c>
      <c r="D19" s="53">
        <f>85367534.42</f>
        <v>85367534.420000002</v>
      </c>
      <c r="E19" s="24">
        <f>1162493.02</f>
        <v>1162493.02</v>
      </c>
      <c r="F19" s="24">
        <f>0</f>
        <v>0</v>
      </c>
      <c r="G19" s="24">
        <f>8442.73</f>
        <v>8442.73</v>
      </c>
      <c r="H19" s="24">
        <f>43922.87</f>
        <v>43922.87</v>
      </c>
      <c r="I19" s="24">
        <f>0</f>
        <v>0</v>
      </c>
      <c r="J19" s="35">
        <f t="shared" si="0"/>
        <v>5.8676946300595632E-2</v>
      </c>
      <c r="K19" s="35">
        <f t="shared" si="1"/>
        <v>71.739647292964435</v>
      </c>
      <c r="L19" s="35">
        <f t="shared" si="2"/>
        <v>0.12823283826446774</v>
      </c>
    </row>
    <row r="20" spans="2:12" ht="13.5" customHeight="1" outlineLevel="1" x14ac:dyDescent="0.2">
      <c r="B20" s="54" t="s">
        <v>24</v>
      </c>
      <c r="C20" s="24">
        <f>5687812334.95</f>
        <v>5687812334.9499998</v>
      </c>
      <c r="D20" s="53">
        <f>3150842410.1</f>
        <v>3150842410.0999999</v>
      </c>
      <c r="E20" s="24">
        <f>0</f>
        <v>0</v>
      </c>
      <c r="F20" s="24">
        <f>0</f>
        <v>0</v>
      </c>
      <c r="G20" s="24">
        <f>0</f>
        <v>0</v>
      </c>
      <c r="H20" s="24">
        <f>22135.28</f>
        <v>22135.279999999999</v>
      </c>
      <c r="I20" s="24">
        <f>0</f>
        <v>0</v>
      </c>
      <c r="J20" s="35">
        <f t="shared" si="0"/>
        <v>2.1657157156428628</v>
      </c>
      <c r="K20" s="35">
        <f t="shared" si="1"/>
        <v>55.396384840951299</v>
      </c>
      <c r="L20" s="35">
        <f t="shared" si="2"/>
        <v>4.732963976484716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23213513599.189999</v>
      </c>
      <c r="D21" s="24">
        <f t="shared" ref="D21:I21" si="3">D7-D8-D9-D10-D11-D12-D13-D14-D15-D16-D17-D18-D19-D20</f>
        <v>16560101718.800009</v>
      </c>
      <c r="E21" s="24">
        <f t="shared" si="3"/>
        <v>18715681.139999609</v>
      </c>
      <c r="F21" s="24">
        <f t="shared" si="3"/>
        <v>101528.49999994086</v>
      </c>
      <c r="G21" s="24">
        <f t="shared" si="3"/>
        <v>11027187.740000008</v>
      </c>
      <c r="H21" s="24">
        <f t="shared" si="3"/>
        <v>10960955.179999996</v>
      </c>
      <c r="I21" s="24">
        <f t="shared" si="3"/>
        <v>572924.41999999993</v>
      </c>
      <c r="J21" s="35">
        <f t="shared" si="0"/>
        <v>11.382502796739782</v>
      </c>
      <c r="K21" s="35">
        <f t="shared" si="1"/>
        <v>71.338195521499387</v>
      </c>
      <c r="L21" s="35">
        <f t="shared" si="2"/>
        <v>24.875368133538466</v>
      </c>
    </row>
    <row r="22" spans="2:12" ht="27" customHeight="1" x14ac:dyDescent="0.2">
      <c r="B22" s="85" t="s">
        <v>98</v>
      </c>
      <c r="C22" s="45">
        <f>C23+C42+C44</f>
        <v>62293679667.820007</v>
      </c>
      <c r="D22" s="45">
        <f>D23+D42+D44</f>
        <v>35674057795.970001</v>
      </c>
      <c r="E22" s="41" t="s">
        <v>57</v>
      </c>
      <c r="F22" s="41" t="s">
        <v>57</v>
      </c>
      <c r="G22" s="41" t="s">
        <v>57</v>
      </c>
      <c r="H22" s="41" t="s">
        <v>57</v>
      </c>
      <c r="I22" s="41" t="s">
        <v>57</v>
      </c>
      <c r="J22" s="46">
        <f t="shared" si="0"/>
        <v>24.520384568212023</v>
      </c>
      <c r="K22" s="46">
        <f t="shared" si="1"/>
        <v>57.267539798903051</v>
      </c>
      <c r="L22" s="29"/>
    </row>
    <row r="23" spans="2:12" ht="27" customHeight="1" outlineLevel="1" x14ac:dyDescent="0.2">
      <c r="B23" s="93" t="s">
        <v>59</v>
      </c>
      <c r="C23" s="45">
        <f>C24+C26+C28+C30+C32+C34+C36+C38+C40</f>
        <v>56230763742.290001</v>
      </c>
      <c r="D23" s="45">
        <f>D24+D26+D28+D30+D32+D34+D36+D38+D40</f>
        <v>32855256060.450001</v>
      </c>
      <c r="E23" s="41" t="s">
        <v>57</v>
      </c>
      <c r="F23" s="41" t="s">
        <v>57</v>
      </c>
      <c r="G23" s="41" t="s">
        <v>57</v>
      </c>
      <c r="H23" s="41" t="s">
        <v>57</v>
      </c>
      <c r="I23" s="41" t="s">
        <v>57</v>
      </c>
      <c r="J23" s="46">
        <f t="shared" si="0"/>
        <v>22.58289534363881</v>
      </c>
      <c r="K23" s="46">
        <f t="shared" si="1"/>
        <v>58.429325646416991</v>
      </c>
      <c r="L23" s="29"/>
    </row>
    <row r="24" spans="2:12" ht="22.5" customHeight="1" outlineLevel="1" x14ac:dyDescent="0.2">
      <c r="B24" s="83" t="s">
        <v>9</v>
      </c>
      <c r="C24" s="24">
        <f>15893893510.63</f>
        <v>15893893510.629999</v>
      </c>
      <c r="D24" s="24">
        <f>14098172493.98</f>
        <v>14098172493.98</v>
      </c>
      <c r="E24" s="24" t="s">
        <v>57</v>
      </c>
      <c r="F24" s="24" t="s">
        <v>57</v>
      </c>
      <c r="G24" s="24" t="s">
        <v>57</v>
      </c>
      <c r="H24" s="24" t="s">
        <v>57</v>
      </c>
      <c r="I24" s="24" t="s">
        <v>57</v>
      </c>
      <c r="J24" s="35">
        <f t="shared" si="0"/>
        <v>9.6903081011555212</v>
      </c>
      <c r="K24" s="35">
        <f t="shared" si="1"/>
        <v>88.701817994130877</v>
      </c>
      <c r="L24" s="29"/>
    </row>
    <row r="25" spans="2:12" ht="13.5" customHeight="1" outlineLevel="1" x14ac:dyDescent="0.2">
      <c r="B25" s="94" t="s">
        <v>6</v>
      </c>
      <c r="C25" s="24">
        <f>9690005.37</f>
        <v>9690005.3699999992</v>
      </c>
      <c r="D25" s="24">
        <f>640362.47</f>
        <v>640362.47</v>
      </c>
      <c r="E25" s="24" t="s">
        <v>57</v>
      </c>
      <c r="F25" s="24" t="s">
        <v>57</v>
      </c>
      <c r="G25" s="24" t="s">
        <v>57</v>
      </c>
      <c r="H25" s="24" t="s">
        <v>57</v>
      </c>
      <c r="I25" s="24" t="s">
        <v>57</v>
      </c>
      <c r="J25" s="35">
        <f t="shared" si="0"/>
        <v>4.4014992960021324E-4</v>
      </c>
      <c r="K25" s="35">
        <f t="shared" si="1"/>
        <v>6.6084841602105326</v>
      </c>
      <c r="L25" s="29"/>
    </row>
    <row r="26" spans="2:12" ht="13.5" customHeight="1" outlineLevel="1" x14ac:dyDescent="0.2">
      <c r="B26" s="83" t="s">
        <v>7</v>
      </c>
      <c r="C26" s="24">
        <f>6667261220.49</f>
        <v>6667261220.4899998</v>
      </c>
      <c r="D26" s="24">
        <f>4590079581.31</f>
        <v>4590079581.3100004</v>
      </c>
      <c r="E26" s="24" t="s">
        <v>57</v>
      </c>
      <c r="F26" s="24" t="s">
        <v>57</v>
      </c>
      <c r="G26" s="24" t="s">
        <v>57</v>
      </c>
      <c r="H26" s="24" t="s">
        <v>57</v>
      </c>
      <c r="I26" s="24" t="s">
        <v>57</v>
      </c>
      <c r="J26" s="35">
        <f t="shared" si="0"/>
        <v>3.1549681613492635</v>
      </c>
      <c r="K26" s="35">
        <f t="shared" si="1"/>
        <v>68.845053906147385</v>
      </c>
      <c r="L26" s="29"/>
    </row>
    <row r="27" spans="2:12" ht="13.5" customHeight="1" outlineLevel="1" x14ac:dyDescent="0.2">
      <c r="B27" s="94" t="s">
        <v>6</v>
      </c>
      <c r="C27" s="24">
        <f>906060227.24</f>
        <v>906060227.24000001</v>
      </c>
      <c r="D27" s="24">
        <f>259039962.66</f>
        <v>259039962.66</v>
      </c>
      <c r="E27" s="24" t="s">
        <v>57</v>
      </c>
      <c r="F27" s="24" t="s">
        <v>57</v>
      </c>
      <c r="G27" s="24" t="s">
        <v>57</v>
      </c>
      <c r="H27" s="24" t="s">
        <v>57</v>
      </c>
      <c r="I27" s="24" t="s">
        <v>57</v>
      </c>
      <c r="J27" s="35">
        <f t="shared" si="0"/>
        <v>0.1780498181419671</v>
      </c>
      <c r="K27" s="35">
        <f t="shared" si="1"/>
        <v>28.589706828769639</v>
      </c>
      <c r="L27" s="29"/>
    </row>
    <row r="28" spans="2:12" ht="35.1" customHeight="1" outlineLevel="1" x14ac:dyDescent="0.2">
      <c r="B28" s="83" t="s">
        <v>10</v>
      </c>
      <c r="C28" s="24">
        <f>104051590.84</f>
        <v>104051590.84</v>
      </c>
      <c r="D28" s="24">
        <f>62920413.64</f>
        <v>62920413.640000001</v>
      </c>
      <c r="E28" s="24" t="s">
        <v>57</v>
      </c>
      <c r="F28" s="24" t="s">
        <v>57</v>
      </c>
      <c r="G28" s="24" t="s">
        <v>57</v>
      </c>
      <c r="H28" s="24" t="s">
        <v>57</v>
      </c>
      <c r="I28" s="24" t="s">
        <v>57</v>
      </c>
      <c r="J28" s="35">
        <f t="shared" si="0"/>
        <v>4.3248030500697983E-2</v>
      </c>
      <c r="K28" s="35">
        <f t="shared" si="1"/>
        <v>60.47040043506172</v>
      </c>
      <c r="L28" s="29"/>
    </row>
    <row r="29" spans="2:12" ht="13.5" customHeight="1" outlineLevel="1" x14ac:dyDescent="0.2">
      <c r="B29" s="94" t="s">
        <v>6</v>
      </c>
      <c r="C29" s="24">
        <f>30342841.41</f>
        <v>30342841.41</v>
      </c>
      <c r="D29" s="24">
        <f>7384731.09</f>
        <v>7384731.0899999999</v>
      </c>
      <c r="E29" s="24" t="s">
        <v>57</v>
      </c>
      <c r="F29" s="24" t="s">
        <v>57</v>
      </c>
      <c r="G29" s="24" t="s">
        <v>57</v>
      </c>
      <c r="H29" s="24" t="s">
        <v>57</v>
      </c>
      <c r="I29" s="24" t="s">
        <v>57</v>
      </c>
      <c r="J29" s="35">
        <f t="shared" si="0"/>
        <v>5.0758578487274655E-3</v>
      </c>
      <c r="K29" s="35">
        <f t="shared" si="1"/>
        <v>24.337638621959236</v>
      </c>
      <c r="L29" s="29"/>
    </row>
    <row r="30" spans="2:12" ht="24" customHeight="1" outlineLevel="1" x14ac:dyDescent="0.2">
      <c r="B30" s="83" t="s">
        <v>11</v>
      </c>
      <c r="C30" s="24">
        <f>874977553.95</f>
        <v>874977553.95000005</v>
      </c>
      <c r="D30" s="24">
        <f>484823362.62</f>
        <v>484823362.62</v>
      </c>
      <c r="E30" s="24" t="s">
        <v>57</v>
      </c>
      <c r="F30" s="24" t="s">
        <v>57</v>
      </c>
      <c r="G30" s="24" t="s">
        <v>57</v>
      </c>
      <c r="H30" s="24" t="s">
        <v>57</v>
      </c>
      <c r="I30" s="24" t="s">
        <v>57</v>
      </c>
      <c r="J30" s="35">
        <f t="shared" si="0"/>
        <v>0.33324090483586843</v>
      </c>
      <c r="K30" s="35">
        <f t="shared" si="1"/>
        <v>55.409805706593573</v>
      </c>
      <c r="L30" s="29"/>
    </row>
    <row r="31" spans="2:12" ht="13.5" customHeight="1" outlineLevel="1" x14ac:dyDescent="0.2">
      <c r="B31" s="94" t="s">
        <v>6</v>
      </c>
      <c r="C31" s="24">
        <f>361880898.25</f>
        <v>361880898.25</v>
      </c>
      <c r="D31" s="24">
        <f>114500622.45</f>
        <v>114500622.45</v>
      </c>
      <c r="E31" s="24" t="s">
        <v>57</v>
      </c>
      <c r="F31" s="24" t="s">
        <v>57</v>
      </c>
      <c r="G31" s="24" t="s">
        <v>57</v>
      </c>
      <c r="H31" s="24" t="s">
        <v>57</v>
      </c>
      <c r="I31" s="24" t="s">
        <v>57</v>
      </c>
      <c r="J31" s="35">
        <f t="shared" si="0"/>
        <v>7.8701428131083467E-2</v>
      </c>
      <c r="K31" s="35">
        <f t="shared" si="1"/>
        <v>31.640416226362674</v>
      </c>
      <c r="L31" s="29"/>
    </row>
    <row r="32" spans="2:12" ht="35.1" customHeight="1" outlineLevel="1" x14ac:dyDescent="0.2">
      <c r="B32" s="83" t="s">
        <v>75</v>
      </c>
      <c r="C32" s="24">
        <f>1128382716.72</f>
        <v>1128382716.72</v>
      </c>
      <c r="D32" s="24">
        <f>604219833.36</f>
        <v>604219833.36000001</v>
      </c>
      <c r="E32" s="24" t="s">
        <v>57</v>
      </c>
      <c r="F32" s="24" t="s">
        <v>57</v>
      </c>
      <c r="G32" s="24" t="s">
        <v>57</v>
      </c>
      <c r="H32" s="24" t="s">
        <v>57</v>
      </c>
      <c r="I32" s="24" t="s">
        <v>57</v>
      </c>
      <c r="J32" s="35">
        <f t="shared" si="0"/>
        <v>0.41530746971548249</v>
      </c>
      <c r="K32" s="35">
        <f t="shared" si="1"/>
        <v>53.547420073603696</v>
      </c>
      <c r="L32" s="29"/>
    </row>
    <row r="33" spans="2:12" ht="13.5" customHeight="1" outlineLevel="1" x14ac:dyDescent="0.2">
      <c r="B33" s="94" t="s">
        <v>6</v>
      </c>
      <c r="C33" s="24">
        <f>980861356.57</f>
        <v>980861356.57000005</v>
      </c>
      <c r="D33" s="24">
        <f>510628404.18</f>
        <v>510628404.18000001</v>
      </c>
      <c r="E33" s="24" t="s">
        <v>57</v>
      </c>
      <c r="F33" s="24" t="s">
        <v>57</v>
      </c>
      <c r="G33" s="24" t="s">
        <v>57</v>
      </c>
      <c r="H33" s="24" t="s">
        <v>57</v>
      </c>
      <c r="I33" s="24" t="s">
        <v>57</v>
      </c>
      <c r="J33" s="35">
        <f t="shared" si="0"/>
        <v>0.35097787062957675</v>
      </c>
      <c r="K33" s="35">
        <f t="shared" si="1"/>
        <v>52.059182550083321</v>
      </c>
      <c r="L33" s="29"/>
    </row>
    <row r="34" spans="2:12" ht="13.5" customHeight="1" outlineLevel="1" x14ac:dyDescent="0.2">
      <c r="B34" s="83" t="s">
        <v>8</v>
      </c>
      <c r="C34" s="24">
        <f>608233376.17</f>
        <v>608233376.16999996</v>
      </c>
      <c r="D34" s="24">
        <f>182148658.57</f>
        <v>182148658.56999999</v>
      </c>
      <c r="E34" s="24" t="s">
        <v>57</v>
      </c>
      <c r="F34" s="24" t="s">
        <v>57</v>
      </c>
      <c r="G34" s="24" t="s">
        <v>57</v>
      </c>
      <c r="H34" s="24" t="s">
        <v>57</v>
      </c>
      <c r="I34" s="24" t="s">
        <v>57</v>
      </c>
      <c r="J34" s="35">
        <f t="shared" si="0"/>
        <v>0.12519896621417989</v>
      </c>
      <c r="K34" s="35">
        <f t="shared" si="1"/>
        <v>29.947165957412018</v>
      </c>
      <c r="L34" s="29"/>
    </row>
    <row r="35" spans="2:12" ht="13.5" customHeight="1" outlineLevel="1" x14ac:dyDescent="0.2">
      <c r="B35" s="95" t="s">
        <v>6</v>
      </c>
      <c r="C35" s="22">
        <f>568109500.27</f>
        <v>568109500.26999998</v>
      </c>
      <c r="D35" s="22">
        <f>150658220.83</f>
        <v>150658220.83000001</v>
      </c>
      <c r="E35" s="24" t="s">
        <v>57</v>
      </c>
      <c r="F35" s="24" t="s">
        <v>57</v>
      </c>
      <c r="G35" s="24" t="s">
        <v>57</v>
      </c>
      <c r="H35" s="24" t="s">
        <v>57</v>
      </c>
      <c r="I35" s="24" t="s">
        <v>57</v>
      </c>
      <c r="J35" s="35">
        <f t="shared" si="0"/>
        <v>0.10355417189270616</v>
      </c>
      <c r="K35" s="35">
        <f t="shared" si="1"/>
        <v>26.519222220082241</v>
      </c>
      <c r="L35" s="29"/>
    </row>
    <row r="36" spans="2:12" ht="71.099999999999994" customHeight="1" outlineLevel="1" x14ac:dyDescent="0.2">
      <c r="B36" s="83" t="s">
        <v>92</v>
      </c>
      <c r="C36" s="22">
        <f>9828993.64</f>
        <v>9828993.6400000006</v>
      </c>
      <c r="D36" s="22">
        <f>1901893.13</f>
        <v>1901893.13</v>
      </c>
      <c r="E36" s="24" t="s">
        <v>57</v>
      </c>
      <c r="F36" s="24" t="s">
        <v>57</v>
      </c>
      <c r="G36" s="24" t="s">
        <v>57</v>
      </c>
      <c r="H36" s="24" t="s">
        <v>57</v>
      </c>
      <c r="I36" s="24" t="s">
        <v>57</v>
      </c>
      <c r="J36" s="35">
        <f t="shared" si="0"/>
        <v>1.3072566967839781E-3</v>
      </c>
      <c r="K36" s="35">
        <f>IF(C36=0,"",100*D36/C36)</f>
        <v>19.34982562467097</v>
      </c>
      <c r="L36" s="29"/>
    </row>
    <row r="37" spans="2:12" ht="13.5" customHeight="1" outlineLevel="1" x14ac:dyDescent="0.2">
      <c r="B37" s="95" t="s">
        <v>93</v>
      </c>
      <c r="C37" s="22">
        <f>8125379.64</f>
        <v>8125379.6399999997</v>
      </c>
      <c r="D37" s="22">
        <f>1410176.63</f>
        <v>1410176.63</v>
      </c>
      <c r="E37" s="24" t="s">
        <v>57</v>
      </c>
      <c r="F37" s="24" t="s">
        <v>57</v>
      </c>
      <c r="G37" s="24" t="s">
        <v>57</v>
      </c>
      <c r="H37" s="24" t="s">
        <v>57</v>
      </c>
      <c r="I37" s="24" t="s">
        <v>57</v>
      </c>
      <c r="J37" s="35">
        <f t="shared" si="0"/>
        <v>9.6927782856850737E-4</v>
      </c>
      <c r="K37" s="35">
        <f>IF(C37=0,"",100*D37/C37)</f>
        <v>17.355209140726377</v>
      </c>
      <c r="L37" s="29"/>
    </row>
    <row r="38" spans="2:12" ht="48" customHeight="1" outlineLevel="1" x14ac:dyDescent="0.2">
      <c r="B38" s="96" t="s">
        <v>90</v>
      </c>
      <c r="C38" s="22">
        <f>29761921085.48</f>
        <v>29761921085.48</v>
      </c>
      <c r="D38" s="22">
        <f>11698427002.43</f>
        <v>11698427002.43</v>
      </c>
      <c r="E38" s="24" t="s">
        <v>57</v>
      </c>
      <c r="F38" s="24" t="s">
        <v>57</v>
      </c>
      <c r="G38" s="24" t="s">
        <v>57</v>
      </c>
      <c r="H38" s="24" t="s">
        <v>57</v>
      </c>
      <c r="I38" s="24" t="s">
        <v>57</v>
      </c>
      <c r="J38" s="35">
        <f t="shared" si="0"/>
        <v>8.0408550825172469</v>
      </c>
      <c r="K38" s="35">
        <f t="shared" si="1"/>
        <v>39.306693169539152</v>
      </c>
      <c r="L38" s="29"/>
    </row>
    <row r="39" spans="2:12" ht="13.5" customHeight="1" outlineLevel="1" x14ac:dyDescent="0.2">
      <c r="B39" s="95" t="s">
        <v>6</v>
      </c>
      <c r="C39" s="22">
        <f>29560148085</f>
        <v>29560148085</v>
      </c>
      <c r="D39" s="22">
        <f>11556881060.75</f>
        <v>11556881060.75</v>
      </c>
      <c r="E39" s="24" t="s">
        <v>57</v>
      </c>
      <c r="F39" s="24" t="s">
        <v>57</v>
      </c>
      <c r="G39" s="24" t="s">
        <v>57</v>
      </c>
      <c r="H39" s="24" t="s">
        <v>57</v>
      </c>
      <c r="I39" s="24" t="s">
        <v>57</v>
      </c>
      <c r="J39" s="35">
        <f t="shared" si="0"/>
        <v>7.9435641899612737</v>
      </c>
      <c r="K39" s="35">
        <f t="shared" si="1"/>
        <v>39.096154144824546</v>
      </c>
      <c r="L39" s="29"/>
    </row>
    <row r="40" spans="2:12" ht="22.5" outlineLevel="1" x14ac:dyDescent="0.2">
      <c r="B40" s="96" t="s">
        <v>104</v>
      </c>
      <c r="C40" s="22">
        <f>1182213694.37</f>
        <v>1182213694.3699999</v>
      </c>
      <c r="D40" s="22">
        <f>1132562821.41</f>
        <v>1132562821.4100001</v>
      </c>
      <c r="E40" s="24" t="s">
        <v>57</v>
      </c>
      <c r="F40" s="24" t="s">
        <v>57</v>
      </c>
      <c r="G40" s="24" t="s">
        <v>57</v>
      </c>
      <c r="H40" s="24" t="s">
        <v>57</v>
      </c>
      <c r="I40" s="24" t="s">
        <v>57</v>
      </c>
      <c r="J40" s="35">
        <f t="shared" si="0"/>
        <v>0.77846137065376497</v>
      </c>
      <c r="K40" s="35">
        <f t="shared" si="1"/>
        <v>95.800177819251317</v>
      </c>
      <c r="L40" s="29"/>
    </row>
    <row r="41" spans="2:12" ht="13.5" customHeight="1" outlineLevel="1" x14ac:dyDescent="0.2">
      <c r="B41" s="95" t="s">
        <v>6</v>
      </c>
      <c r="C41" s="22">
        <f>1864502.74</f>
        <v>1864502.74</v>
      </c>
      <c r="D41" s="22">
        <f>50102.74</f>
        <v>50102.74</v>
      </c>
      <c r="E41" s="24" t="s">
        <v>57</v>
      </c>
      <c r="F41" s="24" t="s">
        <v>57</v>
      </c>
      <c r="G41" s="24" t="s">
        <v>57</v>
      </c>
      <c r="H41" s="24" t="s">
        <v>57</v>
      </c>
      <c r="I41" s="24" t="s">
        <v>57</v>
      </c>
      <c r="J41" s="35">
        <f t="shared" si="0"/>
        <v>3.4437866859651825E-5</v>
      </c>
      <c r="K41" s="35">
        <f t="shared" si="1"/>
        <v>2.6871904731016913</v>
      </c>
      <c r="L41" s="29"/>
    </row>
    <row r="42" spans="2:12" outlineLevel="1" x14ac:dyDescent="0.2">
      <c r="B42" s="93" t="s">
        <v>86</v>
      </c>
      <c r="C42" s="45">
        <f>764442583.77</f>
        <v>764442583.76999998</v>
      </c>
      <c r="D42" s="45">
        <f>381822272.54</f>
        <v>381822272.54000002</v>
      </c>
      <c r="E42" s="41" t="s">
        <v>57</v>
      </c>
      <c r="F42" s="41" t="s">
        <v>57</v>
      </c>
      <c r="G42" s="41" t="s">
        <v>57</v>
      </c>
      <c r="H42" s="41" t="s">
        <v>57</v>
      </c>
      <c r="I42" s="41" t="s">
        <v>57</v>
      </c>
      <c r="J42" s="46">
        <f t="shared" si="0"/>
        <v>0.26244362256000797</v>
      </c>
      <c r="K42" s="46">
        <f t="shared" si="1"/>
        <v>49.947802574912536</v>
      </c>
      <c r="L42" s="29"/>
    </row>
    <row r="43" spans="2:12" ht="13.5" customHeight="1" outlineLevel="1" x14ac:dyDescent="0.2">
      <c r="B43" s="95" t="s">
        <v>87</v>
      </c>
      <c r="C43" s="22">
        <f>623057891.64</f>
        <v>623057891.63999999</v>
      </c>
      <c r="D43" s="22">
        <f>300935389.04</f>
        <v>300935389.04000002</v>
      </c>
      <c r="E43" s="24" t="s">
        <v>57</v>
      </c>
      <c r="F43" s="24" t="s">
        <v>57</v>
      </c>
      <c r="G43" s="24" t="s">
        <v>57</v>
      </c>
      <c r="H43" s="24" t="s">
        <v>57</v>
      </c>
      <c r="I43" s="24" t="s">
        <v>57</v>
      </c>
      <c r="J43" s="35">
        <f t="shared" si="0"/>
        <v>0.20684642917966256</v>
      </c>
      <c r="K43" s="35">
        <f t="shared" si="1"/>
        <v>48.299747596147796</v>
      </c>
      <c r="L43" s="29"/>
    </row>
    <row r="44" spans="2:12" ht="13.5" customHeight="1" outlineLevel="1" x14ac:dyDescent="0.2">
      <c r="B44" s="93" t="s">
        <v>88</v>
      </c>
      <c r="C44" s="41">
        <f>5298473341.76001</f>
        <v>5298473341.7600098</v>
      </c>
      <c r="D44" s="41">
        <f>2436979462.98</f>
        <v>2436979462.98</v>
      </c>
      <c r="E44" s="41" t="s">
        <v>57</v>
      </c>
      <c r="F44" s="41" t="s">
        <v>57</v>
      </c>
      <c r="G44" s="41" t="s">
        <v>57</v>
      </c>
      <c r="H44" s="41" t="s">
        <v>57</v>
      </c>
      <c r="I44" s="41" t="s">
        <v>57</v>
      </c>
      <c r="J44" s="55">
        <f t="shared" si="0"/>
        <v>1.6750456020132043</v>
      </c>
      <c r="K44" s="55">
        <f t="shared" si="1"/>
        <v>45.993993095575362</v>
      </c>
      <c r="L44" s="29"/>
    </row>
    <row r="45" spans="2:12" ht="13.5" customHeight="1" outlineLevel="1" x14ac:dyDescent="0.2">
      <c r="B45" s="95" t="s">
        <v>89</v>
      </c>
      <c r="C45" s="22">
        <f>4452970776.06</f>
        <v>4452970776.0600004</v>
      </c>
      <c r="D45" s="22">
        <f>1987206700.77</f>
        <v>1987206700.77</v>
      </c>
      <c r="E45" s="24" t="s">
        <v>57</v>
      </c>
      <c r="F45" s="24" t="s">
        <v>57</v>
      </c>
      <c r="G45" s="24" t="s">
        <v>57</v>
      </c>
      <c r="H45" s="24" t="s">
        <v>57</v>
      </c>
      <c r="I45" s="24" t="s">
        <v>57</v>
      </c>
      <c r="J45" s="35">
        <f t="shared" si="0"/>
        <v>1.3658965514406045</v>
      </c>
      <c r="K45" s="35">
        <f t="shared" si="1"/>
        <v>44.626538118183774</v>
      </c>
      <c r="L45" s="29"/>
    </row>
    <row r="46" spans="2:12" s="5" customFormat="1" ht="25.5" customHeight="1" x14ac:dyDescent="0.2">
      <c r="B46" s="85" t="s">
        <v>60</v>
      </c>
      <c r="C46" s="25">
        <f>C47+C48+C49+C50+C51+C52</f>
        <v>52768003965.989998</v>
      </c>
      <c r="D46" s="45">
        <f>D47+D48+D49+D50+D51+D52</f>
        <v>43241004506</v>
      </c>
      <c r="E46" s="23" t="s">
        <v>57</v>
      </c>
      <c r="F46" s="23" t="s">
        <v>57</v>
      </c>
      <c r="G46" s="23" t="s">
        <v>57</v>
      </c>
      <c r="H46" s="23" t="s">
        <v>57</v>
      </c>
      <c r="I46" s="23" t="s">
        <v>57</v>
      </c>
      <c r="J46" s="34">
        <f t="shared" si="0"/>
        <v>29.721487408777101</v>
      </c>
      <c r="K46" s="34">
        <f t="shared" si="1"/>
        <v>81.945499651397967</v>
      </c>
      <c r="L46" s="30"/>
    </row>
    <row r="47" spans="2:12" ht="13.5" customHeight="1" outlineLevel="1" x14ac:dyDescent="0.2">
      <c r="B47" s="32" t="s">
        <v>47</v>
      </c>
      <c r="C47" s="22">
        <f>12647930729</f>
        <v>12647930729</v>
      </c>
      <c r="D47" s="22">
        <f>9484236972</f>
        <v>9484236972</v>
      </c>
      <c r="E47" s="24" t="s">
        <v>57</v>
      </c>
      <c r="F47" s="24" t="s">
        <v>57</v>
      </c>
      <c r="G47" s="24" t="s">
        <v>57</v>
      </c>
      <c r="H47" s="24" t="s">
        <v>57</v>
      </c>
      <c r="I47" s="24" t="s">
        <v>57</v>
      </c>
      <c r="J47" s="35">
        <f t="shared" si="0"/>
        <v>6.518942678726221</v>
      </c>
      <c r="K47" s="35">
        <f t="shared" si="1"/>
        <v>74.986471504417111</v>
      </c>
      <c r="L47" s="29"/>
    </row>
    <row r="48" spans="2:12" ht="13.5" customHeight="1" outlineLevel="1" x14ac:dyDescent="0.2">
      <c r="B48" s="54" t="s">
        <v>46</v>
      </c>
      <c r="C48" s="24">
        <f>38076642431.24</f>
        <v>38076642431.239998</v>
      </c>
      <c r="D48" s="24">
        <f>32225083943</f>
        <v>32225083943</v>
      </c>
      <c r="E48" s="24" t="s">
        <v>57</v>
      </c>
      <c r="F48" s="24" t="s">
        <v>57</v>
      </c>
      <c r="G48" s="24" t="s">
        <v>57</v>
      </c>
      <c r="H48" s="24" t="s">
        <v>57</v>
      </c>
      <c r="I48" s="24" t="s">
        <v>57</v>
      </c>
      <c r="J48" s="35">
        <f t="shared" si="0"/>
        <v>22.149749701715674</v>
      </c>
      <c r="K48" s="35">
        <f t="shared" si="1"/>
        <v>84.632157368373726</v>
      </c>
      <c r="L48" s="29"/>
    </row>
    <row r="49" spans="1:26" ht="13.5" customHeight="1" outlineLevel="1" x14ac:dyDescent="0.2">
      <c r="B49" s="54" t="s">
        <v>45</v>
      </c>
      <c r="C49" s="24">
        <f>277393</f>
        <v>277393</v>
      </c>
      <c r="D49" s="24">
        <f>0</f>
        <v>0</v>
      </c>
      <c r="E49" s="24" t="s">
        <v>57</v>
      </c>
      <c r="F49" s="24" t="s">
        <v>57</v>
      </c>
      <c r="G49" s="24" t="s">
        <v>57</v>
      </c>
      <c r="H49" s="24" t="s">
        <v>57</v>
      </c>
      <c r="I49" s="24" t="s">
        <v>57</v>
      </c>
      <c r="J49" s="35">
        <f t="shared" si="0"/>
        <v>0</v>
      </c>
      <c r="K49" s="35">
        <f t="shared" si="1"/>
        <v>0</v>
      </c>
      <c r="L49" s="29"/>
    </row>
    <row r="50" spans="1:26" ht="13.5" customHeight="1" outlineLevel="1" x14ac:dyDescent="0.2">
      <c r="B50" s="54" t="s">
        <v>44</v>
      </c>
      <c r="C50" s="24">
        <f>481076283</f>
        <v>481076283</v>
      </c>
      <c r="D50" s="24">
        <f>359769276</f>
        <v>359769276</v>
      </c>
      <c r="E50" s="24" t="s">
        <v>57</v>
      </c>
      <c r="F50" s="24" t="s">
        <v>57</v>
      </c>
      <c r="G50" s="24" t="s">
        <v>57</v>
      </c>
      <c r="H50" s="24" t="s">
        <v>57</v>
      </c>
      <c r="I50" s="24" t="s">
        <v>57</v>
      </c>
      <c r="J50" s="35">
        <f t="shared" si="0"/>
        <v>0.24728560607825703</v>
      </c>
      <c r="K50" s="35">
        <f t="shared" si="1"/>
        <v>74.78424705464019</v>
      </c>
      <c r="L50" s="29"/>
    </row>
    <row r="51" spans="1:26" ht="13.5" customHeight="1" outlineLevel="1" x14ac:dyDescent="0.2">
      <c r="B51" s="54" t="s">
        <v>115</v>
      </c>
      <c r="C51" s="22">
        <f>1553100938.79</f>
        <v>1553100938.79</v>
      </c>
      <c r="D51" s="22">
        <f>1171913490</f>
        <v>1171913490</v>
      </c>
      <c r="E51" s="24" t="s">
        <v>57</v>
      </c>
      <c r="F51" s="24" t="s">
        <v>57</v>
      </c>
      <c r="G51" s="24" t="s">
        <v>57</v>
      </c>
      <c r="H51" s="24" t="s">
        <v>57</v>
      </c>
      <c r="I51" s="24" t="s">
        <v>57</v>
      </c>
      <c r="J51" s="35">
        <f t="shared" si="0"/>
        <v>0.80550885519733884</v>
      </c>
      <c r="K51" s="35">
        <f>IF(C51=0,"",100*D51/C51)</f>
        <v>75.456363506741681</v>
      </c>
      <c r="L51" s="29"/>
    </row>
    <row r="52" spans="1:26" s="5" customFormat="1" ht="13.5" customHeight="1" outlineLevel="1" x14ac:dyDescent="0.2">
      <c r="B52" s="54" t="s">
        <v>42</v>
      </c>
      <c r="C52" s="24">
        <f>8976190.96</f>
        <v>8976190.9600000009</v>
      </c>
      <c r="D52" s="24">
        <f>825</f>
        <v>825</v>
      </c>
      <c r="E52" s="24" t="s">
        <v>57</v>
      </c>
      <c r="F52" s="24" t="s">
        <v>57</v>
      </c>
      <c r="G52" s="24" t="s">
        <v>57</v>
      </c>
      <c r="H52" s="24" t="s">
        <v>57</v>
      </c>
      <c r="I52" s="24" t="s">
        <v>57</v>
      </c>
      <c r="J52" s="35">
        <f t="shared" si="0"/>
        <v>5.6705960909947752E-7</v>
      </c>
      <c r="K52" s="35">
        <f t="shared" si="1"/>
        <v>9.1909809369741836E-3</v>
      </c>
      <c r="L52" s="30"/>
    </row>
    <row r="53" spans="1:26" s="5" customFormat="1" x14ac:dyDescent="0.2">
      <c r="A53" s="2"/>
      <c r="B53" s="20"/>
      <c r="C53" s="7"/>
      <c r="D53" s="8"/>
      <c r="E53" s="16"/>
      <c r="F53" s="16"/>
      <c r="G53" s="16"/>
      <c r="H53" s="16"/>
      <c r="I53" s="16"/>
      <c r="J53" s="9"/>
      <c r="K53" s="9"/>
      <c r="L53" s="3"/>
    </row>
    <row r="54" spans="1:26" s="5" customFormat="1" ht="13.5" customHeight="1" x14ac:dyDescent="0.2">
      <c r="A54" s="2"/>
      <c r="B54" s="84" t="s">
        <v>5</v>
      </c>
      <c r="C54" s="41">
        <f t="shared" ref="C54:I54" si="4">+C6</f>
        <v>205123167764.37</v>
      </c>
      <c r="D54" s="41">
        <f t="shared" si="4"/>
        <v>145487350317.57001</v>
      </c>
      <c r="E54" s="41">
        <f t="shared" si="4"/>
        <v>4333975070.6099997</v>
      </c>
      <c r="F54" s="41">
        <f t="shared" si="4"/>
        <v>617134769.51999998</v>
      </c>
      <c r="G54" s="41">
        <f t="shared" si="4"/>
        <v>71738901.480000004</v>
      </c>
      <c r="H54" s="41">
        <f t="shared" si="4"/>
        <v>115017463.69</v>
      </c>
      <c r="I54" s="41">
        <f t="shared" si="4"/>
        <v>2481788.04</v>
      </c>
      <c r="J54" s="56">
        <f t="shared" si="0"/>
        <v>100</v>
      </c>
      <c r="K54" s="78">
        <f>IF(C54=0,"",100*D54/C54)</f>
        <v>70.926825040404452</v>
      </c>
      <c r="L54" s="80"/>
    </row>
    <row r="55" spans="1:26" s="5" customFormat="1" ht="13.5" customHeight="1" x14ac:dyDescent="0.2">
      <c r="A55" s="2"/>
      <c r="B55" s="86" t="s">
        <v>70</v>
      </c>
      <c r="C55" s="24">
        <f>45792344321.03</f>
        <v>45792344321.029999</v>
      </c>
      <c r="D55" s="24">
        <f>19228226504.07</f>
        <v>19228226504.07</v>
      </c>
      <c r="E55" s="24">
        <f>0</f>
        <v>0</v>
      </c>
      <c r="F55" s="24">
        <f>0</f>
        <v>0</v>
      </c>
      <c r="G55" s="24">
        <f>0</f>
        <v>0</v>
      </c>
      <c r="H55" s="24">
        <f>0</f>
        <v>0</v>
      </c>
      <c r="I55" s="24">
        <f>0</f>
        <v>0</v>
      </c>
      <c r="J55" s="38">
        <f t="shared" si="0"/>
        <v>13.216424975847453</v>
      </c>
      <c r="K55" s="79">
        <f>IF(C55=0,"",100*D55/C55)</f>
        <v>41.990046129259852</v>
      </c>
      <c r="L55" s="80"/>
    </row>
    <row r="56" spans="1:26" s="5" customFormat="1" ht="13.5" customHeight="1" x14ac:dyDescent="0.2">
      <c r="A56" s="2"/>
      <c r="B56" s="86" t="s">
        <v>71</v>
      </c>
      <c r="C56" s="24">
        <f>C54-C55</f>
        <v>159330823443.34</v>
      </c>
      <c r="D56" s="24">
        <f t="shared" ref="D56:I56" si="5">D54-D55</f>
        <v>126259123813.5</v>
      </c>
      <c r="E56" s="24">
        <f t="shared" si="5"/>
        <v>4333975070.6099997</v>
      </c>
      <c r="F56" s="24">
        <f t="shared" si="5"/>
        <v>617134769.51999998</v>
      </c>
      <c r="G56" s="24">
        <f t="shared" si="5"/>
        <v>71738901.480000004</v>
      </c>
      <c r="H56" s="24">
        <f t="shared" si="5"/>
        <v>115017463.69</v>
      </c>
      <c r="I56" s="24">
        <f t="shared" si="5"/>
        <v>2481788.04</v>
      </c>
      <c r="J56" s="38">
        <f t="shared" si="0"/>
        <v>86.78357502415254</v>
      </c>
      <c r="K56" s="79">
        <f>IF(C56=0,"",100*D56/C56)</f>
        <v>79.243376193558248</v>
      </c>
      <c r="L56" s="80"/>
    </row>
    <row r="57" spans="1:26" s="5" customFormat="1" ht="13.5" customHeight="1" x14ac:dyDescent="0.2">
      <c r="A57" s="2"/>
      <c r="B57" s="105" t="s">
        <v>105</v>
      </c>
      <c r="C57" s="105"/>
      <c r="D57" s="105"/>
      <c r="E57" s="105"/>
      <c r="F57" s="76"/>
      <c r="G57" s="76"/>
      <c r="H57" s="76"/>
      <c r="I57" s="76"/>
      <c r="J57" s="9"/>
      <c r="K57" s="9"/>
      <c r="L57" s="9"/>
    </row>
    <row r="58" spans="1:26" ht="15" x14ac:dyDescent="0.2">
      <c r="B58" s="91" t="str">
        <f>CONCATENATE("Informacja z wykonania budżetów gmin za ",$D$118," ",$C$119," rok     ",$C$121,"")</f>
        <v xml:space="preserve">Informacja z wykonania budżetów gmin za III Kwartały 2024 rok     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</row>
    <row r="59" spans="1:26" s="5" customFormat="1" ht="7.5" customHeight="1" x14ac:dyDescent="0.2">
      <c r="B59" s="6"/>
      <c r="C59" s="7"/>
      <c r="D59" s="8"/>
      <c r="E59" s="8"/>
      <c r="F59" s="4"/>
      <c r="G59" s="4"/>
      <c r="H59" s="4"/>
      <c r="I59" s="4"/>
      <c r="J59" s="4"/>
      <c r="K59" s="9"/>
      <c r="L59" s="9"/>
      <c r="M59" s="3"/>
    </row>
    <row r="60" spans="1:26" ht="29.25" customHeight="1" x14ac:dyDescent="0.2">
      <c r="B60" s="106" t="s">
        <v>0</v>
      </c>
      <c r="C60" s="117" t="s">
        <v>53</v>
      </c>
      <c r="D60" s="117" t="s">
        <v>55</v>
      </c>
      <c r="E60" s="117" t="s">
        <v>54</v>
      </c>
      <c r="F60" s="117" t="s">
        <v>12</v>
      </c>
      <c r="G60" s="117"/>
      <c r="H60" s="117"/>
      <c r="I60" s="110" t="s">
        <v>80</v>
      </c>
      <c r="J60" s="117" t="s">
        <v>2</v>
      </c>
      <c r="K60" s="118" t="s">
        <v>18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" customHeight="1" x14ac:dyDescent="0.2">
      <c r="B61" s="106"/>
      <c r="C61" s="117"/>
      <c r="D61" s="117"/>
      <c r="E61" s="121"/>
      <c r="F61" s="107" t="s">
        <v>56</v>
      </c>
      <c r="G61" s="122" t="s">
        <v>33</v>
      </c>
      <c r="H61" s="121"/>
      <c r="I61" s="111"/>
      <c r="J61" s="117"/>
      <c r="K61" s="118"/>
      <c r="L61" s="11"/>
      <c r="M61" s="12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.75" customHeight="1" x14ac:dyDescent="0.2">
      <c r="B62" s="106"/>
      <c r="C62" s="117"/>
      <c r="D62" s="117"/>
      <c r="E62" s="121"/>
      <c r="F62" s="121"/>
      <c r="G62" s="18" t="s">
        <v>51</v>
      </c>
      <c r="H62" s="18" t="s">
        <v>52</v>
      </c>
      <c r="I62" s="112"/>
      <c r="J62" s="117"/>
      <c r="K62" s="118"/>
      <c r="L62" s="11"/>
      <c r="M62" s="10"/>
      <c r="N62" s="2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 x14ac:dyDescent="0.2">
      <c r="B63" s="106"/>
      <c r="C63" s="113" t="s">
        <v>74</v>
      </c>
      <c r="D63" s="114"/>
      <c r="E63" s="114"/>
      <c r="F63" s="114"/>
      <c r="G63" s="114"/>
      <c r="H63" s="114"/>
      <c r="I63" s="115"/>
      <c r="J63" s="109" t="s">
        <v>4</v>
      </c>
      <c r="K63" s="109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customHeight="1" x14ac:dyDescent="0.2">
      <c r="B64" s="17">
        <v>1</v>
      </c>
      <c r="C64" s="19">
        <v>2</v>
      </c>
      <c r="D64" s="19">
        <v>3</v>
      </c>
      <c r="E64" s="19">
        <v>4</v>
      </c>
      <c r="F64" s="17">
        <v>5</v>
      </c>
      <c r="G64" s="17">
        <v>6</v>
      </c>
      <c r="H64" s="19">
        <v>7</v>
      </c>
      <c r="I64" s="19">
        <v>8</v>
      </c>
      <c r="J64" s="17">
        <v>9</v>
      </c>
      <c r="K64" s="19">
        <v>10</v>
      </c>
      <c r="M64" s="10"/>
      <c r="N64" s="2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14" ht="25.5" customHeight="1" x14ac:dyDescent="0.2">
      <c r="B65" s="84" t="s">
        <v>61</v>
      </c>
      <c r="C65" s="57">
        <f>225280078470.12</f>
        <v>225280078470.12</v>
      </c>
      <c r="D65" s="68">
        <f>139729377021.15</f>
        <v>139729377021.14999</v>
      </c>
      <c r="E65" s="68">
        <f>181138605594.7</f>
        <v>181138605594.70001</v>
      </c>
      <c r="F65" s="57">
        <f>4980393120.31</f>
        <v>4980393120.3100004</v>
      </c>
      <c r="G65" s="57">
        <f>1851960.51</f>
        <v>1851960.51</v>
      </c>
      <c r="H65" s="57">
        <f>43987246.59</f>
        <v>43987246.590000004</v>
      </c>
      <c r="I65" s="69">
        <f>0</f>
        <v>0</v>
      </c>
      <c r="J65" s="52">
        <f>IF($D$65=0,"",100*$D65/$D$65)</f>
        <v>100</v>
      </c>
      <c r="K65" s="52">
        <f>IF(C65=0,"",100*D65/C65)</f>
        <v>62.024737371388568</v>
      </c>
      <c r="N65" s="77"/>
    </row>
    <row r="66" spans="2:14" ht="13.5" customHeight="1" x14ac:dyDescent="0.2">
      <c r="B66" s="85" t="s">
        <v>14</v>
      </c>
      <c r="C66" s="26">
        <f>67023923364.82</f>
        <v>67023923364.82</v>
      </c>
      <c r="D66" s="26">
        <f>26756731091.05</f>
        <v>26756731091.049999</v>
      </c>
      <c r="E66" s="26">
        <f>45243377415.88</f>
        <v>45243377415.879997</v>
      </c>
      <c r="F66" s="26">
        <f>2110002439.65</f>
        <v>2110002439.6500001</v>
      </c>
      <c r="G66" s="26">
        <f>130212.82</f>
        <v>130212.82</v>
      </c>
      <c r="H66" s="26">
        <f>24432194.25</f>
        <v>24432194.25</v>
      </c>
      <c r="I66" s="70">
        <f>0</f>
        <v>0</v>
      </c>
      <c r="J66" s="52">
        <f t="shared" ref="J66:J74" si="6">IF($D$65=0,"",100*$D66/$D$65)</f>
        <v>19.148966138308907</v>
      </c>
      <c r="K66" s="52">
        <f t="shared" ref="K66:K74" si="7">IF(C66=0,"",100*D66/C66)</f>
        <v>39.921165082219382</v>
      </c>
      <c r="N66" s="61"/>
    </row>
    <row r="67" spans="2:14" ht="13.5" customHeight="1" outlineLevel="1" x14ac:dyDescent="0.2">
      <c r="B67" s="32" t="s">
        <v>13</v>
      </c>
      <c r="C67" s="22">
        <f>65371712710.24</f>
        <v>65371712710.239998</v>
      </c>
      <c r="D67" s="22">
        <f>25608264792.35</f>
        <v>25608264792.349998</v>
      </c>
      <c r="E67" s="22">
        <f>44031312342.23</f>
        <v>44031312342.230003</v>
      </c>
      <c r="F67" s="22">
        <f>2106795439.65</f>
        <v>2106795439.6500001</v>
      </c>
      <c r="G67" s="22">
        <f>130212.82</f>
        <v>130212.82</v>
      </c>
      <c r="H67" s="22">
        <f>21482194.25</f>
        <v>21482194.25</v>
      </c>
      <c r="I67" s="66">
        <f>0</f>
        <v>0</v>
      </c>
      <c r="J67" s="52">
        <f t="shared" si="6"/>
        <v>18.327044275359384</v>
      </c>
      <c r="K67" s="52">
        <f t="shared" si="7"/>
        <v>39.173311713368427</v>
      </c>
      <c r="N67" s="76"/>
    </row>
    <row r="68" spans="2:14" ht="27" customHeight="1" x14ac:dyDescent="0.2">
      <c r="B68" s="85" t="s">
        <v>62</v>
      </c>
      <c r="C68" s="26">
        <f t="shared" ref="C68:I68" si="8">C65-C66</f>
        <v>158256155105.29999</v>
      </c>
      <c r="D68" s="26">
        <f>D65-D66</f>
        <v>112972645930.09999</v>
      </c>
      <c r="E68" s="26">
        <f>E65-E66</f>
        <v>135895228178.82001</v>
      </c>
      <c r="F68" s="26">
        <f t="shared" si="8"/>
        <v>2870390680.6600003</v>
      </c>
      <c r="G68" s="26">
        <f t="shared" si="8"/>
        <v>1721747.69</v>
      </c>
      <c r="H68" s="26">
        <f t="shared" si="8"/>
        <v>19555052.340000004</v>
      </c>
      <c r="I68" s="70">
        <f t="shared" si="8"/>
        <v>0</v>
      </c>
      <c r="J68" s="52">
        <f t="shared" si="6"/>
        <v>80.851033861691093</v>
      </c>
      <c r="K68" s="52">
        <f t="shared" si="7"/>
        <v>71.385941263978395</v>
      </c>
      <c r="N68" s="61"/>
    </row>
    <row r="69" spans="2:14" ht="22.5" outlineLevel="1" x14ac:dyDescent="0.2">
      <c r="B69" s="32" t="s">
        <v>96</v>
      </c>
      <c r="C69" s="22">
        <f>73552545411.2202</f>
        <v>73552545411.2202</v>
      </c>
      <c r="D69" s="22">
        <f>53609723364.1699</f>
        <v>53609723364.169899</v>
      </c>
      <c r="E69" s="22">
        <f>67817942471.6599</f>
        <v>67817942471.659897</v>
      </c>
      <c r="F69" s="22">
        <f>1360916476.16</f>
        <v>1360916476.1600001</v>
      </c>
      <c r="G69" s="22">
        <f>867715.82</f>
        <v>867715.82</v>
      </c>
      <c r="H69" s="22">
        <f>3071114.3</f>
        <v>3071114.3</v>
      </c>
      <c r="I69" s="66">
        <f>0</f>
        <v>0</v>
      </c>
      <c r="J69" s="52">
        <f t="shared" si="6"/>
        <v>38.366823431879553</v>
      </c>
      <c r="K69" s="52">
        <f t="shared" si="7"/>
        <v>72.886292465402448</v>
      </c>
      <c r="N69" s="76"/>
    </row>
    <row r="70" spans="2:14" ht="13.5" customHeight="1" outlineLevel="1" x14ac:dyDescent="0.2">
      <c r="B70" s="54" t="s">
        <v>50</v>
      </c>
      <c r="C70" s="59">
        <f>15105516232.72</f>
        <v>15105516232.719999</v>
      </c>
      <c r="D70" s="59">
        <f>11555421566.52</f>
        <v>11555421566.52</v>
      </c>
      <c r="E70" s="59">
        <f>12848314955.61</f>
        <v>12848314955.610001</v>
      </c>
      <c r="F70" s="59">
        <f>40720259.42</f>
        <v>40720259.420000002</v>
      </c>
      <c r="G70" s="59">
        <f>0</f>
        <v>0</v>
      </c>
      <c r="H70" s="59">
        <f>1085940.92</f>
        <v>1085940.92</v>
      </c>
      <c r="I70" s="71">
        <f>0</f>
        <v>0</v>
      </c>
      <c r="J70" s="52">
        <f t="shared" si="6"/>
        <v>8.26985835968547</v>
      </c>
      <c r="K70" s="52">
        <f t="shared" si="7"/>
        <v>76.498024883716624</v>
      </c>
      <c r="N70" s="75"/>
    </row>
    <row r="71" spans="2:14" ht="13.5" customHeight="1" outlineLevel="1" x14ac:dyDescent="0.2">
      <c r="B71" s="54" t="s">
        <v>49</v>
      </c>
      <c r="C71" s="24">
        <f>2686889519.95</f>
        <v>2686889519.9499998</v>
      </c>
      <c r="D71" s="24">
        <f>1637549829.93</f>
        <v>1637549829.9300001</v>
      </c>
      <c r="E71" s="24">
        <f>1902410719.68</f>
        <v>1902410719.6800001</v>
      </c>
      <c r="F71" s="24">
        <f>87044022.27</f>
        <v>87044022.269999996</v>
      </c>
      <c r="G71" s="24">
        <f>0</f>
        <v>0</v>
      </c>
      <c r="H71" s="24">
        <f>1195358.38</f>
        <v>1195358.3799999999</v>
      </c>
      <c r="I71" s="72">
        <f>0</f>
        <v>0</v>
      </c>
      <c r="J71" s="52">
        <f t="shared" si="6"/>
        <v>1.1719438423332653</v>
      </c>
      <c r="K71" s="52">
        <f t="shared" si="7"/>
        <v>60.945930890395267</v>
      </c>
      <c r="N71" s="76"/>
    </row>
    <row r="72" spans="2:14" ht="24" customHeight="1" outlineLevel="1" x14ac:dyDescent="0.2">
      <c r="B72" s="54" t="s">
        <v>68</v>
      </c>
      <c r="C72" s="59">
        <f>80177472.72</f>
        <v>80177472.719999999</v>
      </c>
      <c r="D72" s="59">
        <f>885492.54</f>
        <v>885492.54</v>
      </c>
      <c r="E72" s="59">
        <f>4362705.76</f>
        <v>4362705.76</v>
      </c>
      <c r="F72" s="59">
        <f>0</f>
        <v>0</v>
      </c>
      <c r="G72" s="59">
        <f>0</f>
        <v>0</v>
      </c>
      <c r="H72" s="59">
        <f>0</f>
        <v>0</v>
      </c>
      <c r="I72" s="71">
        <f>0</f>
        <v>0</v>
      </c>
      <c r="J72" s="52">
        <f t="shared" si="6"/>
        <v>6.3371966502503497E-4</v>
      </c>
      <c r="K72" s="52">
        <f t="shared" si="7"/>
        <v>1.1044156294279364</v>
      </c>
      <c r="N72" s="75"/>
    </row>
    <row r="73" spans="2:14" ht="22.5" outlineLevel="1" x14ac:dyDescent="0.2">
      <c r="B73" s="54" t="s">
        <v>69</v>
      </c>
      <c r="C73" s="59">
        <f>17252879507.43</f>
        <v>17252879507.43</v>
      </c>
      <c r="D73" s="59">
        <f>13986576892.98</f>
        <v>13986576892.98</v>
      </c>
      <c r="E73" s="59">
        <f>15508583282.43</f>
        <v>15508583282.43</v>
      </c>
      <c r="F73" s="59">
        <f>118156569.28</f>
        <v>118156569.28</v>
      </c>
      <c r="G73" s="59">
        <f>8319.3</f>
        <v>8319.2999999999993</v>
      </c>
      <c r="H73" s="59">
        <f>588636.25</f>
        <v>588636.25</v>
      </c>
      <c r="I73" s="73">
        <f>0</f>
        <v>0</v>
      </c>
      <c r="J73" s="52">
        <f t="shared" si="6"/>
        <v>10.009761147695475</v>
      </c>
      <c r="K73" s="52">
        <f t="shared" si="7"/>
        <v>81.068072648143414</v>
      </c>
      <c r="N73" s="75"/>
    </row>
    <row r="74" spans="2:14" ht="13.5" customHeight="1" outlineLevel="1" x14ac:dyDescent="0.2">
      <c r="B74" s="54" t="s">
        <v>48</v>
      </c>
      <c r="C74" s="24">
        <f t="shared" ref="C74:I74" si="9">C68-C69-C70-C71-C72-C73</f>
        <v>49578146961.259789</v>
      </c>
      <c r="D74" s="24">
        <f>D68-D69-D70-D71-D72-D73</f>
        <v>32182488783.960094</v>
      </c>
      <c r="E74" s="24">
        <f>E68-E69-E70-E71-E72-E73</f>
        <v>37813614043.680107</v>
      </c>
      <c r="F74" s="24">
        <f t="shared" si="9"/>
        <v>1263553353.5300002</v>
      </c>
      <c r="G74" s="24">
        <f t="shared" si="9"/>
        <v>845712.57</v>
      </c>
      <c r="H74" s="24">
        <f t="shared" si="9"/>
        <v>13614002.490000002</v>
      </c>
      <c r="I74" s="71">
        <f t="shared" si="9"/>
        <v>0</v>
      </c>
      <c r="J74" s="52">
        <f t="shared" si="6"/>
        <v>23.032013360432305</v>
      </c>
      <c r="K74" s="52">
        <f t="shared" si="7"/>
        <v>64.912649537118426</v>
      </c>
      <c r="N74" s="76"/>
    </row>
    <row r="75" spans="2:14" ht="18" customHeight="1" x14ac:dyDescent="0.2">
      <c r="B75" s="84" t="s">
        <v>15</v>
      </c>
      <c r="C75" s="26">
        <f>C6-C65</f>
        <v>-20156910705.75</v>
      </c>
      <c r="D75" s="26">
        <f>D6-D65</f>
        <v>5757973296.4200134</v>
      </c>
      <c r="E75" s="81"/>
      <c r="F75" s="61"/>
      <c r="G75" s="61"/>
      <c r="H75" s="61"/>
      <c r="I75" s="82"/>
      <c r="J75" s="28"/>
      <c r="K75" s="28"/>
      <c r="L75" s="13"/>
      <c r="N75" s="61"/>
    </row>
    <row r="76" spans="2:14" ht="38.25" x14ac:dyDescent="0.2">
      <c r="B76" s="87" t="s">
        <v>101</v>
      </c>
      <c r="C76" s="26">
        <f>+C56-C68</f>
        <v>1074668338.0400085</v>
      </c>
      <c r="D76" s="26">
        <f>+D56-D68</f>
        <v>13286477883.400009</v>
      </c>
      <c r="E76" s="81"/>
      <c r="F76" s="61"/>
      <c r="G76" s="61"/>
      <c r="H76" s="61"/>
      <c r="I76" s="61"/>
      <c r="J76" s="28"/>
      <c r="K76" s="28"/>
      <c r="L76" s="13"/>
      <c r="N76" s="61"/>
    </row>
    <row r="77" spans="2:14" x14ac:dyDescent="0.2">
      <c r="B77" s="60"/>
      <c r="C77" s="61"/>
      <c r="D77" s="61"/>
      <c r="E77" s="61"/>
      <c r="F77" s="61"/>
      <c r="G77" s="61"/>
      <c r="H77" s="61"/>
      <c r="I77" s="61"/>
      <c r="J77" s="61"/>
      <c r="K77" s="28"/>
      <c r="L77" s="28"/>
      <c r="M77" s="13"/>
    </row>
    <row r="78" spans="2:14" ht="14.25" customHeight="1" x14ac:dyDescent="0.2">
      <c r="B78" s="103" t="s">
        <v>106</v>
      </c>
      <c r="C78" s="104"/>
      <c r="D78" s="104"/>
      <c r="E78" s="104"/>
      <c r="F78" s="104"/>
      <c r="G78" s="61"/>
      <c r="H78" s="61"/>
      <c r="I78" s="61"/>
      <c r="J78" s="61"/>
      <c r="K78" s="28"/>
      <c r="L78" s="28"/>
      <c r="M78" s="13"/>
    </row>
    <row r="79" spans="2:14" ht="27" customHeight="1" x14ac:dyDescent="0.2">
      <c r="B79" s="84" t="s">
        <v>102</v>
      </c>
      <c r="C79" s="41">
        <f>6584799362.09</f>
        <v>6584799362.0900002</v>
      </c>
      <c r="D79" s="41">
        <f>2249627732.94001</f>
        <v>2249627732.9400101</v>
      </c>
      <c r="E79" s="41">
        <f>3509279599.63999</f>
        <v>3509279599.6399899</v>
      </c>
      <c r="F79" s="41">
        <f>136824434.8</f>
        <v>136824434.80000001</v>
      </c>
      <c r="G79" s="41">
        <f>0</f>
        <v>0</v>
      </c>
      <c r="H79" s="41">
        <f>2697923.97</f>
        <v>2697923.97</v>
      </c>
      <c r="I79" s="41">
        <f>0</f>
        <v>0</v>
      </c>
      <c r="J79" s="62">
        <f>IF($D$79=0,"",100*$D79/$D$79)</f>
        <v>100</v>
      </c>
      <c r="K79" s="62">
        <f>IF(C79=0,"",100*D79/C79)</f>
        <v>34.163952601070342</v>
      </c>
      <c r="L79" s="13"/>
    </row>
    <row r="80" spans="2:14" ht="15" customHeight="1" x14ac:dyDescent="0.2">
      <c r="B80" s="88" t="s">
        <v>72</v>
      </c>
      <c r="C80" s="22">
        <f>5516117467.28</f>
        <v>5516117467.2799997</v>
      </c>
      <c r="D80" s="22">
        <f>1973872470.75</f>
        <v>1973872470.75</v>
      </c>
      <c r="E80" s="22">
        <f>3125681437.85</f>
        <v>3125681437.8499999</v>
      </c>
      <c r="F80" s="22">
        <f>129614816.37</f>
        <v>129614816.37</v>
      </c>
      <c r="G80" s="22">
        <f>0</f>
        <v>0</v>
      </c>
      <c r="H80" s="22">
        <f>2582196.15</f>
        <v>2582196.15</v>
      </c>
      <c r="I80" s="22">
        <f>0</f>
        <v>0</v>
      </c>
      <c r="J80" s="62">
        <f>IF($D$79=0,"",100*$D80/$D$79)</f>
        <v>87.742182488583168</v>
      </c>
      <c r="K80" s="62">
        <f>IF(C80=0,"",100*D80/C80)</f>
        <v>35.783728001777263</v>
      </c>
      <c r="L80" s="13"/>
    </row>
    <row r="81" spans="2:13" ht="14.25" customHeight="1" x14ac:dyDescent="0.2">
      <c r="B81" s="89" t="s">
        <v>73</v>
      </c>
      <c r="C81" s="22">
        <f>+C79-C80</f>
        <v>1068681894.8100004</v>
      </c>
      <c r="D81" s="22">
        <f t="shared" ref="D81:I81" si="10">+D79-D80</f>
        <v>275755262.19001007</v>
      </c>
      <c r="E81" s="22">
        <f t="shared" si="10"/>
        <v>383598161.78998995</v>
      </c>
      <c r="F81" s="22">
        <f t="shared" si="10"/>
        <v>7209618.4300000072</v>
      </c>
      <c r="G81" s="22">
        <f t="shared" si="10"/>
        <v>0</v>
      </c>
      <c r="H81" s="22">
        <f t="shared" si="10"/>
        <v>115727.8200000003</v>
      </c>
      <c r="I81" s="22">
        <f t="shared" si="10"/>
        <v>0</v>
      </c>
      <c r="J81" s="62">
        <f>IF($D$79=0,"",100*$D81/$D$79)</f>
        <v>12.257817511416834</v>
      </c>
      <c r="K81" s="62">
        <f>IF(C81=0,"",100*D81/C81)</f>
        <v>25.803306253170522</v>
      </c>
      <c r="L81" s="10"/>
    </row>
    <row r="82" spans="2:13" ht="15" x14ac:dyDescent="0.2">
      <c r="B82" s="91" t="str">
        <f>CONCATENATE("Informacja z wykonania budżetów gmin za ",$D$118," ",$C$119," rok     ",$C$121,"")</f>
        <v xml:space="preserve">Informacja z wykonania budżetów gmin za III Kwartały 2024 rok     </v>
      </c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</row>
    <row r="84" spans="2:13" ht="18" customHeight="1" x14ac:dyDescent="0.2">
      <c r="B84" s="40" t="s">
        <v>16</v>
      </c>
      <c r="C84" s="67" t="s">
        <v>17</v>
      </c>
      <c r="D84" s="67" t="s">
        <v>1</v>
      </c>
      <c r="E84" s="123" t="s">
        <v>57</v>
      </c>
      <c r="F84" s="124"/>
      <c r="G84" s="124"/>
      <c r="H84" s="124"/>
      <c r="I84" s="125"/>
      <c r="J84" s="19" t="s">
        <v>26</v>
      </c>
      <c r="K84" s="19" t="s">
        <v>27</v>
      </c>
    </row>
    <row r="85" spans="2:13" ht="13.5" customHeight="1" x14ac:dyDescent="0.2">
      <c r="B85" s="40"/>
      <c r="C85" s="107" t="s">
        <v>74</v>
      </c>
      <c r="D85" s="108"/>
      <c r="E85" s="126"/>
      <c r="F85" s="127"/>
      <c r="G85" s="127"/>
      <c r="H85" s="127"/>
      <c r="I85" s="128"/>
      <c r="J85" s="107" t="s">
        <v>4</v>
      </c>
      <c r="K85" s="116"/>
      <c r="M85" s="14"/>
    </row>
    <row r="86" spans="2:13" ht="11.25" customHeight="1" x14ac:dyDescent="0.2">
      <c r="B86" s="39">
        <v>1</v>
      </c>
      <c r="C86" s="42">
        <v>2</v>
      </c>
      <c r="D86" s="42">
        <v>3</v>
      </c>
      <c r="E86" s="129"/>
      <c r="F86" s="130"/>
      <c r="G86" s="130"/>
      <c r="H86" s="130"/>
      <c r="I86" s="131"/>
      <c r="J86" s="31">
        <v>4</v>
      </c>
      <c r="K86" s="31">
        <v>5</v>
      </c>
      <c r="M86" s="10"/>
    </row>
    <row r="87" spans="2:13" ht="27" customHeight="1" x14ac:dyDescent="0.2">
      <c r="B87" s="90" t="s">
        <v>63</v>
      </c>
      <c r="C87" s="43">
        <f>25447389475.27</f>
        <v>25447389475.27</v>
      </c>
      <c r="D87" s="43">
        <f>20902617831.99</f>
        <v>20902617831.990002</v>
      </c>
      <c r="E87" s="43" t="s">
        <v>57</v>
      </c>
      <c r="F87" s="43" t="s">
        <v>57</v>
      </c>
      <c r="G87" s="43" t="s">
        <v>57</v>
      </c>
      <c r="H87" s="43" t="s">
        <v>57</v>
      </c>
      <c r="I87" s="43" t="s">
        <v>57</v>
      </c>
      <c r="J87" s="37">
        <f t="shared" ref="J87:J97" si="11">IF($D$87=0,"",100*$D87/$D$87)</f>
        <v>100</v>
      </c>
      <c r="K87" s="36">
        <f t="shared" ref="K87:K102" si="12">IF(C87=0,"",100*D87/C87)</f>
        <v>82.140519177039167</v>
      </c>
    </row>
    <row r="88" spans="2:13" ht="36" customHeight="1" x14ac:dyDescent="0.2">
      <c r="B88" s="98" t="s">
        <v>103</v>
      </c>
      <c r="C88" s="44">
        <f>12038983990.95</f>
        <v>12038983990.950001</v>
      </c>
      <c r="D88" s="44">
        <f>2204926552.4</f>
        <v>2204926552.4000001</v>
      </c>
      <c r="E88" s="43" t="s">
        <v>57</v>
      </c>
      <c r="F88" s="43" t="s">
        <v>57</v>
      </c>
      <c r="G88" s="43" t="s">
        <v>57</v>
      </c>
      <c r="H88" s="43" t="s">
        <v>57</v>
      </c>
      <c r="I88" s="43" t="s">
        <v>57</v>
      </c>
      <c r="J88" s="50">
        <f t="shared" si="11"/>
        <v>10.548566548566532</v>
      </c>
      <c r="K88" s="51">
        <f t="shared" si="12"/>
        <v>18.314888981142406</v>
      </c>
    </row>
    <row r="89" spans="2:13" ht="22.5" x14ac:dyDescent="0.2">
      <c r="B89" s="99" t="s">
        <v>81</v>
      </c>
      <c r="C89" s="63">
        <f>389420776.8</f>
        <v>389420776.80000001</v>
      </c>
      <c r="D89" s="63">
        <f>90300000</f>
        <v>90300000</v>
      </c>
      <c r="E89" s="43" t="s">
        <v>57</v>
      </c>
      <c r="F89" s="43" t="s">
        <v>57</v>
      </c>
      <c r="G89" s="43" t="s">
        <v>57</v>
      </c>
      <c r="H89" s="43" t="s">
        <v>57</v>
      </c>
      <c r="I89" s="43" t="s">
        <v>57</v>
      </c>
      <c r="J89" s="64">
        <f t="shared" si="11"/>
        <v>0.43200330564242595</v>
      </c>
      <c r="K89" s="58">
        <f t="shared" si="12"/>
        <v>23.188285109496498</v>
      </c>
    </row>
    <row r="90" spans="2:13" ht="13.5" customHeight="1" x14ac:dyDescent="0.2">
      <c r="B90" s="100" t="s">
        <v>82</v>
      </c>
      <c r="C90" s="63">
        <f>172740334.28</f>
        <v>172740334.28</v>
      </c>
      <c r="D90" s="63">
        <f>85930480</f>
        <v>85930480</v>
      </c>
      <c r="E90" s="43" t="s">
        <v>57</v>
      </c>
      <c r="F90" s="43" t="s">
        <v>57</v>
      </c>
      <c r="G90" s="43" t="s">
        <v>57</v>
      </c>
      <c r="H90" s="43" t="s">
        <v>57</v>
      </c>
      <c r="I90" s="43" t="s">
        <v>57</v>
      </c>
      <c r="J90" s="64">
        <f t="shared" si="11"/>
        <v>0.41109912973909601</v>
      </c>
      <c r="K90" s="58">
        <f t="shared" si="12"/>
        <v>49.745463535292636</v>
      </c>
    </row>
    <row r="91" spans="2:13" ht="50.1" customHeight="1" x14ac:dyDescent="0.2">
      <c r="B91" s="100" t="s">
        <v>97</v>
      </c>
      <c r="C91" s="63">
        <f>3727077645.69</f>
        <v>3727077645.6900001</v>
      </c>
      <c r="D91" s="63">
        <f>6024396626.93</f>
        <v>6024396626.9300003</v>
      </c>
      <c r="E91" s="43" t="s">
        <v>57</v>
      </c>
      <c r="F91" s="43" t="s">
        <v>57</v>
      </c>
      <c r="G91" s="43" t="s">
        <v>57</v>
      </c>
      <c r="H91" s="43" t="s">
        <v>57</v>
      </c>
      <c r="I91" s="43" t="s">
        <v>57</v>
      </c>
      <c r="J91" s="64">
        <f t="shared" si="11"/>
        <v>28.821254234051395</v>
      </c>
      <c r="K91" s="58">
        <f t="shared" si="12"/>
        <v>161.63861340255747</v>
      </c>
    </row>
    <row r="92" spans="2:13" ht="35.1" customHeight="1" x14ac:dyDescent="0.2">
      <c r="B92" s="100" t="s">
        <v>113</v>
      </c>
      <c r="C92" s="63">
        <f>2431067283.52</f>
        <v>2431067283.52</v>
      </c>
      <c r="D92" s="63">
        <f>2759821050.9</f>
        <v>2759821050.9000001</v>
      </c>
      <c r="E92" s="43" t="s">
        <v>57</v>
      </c>
      <c r="F92" s="43" t="s">
        <v>57</v>
      </c>
      <c r="G92" s="43" t="s">
        <v>57</v>
      </c>
      <c r="H92" s="43" t="s">
        <v>57</v>
      </c>
      <c r="I92" s="43" t="s">
        <v>57</v>
      </c>
      <c r="J92" s="64">
        <f t="shared" si="11"/>
        <v>13.203231638652868</v>
      </c>
      <c r="K92" s="58">
        <f t="shared" si="12"/>
        <v>113.52302215609556</v>
      </c>
    </row>
    <row r="93" spans="2:13" ht="13.5" customHeight="1" x14ac:dyDescent="0.2">
      <c r="B93" s="100" t="s">
        <v>83</v>
      </c>
      <c r="C93" s="63">
        <f>0</f>
        <v>0</v>
      </c>
      <c r="D93" s="63">
        <f>0</f>
        <v>0</v>
      </c>
      <c r="E93" s="43" t="s">
        <v>57</v>
      </c>
      <c r="F93" s="43" t="s">
        <v>57</v>
      </c>
      <c r="G93" s="43" t="s">
        <v>57</v>
      </c>
      <c r="H93" s="43" t="s">
        <v>57</v>
      </c>
      <c r="I93" s="43" t="s">
        <v>57</v>
      </c>
      <c r="J93" s="64">
        <f t="shared" si="11"/>
        <v>0</v>
      </c>
      <c r="K93" s="58" t="str">
        <f t="shared" si="12"/>
        <v/>
      </c>
    </row>
    <row r="94" spans="2:13" ht="35.1" customHeight="1" x14ac:dyDescent="0.2">
      <c r="B94" s="100" t="s">
        <v>91</v>
      </c>
      <c r="C94" s="63">
        <f>6647756413</f>
        <v>6647756413</v>
      </c>
      <c r="D94" s="63">
        <f>8975770861.59</f>
        <v>8975770861.5900002</v>
      </c>
      <c r="E94" s="43" t="s">
        <v>57</v>
      </c>
      <c r="F94" s="43" t="s">
        <v>57</v>
      </c>
      <c r="G94" s="43" t="s">
        <v>57</v>
      </c>
      <c r="H94" s="43" t="s">
        <v>57</v>
      </c>
      <c r="I94" s="43" t="s">
        <v>57</v>
      </c>
      <c r="J94" s="64">
        <f t="shared" si="11"/>
        <v>42.940893498292866</v>
      </c>
      <c r="K94" s="58">
        <f t="shared" si="12"/>
        <v>135.01955101780592</v>
      </c>
    </row>
    <row r="95" spans="2:13" ht="56.25" x14ac:dyDescent="0.2">
      <c r="B95" s="100" t="s">
        <v>114</v>
      </c>
      <c r="C95" s="63">
        <f>0</f>
        <v>0</v>
      </c>
      <c r="D95" s="63">
        <f>414444039.38</f>
        <v>414444039.38</v>
      </c>
      <c r="E95" s="43" t="s">
        <v>57</v>
      </c>
      <c r="F95" s="43" t="s">
        <v>57</v>
      </c>
      <c r="G95" s="43" t="s">
        <v>57</v>
      </c>
      <c r="H95" s="43" t="s">
        <v>57</v>
      </c>
      <c r="I95" s="43" t="s">
        <v>57</v>
      </c>
      <c r="J95" s="64"/>
      <c r="K95" s="58"/>
    </row>
    <row r="96" spans="2:13" x14ac:dyDescent="0.2">
      <c r="B96" s="100" t="s">
        <v>108</v>
      </c>
      <c r="C96" s="63">
        <f>429763807.83</f>
        <v>429763807.82999998</v>
      </c>
      <c r="D96" s="63">
        <f>437328220.79</f>
        <v>437328220.79000002</v>
      </c>
      <c r="E96" s="43" t="s">
        <v>57</v>
      </c>
      <c r="F96" s="43" t="s">
        <v>57</v>
      </c>
      <c r="G96" s="43" t="s">
        <v>57</v>
      </c>
      <c r="H96" s="43" t="s">
        <v>57</v>
      </c>
      <c r="I96" s="43" t="s">
        <v>57</v>
      </c>
      <c r="J96" s="64"/>
      <c r="K96" s="58"/>
    </row>
    <row r="97" spans="2:11" ht="22.5" x14ac:dyDescent="0.2">
      <c r="B97" s="99" t="s">
        <v>109</v>
      </c>
      <c r="C97" s="63">
        <f>426763807.83</f>
        <v>426763807.82999998</v>
      </c>
      <c r="D97" s="63">
        <f>433381891.69</f>
        <v>433381891.69</v>
      </c>
      <c r="E97" s="43" t="s">
        <v>57</v>
      </c>
      <c r="F97" s="43" t="s">
        <v>57</v>
      </c>
      <c r="G97" s="43" t="s">
        <v>57</v>
      </c>
      <c r="H97" s="43" t="s">
        <v>57</v>
      </c>
      <c r="I97" s="43" t="s">
        <v>57</v>
      </c>
      <c r="J97" s="64">
        <f t="shared" si="11"/>
        <v>2.0733378717126003</v>
      </c>
      <c r="K97" s="58">
        <f t="shared" si="12"/>
        <v>101.5507603359459</v>
      </c>
    </row>
    <row r="98" spans="2:11" ht="27" customHeight="1" x14ac:dyDescent="0.2">
      <c r="B98" s="90" t="s">
        <v>64</v>
      </c>
      <c r="C98" s="49">
        <f>5290478769.52</f>
        <v>5290478769.5200005</v>
      </c>
      <c r="D98" s="49">
        <f>3668678250.11</f>
        <v>3668678250.1100001</v>
      </c>
      <c r="E98" s="43" t="s">
        <v>57</v>
      </c>
      <c r="F98" s="43" t="s">
        <v>57</v>
      </c>
      <c r="G98" s="43" t="s">
        <v>57</v>
      </c>
      <c r="H98" s="43" t="s">
        <v>57</v>
      </c>
      <c r="I98" s="43" t="s">
        <v>57</v>
      </c>
      <c r="J98" s="37">
        <f t="shared" ref="J98:J103" si="13">IF($D$98=0,"",100*$D98/$D$98)</f>
        <v>100</v>
      </c>
      <c r="K98" s="36">
        <f t="shared" si="12"/>
        <v>69.344919617603068</v>
      </c>
    </row>
    <row r="99" spans="2:11" ht="36" customHeight="1" x14ac:dyDescent="0.2">
      <c r="B99" s="98" t="s">
        <v>99</v>
      </c>
      <c r="C99" s="44">
        <f>4636256982.67</f>
        <v>4636256982.6700001</v>
      </c>
      <c r="D99" s="48">
        <f>2707193213.67</f>
        <v>2707193213.6700001</v>
      </c>
      <c r="E99" s="43" t="s">
        <v>57</v>
      </c>
      <c r="F99" s="43" t="s">
        <v>57</v>
      </c>
      <c r="G99" s="43" t="s">
        <v>57</v>
      </c>
      <c r="H99" s="43" t="s">
        <v>57</v>
      </c>
      <c r="I99" s="43" t="s">
        <v>57</v>
      </c>
      <c r="J99" s="50">
        <f t="shared" si="13"/>
        <v>73.792058859040822</v>
      </c>
      <c r="K99" s="51">
        <f t="shared" si="12"/>
        <v>58.391785092787053</v>
      </c>
    </row>
    <row r="100" spans="2:11" ht="13.5" customHeight="1" x14ac:dyDescent="0.2">
      <c r="B100" s="99" t="s">
        <v>84</v>
      </c>
      <c r="C100" s="63">
        <f>135561022.2</f>
        <v>135561022.19999999</v>
      </c>
      <c r="D100" s="63">
        <f>23567694</f>
        <v>23567694</v>
      </c>
      <c r="E100" s="43" t="s">
        <v>57</v>
      </c>
      <c r="F100" s="43" t="s">
        <v>57</v>
      </c>
      <c r="G100" s="43" t="s">
        <v>57</v>
      </c>
      <c r="H100" s="43" t="s">
        <v>57</v>
      </c>
      <c r="I100" s="43" t="s">
        <v>57</v>
      </c>
      <c r="J100" s="64">
        <f t="shared" si="13"/>
        <v>0.64240285992082724</v>
      </c>
      <c r="K100" s="58">
        <f t="shared" si="12"/>
        <v>17.385302661136176</v>
      </c>
    </row>
    <row r="101" spans="2:11" ht="13.5" customHeight="1" x14ac:dyDescent="0.2">
      <c r="B101" s="100" t="s">
        <v>85</v>
      </c>
      <c r="C101" s="63">
        <f>129605529</f>
        <v>129605529</v>
      </c>
      <c r="D101" s="63">
        <f>94970166.34</f>
        <v>94970166.340000004</v>
      </c>
      <c r="E101" s="43" t="s">
        <v>57</v>
      </c>
      <c r="F101" s="43" t="s">
        <v>57</v>
      </c>
      <c r="G101" s="43" t="s">
        <v>57</v>
      </c>
      <c r="H101" s="43" t="s">
        <v>57</v>
      </c>
      <c r="I101" s="43" t="s">
        <v>57</v>
      </c>
      <c r="J101" s="64">
        <f t="shared" si="13"/>
        <v>2.5886752630092991</v>
      </c>
      <c r="K101" s="58">
        <f t="shared" si="12"/>
        <v>73.276323219204642</v>
      </c>
    </row>
    <row r="102" spans="2:11" ht="13.5" customHeight="1" x14ac:dyDescent="0.2">
      <c r="B102" s="100" t="s">
        <v>112</v>
      </c>
      <c r="C102" s="63">
        <f>524616257.85</f>
        <v>524616257.85000002</v>
      </c>
      <c r="D102" s="63">
        <f>866514870.1</f>
        <v>866514870.10000002</v>
      </c>
      <c r="E102" s="43" t="s">
        <v>57</v>
      </c>
      <c r="F102" s="43" t="s">
        <v>57</v>
      </c>
      <c r="G102" s="43" t="s">
        <v>57</v>
      </c>
      <c r="H102" s="43" t="s">
        <v>57</v>
      </c>
      <c r="I102" s="43" t="s">
        <v>57</v>
      </c>
      <c r="J102" s="64">
        <f t="shared" si="13"/>
        <v>23.619265877949879</v>
      </c>
      <c r="K102" s="58">
        <f t="shared" si="12"/>
        <v>165.17118124611318</v>
      </c>
    </row>
    <row r="103" spans="2:11" ht="22.5" x14ac:dyDescent="0.2">
      <c r="B103" s="99" t="s">
        <v>110</v>
      </c>
      <c r="C103" s="63">
        <f>141998307.58</f>
        <v>141998307.58000001</v>
      </c>
      <c r="D103" s="63">
        <f>56953216.41</f>
        <v>56953216.409999996</v>
      </c>
      <c r="E103" s="43" t="s">
        <v>57</v>
      </c>
      <c r="F103" s="43" t="s">
        <v>57</v>
      </c>
      <c r="G103" s="43" t="s">
        <v>57</v>
      </c>
      <c r="H103" s="43" t="s">
        <v>57</v>
      </c>
      <c r="I103" s="43" t="s">
        <v>57</v>
      </c>
      <c r="J103" s="64">
        <f t="shared" si="13"/>
        <v>1.5524178608002035</v>
      </c>
      <c r="K103" s="58">
        <f>IF(C103=0,"",100*D103/C103)</f>
        <v>40.108376909994718</v>
      </c>
    </row>
    <row r="104" spans="2:11" ht="7.5" customHeight="1" x14ac:dyDescent="0.2"/>
    <row r="105" spans="2:11" x14ac:dyDescent="0.2">
      <c r="B105" s="40" t="s">
        <v>16</v>
      </c>
      <c r="C105" s="67" t="s">
        <v>17</v>
      </c>
      <c r="D105" s="19" t="s">
        <v>1</v>
      </c>
    </row>
    <row r="106" spans="2:11" x14ac:dyDescent="0.2">
      <c r="B106" s="40"/>
      <c r="C106" s="107" t="s">
        <v>74</v>
      </c>
      <c r="D106" s="108"/>
    </row>
    <row r="107" spans="2:11" x14ac:dyDescent="0.2">
      <c r="B107" s="39">
        <v>1</v>
      </c>
      <c r="C107" s="42">
        <v>2</v>
      </c>
      <c r="D107" s="31">
        <v>3</v>
      </c>
    </row>
    <row r="108" spans="2:11" ht="37.5" customHeight="1" x14ac:dyDescent="0.2">
      <c r="B108" s="101" t="s">
        <v>111</v>
      </c>
      <c r="C108" s="47">
        <f>20321608571.25</f>
        <v>20321608571.25</v>
      </c>
      <c r="D108" s="27">
        <f>0</f>
        <v>0</v>
      </c>
    </row>
    <row r="109" spans="2:11" ht="36" customHeight="1" x14ac:dyDescent="0.2">
      <c r="B109" s="102" t="s">
        <v>76</v>
      </c>
      <c r="C109" s="48">
        <f>304051940.97</f>
        <v>304051940.97000003</v>
      </c>
      <c r="D109" s="74">
        <f>0</f>
        <v>0</v>
      </c>
    </row>
    <row r="110" spans="2:11" ht="13.5" customHeight="1" x14ac:dyDescent="0.2">
      <c r="B110" s="102" t="s">
        <v>77</v>
      </c>
      <c r="C110" s="48">
        <f>8872844762.42</f>
        <v>8872844762.4200001</v>
      </c>
      <c r="D110" s="74">
        <f>0</f>
        <v>0</v>
      </c>
    </row>
    <row r="111" spans="2:11" ht="25.5" customHeight="1" x14ac:dyDescent="0.2">
      <c r="B111" s="102" t="s">
        <v>78</v>
      </c>
      <c r="C111" s="48">
        <f>0</f>
        <v>0</v>
      </c>
      <c r="D111" s="74">
        <f>0</f>
        <v>0</v>
      </c>
    </row>
    <row r="112" spans="2:11" ht="57.95" customHeight="1" x14ac:dyDescent="0.2">
      <c r="B112" s="102" t="s">
        <v>95</v>
      </c>
      <c r="C112" s="48">
        <f>3080418395.58</f>
        <v>3080418395.5799999</v>
      </c>
      <c r="D112" s="74">
        <f>0</f>
        <v>0</v>
      </c>
    </row>
    <row r="113" spans="2:4" ht="81.95" customHeight="1" x14ac:dyDescent="0.2">
      <c r="B113" s="102" t="s">
        <v>79</v>
      </c>
      <c r="C113" s="48">
        <f>5365316988.72</f>
        <v>5365316988.7200003</v>
      </c>
      <c r="D113" s="74">
        <f>0</f>
        <v>0</v>
      </c>
    </row>
    <row r="114" spans="2:4" ht="150.94999999999999" customHeight="1" x14ac:dyDescent="0.2">
      <c r="B114" s="97" t="s">
        <v>100</v>
      </c>
      <c r="C114" s="48">
        <f>2294350711.93</f>
        <v>2294350711.9299998</v>
      </c>
      <c r="D114" s="74">
        <f>0</f>
        <v>0</v>
      </c>
    </row>
    <row r="115" spans="2:4" ht="22.5" x14ac:dyDescent="0.2">
      <c r="B115" s="97" t="s">
        <v>94</v>
      </c>
      <c r="C115" s="48">
        <f>61902595.93</f>
        <v>61902595.93</v>
      </c>
      <c r="D115" s="74">
        <f>0</f>
        <v>0</v>
      </c>
    </row>
    <row r="116" spans="2:4" ht="22.5" x14ac:dyDescent="0.2">
      <c r="B116" s="97" t="s">
        <v>109</v>
      </c>
      <c r="C116" s="48">
        <f>342723175.7</f>
        <v>342723175.69999999</v>
      </c>
      <c r="D116" s="74">
        <f>0</f>
        <v>0</v>
      </c>
    </row>
    <row r="117" spans="2:4" ht="28.5" customHeight="1" x14ac:dyDescent="0.2"/>
    <row r="118" spans="2:4" x14ac:dyDescent="0.2">
      <c r="B118" s="65" t="s">
        <v>65</v>
      </c>
      <c r="C118" s="33">
        <f>3</f>
        <v>3</v>
      </c>
      <c r="D118" s="33" t="str">
        <f>IF(C118=1,"I Kwartał",IF(C118=2,"II Kwartały",IF(C118=3,"III Kwartały",IF(C118=4,"IV Kwartały",IF(C118="M1","Styczeń",IF(C118="M11","Listopad",IF(C118="M12","Grudzień","-")))))))</f>
        <v>III Kwartały</v>
      </c>
    </row>
    <row r="119" spans="2:4" x14ac:dyDescent="0.2">
      <c r="B119" s="65" t="s">
        <v>66</v>
      </c>
      <c r="C119" s="92">
        <f>2024</f>
        <v>2024</v>
      </c>
    </row>
    <row r="120" spans="2:4" x14ac:dyDescent="0.2">
      <c r="B120" s="65" t="s">
        <v>67</v>
      </c>
      <c r="C120" s="119" t="str">
        <f>"Nov 14 2024 12:00AM"</f>
        <v>Nov 14 2024 12:00AM</v>
      </c>
      <c r="D120" s="120"/>
    </row>
    <row r="121" spans="2:4" hidden="1" x14ac:dyDescent="0.2">
      <c r="B121" s="1" t="s">
        <v>107</v>
      </c>
      <c r="C121" s="1" t="str">
        <f>""</f>
        <v/>
      </c>
    </row>
  </sheetData>
  <mergeCells count="20">
    <mergeCell ref="C120:D120"/>
    <mergeCell ref="D60:D62"/>
    <mergeCell ref="E60:E62"/>
    <mergeCell ref="F61:F62"/>
    <mergeCell ref="F60:H60"/>
    <mergeCell ref="G61:H61"/>
    <mergeCell ref="E84:I86"/>
    <mergeCell ref="C60:C62"/>
    <mergeCell ref="C63:I63"/>
    <mergeCell ref="B3:B4"/>
    <mergeCell ref="C106:D106"/>
    <mergeCell ref="B60:B63"/>
    <mergeCell ref="C85:D85"/>
    <mergeCell ref="J4:L4"/>
    <mergeCell ref="I60:I62"/>
    <mergeCell ref="J63:K63"/>
    <mergeCell ref="C4:I4"/>
    <mergeCell ref="J85:K85"/>
    <mergeCell ref="J60:J62"/>
    <mergeCell ref="K60:K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7" max="16383" man="1"/>
    <brk id="81" max="16383" man="1"/>
    <brk id="10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2024-12-09T09:10:39Z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