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DP.5\FDS-nowe\NABORY_LISTY_FDS\Nabór 2022 na 2023\listy do wysyłki do PRM_po zmianach\"/>
    </mc:Choice>
  </mc:AlternateContent>
  <bookViews>
    <workbookView xWindow="-120" yWindow="-120" windowWidth="29040" windowHeight="15840"/>
  </bookViews>
  <sheets>
    <sheet name="32 - zachodniopomorskie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podst'!$A$1:$AB$31</definedName>
    <definedName name="_xlnm._FilterDatabase" localSheetId="4" hidden="1">'gm rez'!$A$1:$AB$46</definedName>
    <definedName name="_xlnm._FilterDatabase" localSheetId="1" hidden="1">'pow podst'!$A$1:$AA$33</definedName>
    <definedName name="_xlnm._FilterDatabase" localSheetId="3" hidden="1">'pow rez'!$A$2:$AB$8</definedName>
    <definedName name="_xlnm.Print_Area" localSheetId="0">'32 - zachodniopomorskie'!$A$1:$O$36</definedName>
    <definedName name="_xlnm.Print_Area" localSheetId="2">'gm podst'!$A$1:$X$36</definedName>
    <definedName name="_xlnm.Print_Area" localSheetId="4">'gm rez'!$A$1:$X$50</definedName>
    <definedName name="_xlnm.Print_Area" localSheetId="1">'pow podst'!$A$1:$W$33</definedName>
    <definedName name="_xlnm.Print_Area" localSheetId="3">'pow rez'!$A$1:$W$12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 concurrentCalc="0"/>
</workbook>
</file>

<file path=xl/calcChain.xml><?xml version="1.0" encoding="utf-8"?>
<calcChain xmlns="http://schemas.openxmlformats.org/spreadsheetml/2006/main">
  <c r="X4" i="3" l="1"/>
  <c r="Y4" i="3"/>
  <c r="Z4" i="3"/>
  <c r="AA4" i="3"/>
  <c r="X5" i="3"/>
  <c r="Y5" i="3"/>
  <c r="Z5" i="3"/>
  <c r="AA5" i="3"/>
  <c r="X6" i="3"/>
  <c r="Y6" i="3"/>
  <c r="Z6" i="3"/>
  <c r="AA6" i="3"/>
  <c r="X7" i="3"/>
  <c r="Y7" i="3"/>
  <c r="Z7" i="3"/>
  <c r="AA7" i="3"/>
  <c r="X8" i="3"/>
  <c r="Y8" i="3"/>
  <c r="Z8" i="3"/>
  <c r="AA8" i="3"/>
  <c r="X9" i="3"/>
  <c r="Y9" i="3"/>
  <c r="Z9" i="3"/>
  <c r="AA9" i="3"/>
  <c r="X10" i="3"/>
  <c r="Y10" i="3"/>
  <c r="Z10" i="3"/>
  <c r="AA10" i="3"/>
  <c r="X11" i="3"/>
  <c r="Y11" i="3"/>
  <c r="Z11" i="3"/>
  <c r="AA11" i="3"/>
  <c r="X12" i="3"/>
  <c r="Y12" i="3"/>
  <c r="Z12" i="3"/>
  <c r="AA12" i="3"/>
  <c r="X13" i="3"/>
  <c r="Y13" i="3"/>
  <c r="Z13" i="3"/>
  <c r="AA13" i="3"/>
  <c r="X14" i="3"/>
  <c r="Y14" i="3"/>
  <c r="Z14" i="3"/>
  <c r="AA14" i="3"/>
  <c r="X15" i="3"/>
  <c r="Y15" i="3"/>
  <c r="Z15" i="3"/>
  <c r="AA15" i="3"/>
  <c r="X16" i="3"/>
  <c r="Y16" i="3"/>
  <c r="Z16" i="3"/>
  <c r="AA16" i="3"/>
  <c r="X17" i="3"/>
  <c r="Y17" i="3"/>
  <c r="Z17" i="3"/>
  <c r="AA17" i="3"/>
  <c r="X18" i="3"/>
  <c r="Y18" i="3"/>
  <c r="Z18" i="3"/>
  <c r="AA18" i="3"/>
  <c r="X19" i="3"/>
  <c r="Y19" i="3"/>
  <c r="Z19" i="3"/>
  <c r="AA19" i="3"/>
  <c r="X20" i="3"/>
  <c r="Y20" i="3"/>
  <c r="Z20" i="3"/>
  <c r="AA20" i="3"/>
  <c r="X21" i="3"/>
  <c r="Y21" i="3"/>
  <c r="Z21" i="3"/>
  <c r="AA21" i="3"/>
  <c r="X22" i="3"/>
  <c r="Y22" i="3"/>
  <c r="Z22" i="3"/>
  <c r="AA22" i="3"/>
  <c r="X23" i="3"/>
  <c r="Y23" i="3"/>
  <c r="Z23" i="3"/>
  <c r="AA23" i="3"/>
  <c r="X24" i="3"/>
  <c r="Y24" i="3"/>
  <c r="Z24" i="3"/>
  <c r="AA24" i="3"/>
  <c r="Y4" i="5"/>
  <c r="Z4" i="5"/>
  <c r="AA4" i="5"/>
  <c r="AB4" i="5"/>
  <c r="Y5" i="5"/>
  <c r="Z5" i="5"/>
  <c r="AA5" i="5"/>
  <c r="AB5" i="5"/>
  <c r="Y6" i="5"/>
  <c r="Z6" i="5"/>
  <c r="AA6" i="5"/>
  <c r="AB6" i="5"/>
  <c r="Y7" i="5"/>
  <c r="Z7" i="5"/>
  <c r="AA7" i="5"/>
  <c r="AB7" i="5"/>
  <c r="Y8" i="5"/>
  <c r="Z8" i="5"/>
  <c r="AA8" i="5"/>
  <c r="AB8" i="5"/>
  <c r="Y9" i="5"/>
  <c r="Z9" i="5"/>
  <c r="AA9" i="5"/>
  <c r="AB9" i="5"/>
  <c r="Y10" i="5"/>
  <c r="Z10" i="5"/>
  <c r="AA10" i="5"/>
  <c r="AB10" i="5"/>
  <c r="Y11" i="5"/>
  <c r="Z11" i="5"/>
  <c r="AA11" i="5"/>
  <c r="AB11" i="5"/>
  <c r="Y12" i="5"/>
  <c r="Z12" i="5"/>
  <c r="AA12" i="5"/>
  <c r="AB12" i="5"/>
  <c r="Y13" i="5"/>
  <c r="Z13" i="5"/>
  <c r="AA13" i="5"/>
  <c r="AB13" i="5"/>
  <c r="Y14" i="5"/>
  <c r="Z14" i="5"/>
  <c r="AA14" i="5"/>
  <c r="AB14" i="5"/>
  <c r="Y15" i="5"/>
  <c r="Z15" i="5"/>
  <c r="AA15" i="5"/>
  <c r="AB15" i="5"/>
  <c r="Y16" i="5"/>
  <c r="Z16" i="5"/>
  <c r="AA16" i="5"/>
  <c r="AB16" i="5"/>
  <c r="Y17" i="5"/>
  <c r="Z17" i="5"/>
  <c r="AA17" i="5"/>
  <c r="AB17" i="5"/>
  <c r="Y18" i="5"/>
  <c r="Z18" i="5"/>
  <c r="AA18" i="5"/>
  <c r="AB18" i="5"/>
  <c r="Y19" i="5"/>
  <c r="Z19" i="5"/>
  <c r="AA19" i="5"/>
  <c r="AB19" i="5"/>
  <c r="Y20" i="5"/>
  <c r="Z20" i="5"/>
  <c r="AA20" i="5"/>
  <c r="AB20" i="5"/>
  <c r="Y21" i="5"/>
  <c r="Z21" i="5"/>
  <c r="AA21" i="5"/>
  <c r="AB21" i="5"/>
  <c r="Y22" i="5"/>
  <c r="Z22" i="5"/>
  <c r="AA22" i="5"/>
  <c r="AB22" i="5"/>
  <c r="Y23" i="5"/>
  <c r="Z23" i="5"/>
  <c r="AA23" i="5"/>
  <c r="AB23" i="5"/>
  <c r="Y24" i="5"/>
  <c r="Z24" i="5"/>
  <c r="AA24" i="5"/>
  <c r="AB24" i="5"/>
  <c r="Y25" i="5"/>
  <c r="Z25" i="5"/>
  <c r="AA25" i="5"/>
  <c r="AB25" i="5"/>
  <c r="Y26" i="5"/>
  <c r="Z26" i="5"/>
  <c r="AA26" i="5"/>
  <c r="AB26" i="5"/>
  <c r="Y27" i="5"/>
  <c r="Z27" i="5"/>
  <c r="AA27" i="5"/>
  <c r="AB27" i="5"/>
  <c r="L4" i="6"/>
  <c r="T4" i="6"/>
  <c r="Y4" i="6"/>
  <c r="Z4" i="6"/>
  <c r="AA4" i="6"/>
  <c r="M4" i="6"/>
  <c r="AB4" i="6"/>
  <c r="L5" i="6"/>
  <c r="S5" i="6"/>
  <c r="Y5" i="6"/>
  <c r="Z5" i="6"/>
  <c r="AA5" i="6"/>
  <c r="M5" i="6"/>
  <c r="AB5" i="6"/>
  <c r="L6" i="6"/>
  <c r="S6" i="6"/>
  <c r="Y6" i="6"/>
  <c r="Z6" i="6"/>
  <c r="AA6" i="6"/>
  <c r="M6" i="6"/>
  <c r="AB6" i="6"/>
  <c r="L7" i="6"/>
  <c r="T7" i="6"/>
  <c r="Y7" i="6"/>
  <c r="Z7" i="6"/>
  <c r="AA7" i="6"/>
  <c r="M7" i="6"/>
  <c r="AB7" i="6"/>
  <c r="L8" i="6"/>
  <c r="S8" i="6"/>
  <c r="Y8" i="6"/>
  <c r="Z8" i="6"/>
  <c r="AA8" i="6"/>
  <c r="M8" i="6"/>
  <c r="AB8" i="6"/>
  <c r="L9" i="6"/>
  <c r="S9" i="6"/>
  <c r="Y9" i="6"/>
  <c r="Z9" i="6"/>
  <c r="AA9" i="6"/>
  <c r="M9" i="6"/>
  <c r="AB9" i="6"/>
  <c r="L10" i="6"/>
  <c r="S10" i="6"/>
  <c r="Y10" i="6"/>
  <c r="Z10" i="6"/>
  <c r="AA10" i="6"/>
  <c r="M10" i="6"/>
  <c r="AB10" i="6"/>
  <c r="L11" i="6"/>
  <c r="S11" i="6"/>
  <c r="Y11" i="6"/>
  <c r="Z11" i="6"/>
  <c r="AA11" i="6"/>
  <c r="M11" i="6"/>
  <c r="AB11" i="6"/>
  <c r="L12" i="6"/>
  <c r="S12" i="6"/>
  <c r="Y12" i="6"/>
  <c r="Z12" i="6"/>
  <c r="AA12" i="6"/>
  <c r="M12" i="6"/>
  <c r="AB12" i="6"/>
  <c r="L13" i="6"/>
  <c r="S13" i="6"/>
  <c r="Y13" i="6"/>
  <c r="Z13" i="6"/>
  <c r="AA13" i="6"/>
  <c r="M13" i="6"/>
  <c r="AB13" i="6"/>
  <c r="L14" i="6"/>
  <c r="S14" i="6"/>
  <c r="Y14" i="6"/>
  <c r="Z14" i="6"/>
  <c r="AA14" i="6"/>
  <c r="M14" i="6"/>
  <c r="AB14" i="6"/>
  <c r="L15" i="6"/>
  <c r="S15" i="6"/>
  <c r="Y15" i="6"/>
  <c r="Z15" i="6"/>
  <c r="AA15" i="6"/>
  <c r="M15" i="6"/>
  <c r="AB15" i="6"/>
  <c r="L16" i="6"/>
  <c r="S16" i="6"/>
  <c r="Y16" i="6"/>
  <c r="Z16" i="6"/>
  <c r="AA16" i="6"/>
  <c r="M16" i="6"/>
  <c r="AB16" i="6"/>
  <c r="L17" i="6"/>
  <c r="S17" i="6"/>
  <c r="Y17" i="6"/>
  <c r="Z17" i="6"/>
  <c r="AA17" i="6"/>
  <c r="M17" i="6"/>
  <c r="AB17" i="6"/>
  <c r="L18" i="6"/>
  <c r="S18" i="6"/>
  <c r="Y18" i="6"/>
  <c r="Z18" i="6"/>
  <c r="AA18" i="6"/>
  <c r="M18" i="6"/>
  <c r="AB18" i="6"/>
  <c r="L19" i="6"/>
  <c r="S19" i="6"/>
  <c r="Y19" i="6"/>
  <c r="Z19" i="6"/>
  <c r="AA19" i="6"/>
  <c r="M19" i="6"/>
  <c r="AB19" i="6"/>
  <c r="L20" i="6"/>
  <c r="S20" i="6"/>
  <c r="Y20" i="6"/>
  <c r="Z20" i="6"/>
  <c r="AA20" i="6"/>
  <c r="M20" i="6"/>
  <c r="AB20" i="6"/>
  <c r="L21" i="6"/>
  <c r="S21" i="6"/>
  <c r="Y21" i="6"/>
  <c r="Z21" i="6"/>
  <c r="AA21" i="6"/>
  <c r="M21" i="6"/>
  <c r="AB21" i="6"/>
  <c r="L22" i="6"/>
  <c r="S22" i="6"/>
  <c r="Y22" i="6"/>
  <c r="Z22" i="6"/>
  <c r="AA22" i="6"/>
  <c r="M22" i="6"/>
  <c r="AB22" i="6"/>
  <c r="L23" i="6"/>
  <c r="S23" i="6"/>
  <c r="Y23" i="6"/>
  <c r="Z23" i="6"/>
  <c r="AA23" i="6"/>
  <c r="M23" i="6"/>
  <c r="AB23" i="6"/>
  <c r="L24" i="6"/>
  <c r="S24" i="6"/>
  <c r="Y24" i="6"/>
  <c r="Z24" i="6"/>
  <c r="AA24" i="6"/>
  <c r="M24" i="6"/>
  <c r="AB24" i="6"/>
  <c r="L25" i="6"/>
  <c r="S25" i="6"/>
  <c r="Y25" i="6"/>
  <c r="Z25" i="6"/>
  <c r="AA25" i="6"/>
  <c r="M25" i="6"/>
  <c r="AB25" i="6"/>
  <c r="L26" i="6"/>
  <c r="S26" i="6"/>
  <c r="Y26" i="6"/>
  <c r="Z26" i="6"/>
  <c r="AA26" i="6"/>
  <c r="M26" i="6"/>
  <c r="AB26" i="6"/>
  <c r="L27" i="6"/>
  <c r="S27" i="6"/>
  <c r="Y27" i="6"/>
  <c r="Z27" i="6"/>
  <c r="AA27" i="6"/>
  <c r="M27" i="6"/>
  <c r="AB27" i="6"/>
  <c r="L28" i="6"/>
  <c r="S28" i="6"/>
  <c r="Y28" i="6"/>
  <c r="Z28" i="6"/>
  <c r="AA28" i="6"/>
  <c r="M28" i="6"/>
  <c r="AB28" i="6"/>
  <c r="L29" i="6"/>
  <c r="S29" i="6"/>
  <c r="Y29" i="6"/>
  <c r="Z29" i="6"/>
  <c r="AA29" i="6"/>
  <c r="M29" i="6"/>
  <c r="AB29" i="6"/>
  <c r="L30" i="6"/>
  <c r="S30" i="6"/>
  <c r="Y30" i="6"/>
  <c r="Z30" i="6"/>
  <c r="AA30" i="6"/>
  <c r="M30" i="6"/>
  <c r="AB30" i="6"/>
  <c r="L31" i="6"/>
  <c r="S31" i="6"/>
  <c r="Y31" i="6"/>
  <c r="Z31" i="6"/>
  <c r="AA31" i="6"/>
  <c r="M31" i="6"/>
  <c r="AB31" i="6"/>
  <c r="L32" i="6"/>
  <c r="T32" i="6"/>
  <c r="Y32" i="6"/>
  <c r="Z32" i="6"/>
  <c r="AA32" i="6"/>
  <c r="M32" i="6"/>
  <c r="AB32" i="6"/>
  <c r="L33" i="6"/>
  <c r="S33" i="6"/>
  <c r="Y33" i="6"/>
  <c r="Z33" i="6"/>
  <c r="AA33" i="6"/>
  <c r="M33" i="6"/>
  <c r="AB33" i="6"/>
  <c r="L34" i="6"/>
  <c r="S34" i="6"/>
  <c r="Y34" i="6"/>
  <c r="Z34" i="6"/>
  <c r="AA34" i="6"/>
  <c r="M34" i="6"/>
  <c r="AB34" i="6"/>
  <c r="L35" i="6"/>
  <c r="T35" i="6"/>
  <c r="Y35" i="6"/>
  <c r="Z35" i="6"/>
  <c r="AA35" i="6"/>
  <c r="M35" i="6"/>
  <c r="AB35" i="6"/>
  <c r="L36" i="6"/>
  <c r="T36" i="6"/>
  <c r="Y36" i="6"/>
  <c r="Z36" i="6"/>
  <c r="AA36" i="6"/>
  <c r="M36" i="6"/>
  <c r="AB36" i="6"/>
  <c r="L37" i="6"/>
  <c r="T37" i="6"/>
  <c r="Y37" i="6"/>
  <c r="Z37" i="6"/>
  <c r="AA37" i="6"/>
  <c r="M37" i="6"/>
  <c r="AB37" i="6"/>
  <c r="L38" i="6"/>
  <c r="S38" i="6"/>
  <c r="Y38" i="6"/>
  <c r="Z38" i="6"/>
  <c r="AA38" i="6"/>
  <c r="M38" i="6"/>
  <c r="AB38" i="6"/>
  <c r="L39" i="6"/>
  <c r="S39" i="6"/>
  <c r="Y39" i="6"/>
  <c r="Z39" i="6"/>
  <c r="AA39" i="6"/>
  <c r="M39" i="6"/>
  <c r="AB39" i="6"/>
  <c r="L40" i="6"/>
  <c r="S40" i="6"/>
  <c r="Y40" i="6"/>
  <c r="Z40" i="6"/>
  <c r="AA40" i="6"/>
  <c r="M40" i="6"/>
  <c r="AB40" i="6"/>
  <c r="L41" i="6"/>
  <c r="S41" i="6"/>
  <c r="Y41" i="6"/>
  <c r="Z41" i="6"/>
  <c r="AA41" i="6"/>
  <c r="M41" i="6"/>
  <c r="AB41" i="6"/>
  <c r="L42" i="6"/>
  <c r="S42" i="6"/>
  <c r="Y42" i="6"/>
  <c r="Z42" i="6"/>
  <c r="AA42" i="6"/>
  <c r="M42" i="6"/>
  <c r="AB42" i="6"/>
  <c r="L43" i="6"/>
  <c r="S43" i="6"/>
  <c r="Y43" i="6"/>
  <c r="Z43" i="6"/>
  <c r="AA43" i="6"/>
  <c r="M43" i="6"/>
  <c r="AB43" i="6"/>
  <c r="L3" i="6"/>
  <c r="M3" i="6"/>
  <c r="AB3" i="6"/>
  <c r="Z3" i="6"/>
  <c r="AA3" i="6"/>
  <c r="S3" i="6"/>
  <c r="Y3" i="6"/>
  <c r="X4" i="4"/>
  <c r="Y4" i="4"/>
  <c r="Z4" i="4"/>
  <c r="AA4" i="4"/>
  <c r="L19" i="5"/>
  <c r="S19" i="5"/>
  <c r="M19" i="5"/>
  <c r="L10" i="5"/>
  <c r="L11" i="5"/>
  <c r="L12" i="5"/>
  <c r="L14" i="5"/>
  <c r="L3" i="5"/>
  <c r="L4" i="5"/>
  <c r="L6" i="5"/>
  <c r="L7" i="5"/>
  <c r="L8" i="5"/>
  <c r="L9" i="5"/>
  <c r="L13" i="5"/>
  <c r="L15" i="5"/>
  <c r="L16" i="5"/>
  <c r="L17" i="5"/>
  <c r="L18" i="5"/>
  <c r="L20" i="5"/>
  <c r="L21" i="5"/>
  <c r="L22" i="5"/>
  <c r="L23" i="5"/>
  <c r="L24" i="5"/>
  <c r="L25" i="5"/>
  <c r="L26" i="5"/>
  <c r="L27" i="5"/>
  <c r="L31" i="5"/>
  <c r="S10" i="5"/>
  <c r="S14" i="5"/>
  <c r="D29" i="7"/>
  <c r="D28" i="7"/>
  <c r="D27" i="7"/>
  <c r="X46" i="6"/>
  <c r="X45" i="6"/>
  <c r="X44" i="6"/>
  <c r="W46" i="6"/>
  <c r="W45" i="6"/>
  <c r="W44" i="6"/>
  <c r="V46" i="6"/>
  <c r="V45" i="6"/>
  <c r="V44" i="6"/>
  <c r="U46" i="6"/>
  <c r="U45" i="6"/>
  <c r="U44" i="6"/>
  <c r="T46" i="6"/>
  <c r="T45" i="6"/>
  <c r="T44" i="6"/>
  <c r="S46" i="6"/>
  <c r="S45" i="6"/>
  <c r="S44" i="6"/>
  <c r="R46" i="6"/>
  <c r="R45" i="6"/>
  <c r="R44" i="6"/>
  <c r="Q46" i="6"/>
  <c r="Q45" i="6"/>
  <c r="Q44" i="6"/>
  <c r="P46" i="6"/>
  <c r="P45" i="6"/>
  <c r="P44" i="6"/>
  <c r="O46" i="6"/>
  <c r="O45" i="6"/>
  <c r="O44" i="6"/>
  <c r="M46" i="6"/>
  <c r="M45" i="6"/>
  <c r="M44" i="6"/>
  <c r="L46" i="6"/>
  <c r="L45" i="6"/>
  <c r="L44" i="6"/>
  <c r="K46" i="6"/>
  <c r="K45" i="6"/>
  <c r="K44" i="6"/>
  <c r="I46" i="6"/>
  <c r="I45" i="6"/>
  <c r="I44" i="6"/>
  <c r="X31" i="5"/>
  <c r="X30" i="5"/>
  <c r="X29" i="5"/>
  <c r="X28" i="5"/>
  <c r="W31" i="5"/>
  <c r="W30" i="5"/>
  <c r="W29" i="5"/>
  <c r="W28" i="5"/>
  <c r="V31" i="5"/>
  <c r="V30" i="5"/>
  <c r="V29" i="5"/>
  <c r="V28" i="5"/>
  <c r="T10" i="5"/>
  <c r="U10" i="5"/>
  <c r="T14" i="5"/>
  <c r="U14" i="5"/>
  <c r="U31" i="5"/>
  <c r="U30" i="5"/>
  <c r="U29" i="5"/>
  <c r="U28" i="5"/>
  <c r="T11" i="5"/>
  <c r="T12" i="5"/>
  <c r="S15" i="5"/>
  <c r="T15" i="5"/>
  <c r="S17" i="5"/>
  <c r="T17" i="5"/>
  <c r="T22" i="5"/>
  <c r="T31" i="5"/>
  <c r="T30" i="5"/>
  <c r="T29" i="5"/>
  <c r="T28" i="5"/>
  <c r="S31" i="5"/>
  <c r="S27" i="5"/>
  <c r="S13" i="5"/>
  <c r="S16" i="5"/>
  <c r="S18" i="5"/>
  <c r="S20" i="5"/>
  <c r="S3" i="5"/>
  <c r="Q4" i="5"/>
  <c r="R4" i="5"/>
  <c r="S4" i="5"/>
  <c r="R5" i="5"/>
  <c r="S5" i="5"/>
  <c r="S7" i="5"/>
  <c r="S8" i="5"/>
  <c r="S9" i="5"/>
  <c r="S21" i="5"/>
  <c r="S23" i="5"/>
  <c r="S24" i="5"/>
  <c r="S25" i="5"/>
  <c r="S26" i="5"/>
  <c r="S30" i="5"/>
  <c r="S29" i="5"/>
  <c r="S28" i="5"/>
  <c r="R31" i="5"/>
  <c r="R30" i="5"/>
  <c r="R3" i="5"/>
  <c r="Q6" i="5"/>
  <c r="R6" i="5"/>
  <c r="R29" i="5"/>
  <c r="R28" i="5"/>
  <c r="Q31" i="5"/>
  <c r="Q30" i="5"/>
  <c r="Q3" i="5"/>
  <c r="Q29" i="5"/>
  <c r="Q28" i="5"/>
  <c r="P31" i="5"/>
  <c r="P30" i="5"/>
  <c r="P3" i="5"/>
  <c r="P29" i="5"/>
  <c r="P28" i="5"/>
  <c r="O31" i="5"/>
  <c r="O30" i="5"/>
  <c r="O29" i="5"/>
  <c r="O28" i="5"/>
  <c r="M10" i="5"/>
  <c r="M11" i="5"/>
  <c r="M12" i="5"/>
  <c r="M14" i="5"/>
  <c r="M3" i="5"/>
  <c r="M4" i="5"/>
  <c r="M6" i="5"/>
  <c r="M7" i="5"/>
  <c r="M8" i="5"/>
  <c r="M9" i="5"/>
  <c r="M13" i="5"/>
  <c r="M15" i="5"/>
  <c r="M16" i="5"/>
  <c r="M17" i="5"/>
  <c r="M18" i="5"/>
  <c r="M20" i="5"/>
  <c r="M21" i="5"/>
  <c r="M22" i="5"/>
  <c r="M23" i="5"/>
  <c r="M24" i="5"/>
  <c r="M25" i="5"/>
  <c r="M26" i="5"/>
  <c r="M27" i="5"/>
  <c r="M31" i="5"/>
  <c r="M30" i="5"/>
  <c r="M29" i="5"/>
  <c r="M28" i="5"/>
  <c r="L30" i="5"/>
  <c r="L29" i="5"/>
  <c r="L28" i="5"/>
  <c r="K31" i="5"/>
  <c r="K30" i="5"/>
  <c r="K5" i="5"/>
  <c r="K29" i="5"/>
  <c r="K28" i="5"/>
  <c r="I31" i="5"/>
  <c r="I30" i="5"/>
  <c r="I29" i="5"/>
  <c r="I28" i="5"/>
  <c r="O29" i="7"/>
  <c r="O28" i="7"/>
  <c r="O27" i="7"/>
  <c r="N29" i="7"/>
  <c r="N28" i="7"/>
  <c r="N27" i="7"/>
  <c r="M29" i="7"/>
  <c r="M28" i="7"/>
  <c r="M27" i="7"/>
  <c r="L29" i="7"/>
  <c r="L28" i="7"/>
  <c r="L27" i="7"/>
  <c r="K29" i="7"/>
  <c r="K28" i="7"/>
  <c r="K27" i="7"/>
  <c r="J29" i="7"/>
  <c r="J28" i="7"/>
  <c r="J27" i="7"/>
  <c r="I29" i="7"/>
  <c r="I28" i="7"/>
  <c r="I27" i="7"/>
  <c r="H29" i="7"/>
  <c r="H28" i="7"/>
  <c r="H27" i="7"/>
  <c r="G29" i="7"/>
  <c r="G28" i="7"/>
  <c r="G27" i="7"/>
  <c r="F29" i="7"/>
  <c r="F28" i="7"/>
  <c r="F27" i="7"/>
  <c r="E29" i="7"/>
  <c r="E28" i="7"/>
  <c r="E27" i="7"/>
  <c r="C29" i="7"/>
  <c r="C28" i="7"/>
  <c r="C27" i="7"/>
  <c r="B29" i="7"/>
  <c r="B28" i="7"/>
  <c r="B27" i="7"/>
  <c r="O19" i="7"/>
  <c r="O18" i="7"/>
  <c r="O17" i="7"/>
  <c r="O16" i="7"/>
  <c r="N19" i="7"/>
  <c r="N18" i="7"/>
  <c r="N17" i="7"/>
  <c r="N16" i="7"/>
  <c r="M19" i="7"/>
  <c r="M18" i="7"/>
  <c r="M17" i="7"/>
  <c r="M16" i="7"/>
  <c r="I19" i="7"/>
  <c r="I18" i="7"/>
  <c r="I17" i="7"/>
  <c r="I16" i="7"/>
  <c r="H19" i="7"/>
  <c r="H18" i="7"/>
  <c r="H17" i="7"/>
  <c r="H16" i="7"/>
  <c r="G19" i="7"/>
  <c r="G18" i="7"/>
  <c r="G17" i="7"/>
  <c r="G16" i="7"/>
  <c r="F19" i="7"/>
  <c r="F18" i="7"/>
  <c r="F17" i="7"/>
  <c r="F16" i="7"/>
  <c r="E19" i="7"/>
  <c r="E18" i="7"/>
  <c r="E17" i="7"/>
  <c r="E16" i="7"/>
  <c r="D19" i="7"/>
  <c r="D18" i="7"/>
  <c r="D17" i="7"/>
  <c r="D16" i="7"/>
  <c r="C19" i="7"/>
  <c r="C18" i="7"/>
  <c r="C17" i="7"/>
  <c r="C16" i="7"/>
  <c r="B19" i="7"/>
  <c r="B18" i="7"/>
  <c r="B17" i="7"/>
  <c r="B16" i="7"/>
  <c r="L19" i="7"/>
  <c r="L18" i="7"/>
  <c r="L17" i="7"/>
  <c r="L16" i="7"/>
  <c r="K19" i="7"/>
  <c r="K18" i="7"/>
  <c r="K17" i="7"/>
  <c r="K16" i="7"/>
  <c r="J19" i="7"/>
  <c r="J18" i="7"/>
  <c r="J17" i="7"/>
  <c r="J16" i="7"/>
  <c r="K6" i="3"/>
  <c r="K7" i="3"/>
  <c r="K11" i="3"/>
  <c r="K12" i="3"/>
  <c r="O3" i="3"/>
  <c r="K3" i="3"/>
  <c r="K5" i="3"/>
  <c r="K8" i="3"/>
  <c r="K9" i="3"/>
  <c r="K10" i="3"/>
  <c r="K13" i="3"/>
  <c r="K14" i="3"/>
  <c r="K15" i="3"/>
  <c r="K16" i="3"/>
  <c r="K17" i="3"/>
  <c r="K18" i="3"/>
  <c r="K19" i="3"/>
  <c r="K20" i="3"/>
  <c r="K21" i="3"/>
  <c r="K22" i="3"/>
  <c r="K23" i="3"/>
  <c r="K27" i="3"/>
  <c r="K28" i="3"/>
  <c r="K31" i="3"/>
  <c r="R24" i="3"/>
  <c r="L24" i="3"/>
  <c r="W8" i="4"/>
  <c r="W7" i="4"/>
  <c r="W6" i="4"/>
  <c r="V8" i="4"/>
  <c r="V7" i="4"/>
  <c r="V6" i="4"/>
  <c r="U8" i="4"/>
  <c r="U7" i="4"/>
  <c r="U6" i="4"/>
  <c r="T8" i="4"/>
  <c r="T7" i="4"/>
  <c r="T6" i="4"/>
  <c r="S8" i="4"/>
  <c r="S7" i="4"/>
  <c r="S6" i="4"/>
  <c r="R8" i="4"/>
  <c r="K3" i="4"/>
  <c r="R3" i="4"/>
  <c r="K4" i="4"/>
  <c r="R4" i="4"/>
  <c r="K5" i="4"/>
  <c r="R5" i="4"/>
  <c r="R7" i="4"/>
  <c r="R6" i="4"/>
  <c r="Q8" i="4"/>
  <c r="Q7" i="4"/>
  <c r="Q6" i="4"/>
  <c r="P8" i="4"/>
  <c r="P7" i="4"/>
  <c r="P6" i="4"/>
  <c r="O8" i="4"/>
  <c r="O7" i="4"/>
  <c r="O6" i="4"/>
  <c r="N8" i="4"/>
  <c r="N7" i="4"/>
  <c r="N6" i="4"/>
  <c r="L8" i="4"/>
  <c r="L3" i="4"/>
  <c r="L4" i="4"/>
  <c r="L5" i="4"/>
  <c r="L7" i="4"/>
  <c r="L6" i="4"/>
  <c r="K8" i="4"/>
  <c r="K7" i="4"/>
  <c r="K6" i="4"/>
  <c r="J8" i="4"/>
  <c r="J7" i="4"/>
  <c r="J6" i="4"/>
  <c r="H8" i="4"/>
  <c r="H7" i="4"/>
  <c r="H6" i="4"/>
  <c r="R10" i="3"/>
  <c r="R9" i="3"/>
  <c r="R8" i="3"/>
  <c r="O26" i="7"/>
  <c r="O25" i="7"/>
  <c r="O24" i="7"/>
  <c r="N26" i="7"/>
  <c r="N25" i="7"/>
  <c r="N24" i="7"/>
  <c r="M26" i="7"/>
  <c r="M25" i="7"/>
  <c r="M24" i="7"/>
  <c r="L26" i="7"/>
  <c r="L25" i="7"/>
  <c r="L24" i="7"/>
  <c r="K26" i="7"/>
  <c r="K25" i="7"/>
  <c r="K24" i="7"/>
  <c r="J26" i="7"/>
  <c r="J25" i="7"/>
  <c r="J24" i="7"/>
  <c r="I26" i="7"/>
  <c r="I25" i="7"/>
  <c r="I24" i="7"/>
  <c r="H26" i="7"/>
  <c r="H25" i="7"/>
  <c r="H24" i="7"/>
  <c r="G26" i="7"/>
  <c r="G25" i="7"/>
  <c r="G24" i="7"/>
  <c r="F26" i="7"/>
  <c r="F25" i="7"/>
  <c r="F24" i="7"/>
  <c r="E26" i="7"/>
  <c r="E25" i="7"/>
  <c r="D26" i="7"/>
  <c r="D25" i="7"/>
  <c r="D24" i="7"/>
  <c r="C26" i="7"/>
  <c r="C25" i="7"/>
  <c r="C24" i="7"/>
  <c r="B26" i="7"/>
  <c r="B25" i="7"/>
  <c r="E24" i="7"/>
  <c r="B24" i="7"/>
  <c r="AA5" i="4"/>
  <c r="Y5" i="4"/>
  <c r="Z5" i="4"/>
  <c r="X5" i="4"/>
  <c r="AA3" i="4"/>
  <c r="Y3" i="4"/>
  <c r="Z3" i="4"/>
  <c r="X3" i="4"/>
  <c r="R19" i="3"/>
  <c r="S19" i="3"/>
  <c r="S13" i="3"/>
  <c r="S10" i="3"/>
  <c r="S8" i="3"/>
  <c r="S9" i="3"/>
  <c r="S5" i="3"/>
  <c r="R22" i="3"/>
  <c r="L22" i="3"/>
  <c r="R15" i="3"/>
  <c r="R16" i="3"/>
  <c r="L15" i="3"/>
  <c r="L16" i="3"/>
  <c r="L10" i="3"/>
  <c r="R6" i="3"/>
  <c r="R11" i="3"/>
  <c r="R12" i="3"/>
  <c r="R14" i="3"/>
  <c r="R17" i="3"/>
  <c r="R18" i="3"/>
  <c r="R20" i="3"/>
  <c r="R21" i="3"/>
  <c r="R23" i="3"/>
  <c r="R7" i="3"/>
  <c r="L5" i="3"/>
  <c r="L6" i="3"/>
  <c r="L8" i="3"/>
  <c r="L9" i="3"/>
  <c r="L11" i="3"/>
  <c r="L12" i="3"/>
  <c r="L13" i="3"/>
  <c r="L14" i="3"/>
  <c r="L17" i="3"/>
  <c r="L18" i="3"/>
  <c r="L19" i="3"/>
  <c r="L20" i="3"/>
  <c r="L21" i="3"/>
  <c r="L23" i="3"/>
  <c r="L7" i="3"/>
  <c r="R4" i="3"/>
  <c r="L4" i="3"/>
  <c r="J3" i="3"/>
  <c r="L3" i="3"/>
  <c r="T28" i="3"/>
  <c r="T27" i="3"/>
  <c r="T26" i="3"/>
  <c r="S28" i="3"/>
  <c r="S27" i="3"/>
  <c r="S26" i="3"/>
  <c r="R27" i="3"/>
  <c r="R26" i="3"/>
  <c r="Q27" i="3"/>
  <c r="P28" i="3"/>
  <c r="O28" i="3"/>
  <c r="O27" i="3"/>
  <c r="O26" i="3"/>
  <c r="N28" i="3"/>
  <c r="N27" i="3"/>
  <c r="N26" i="3"/>
  <c r="J28" i="3"/>
  <c r="J27" i="3"/>
  <c r="J26" i="3"/>
  <c r="W25" i="3"/>
  <c r="V25" i="3"/>
  <c r="U25" i="3"/>
  <c r="T25" i="3"/>
  <c r="S25" i="3"/>
  <c r="O15" i="7"/>
  <c r="O14" i="7"/>
  <c r="O13" i="7"/>
  <c r="N15" i="7"/>
  <c r="N14" i="7"/>
  <c r="N13" i="7"/>
  <c r="M15" i="7"/>
  <c r="M14" i="7"/>
  <c r="M13" i="7"/>
  <c r="L15" i="7"/>
  <c r="L14" i="7"/>
  <c r="L13" i="7"/>
  <c r="K15" i="7"/>
  <c r="K14" i="7"/>
  <c r="K13" i="7"/>
  <c r="J14" i="7"/>
  <c r="J13" i="7"/>
  <c r="G15" i="7"/>
  <c r="G14" i="7"/>
  <c r="G13" i="7"/>
  <c r="F15" i="7"/>
  <c r="F14" i="7"/>
  <c r="O12" i="7"/>
  <c r="N12" i="7"/>
  <c r="M12" i="7"/>
  <c r="L12" i="7"/>
  <c r="K12" i="7"/>
  <c r="G12" i="7"/>
  <c r="N25" i="3"/>
  <c r="O25" i="3"/>
  <c r="J25" i="3"/>
  <c r="H28" i="3"/>
  <c r="H27" i="3"/>
  <c r="H26" i="3"/>
  <c r="H25" i="3"/>
  <c r="F13" i="7"/>
  <c r="F12" i="7"/>
  <c r="C15" i="7"/>
  <c r="C14" i="7"/>
  <c r="C13" i="7"/>
  <c r="C12" i="7"/>
  <c r="B15" i="7"/>
  <c r="B14" i="7"/>
  <c r="B13" i="7"/>
  <c r="I14" i="7"/>
  <c r="H15" i="7"/>
  <c r="E14" i="7"/>
  <c r="W28" i="3"/>
  <c r="W27" i="3"/>
  <c r="W26" i="3"/>
  <c r="V28" i="3"/>
  <c r="V27" i="3"/>
  <c r="V26" i="3"/>
  <c r="U28" i="3"/>
  <c r="U27" i="3"/>
  <c r="U26" i="3"/>
  <c r="I15" i="7"/>
  <c r="Q28" i="3"/>
  <c r="L27" i="3"/>
  <c r="P27" i="3"/>
  <c r="D14" i="7"/>
  <c r="H14" i="7"/>
  <c r="O43" i="7"/>
  <c r="N43" i="7"/>
  <c r="M43" i="7"/>
  <c r="L46" i="7"/>
  <c r="K46" i="7"/>
  <c r="O46" i="7"/>
  <c r="O45" i="7"/>
  <c r="J45" i="7"/>
  <c r="F45" i="7"/>
  <c r="N45" i="7"/>
  <c r="M45" i="7"/>
  <c r="K45" i="7"/>
  <c r="L45" i="7"/>
  <c r="J46" i="7"/>
  <c r="N46" i="7"/>
  <c r="F46" i="7"/>
  <c r="I46" i="7"/>
  <c r="M46" i="7"/>
  <c r="H46" i="7"/>
  <c r="G46" i="7"/>
  <c r="C46" i="7"/>
  <c r="C45" i="7"/>
  <c r="K43" i="7"/>
  <c r="L43" i="7"/>
  <c r="F43" i="7"/>
  <c r="I43" i="7"/>
  <c r="J43" i="7"/>
  <c r="G32" i="7"/>
  <c r="I45" i="7"/>
  <c r="H45" i="7"/>
  <c r="G45" i="7"/>
  <c r="Y46" i="6"/>
  <c r="X7" i="4"/>
  <c r="AA7" i="4"/>
  <c r="AB46" i="6"/>
  <c r="I13" i="7"/>
  <c r="Q25" i="3"/>
  <c r="Q26" i="3"/>
  <c r="K26" i="3"/>
  <c r="E13" i="7"/>
  <c r="I12" i="7"/>
  <c r="Y3" i="3"/>
  <c r="Z3" i="3"/>
  <c r="X3" i="3"/>
  <c r="L26" i="3"/>
  <c r="P25" i="3"/>
  <c r="P26" i="3"/>
  <c r="D13" i="7"/>
  <c r="H13" i="7"/>
  <c r="H12" i="7"/>
  <c r="AA3" i="3"/>
  <c r="AB31" i="5"/>
  <c r="H20" i="7"/>
  <c r="Y31" i="5"/>
  <c r="Y29" i="5"/>
  <c r="Q29" i="7"/>
  <c r="P29" i="7"/>
  <c r="Q25" i="7"/>
  <c r="P25" i="7"/>
  <c r="O32" i="7"/>
  <c r="N32" i="7"/>
  <c r="M32" i="7"/>
  <c r="L32" i="7"/>
  <c r="K32" i="7"/>
  <c r="J32" i="7"/>
  <c r="I32" i="7"/>
  <c r="H32" i="7"/>
  <c r="F32" i="7"/>
  <c r="C32" i="7"/>
  <c r="B32" i="7"/>
  <c r="O31" i="7"/>
  <c r="N31" i="7"/>
  <c r="M31" i="7"/>
  <c r="L31" i="7"/>
  <c r="K31" i="7"/>
  <c r="J31" i="7"/>
  <c r="I31" i="7"/>
  <c r="H31" i="7"/>
  <c r="G31" i="7"/>
  <c r="F31" i="7"/>
  <c r="C31" i="7"/>
  <c r="B31" i="7"/>
  <c r="O22" i="7"/>
  <c r="O35" i="7"/>
  <c r="O40" i="7"/>
  <c r="N22" i="7"/>
  <c r="M22" i="7"/>
  <c r="L22" i="7"/>
  <c r="K22" i="7"/>
  <c r="J22" i="7"/>
  <c r="J35" i="7"/>
  <c r="J40" i="7"/>
  <c r="I22" i="7"/>
  <c r="F22" i="7"/>
  <c r="B22" i="7"/>
  <c r="O21" i="7"/>
  <c r="N21" i="7"/>
  <c r="M21" i="7"/>
  <c r="L21" i="7"/>
  <c r="K21" i="7"/>
  <c r="J21" i="7"/>
  <c r="I21" i="7"/>
  <c r="H21" i="7"/>
  <c r="G21" i="7"/>
  <c r="F21" i="7"/>
  <c r="C21" i="7"/>
  <c r="B21" i="7"/>
  <c r="Q19" i="7"/>
  <c r="P19" i="7"/>
  <c r="Q14" i="7"/>
  <c r="P14" i="7"/>
  <c r="L35" i="7"/>
  <c r="L40" i="7"/>
  <c r="N35" i="7"/>
  <c r="N40" i="7"/>
  <c r="M35" i="7"/>
  <c r="M40" i="7"/>
  <c r="F35" i="7"/>
  <c r="F40" i="7"/>
  <c r="K35" i="7"/>
  <c r="K40" i="7"/>
  <c r="B35" i="7"/>
  <c r="B40" i="7"/>
  <c r="I35" i="7"/>
  <c r="I40" i="7"/>
  <c r="F34" i="7"/>
  <c r="F39" i="7"/>
  <c r="G34" i="7"/>
  <c r="G39" i="7"/>
  <c r="O34" i="7"/>
  <c r="O39" i="7"/>
  <c r="B34" i="7"/>
  <c r="B39" i="7"/>
  <c r="H34" i="7"/>
  <c r="H39" i="7"/>
  <c r="L34" i="7"/>
  <c r="L39" i="7"/>
  <c r="J34" i="7"/>
  <c r="J39" i="7"/>
  <c r="N34" i="7"/>
  <c r="N39" i="7"/>
  <c r="K34" i="7"/>
  <c r="C34" i="7"/>
  <c r="I34" i="7"/>
  <c r="I39" i="7"/>
  <c r="M34" i="7"/>
  <c r="M39" i="7"/>
  <c r="AA27" i="3"/>
  <c r="X27" i="3"/>
  <c r="C39" i="7"/>
  <c r="K39" i="7"/>
  <c r="B46" i="7"/>
  <c r="B45" i="7"/>
  <c r="Q17" i="7"/>
  <c r="O23" i="7"/>
  <c r="O36" i="7"/>
  <c r="O41" i="7"/>
  <c r="N23" i="7"/>
  <c r="N36" i="7"/>
  <c r="N41" i="7"/>
  <c r="M23" i="7"/>
  <c r="M36" i="7"/>
  <c r="M41" i="7"/>
  <c r="L23" i="7"/>
  <c r="L36" i="7"/>
  <c r="L41" i="7"/>
  <c r="K23" i="7"/>
  <c r="K36" i="7"/>
  <c r="K41" i="7"/>
  <c r="I23" i="7"/>
  <c r="I36" i="7"/>
  <c r="I41" i="7"/>
  <c r="H23" i="7"/>
  <c r="H36" i="7"/>
  <c r="G23" i="7"/>
  <c r="G36" i="7"/>
  <c r="G41" i="7"/>
  <c r="F23" i="7"/>
  <c r="F36" i="7"/>
  <c r="F41" i="7"/>
  <c r="C23" i="7"/>
  <c r="C36" i="7"/>
  <c r="B23" i="7"/>
  <c r="B36" i="7"/>
  <c r="B41" i="7"/>
  <c r="AB29" i="5"/>
  <c r="P17" i="7"/>
  <c r="AA26" i="3"/>
  <c r="E46" i="7"/>
  <c r="E45" i="7"/>
  <c r="C41" i="7"/>
  <c r="H41" i="7"/>
  <c r="Y44" i="6"/>
  <c r="Y45" i="6"/>
  <c r="AA8" i="4"/>
  <c r="AA6" i="4"/>
  <c r="X6" i="4"/>
  <c r="X8" i="4"/>
  <c r="X26" i="3"/>
  <c r="AB44" i="6"/>
  <c r="AB45" i="6"/>
  <c r="D32" i="7"/>
  <c r="H30" i="7"/>
  <c r="H47" i="7"/>
  <c r="E32" i="7"/>
  <c r="Q26" i="7"/>
  <c r="Q28" i="7"/>
  <c r="E31" i="7"/>
  <c r="L30" i="7"/>
  <c r="L47" i="7"/>
  <c r="Q13" i="7"/>
  <c r="E21" i="7"/>
  <c r="G30" i="7"/>
  <c r="G47" i="7"/>
  <c r="K30" i="7"/>
  <c r="K47" i="7"/>
  <c r="O30" i="7"/>
  <c r="O47" i="7"/>
  <c r="Q24" i="7"/>
  <c r="Q27" i="7"/>
  <c r="J30" i="7"/>
  <c r="J47" i="7"/>
  <c r="E30" i="7"/>
  <c r="I30" i="7"/>
  <c r="I47" i="7"/>
  <c r="M30" i="7"/>
  <c r="M47" i="7"/>
  <c r="F30" i="7"/>
  <c r="F47" i="7"/>
  <c r="N30" i="7"/>
  <c r="N47" i="7"/>
  <c r="C30" i="7"/>
  <c r="C47" i="7"/>
  <c r="B30" i="7"/>
  <c r="B47" i="7"/>
  <c r="M42" i="7"/>
  <c r="L42" i="7"/>
  <c r="I42" i="7"/>
  <c r="H42" i="7"/>
  <c r="AB3" i="5"/>
  <c r="Z3" i="5"/>
  <c r="AA3" i="5"/>
  <c r="Y3" i="5"/>
  <c r="P27" i="7"/>
  <c r="D46" i="7"/>
  <c r="E47" i="7"/>
  <c r="P24" i="7"/>
  <c r="D45" i="7"/>
  <c r="K20" i="7"/>
  <c r="K44" i="7"/>
  <c r="K42" i="7"/>
  <c r="O20" i="7"/>
  <c r="O44" i="7"/>
  <c r="O42" i="7"/>
  <c r="N20" i="7"/>
  <c r="N44" i="7"/>
  <c r="N42" i="7"/>
  <c r="E34" i="7"/>
  <c r="E39" i="7"/>
  <c r="D30" i="7"/>
  <c r="P26" i="7"/>
  <c r="Q31" i="7"/>
  <c r="M20" i="7"/>
  <c r="P32" i="7"/>
  <c r="Q32" i="7"/>
  <c r="P28" i="7"/>
  <c r="D31" i="7"/>
  <c r="I20" i="7"/>
  <c r="Q21" i="7"/>
  <c r="D21" i="7"/>
  <c r="P13" i="7"/>
  <c r="Q30" i="7"/>
  <c r="L20" i="7"/>
  <c r="P30" i="7"/>
  <c r="D47" i="7"/>
  <c r="N33" i="7"/>
  <c r="N38" i="7"/>
  <c r="K33" i="7"/>
  <c r="K38" i="7"/>
  <c r="D34" i="7"/>
  <c r="D39" i="7"/>
  <c r="L33" i="7"/>
  <c r="L38" i="7"/>
  <c r="L44" i="7"/>
  <c r="I33" i="7"/>
  <c r="I38" i="7"/>
  <c r="I44" i="7"/>
  <c r="M33" i="7"/>
  <c r="M38" i="7"/>
  <c r="M44" i="7"/>
  <c r="Q34" i="7"/>
  <c r="O33" i="7"/>
  <c r="O38" i="7"/>
  <c r="P31" i="7"/>
  <c r="P21" i="7"/>
  <c r="P34" i="7"/>
  <c r="G42" i="7"/>
  <c r="F42" i="7"/>
  <c r="C42" i="7"/>
  <c r="F20" i="7"/>
  <c r="F44" i="7"/>
  <c r="F33" i="7"/>
  <c r="F38" i="7"/>
  <c r="G20" i="7"/>
  <c r="G43" i="7"/>
  <c r="G22" i="7"/>
  <c r="G35" i="7"/>
  <c r="G40" i="7"/>
  <c r="G44" i="7"/>
  <c r="G33" i="7"/>
  <c r="G38" i="7"/>
  <c r="H22" i="7"/>
  <c r="H43" i="7"/>
  <c r="H44" i="7"/>
  <c r="H33" i="7"/>
  <c r="H35" i="7"/>
  <c r="H40" i="7"/>
  <c r="H38" i="7"/>
  <c r="K25" i="3"/>
  <c r="E12" i="7"/>
  <c r="B12" i="7"/>
  <c r="E15" i="7"/>
  <c r="E23" i="7"/>
  <c r="L28" i="3"/>
  <c r="J12" i="7"/>
  <c r="AA28" i="3"/>
  <c r="J15" i="7"/>
  <c r="J23" i="7"/>
  <c r="J36" i="7"/>
  <c r="J41" i="7"/>
  <c r="E42" i="7"/>
  <c r="B42" i="7"/>
  <c r="E36" i="7"/>
  <c r="J20" i="7"/>
  <c r="R25" i="3"/>
  <c r="D12" i="7"/>
  <c r="D15" i="7"/>
  <c r="Q12" i="7"/>
  <c r="L25" i="3"/>
  <c r="AA25" i="3"/>
  <c r="R28" i="3"/>
  <c r="J42" i="7"/>
  <c r="Q15" i="7"/>
  <c r="Q36" i="7"/>
  <c r="X25" i="3"/>
  <c r="P15" i="7"/>
  <c r="D23" i="7"/>
  <c r="X28" i="3"/>
  <c r="E41" i="7"/>
  <c r="P12" i="7"/>
  <c r="D42" i="7"/>
  <c r="J44" i="7"/>
  <c r="J33" i="7"/>
  <c r="J38" i="7"/>
  <c r="Q23" i="7"/>
  <c r="P23" i="7"/>
  <c r="D36" i="7"/>
  <c r="P36" i="7"/>
  <c r="D41" i="7"/>
  <c r="C20" i="7"/>
  <c r="C33" i="7"/>
  <c r="D20" i="7"/>
  <c r="D33" i="7"/>
  <c r="E20" i="7"/>
  <c r="E33" i="7"/>
  <c r="P33" i="7"/>
  <c r="D22" i="7"/>
  <c r="D35" i="7"/>
  <c r="D38" i="7"/>
  <c r="Q33" i="7"/>
  <c r="D44" i="7"/>
  <c r="P20" i="7"/>
  <c r="Q20" i="7"/>
  <c r="E22" i="7"/>
  <c r="E35" i="7"/>
  <c r="E38" i="7"/>
  <c r="B20" i="7"/>
  <c r="B44" i="7"/>
  <c r="B33" i="7"/>
  <c r="B38" i="7"/>
  <c r="E44" i="7"/>
  <c r="Q35" i="7"/>
  <c r="Q22" i="7"/>
  <c r="Q16" i="7"/>
  <c r="Q18" i="7"/>
  <c r="E40" i="7"/>
  <c r="C22" i="7"/>
  <c r="C35" i="7"/>
  <c r="P35" i="7"/>
  <c r="P22" i="7"/>
  <c r="Y28" i="5"/>
  <c r="P18" i="7"/>
  <c r="D40" i="7"/>
  <c r="D43" i="7"/>
  <c r="B43" i="7"/>
  <c r="E43" i="7"/>
  <c r="AB28" i="5"/>
  <c r="AB30" i="5"/>
  <c r="C44" i="7"/>
  <c r="C38" i="7"/>
  <c r="P16" i="7"/>
  <c r="C40" i="7"/>
  <c r="Y30" i="5"/>
  <c r="C43" i="7"/>
</calcChain>
</file>

<file path=xl/sharedStrings.xml><?xml version="1.0" encoding="utf-8"?>
<sst xmlns="http://schemas.openxmlformats.org/spreadsheetml/2006/main" count="847" uniqueCount="426">
  <si>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</si>
  <si>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</si>
  <si>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</si>
  <si>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</si>
  <si>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</si>
  <si>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</si>
  <si>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</si>
  <si>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</si>
  <si>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</si>
  <si>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</si>
  <si>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</si>
  <si>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</si>
  <si>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</si>
  <si>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</si>
  <si>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</si>
  <si>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</si>
  <si>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</si>
  <si>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</si>
  <si>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</si>
  <si>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</si>
  <si>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</si>
  <si>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</si>
  <si>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</si>
  <si>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</si>
  <si>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</si>
  <si>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</si>
  <si>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</si>
  <si>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</si>
  <si>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</si>
  <si>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</si>
  <si>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</si>
  <si>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</si>
  <si>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</si>
  <si>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</si>
  <si>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</si>
  <si>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</si>
  <si>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</si>
  <si>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</si>
  <si>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</si>
  <si>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</si>
  <si>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</si>
  <si>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</si>
  <si>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</si>
  <si>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</si>
  <si>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</si>
  <si>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</si>
  <si>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stargardzki</t>
  </si>
  <si>
    <t>koszaliński</t>
  </si>
  <si>
    <t>wałecki</t>
  </si>
  <si>
    <t>choszczeński</t>
  </si>
  <si>
    <t>gryfiński</t>
  </si>
  <si>
    <t>świdwiński</t>
  </si>
  <si>
    <t>myśliborski</t>
  </si>
  <si>
    <t>gryficki</t>
  </si>
  <si>
    <t>goleniowski</t>
  </si>
  <si>
    <t>3208</t>
  </si>
  <si>
    <t>3209</t>
  </si>
  <si>
    <t>3211</t>
  </si>
  <si>
    <t>3210</t>
  </si>
  <si>
    <t>3215</t>
  </si>
  <si>
    <t>3202053</t>
  </si>
  <si>
    <t>3202033</t>
  </si>
  <si>
    <t>3204062</t>
  </si>
  <si>
    <t>3205023</t>
  </si>
  <si>
    <t>3206043</t>
  </si>
  <si>
    <t>3210043</t>
  </si>
  <si>
    <t>3213052</t>
  </si>
  <si>
    <t>Miasto Szczecinek</t>
  </si>
  <si>
    <t>Gmina Kołobrzeg</t>
  </si>
  <si>
    <t>Gmina Stargard</t>
  </si>
  <si>
    <t>policki</t>
  </si>
  <si>
    <t>kołobrzeski</t>
  </si>
  <si>
    <t>białogardzki</t>
  </si>
  <si>
    <t>3204023</t>
  </si>
  <si>
    <t>3205083</t>
  </si>
  <si>
    <t>3207023</t>
  </si>
  <si>
    <t>3207033</t>
  </si>
  <si>
    <t>3208072</t>
  </si>
  <si>
    <t>3210033</t>
  </si>
  <si>
    <t>3211043</t>
  </si>
  <si>
    <t>3202042</t>
  </si>
  <si>
    <t>3203013</t>
  </si>
  <si>
    <t>3203023</t>
  </si>
  <si>
    <t>3203063</t>
  </si>
  <si>
    <t>3205072</t>
  </si>
  <si>
    <t>3206053</t>
  </si>
  <si>
    <t>3206063</t>
  </si>
  <si>
    <t>3206092</t>
  </si>
  <si>
    <t>3207013</t>
  </si>
  <si>
    <t>3207043</t>
  </si>
  <si>
    <t>3207052</t>
  </si>
  <si>
    <t>3208022</t>
  </si>
  <si>
    <t>3209022</t>
  </si>
  <si>
    <t>3209073</t>
  </si>
  <si>
    <t>3218053</t>
  </si>
  <si>
    <t>3211012</t>
  </si>
  <si>
    <t>3214062</t>
  </si>
  <si>
    <t>3215023</t>
  </si>
  <si>
    <t>3215033</t>
  </si>
  <si>
    <t>3215043</t>
  </si>
  <si>
    <t>Gmina Darłowo</t>
  </si>
  <si>
    <t>Gmina Sławno</t>
  </si>
  <si>
    <t>Gmina Szczecinek</t>
  </si>
  <si>
    <t>drawski</t>
  </si>
  <si>
    <t>łobeski</t>
  </si>
  <si>
    <t>3202</t>
  </si>
  <si>
    <t>3203</t>
  </si>
  <si>
    <t>3204</t>
  </si>
  <si>
    <t>3218</t>
  </si>
  <si>
    <t>3214</t>
  </si>
  <si>
    <t>3216</t>
  </si>
  <si>
    <t>3217</t>
  </si>
  <si>
    <t>Zadanie nowe/wieloletnie [N/W]</t>
  </si>
  <si>
    <t>Kwota dofinansowania ogółem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</si>
  <si>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</si>
  <si>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Lista zadań rekomendowanych do dofinansowania w ramach Rządowego Funduszu Rozwoju Dróg</t>
  </si>
  <si>
    <t>FDS-1/16/2020</t>
  </si>
  <si>
    <t>K</t>
  </si>
  <si>
    <t>Powiat Świdwiński</t>
  </si>
  <si>
    <t>Przebudowa drogi powiatowej nr 3340Z od granicy powiatu do miejscowości Sławoborze</t>
  </si>
  <si>
    <t>P</t>
  </si>
  <si>
    <t>03.2020-11-2024</t>
  </si>
  <si>
    <t>RFRD-1/61/2022</t>
  </si>
  <si>
    <t>W</t>
  </si>
  <si>
    <t>Powiat Policki</t>
  </si>
  <si>
    <t>Rozbudowa drogi powiatowej Nr 3916Z Bezrzecze - Wołczkowo w ciągu ul. Koralowej i Górnej</t>
  </si>
  <si>
    <t>B</t>
  </si>
  <si>
    <t>04.2022-12.2023</t>
  </si>
  <si>
    <t>FDS-1/8/2020</t>
  </si>
  <si>
    <t>Gmina Drawno</t>
  </si>
  <si>
    <t>Przebudowa drogi gminnej nr 655006Z Drawno - Zdanów</t>
  </si>
  <si>
    <t>03.2020-12.2023</t>
  </si>
  <si>
    <t>FDS-1/38/2021</t>
  </si>
  <si>
    <t>Gmina Miasto Stargard</t>
  </si>
  <si>
    <t>Budowa odcinka obwodnicy północnej Stargardu od ul. Składowej do ul. Orzeszkowej</t>
  </si>
  <si>
    <t>09.2021-05.2023</t>
  </si>
  <si>
    <t>FDS-1/77/2021</t>
  </si>
  <si>
    <t>Gmina Biesiekierz</t>
  </si>
  <si>
    <t>Budowa dróg gminnych - ul. Kalinowa (89/17, 59, 89/31, 77/3, 60/4) i ul. Akacjowa (89/17) w Starych Bielicach</t>
  </si>
  <si>
    <t>09.2021-11.2023</t>
  </si>
  <si>
    <t xml:space="preserve">FDS-1/12/2021 </t>
  </si>
  <si>
    <t>Gmina Drawsko Pomorskie</t>
  </si>
  <si>
    <t>Przebudowa nawierzchni ulic gminnych: ul. Stanisławskiego, ul. Michałowskiego i ul. Gierymskiego w Drawsku Pomorskim</t>
  </si>
  <si>
    <t>12.2021-02.2023</t>
  </si>
  <si>
    <t>RFRD-1/34/2022</t>
  </si>
  <si>
    <t>Gmina Miejska Wałcz</t>
  </si>
  <si>
    <t>Przebudowa ul. Chopina wraz z budową ścieżki pieszo-rowerowej, parkingów i infrastruktury technicznej na odcinku od skrzyżowania z ul. Wileńską do przejazdu PKP</t>
  </si>
  <si>
    <t>05.2022-09.2023</t>
  </si>
  <si>
    <t>RFRD-1/105/2022</t>
  </si>
  <si>
    <t>Przebudowa drogi gminnej nr 490011Z na odcinku od skrzyżowania z drogą powiatową nr 1716Z do granicy Miasta Stargard</t>
  </si>
  <si>
    <t>07.2022-12.2023</t>
  </si>
  <si>
    <t>RFRD-1/9/2022</t>
  </si>
  <si>
    <t>Gmina Rewal</t>
  </si>
  <si>
    <t>Przebudowa drogi gminnej nr 832006Z - ul. Łąkowej w Trzęsaczu, Gmina Rewal</t>
  </si>
  <si>
    <t>04.2022-06.2023</t>
  </si>
  <si>
    <t>RFRD-1/22/2023</t>
  </si>
  <si>
    <t>RFRD-1/80/2023</t>
  </si>
  <si>
    <t>RFRD-1/29/2023</t>
  </si>
  <si>
    <t>RFRD-1/82/2023</t>
  </si>
  <si>
    <t>RFRD-1/81/2023</t>
  </si>
  <si>
    <t>RFRD-1/36/2023</t>
  </si>
  <si>
    <t>RFRD-1/38/2023</t>
  </si>
  <si>
    <t>RFRD-1/15/2023</t>
  </si>
  <si>
    <t>RFRD-1/37/2023</t>
  </si>
  <si>
    <t>RFRD-1/63/2023</t>
  </si>
  <si>
    <t>RFRD-1/61/2023</t>
  </si>
  <si>
    <t>RFRD-1/16/2023</t>
  </si>
  <si>
    <t>RFRD-1/30/2023</t>
  </si>
  <si>
    <t>RFRD-1/21/2023</t>
  </si>
  <si>
    <t>RFRD-1/24/2023</t>
  </si>
  <si>
    <t>Powiat Koszaliński</t>
  </si>
  <si>
    <t>Powiat Stargardzki</t>
  </si>
  <si>
    <t>Powiat Kołobrzeski</t>
  </si>
  <si>
    <t>Powiat Choszczeński</t>
  </si>
  <si>
    <t>Powiat Goleniowski</t>
  </si>
  <si>
    <t>Powiat Drawski</t>
  </si>
  <si>
    <t>Powiat Szczecinecki</t>
  </si>
  <si>
    <t>Powiat Myśliborski</t>
  </si>
  <si>
    <t>Powiat Łobeski</t>
  </si>
  <si>
    <t>Przebudowa dróg powiatowych nr 3506Z w m. Sarbinowo, 3504Z Sarbinowo - Gąski, 3544Z Kiszkowo - Gąski w Powiecie Koszalińskim</t>
  </si>
  <si>
    <t>Przebudowa ulicy Szczecińskiej w Stargardzie na odcinku od ulicy Wileńskiej do Placu Zgody</t>
  </si>
  <si>
    <t>Rozbudowa drogi powiatowej - ulicy Jedności Narodowej w miejscowości Kołobrzeg</t>
  </si>
  <si>
    <t>Rozbudowa drogi powiatowej Nr 3933Z (ul. Cisowa) i Nr 3934Z (ul. Nadbrzeżna) w Policach</t>
  </si>
  <si>
    <t>Rozbudowa drogi powiatowej nr 3923Z Szczecin - Warnik na odcinku Szczecin - Stobno, ETAP II - m. Stobno</t>
  </si>
  <si>
    <t>Przebudowa drogi powiatowej nr 2212Z Słonice - Rakowo</t>
  </si>
  <si>
    <t>Przebudowa drogi powiatowej nr 4158Z Osina - Mosty na odcinku Mosty - Burowo w Powiecie Goleniowskim</t>
  </si>
  <si>
    <t>Przebudowa Ronda Ceramików z oświetleniem oraz z drogami dojazdowymi ul. 5-go Marca i ul. F. Chopina</t>
  </si>
  <si>
    <t>Przebudowa ul. Zwycięstwa w miejscowości Suliszewo</t>
  </si>
  <si>
    <t>Przebudowa drogi powiatowej nr 3581Z Drężno - Stepień wraz z przebudową obiektów inżynierskich - I etap</t>
  </si>
  <si>
    <t>Przebudowa drogi powiatowej nr 2116Z od miejscowości Krzynka do miejscowości Płonno</t>
  </si>
  <si>
    <t>Przebudowa drogi powiatowej nr 2047Z – ul. Brzozowej w m. Złocieniec</t>
  </si>
  <si>
    <t>Rozbudowa drogi powiatowej - ulicy Grzybowskiej w Kołobrzegu w zakresie budowy drogi rowerowej</t>
  </si>
  <si>
    <t>Przebudowa drogi powiatowej nr 3527Z Kotłowo - Laski Koszalińskie</t>
  </si>
  <si>
    <t>Przebudowa drogi powiatowej nr 4397Z ul. Reymonta w Dobrej</t>
  </si>
  <si>
    <t>N</t>
  </si>
  <si>
    <t>RFRD-1/34/2023</t>
  </si>
  <si>
    <t>RFRD-1/64/2023</t>
  </si>
  <si>
    <t>RFRD-1/46/2023</t>
  </si>
  <si>
    <t>RFRD-1/4/2023</t>
  </si>
  <si>
    <t>RFRD-1/72/2023</t>
  </si>
  <si>
    <t>Gmina Mielno</t>
  </si>
  <si>
    <t>Miasto Białogard</t>
  </si>
  <si>
    <t>Gmina Goleniów</t>
  </si>
  <si>
    <t>RFRD-1/5/2023</t>
  </si>
  <si>
    <t>RFRD-1/54/2023</t>
  </si>
  <si>
    <t>RFRD-1/67/2023</t>
  </si>
  <si>
    <t>RFRD-1/57/2023</t>
  </si>
  <si>
    <t>RFRD-1/49/2023</t>
  </si>
  <si>
    <t>RFRD-1/44/2023</t>
  </si>
  <si>
    <t>RFRD-1/79/2023</t>
  </si>
  <si>
    <t>RFRD-1/7/2023</t>
  </si>
  <si>
    <t>RFRD-1/92/2023</t>
  </si>
  <si>
    <t>RFRD-1/25/2023</t>
  </si>
  <si>
    <t>RFRD-1/83/2023</t>
  </si>
  <si>
    <t>RFRD-1/62/2023</t>
  </si>
  <si>
    <t>Gmina Ustronie Morskie</t>
  </si>
  <si>
    <t>Gmina Miasto Świnoujście</t>
  </si>
  <si>
    <t>Gmina Miasto Kołobrzeg</t>
  </si>
  <si>
    <t>Gmina Sianów</t>
  </si>
  <si>
    <t>Gmina Dębno</t>
  </si>
  <si>
    <t>Gmina Borne Sulinowo</t>
  </si>
  <si>
    <t>Gmina Myślibórz</t>
  </si>
  <si>
    <t>RFRD-1/8/2023</t>
  </si>
  <si>
    <t>RFRD-1/12/2023</t>
  </si>
  <si>
    <t>RFRD-1/10/2023</t>
  </si>
  <si>
    <t>RFRD-1/41/2023</t>
  </si>
  <si>
    <t>RFRD-1/35/2023</t>
  </si>
  <si>
    <t>RFRD-1/53/2023</t>
  </si>
  <si>
    <t>Gmina Dobra</t>
  </si>
  <si>
    <t>Gmina Miejska Świdwin</t>
  </si>
  <si>
    <t>Gmina Dziwnów</t>
  </si>
  <si>
    <t>RFRD-1/39/2023</t>
  </si>
  <si>
    <t>RFRD-1/76/2023</t>
  </si>
  <si>
    <t>RFRD-1/77/2023</t>
  </si>
  <si>
    <t>Powiat Wałecki</t>
  </si>
  <si>
    <t>Remont dróg powiatowych nr 4112Z i 4113Z na odcinku od włączenia w drogę ekspresową S3 w m. Pucko do granic Powiatu Goleniowskiego w kierunku m. Strumiany</t>
  </si>
  <si>
    <t>Remont drogi powiatowej nr 2321Z na odcinku Przelewice - Pieczyska</t>
  </si>
  <si>
    <t>Remont drogi powiatowej nr 2309Z na odcinku Karsibór - Kłębowiec</t>
  </si>
  <si>
    <t>R</t>
  </si>
  <si>
    <t>Przebudowa drogi powiatowej ul. Barlickiego (5702Z)  w Świnoujściu na  odcinku od ul. Dworcowej do przejazdu kolejowego PKP</t>
  </si>
  <si>
    <t>Przebudowa drogi powiatowej ul. Ludzi Morza (5707Z)  od ul. Barlickiego do ul. Norweskiej w Świnoujściu</t>
  </si>
  <si>
    <t>RFRD-1/6/2023</t>
  </si>
  <si>
    <t>Miasto Koszalin</t>
  </si>
  <si>
    <t>Remont ul. Franciszkańskiej w Koszalinie na odcinku od przejazdu kolejowego do skrzyżowania z ul. Bursztynową</t>
  </si>
  <si>
    <t>01.2023-11.2023</t>
  </si>
  <si>
    <t>04.2023-10.2024</t>
  </si>
  <si>
    <t>04.2023-10.2023</t>
  </si>
  <si>
    <t>05.2023-12.2024</t>
  </si>
  <si>
    <t>04.2023-12.2024</t>
  </si>
  <si>
    <t>09.2023-11.2024</t>
  </si>
  <si>
    <t>08.2023-06.2024</t>
  </si>
  <si>
    <t>06.2023-10.2023</t>
  </si>
  <si>
    <t>06.2023-11.2024</t>
  </si>
  <si>
    <t>09.2023-08.2024</t>
  </si>
  <si>
    <t>09.2023-04.2024</t>
  </si>
  <si>
    <t>06.2023-12.2024</t>
  </si>
  <si>
    <t>04.2023-09.2023</t>
  </si>
  <si>
    <t>03.2023-10.2023</t>
  </si>
  <si>
    <t>07.2023-06.2024</t>
  </si>
  <si>
    <t>RFRD-1/60/2023</t>
  </si>
  <si>
    <t>RFRD-1/43/2023</t>
  </si>
  <si>
    <t>RFRD-1/9/2023</t>
  </si>
  <si>
    <t>Gmina Golczewo</t>
  </si>
  <si>
    <t>Gmina Police</t>
  </si>
  <si>
    <t>Remont ul. Północnej w miejscowości Myślibórz droga numer 2204044</t>
  </si>
  <si>
    <t>Przebudowa drogi wewnętrznej - odcinka ulicy Pomorskiej w Wysokiej Kamieńskiej łączącego się z drogą wojewódzką nr 108 oraz z drogą powiatową nr 1027Z wraz z przebudową infrastruktury towarzyszącej</t>
  </si>
  <si>
    <t>Przebudowa ulicy Kuźnickiej w Policach</t>
  </si>
  <si>
    <t>RFRD-1/18/2023</t>
  </si>
  <si>
    <t>RFRD-1/1/2023</t>
  </si>
  <si>
    <t>RFRD-1/40/2023</t>
  </si>
  <si>
    <t>Gmina Gryfice</t>
  </si>
  <si>
    <t>Gmina Trzebiatów</t>
  </si>
  <si>
    <t>Przebudowa drogi wewnętrznej wraz z odwodnieniem na odcinku od ul. Strzeleckiej do ul. Szewskiej w Gryficach</t>
  </si>
  <si>
    <t>Przebudowa drogi gminnej w m. Gołańcz Pomorska - Gmina Trzebiatów</t>
  </si>
  <si>
    <t>Przebudowa ul. Wileńskiej w Wałczu, na odcinku od skrzyż. z ul. Chopina do skrzyż. z ul. Chłodną</t>
  </si>
  <si>
    <t>RFRD-1/20/2023</t>
  </si>
  <si>
    <t>RFRD-1/66/2023</t>
  </si>
  <si>
    <t>RFRD-1/71/2023</t>
  </si>
  <si>
    <t>RFRD-1/90/2023</t>
  </si>
  <si>
    <t>Gmina Kamień Pomorski</t>
  </si>
  <si>
    <t>Gmina Międzyzdroje</t>
  </si>
  <si>
    <t>Przebudowa dróg gminnych w miejscowości Cisowo</t>
  </si>
  <si>
    <t>Przebudowa ulic: Obrońców Warszawy (droga gminna nr 815028Z) i Okrzei (droga gminna nr 815031Z) wraz z infrastrukturą techniczną w miejscowości Kamień Pomorski</t>
  </si>
  <si>
    <t>Przebudowa drogi gminnej nr 170009Z w Tokarach</t>
  </si>
  <si>
    <t>Przebudowa ulicy Marii Curie Skłodowskiej i Elizy Orzeszkowej w Międzyzdrojach wraz z sieciami w ramach zadania "Przebudowa ulic południowo-zachodniego kwartału w m. Międzyzdroje"</t>
  </si>
  <si>
    <t xml:space="preserve">sławieński  </t>
  </si>
  <si>
    <t xml:space="preserve">kamieński  </t>
  </si>
  <si>
    <t>RFRD-1/78/2023</t>
  </si>
  <si>
    <t>RFRD-1/84/2023</t>
  </si>
  <si>
    <t>RFRD-1/69/2023</t>
  </si>
  <si>
    <t>RFRD-1/2/2023</t>
  </si>
  <si>
    <t>RFRD-1/50/2023</t>
  </si>
  <si>
    <t>RFRD-1/98/2023</t>
  </si>
  <si>
    <t>RFRD-1/52/2023</t>
  </si>
  <si>
    <t>RFRD-1/19/2023</t>
  </si>
  <si>
    <t>RFRD-1/31/2023</t>
  </si>
  <si>
    <t>RFRD-1/32/2023</t>
  </si>
  <si>
    <t>RFRD-1/14/2023</t>
  </si>
  <si>
    <t>RFRD-1/27/2023</t>
  </si>
  <si>
    <t>RFRD-1/56/2023</t>
  </si>
  <si>
    <t>RFRD-1/55/2023</t>
  </si>
  <si>
    <t>Gmina Złocieniec</t>
  </si>
  <si>
    <t>Gmina Barwice</t>
  </si>
  <si>
    <t>Gmina Biały Bór</t>
  </si>
  <si>
    <t>Gmina Moryń</t>
  </si>
  <si>
    <t>Gmina Mieszkowice</t>
  </si>
  <si>
    <t>Gmina Widuchowa</t>
  </si>
  <si>
    <t>Gmina Barlinek</t>
  </si>
  <si>
    <t>Gmina Pełczyce</t>
  </si>
  <si>
    <t>Gmina Gryfino</t>
  </si>
  <si>
    <t>Gmina Czaplinek</t>
  </si>
  <si>
    <t>Gmina Świerzno</t>
  </si>
  <si>
    <t xml:space="preserve">szczecinecki  </t>
  </si>
  <si>
    <t>Budowa drogi wraz z kanalizacją deszczową: ul. Mirosławiecka, Witowska i Promienna w Złocieńcu  - numery dróg 582010Z oraz 580106Z</t>
  </si>
  <si>
    <t>Budowa drogi gminnej (ul. Jeleniogórska i ul. Zakopiańska i łacznik) wraz z budową kanalizacji deszczowej</t>
  </si>
  <si>
    <t>Remont nawierzchni drogi łączącej miejscowości Grzędzie i Żarowo - droga nr 490015Z</t>
  </si>
  <si>
    <t>Przebudowa drogi/ulicy Nowej w Barwicach z włączeniem do drogi wojewódzkiej nr 171</t>
  </si>
  <si>
    <t>Przebudowa dróg  gminnych ul. Bałtyckiej i ul. Bolesława Krzywoustego wraz z wyposażeniem technicznym w Rewalu</t>
  </si>
  <si>
    <t>Przebudowa drogi gminnej w Białym Borze przy ulicy Polnej i ulicy Górnej</t>
  </si>
  <si>
    <t>Przebudowa ul. Świerkowej w miejscowości Moryń w celu poprawy warunków inwestycyjnych oraz dostępności infrastruktury drogowej wyższego rzędu</t>
  </si>
  <si>
    <t>Budowa nawierzchni dróg osiedlowych z dwustronnym chodnikiem z kostki betonowej na ulicach Kazimierza Jagiellończyka, Władysława Jagiełły i Królowej Jadwigi w Mieszkowicach z uwzględnieniem miejscowych uwarunkowań - Etap III ul. Jagiellończyka</t>
  </si>
  <si>
    <t>Przebudowa drogi gminnej - ul. Polnej w m. Krzywin, Gmina Widuchowa</t>
  </si>
  <si>
    <t>Budowa ul. Źródlanej w m. Moczkowo w gminie Barlinek</t>
  </si>
  <si>
    <t>Budowa ciągu pieszo-rowerowego w m. Pełczyce</t>
  </si>
  <si>
    <t>Przebudowa odcinka drogi gminnej nr 410035Z w m. Borzym</t>
  </si>
  <si>
    <t>Przebudowa drogi w miejscowości Sikory na terenie gminy Czaplinek</t>
  </si>
  <si>
    <t>Przebudowa drogi gminnej w miejscowości Trzebieradz</t>
  </si>
  <si>
    <t>RFRD-1/26/2023</t>
  </si>
  <si>
    <t>Przebudowa drogi gminnej nr 412514Z, tj. ul. Parkowej w Gryfinie</t>
  </si>
  <si>
    <t>RFRD-1/13/2023</t>
  </si>
  <si>
    <t>RFRD-1/91/2023</t>
  </si>
  <si>
    <t>Gmina Przybiernów</t>
  </si>
  <si>
    <t>Przebudowa odcinka publicznej drogi gminnej nr 675001Z</t>
  </si>
  <si>
    <t>Przebudowa ulicy Krótkiej w miejscowości Czarnogłowy</t>
  </si>
  <si>
    <t>RFRD-1/59/2023</t>
  </si>
  <si>
    <t>RFRD-1/95/2023</t>
  </si>
  <si>
    <t>RFRD-1/70/2023</t>
  </si>
  <si>
    <t>Gmina Węgorzyno</t>
  </si>
  <si>
    <t>Przebudowa drogi gminnej na ulicy Jeziornej w miejscowości Gwda Wielka</t>
  </si>
  <si>
    <t>Przebudowa drogi gminnej w miejscowości Wiewiecko</t>
  </si>
  <si>
    <t>Remont drogi gminnej nr 170055Z Noskowo - Żabno</t>
  </si>
  <si>
    <t>Rozbudowa ulic Chrobrego, Kuśnierzy, Włosienniczej i Szewskiej znajdujących się na terenie Starego Miasta w Stargardzie</t>
  </si>
  <si>
    <t>Rozbudowa ulic 6 Marca, B. Chrobrego i części ul. Lechitów w Mielnie, etap III</t>
  </si>
  <si>
    <t>Przebudowa drogi gminnej w Stramnicy - etap I</t>
  </si>
  <si>
    <t>Przebudowa ul. Klonowej w Białogardzie</t>
  </si>
  <si>
    <t>Przebudowa ul. Aleksandra Puszkina (droga gminna nr 225145Z) w Goleniowie wraz z infrastrukturą towarzyszącą</t>
  </si>
  <si>
    <t>Budowa ulic: Komedy (od skrzyżowania z ul. Zwycięstwa do skrzyżowania z ul. Karłowicza), Karłowicza, Muzycznej, Bacewicz i Niemena w Białogardzie</t>
  </si>
  <si>
    <t>Przebudowa ulicy Jedności Narodowej w Kołobrzegu na odcinku od ul. Wylotowej do skrzyżowania z ul. Wiosenną</t>
  </si>
  <si>
    <t>Przebudowa ciągu dróg gminnych al. Lipowej, ul. Ogrodowej, ul. Spacerowej oraz innych dróg towarzyszących w Śliwinie, gmina Rewal</t>
  </si>
  <si>
    <t>Przebudowa ulicy Działkowej w Niekaninie</t>
  </si>
  <si>
    <t>Remont nawierzchni ulicy Bolesława Chrobrego, droga gminna nr 871015Z, w Ustroniu Morskim</t>
  </si>
  <si>
    <t>Rozbudowa drogi gminnej w Sianowie - ul. Słowackiego</t>
  </si>
  <si>
    <t>Przebudowa ulicy Mestwina w Szczecinku</t>
  </si>
  <si>
    <t>Budowa nowej drogi wraz z odwodnieniem i zagospodarowaniem terenu na osiedlu domków jednorodzinnych w rejonie ulic: Akacjowa, Klonowa, Migdałowa w Dębnie</t>
  </si>
  <si>
    <t>Przebudowa ul. Słowackiego w Bornem Sulinowie</t>
  </si>
  <si>
    <t>Przebudowa ul. Pionierów (droga nr 2204042) i ul. Wschodniej (droga nr 2204064) wraz z ich odwodnieniem w Myśliborzu</t>
  </si>
  <si>
    <t>Budowa drogi gminnej ul. Modrzewiowej w Szczecinku</t>
  </si>
  <si>
    <t>Przebudowa drogi gminnej nr 190371Z wraz z infrastrukturą w ciągu ul. Malinowej w miejscowości Wołczkowo w Gminie Dobra</t>
  </si>
  <si>
    <t>Przebudowa drogi gminnej nr 300030Z - ul. Miła w Świdwinie</t>
  </si>
  <si>
    <t>Budowa ul. Pomorskiej na odcinku od skrzyż. z ul. Chopina do skrzyż. z Wileńską oraz budowa drogi do ŚDS i MOPS w Wałczu od strony ul. Chopina, budowa parkingów, przebudowa i budowa chodników</t>
  </si>
  <si>
    <t>Przebudowa ul. Leśnej, Poprzecznej, Sosnowej, Brzozowej, Krótkiej w Międzywodziu</t>
  </si>
  <si>
    <t>RFRD-1/65/2023</t>
  </si>
  <si>
    <t>Przebudowa drogi gminnej nr 817006Z wraz z wyposażeniem technicznym w istniejących granicach pasa drogowego w miejscowości Wrzosowo w Gminie Kamień Pomorski</t>
  </si>
  <si>
    <t>07.2023-12.2025</t>
  </si>
  <si>
    <t>06.2023-06.2024</t>
  </si>
  <si>
    <t>04.2023-03.2024</t>
  </si>
  <si>
    <t>05.2023-04.2024</t>
  </si>
  <si>
    <t>07.2023-11.2025</t>
  </si>
  <si>
    <t>09.2023-12.2024</t>
  </si>
  <si>
    <t>09.2023-05.2024</t>
  </si>
  <si>
    <t>03.2023-11.2023</t>
  </si>
  <si>
    <t>05.2023-10.2023</t>
  </si>
  <si>
    <t>03.2023-03.2024</t>
  </si>
  <si>
    <t>04.2023-11.2023</t>
  </si>
  <si>
    <t>05.2023-10.2024</t>
  </si>
  <si>
    <t>09.2023-07.2024</t>
  </si>
  <si>
    <t>06.2023-05.2024</t>
  </si>
  <si>
    <t>01.2023-10.2023</t>
  </si>
  <si>
    <t>02.2023-01.2024</t>
  </si>
  <si>
    <t>06.2023-11.2023</t>
  </si>
  <si>
    <t>03.2023-12.2023</t>
  </si>
  <si>
    <t>05.2023-09.2024</t>
  </si>
  <si>
    <t>05.2023-03.2024</t>
  </si>
  <si>
    <t>04.2023-12.2023</t>
  </si>
  <si>
    <t>05.2023-12.2023</t>
  </si>
  <si>
    <t>05.2023-11.2023</t>
  </si>
  <si>
    <t>04.2023-06.2024</t>
  </si>
  <si>
    <t>05.2023-08.2023</t>
  </si>
  <si>
    <t>03.2023-09.2023</t>
  </si>
  <si>
    <t>10.2023-06.2024</t>
  </si>
  <si>
    <t>03.2023-02.2024</t>
  </si>
  <si>
    <t>05.2023-09.2023</t>
  </si>
  <si>
    <t>RFRD-1/17/2023</t>
  </si>
  <si>
    <t>Gmina Dygowo</t>
  </si>
  <si>
    <t>Budowa drogi gminnej w miejscowości Gąskowo nr 887700Z</t>
  </si>
  <si>
    <t>04.2023-08.2023</t>
  </si>
  <si>
    <t>RFRD-1/3/2023</t>
  </si>
  <si>
    <t>Przebudowa ul. Różanej w Koszalinie</t>
  </si>
  <si>
    <t xml:space="preserve">Koszalin </t>
  </si>
  <si>
    <t>RFRD-1/33/2023</t>
  </si>
  <si>
    <t>Remont ul. Adama Mickiewicza w Barlinku</t>
  </si>
  <si>
    <t>08.2023-12.2023</t>
  </si>
  <si>
    <t>RFRD-1/75/2023</t>
  </si>
  <si>
    <t>RFRD-1/58/2023</t>
  </si>
  <si>
    <t>Gmina Krzęcin</t>
  </si>
  <si>
    <t>Przebudowa ul. Spokojnej w Międzywodziu</t>
  </si>
  <si>
    <t>Przebudowa drogi kategorii gminnej w miejscowości Żeńsko, gmina Krzęcin położonej na działkach nr 41/2, 118/3, 162, 165/2 obręb Żeńsko</t>
  </si>
  <si>
    <t>02.2023-10.2023</t>
  </si>
  <si>
    <t>RFRD-1/23/2023</t>
  </si>
  <si>
    <t>Przebudowa drogi powiatowej nr 4304Z Troszczyno - Rogowo na odcinku 1,538 km</t>
  </si>
  <si>
    <t>RFRD-1/51/2023</t>
  </si>
  <si>
    <t>Remont odcinka drogi nr 1260Z od drogi powiatowej 1266Z do przejazdu kolejowego w m. Wielawino</t>
  </si>
  <si>
    <t>RFRD-1/48/2023</t>
  </si>
  <si>
    <t>Gmina Kobylanka</t>
  </si>
  <si>
    <t>Przebudowa drogi gminnej 450014Z Jęczydół - Morzyczyn wraz z dwoma bocznymi odcinkami gminnych dróg wewnętrznych w Gminie Kobylanka</t>
  </si>
  <si>
    <t>RFRD-1/88/2023</t>
  </si>
  <si>
    <t>Gmina Postomino</t>
  </si>
  <si>
    <t>Przebudowa drogi gminnej nr 160030Z w Rusinowie</t>
  </si>
  <si>
    <t>04.2023-01.2024</t>
  </si>
  <si>
    <t>22*</t>
  </si>
  <si>
    <t>Przebudowa drogi gminnej nr 554512Z w Nętnie wraz z budową kanalizacji deszczowej</t>
  </si>
  <si>
    <t>25*</t>
  </si>
  <si>
    <t>01.2023-03.2024</t>
  </si>
  <si>
    <t>06.2023-04.2024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</si>
  <si>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07-2022</t>
    </r>
  </si>
  <si>
    <t>Województwo: 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</si>
</sst>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8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theme="5"/>
      <name val="Tahoma"/>
      <family val="2"/>
      <charset val="238"/>
    </font>
    <font>
      <sz val="11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MS Sans Serif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10"/>
      <color theme="1"/>
      <name val="Times New Roman"/>
      <family val="2"/>
      <charset val="238"/>
    </font>
    <font>
      <sz val="10"/>
      <color theme="0"/>
      <name val="Times New Roman"/>
      <family val="2"/>
      <charset val="238"/>
    </font>
    <font>
      <sz val="10"/>
      <color rgb="FF3F3F76"/>
      <name val="Times New Roman"/>
      <family val="2"/>
      <charset val="238"/>
    </font>
    <font>
      <b/>
      <sz val="10"/>
      <color rgb="FF3F3F3F"/>
      <name val="Times New Roman"/>
      <family val="2"/>
      <charset val="238"/>
    </font>
    <font>
      <sz val="10"/>
      <color rgb="FF006100"/>
      <name val="Times New Roman"/>
      <family val="2"/>
      <charset val="238"/>
    </font>
    <font>
      <sz val="10"/>
      <color rgb="FFFA7D00"/>
      <name val="Times New Roman"/>
      <family val="2"/>
      <charset val="238"/>
    </font>
    <font>
      <b/>
      <sz val="10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0"/>
      <color rgb="FF9C6500"/>
      <name val="Times New Roman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rgb="FFFA7D00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i/>
      <sz val="10"/>
      <color rgb="FF7F7F7F"/>
      <name val="Times New Roman"/>
      <family val="2"/>
      <charset val="238"/>
    </font>
    <font>
      <sz val="10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0"/>
      <color rgb="FF9C0006"/>
      <name val="Times New Roman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53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38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56" fillId="15" borderId="0" applyNumberFormat="0" applyBorder="0" applyAlignment="0" applyProtection="0"/>
    <xf numFmtId="0" fontId="56" fillId="19" borderId="0" applyNumberFormat="0" applyBorder="0" applyAlignment="0" applyProtection="0"/>
    <xf numFmtId="0" fontId="56" fillId="23" borderId="0" applyNumberFormat="0" applyBorder="0" applyAlignment="0" applyProtection="0"/>
    <xf numFmtId="0" fontId="56" fillId="27" borderId="0" applyNumberFormat="0" applyBorder="0" applyAlignment="0" applyProtection="0"/>
    <xf numFmtId="0" fontId="56" fillId="31" borderId="0" applyNumberFormat="0" applyBorder="0" applyAlignment="0" applyProtection="0"/>
    <xf numFmtId="0" fontId="56" fillId="35" borderId="0" applyNumberFormat="0" applyBorder="0" applyAlignment="0" applyProtection="0"/>
    <xf numFmtId="0" fontId="24" fillId="45" borderId="0" applyNumberFormat="0" applyBorder="0" applyAlignment="0" applyProtection="0"/>
    <xf numFmtId="0" fontId="24" fillId="39" borderId="0" applyNumberFormat="0" applyBorder="0" applyAlignment="0" applyProtection="0"/>
    <xf numFmtId="0" fontId="24" fillId="46" borderId="0" applyNumberFormat="0" applyBorder="0" applyAlignment="0" applyProtection="0"/>
    <xf numFmtId="0" fontId="24" fillId="45" borderId="0" applyNumberFormat="0" applyBorder="0" applyAlignment="0" applyProtection="0"/>
    <xf numFmtId="0" fontId="24" fillId="47" borderId="0" applyNumberFormat="0" applyBorder="0" applyAlignment="0" applyProtection="0"/>
    <xf numFmtId="0" fontId="24" fillId="42" borderId="0" applyNumberFormat="0" applyBorder="0" applyAlignment="0" applyProtection="0"/>
    <xf numFmtId="0" fontId="56" fillId="16" borderId="0" applyNumberFormat="0" applyBorder="0" applyAlignment="0" applyProtection="0"/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27" fillId="48" borderId="0" applyNumberFormat="0" applyBorder="0" applyAlignment="0" applyProtection="0"/>
    <xf numFmtId="0" fontId="27" fillId="39" borderId="0" applyNumberFormat="0" applyBorder="0" applyAlignment="0" applyProtection="0"/>
    <xf numFmtId="0" fontId="27" fillId="46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2" borderId="0" applyNumberFormat="0" applyBorder="0" applyAlignment="0" applyProtection="0"/>
    <xf numFmtId="0" fontId="57" fillId="17" borderId="0" applyNumberFormat="0" applyBorder="0" applyAlignment="0" applyProtection="0"/>
    <xf numFmtId="0" fontId="57" fillId="21" borderId="0" applyNumberFormat="0" applyBorder="0" applyAlignment="0" applyProtection="0"/>
    <xf numFmtId="0" fontId="57" fillId="25" borderId="0" applyNumberFormat="0" applyBorder="0" applyAlignment="0" applyProtection="0"/>
    <xf numFmtId="0" fontId="57" fillId="29" borderId="0" applyNumberFormat="0" applyBorder="0" applyAlignment="0" applyProtection="0"/>
    <xf numFmtId="0" fontId="57" fillId="33" borderId="0" applyNumberFormat="0" applyBorder="0" applyAlignment="0" applyProtection="0"/>
    <xf numFmtId="0" fontId="57" fillId="3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48" borderId="0" applyNumberFormat="0" applyBorder="0" applyAlignment="0" applyProtection="0"/>
    <xf numFmtId="0" fontId="27" fillId="52" borderId="0" applyNumberFormat="0" applyBorder="0" applyAlignment="0" applyProtection="0"/>
    <xf numFmtId="0" fontId="57" fillId="14" borderId="0" applyNumberFormat="0" applyBorder="0" applyAlignment="0" applyProtection="0"/>
    <xf numFmtId="0" fontId="40" fillId="48" borderId="0" applyNumberFormat="0" applyBorder="0" applyAlignment="0" applyProtection="0"/>
    <xf numFmtId="0" fontId="57" fillId="18" borderId="0" applyNumberFormat="0" applyBorder="0" applyAlignment="0" applyProtection="0"/>
    <xf numFmtId="0" fontId="40" fillId="49" borderId="0" applyNumberFormat="0" applyBorder="0" applyAlignment="0" applyProtection="0"/>
    <xf numFmtId="0" fontId="57" fillId="22" borderId="0" applyNumberFormat="0" applyBorder="0" applyAlignment="0" applyProtection="0"/>
    <xf numFmtId="0" fontId="40" fillId="50" borderId="0" applyNumberFormat="0" applyBorder="0" applyAlignment="0" applyProtection="0"/>
    <xf numFmtId="0" fontId="57" fillId="26" borderId="0" applyNumberFormat="0" applyBorder="0" applyAlignment="0" applyProtection="0"/>
    <xf numFmtId="0" fontId="40" fillId="51" borderId="0" applyNumberFormat="0" applyBorder="0" applyAlignment="0" applyProtection="0"/>
    <xf numFmtId="0" fontId="57" fillId="30" borderId="0" applyNumberFormat="0" applyBorder="0" applyAlignment="0" applyProtection="0"/>
    <xf numFmtId="0" fontId="40" fillId="48" borderId="0" applyNumberFormat="0" applyBorder="0" applyAlignment="0" applyProtection="0"/>
    <xf numFmtId="0" fontId="57" fillId="34" borderId="0" applyNumberFormat="0" applyBorder="0" applyAlignment="0" applyProtection="0"/>
    <xf numFmtId="0" fontId="40" fillId="52" borderId="0" applyNumberFormat="0" applyBorder="0" applyAlignment="0" applyProtection="0"/>
    <xf numFmtId="0" fontId="38" fillId="44" borderId="0" applyNumberFormat="0" applyBorder="0" applyAlignment="0" applyProtection="0"/>
    <xf numFmtId="0" fontId="34" fillId="53" borderId="53" applyNumberFormat="0" applyAlignment="0" applyProtection="0"/>
    <xf numFmtId="0" fontId="32" fillId="54" borderId="54" applyNumberFormat="0" applyAlignment="0" applyProtection="0"/>
    <xf numFmtId="0" fontId="58" fillId="10" borderId="47" applyNumberFormat="0" applyAlignment="0" applyProtection="0"/>
    <xf numFmtId="0" fontId="41" fillId="42" borderId="53" applyNumberFormat="0" applyAlignment="0" applyProtection="0"/>
    <xf numFmtId="0" fontId="59" fillId="11" borderId="48" applyNumberFormat="0" applyAlignment="0" applyProtection="0"/>
    <xf numFmtId="0" fontId="42" fillId="53" borderId="55" applyNumberFormat="0" applyAlignment="0" applyProtection="0"/>
    <xf numFmtId="0" fontId="60" fillId="7" borderId="0" applyNumberFormat="0" applyBorder="0" applyAlignment="0" applyProtection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43" fillId="0" borderId="56" applyNumberFormat="0" applyFill="0" applyAlignment="0" applyProtection="0"/>
    <xf numFmtId="0" fontId="44" fillId="0" borderId="57" applyNumberFormat="0" applyFill="0" applyAlignment="0" applyProtection="0"/>
    <xf numFmtId="0" fontId="45" fillId="0" borderId="58" applyNumberFormat="0" applyFill="0" applyAlignment="0" applyProtection="0"/>
    <xf numFmtId="0" fontId="45" fillId="0" borderId="0" applyNumberFormat="0" applyFill="0" applyBorder="0" applyAlignment="0" applyProtection="0"/>
    <xf numFmtId="0" fontId="28" fillId="42" borderId="53" applyNumberFormat="0" applyAlignment="0" applyProtection="0"/>
    <xf numFmtId="0" fontId="61" fillId="0" borderId="49" applyNumberFormat="0" applyFill="0" applyAlignment="0" applyProtection="0"/>
    <xf numFmtId="0" fontId="46" fillId="0" borderId="59" applyNumberFormat="0" applyFill="0" applyAlignment="0" applyProtection="0"/>
    <xf numFmtId="0" fontId="62" fillId="12" borderId="50" applyNumberFormat="0" applyAlignment="0" applyProtection="0"/>
    <xf numFmtId="0" fontId="47" fillId="54" borderId="54" applyNumberFormat="0" applyAlignment="0" applyProtection="0"/>
    <xf numFmtId="0" fontId="31" fillId="0" borderId="59" applyNumberFormat="0" applyFill="0" applyAlignment="0" applyProtection="0"/>
    <xf numFmtId="0" fontId="63" fillId="0" borderId="44" applyNumberFormat="0" applyFill="0" applyAlignment="0" applyProtection="0"/>
    <xf numFmtId="0" fontId="48" fillId="0" borderId="56" applyNumberFormat="0" applyFill="0" applyAlignment="0" applyProtection="0"/>
    <xf numFmtId="0" fontId="64" fillId="0" borderId="45" applyNumberFormat="0" applyFill="0" applyAlignment="0" applyProtection="0"/>
    <xf numFmtId="0" fontId="49" fillId="0" borderId="57" applyNumberFormat="0" applyFill="0" applyAlignment="0" applyProtection="0"/>
    <xf numFmtId="0" fontId="65" fillId="0" borderId="46" applyNumberFormat="0" applyFill="0" applyAlignment="0" applyProtection="0"/>
    <xf numFmtId="0" fontId="50" fillId="0" borderId="58" applyNumberFormat="0" applyFill="0" applyAlignment="0" applyProtection="0"/>
    <xf numFmtId="0" fontId="6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3" fillId="46" borderId="0" applyNumberFormat="0" applyBorder="0" applyAlignment="0" applyProtection="0"/>
    <xf numFmtId="0" fontId="66" fillId="9" borderId="0" applyNumberFormat="0" applyBorder="0" applyAlignment="0" applyProtection="0"/>
    <xf numFmtId="0" fontId="67" fillId="0" borderId="0"/>
    <xf numFmtId="0" fontId="4" fillId="0" borderId="0"/>
    <xf numFmtId="0" fontId="56" fillId="0" borderId="0"/>
    <xf numFmtId="0" fontId="4" fillId="0" borderId="0"/>
    <xf numFmtId="0" fontId="26" fillId="0" borderId="0"/>
    <xf numFmtId="0" fontId="25" fillId="0" borderId="0" applyNumberFormat="0" applyFill="0" applyBorder="0" applyAlignment="0" applyProtection="0">
      <alignment vertical="top"/>
    </xf>
    <xf numFmtId="0" fontId="26" fillId="0" borderId="0"/>
    <xf numFmtId="0" fontId="5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39" fillId="0" borderId="0"/>
    <xf numFmtId="0" fontId="14" fillId="0" borderId="0"/>
    <xf numFmtId="0" fontId="14" fillId="0" borderId="0"/>
    <xf numFmtId="0" fontId="26" fillId="40" borderId="60" applyNumberFormat="0" applyFont="0" applyAlignment="0" applyProtection="0"/>
    <xf numFmtId="0" fontId="26" fillId="40" borderId="60" applyNumberFormat="0" applyFont="0" applyAlignment="0" applyProtection="0"/>
    <xf numFmtId="0" fontId="26" fillId="40" borderId="60" applyNumberFormat="0" applyFont="0" applyAlignment="0" applyProtection="0"/>
    <xf numFmtId="0" fontId="26" fillId="40" borderId="60" applyNumberFormat="0" applyFont="0" applyAlignment="0" applyProtection="0"/>
    <xf numFmtId="0" fontId="68" fillId="11" borderId="47" applyNumberFormat="0" applyAlignment="0" applyProtection="0"/>
    <xf numFmtId="0" fontId="51" fillId="53" borderId="53" applyNumberFormat="0" applyAlignment="0" applyProtection="0"/>
    <xf numFmtId="0" fontId="29" fillId="53" borderId="55" applyNumberFormat="0" applyAlignment="0" applyProtection="0"/>
    <xf numFmtId="9" fontId="14" fillId="0" borderId="0" applyFont="0" applyFill="0" applyBorder="0" applyAlignment="0" applyProtection="0"/>
    <xf numFmtId="0" fontId="69" fillId="0" borderId="52" applyNumberFormat="0" applyFill="0" applyAlignment="0" applyProtection="0"/>
    <xf numFmtId="0" fontId="52" fillId="0" borderId="61" applyNumberFormat="0" applyFill="0" applyAlignment="0" applyProtection="0"/>
    <xf numFmtId="0" fontId="7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5" fillId="0" borderId="61" applyNumberFormat="0" applyFill="0" applyAlignment="0" applyProtection="0"/>
    <xf numFmtId="0" fontId="7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13" borderId="51" applyNumberFormat="0" applyFont="0" applyAlignment="0" applyProtection="0"/>
    <xf numFmtId="0" fontId="26" fillId="40" borderId="60" applyNumberFormat="0" applyFont="0" applyAlignment="0" applyProtection="0"/>
    <xf numFmtId="44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73" fillId="8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4" fontId="9" fillId="0" borderId="0" xfId="0" applyNumberFormat="1" applyFont="1"/>
    <xf numFmtId="0" fontId="1" fillId="0" borderId="0" xfId="0" applyFont="1"/>
    <xf numFmtId="4" fontId="9" fillId="0" borderId="0" xfId="0" applyNumberFormat="1" applyFont="1" applyAlignment="1">
      <alignment vertical="top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horizontal="center"/>
    </xf>
    <xf numFmtId="0" fontId="16" fillId="0" borderId="0" xfId="0" applyFont="1" applyAlignment="1">
      <alignment vertical="center"/>
    </xf>
    <xf numFmtId="166" fontId="11" fillId="5" borderId="23" xfId="0" applyNumberFormat="1" applyFont="1" applyFill="1" applyBorder="1" applyAlignment="1">
      <alignment vertical="center"/>
    </xf>
    <xf numFmtId="166" fontId="17" fillId="5" borderId="23" xfId="0" applyNumberFormat="1" applyFont="1" applyFill="1" applyBorder="1" applyAlignment="1">
      <alignment vertical="center"/>
    </xf>
    <xf numFmtId="166" fontId="17" fillId="3" borderId="1" xfId="0" applyNumberFormat="1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vertical="center"/>
    </xf>
    <xf numFmtId="166" fontId="11" fillId="3" borderId="1" xfId="0" applyNumberFormat="1" applyFont="1" applyFill="1" applyBorder="1" applyAlignment="1">
      <alignment vertical="center"/>
    </xf>
    <xf numFmtId="166" fontId="11" fillId="4" borderId="22" xfId="0" applyNumberFormat="1" applyFont="1" applyFill="1" applyBorder="1" applyAlignment="1">
      <alignment vertical="center"/>
    </xf>
    <xf numFmtId="0" fontId="11" fillId="4" borderId="23" xfId="0" applyFont="1" applyFill="1" applyBorder="1" applyAlignment="1">
      <alignment horizontal="left" vertical="center" indent="2"/>
    </xf>
    <xf numFmtId="166" fontId="17" fillId="3" borderId="2" xfId="0" applyNumberFormat="1" applyFont="1" applyFill="1" applyBorder="1" applyAlignment="1">
      <alignment vertical="center"/>
    </xf>
    <xf numFmtId="166" fontId="11" fillId="3" borderId="2" xfId="0" applyNumberFormat="1" applyFont="1" applyFill="1" applyBorder="1" applyAlignment="1">
      <alignment vertical="center"/>
    </xf>
    <xf numFmtId="166" fontId="11" fillId="4" borderId="2" xfId="0" applyNumberFormat="1" applyFont="1" applyFill="1" applyBorder="1" applyAlignment="1">
      <alignment vertical="center"/>
    </xf>
    <xf numFmtId="166" fontId="17" fillId="3" borderId="3" xfId="0" applyNumberFormat="1" applyFont="1" applyFill="1" applyBorder="1" applyAlignment="1">
      <alignment vertical="center"/>
    </xf>
    <xf numFmtId="166" fontId="11" fillId="3" borderId="3" xfId="0" applyNumberFormat="1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vertical="center"/>
    </xf>
    <xf numFmtId="166" fontId="11" fillId="5" borderId="27" xfId="0" applyNumberFormat="1" applyFont="1" applyFill="1" applyBorder="1" applyAlignment="1">
      <alignment vertical="center"/>
    </xf>
    <xf numFmtId="0" fontId="11" fillId="0" borderId="30" xfId="0" applyFont="1" applyBorder="1" applyAlignment="1">
      <alignment vertical="center"/>
    </xf>
    <xf numFmtId="166" fontId="11" fillId="0" borderId="32" xfId="0" applyNumberFormat="1" applyFont="1" applyBorder="1" applyAlignment="1">
      <alignment vertical="center"/>
    </xf>
    <xf numFmtId="166" fontId="11" fillId="0" borderId="33" xfId="0" applyNumberFormat="1" applyFont="1" applyBorder="1" applyAlignment="1">
      <alignment vertical="center"/>
    </xf>
    <xf numFmtId="166" fontId="11" fillId="5" borderId="34" xfId="0" applyNumberFormat="1" applyFont="1" applyFill="1" applyBorder="1" applyAlignment="1">
      <alignment vertical="center"/>
    </xf>
    <xf numFmtId="166" fontId="11" fillId="0" borderId="31" xfId="0" applyNumberFormat="1" applyFont="1" applyBorder="1" applyAlignment="1">
      <alignment vertical="center"/>
    </xf>
    <xf numFmtId="166" fontId="11" fillId="0" borderId="35" xfId="0" applyNumberFormat="1" applyFont="1" applyBorder="1" applyAlignment="1">
      <alignment vertical="center"/>
    </xf>
    <xf numFmtId="0" fontId="17" fillId="0" borderId="36" xfId="0" applyFont="1" applyBorder="1" applyAlignment="1">
      <alignment horizontal="left" vertical="center" wrapText="1" indent="2"/>
    </xf>
    <xf numFmtId="0" fontId="11" fillId="0" borderId="36" xfId="0" applyFont="1" applyBorder="1" applyAlignment="1">
      <alignment horizontal="left" vertical="center" indent="2"/>
    </xf>
    <xf numFmtId="0" fontId="17" fillId="0" borderId="38" xfId="0" applyFont="1" applyBorder="1" applyAlignment="1">
      <alignment horizontal="left" vertical="center" indent="2"/>
    </xf>
    <xf numFmtId="166" fontId="17" fillId="5" borderId="42" xfId="0" applyNumberFormat="1" applyFont="1" applyFill="1" applyBorder="1" applyAlignment="1">
      <alignment vertical="center"/>
    </xf>
    <xf numFmtId="0" fontId="18" fillId="3" borderId="30" xfId="0" applyFont="1" applyFill="1" applyBorder="1" applyAlignment="1">
      <alignment vertical="center"/>
    </xf>
    <xf numFmtId="166" fontId="18" fillId="3" borderId="32" xfId="0" applyNumberFormat="1" applyFont="1" applyFill="1" applyBorder="1" applyAlignment="1">
      <alignment vertical="center"/>
    </xf>
    <xf numFmtId="166" fontId="18" fillId="3" borderId="33" xfId="0" applyNumberFormat="1" applyFont="1" applyFill="1" applyBorder="1" applyAlignment="1">
      <alignment vertical="center"/>
    </xf>
    <xf numFmtId="166" fontId="18" fillId="5" borderId="34" xfId="0" applyNumberFormat="1" applyFont="1" applyFill="1" applyBorder="1" applyAlignment="1">
      <alignment vertical="center"/>
    </xf>
    <xf numFmtId="166" fontId="18" fillId="3" borderId="31" xfId="0" applyNumberFormat="1" applyFont="1" applyFill="1" applyBorder="1" applyAlignment="1">
      <alignment vertical="center"/>
    </xf>
    <xf numFmtId="166" fontId="18" fillId="3" borderId="35" xfId="0" applyNumberFormat="1" applyFont="1" applyFill="1" applyBorder="1" applyAlignment="1">
      <alignment vertical="center"/>
    </xf>
    <xf numFmtId="0" fontId="17" fillId="3" borderId="36" xfId="0" applyFont="1" applyFill="1" applyBorder="1" applyAlignment="1">
      <alignment horizontal="left" vertical="center" wrapText="1" indent="2"/>
    </xf>
    <xf numFmtId="166" fontId="17" fillId="3" borderId="37" xfId="0" applyNumberFormat="1" applyFont="1" applyFill="1" applyBorder="1" applyAlignment="1">
      <alignment vertical="center"/>
    </xf>
    <xf numFmtId="0" fontId="11" fillId="3" borderId="36" xfId="0" applyFont="1" applyFill="1" applyBorder="1" applyAlignment="1">
      <alignment horizontal="left" vertical="center" indent="2"/>
    </xf>
    <xf numFmtId="166" fontId="11" fillId="3" borderId="37" xfId="0" applyNumberFormat="1" applyFont="1" applyFill="1" applyBorder="1" applyAlignment="1">
      <alignment vertical="center"/>
    </xf>
    <xf numFmtId="0" fontId="17" fillId="3" borderId="38" xfId="0" applyFont="1" applyFill="1" applyBorder="1" applyAlignment="1">
      <alignment horizontal="left" vertical="center" indent="2"/>
    </xf>
    <xf numFmtId="166" fontId="17" fillId="3" borderId="40" xfId="0" applyNumberFormat="1" applyFont="1" applyFill="1" applyBorder="1" applyAlignment="1">
      <alignment vertical="center"/>
    </xf>
    <xf numFmtId="166" fontId="17" fillId="3" borderId="41" xfId="0" applyNumberFormat="1" applyFont="1" applyFill="1" applyBorder="1" applyAlignment="1">
      <alignment vertical="center"/>
    </xf>
    <xf numFmtId="166" fontId="17" fillId="3" borderId="39" xfId="0" applyNumberFormat="1" applyFont="1" applyFill="1" applyBorder="1" applyAlignment="1">
      <alignment vertical="center"/>
    </xf>
    <xf numFmtId="166" fontId="17" fillId="3" borderId="43" xfId="0" applyNumberFormat="1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166" fontId="11" fillId="4" borderId="5" xfId="0" applyNumberFormat="1" applyFont="1" applyFill="1" applyBorder="1" applyAlignment="1">
      <alignment vertical="center"/>
    </xf>
    <xf numFmtId="166" fontId="11" fillId="4" borderId="8" xfId="0" applyNumberFormat="1" applyFont="1" applyFill="1" applyBorder="1" applyAlignment="1">
      <alignment vertical="center"/>
    </xf>
    <xf numFmtId="166" fontId="11" fillId="4" borderId="28" xfId="0" applyNumberFormat="1" applyFont="1" applyFill="1" applyBorder="1" applyAlignment="1">
      <alignment vertical="center"/>
    </xf>
    <xf numFmtId="166" fontId="11" fillId="4" borderId="29" xfId="0" applyNumberFormat="1" applyFont="1" applyFill="1" applyBorder="1" applyAlignment="1">
      <alignment vertical="center"/>
    </xf>
    <xf numFmtId="0" fontId="17" fillId="4" borderId="24" xfId="0" applyFont="1" applyFill="1" applyBorder="1" applyAlignment="1">
      <alignment horizontal="left" vertical="center" indent="2"/>
    </xf>
    <xf numFmtId="166" fontId="17" fillId="4" borderId="4" xfId="0" applyNumberFormat="1" applyFont="1" applyFill="1" applyBorder="1" applyAlignment="1">
      <alignment vertical="center"/>
    </xf>
    <xf numFmtId="166" fontId="17" fillId="4" borderId="7" xfId="0" applyNumberFormat="1" applyFont="1" applyFill="1" applyBorder="1" applyAlignment="1">
      <alignment vertical="center"/>
    </xf>
    <xf numFmtId="166" fontId="17" fillId="5" borderId="24" xfId="0" applyNumberFormat="1" applyFont="1" applyFill="1" applyBorder="1" applyAlignment="1">
      <alignment vertical="center"/>
    </xf>
    <xf numFmtId="166" fontId="17" fillId="4" borderId="25" xfId="0" applyNumberFormat="1" applyFont="1" applyFill="1" applyBorder="1" applyAlignment="1">
      <alignment vertical="center"/>
    </xf>
    <xf numFmtId="166" fontId="17" fillId="4" borderId="26" xfId="0" applyNumberFormat="1" applyFont="1" applyFill="1" applyBorder="1" applyAlignment="1">
      <alignment vertical="center"/>
    </xf>
    <xf numFmtId="0" fontId="11" fillId="6" borderId="30" xfId="0" applyFont="1" applyFill="1" applyBorder="1" applyAlignment="1">
      <alignment vertical="center"/>
    </xf>
    <xf numFmtId="166" fontId="12" fillId="6" borderId="32" xfId="0" applyNumberFormat="1" applyFont="1" applyFill="1" applyBorder="1" applyAlignment="1">
      <alignment vertical="center"/>
    </xf>
    <xf numFmtId="166" fontId="12" fillId="6" borderId="33" xfId="0" applyNumberFormat="1" applyFont="1" applyFill="1" applyBorder="1" applyAlignment="1">
      <alignment vertical="center"/>
    </xf>
    <xf numFmtId="166" fontId="12" fillId="5" borderId="34" xfId="0" applyNumberFormat="1" applyFont="1" applyFill="1" applyBorder="1" applyAlignment="1">
      <alignment vertical="center"/>
    </xf>
    <xf numFmtId="166" fontId="12" fillId="6" borderId="31" xfId="0" applyNumberFormat="1" applyFont="1" applyFill="1" applyBorder="1" applyAlignment="1">
      <alignment vertical="center"/>
    </xf>
    <xf numFmtId="166" fontId="12" fillId="6" borderId="35" xfId="0" applyNumberFormat="1" applyFont="1" applyFill="1" applyBorder="1" applyAlignment="1">
      <alignment vertical="center"/>
    </xf>
    <xf numFmtId="0" fontId="17" fillId="6" borderId="38" xfId="0" applyFont="1" applyFill="1" applyBorder="1" applyAlignment="1">
      <alignment horizontal="left" vertical="center" indent="2"/>
    </xf>
    <xf numFmtId="166" fontId="17" fillId="6" borderId="40" xfId="0" applyNumberFormat="1" applyFont="1" applyFill="1" applyBorder="1" applyAlignment="1">
      <alignment vertical="center"/>
    </xf>
    <xf numFmtId="166" fontId="17" fillId="6" borderId="41" xfId="0" applyNumberFormat="1" applyFont="1" applyFill="1" applyBorder="1" applyAlignment="1">
      <alignment vertical="center"/>
    </xf>
    <xf numFmtId="166" fontId="17" fillId="6" borderId="39" xfId="0" applyNumberFormat="1" applyFont="1" applyFill="1" applyBorder="1" applyAlignment="1">
      <alignment vertical="center"/>
    </xf>
    <xf numFmtId="166" fontId="17" fillId="6" borderId="43" xfId="0" applyNumberFormat="1" applyFont="1" applyFill="1" applyBorder="1" applyAlignment="1">
      <alignment vertical="center"/>
    </xf>
    <xf numFmtId="166" fontId="17" fillId="2" borderId="1" xfId="0" applyNumberFormat="1" applyFont="1" applyFill="1" applyBorder="1" applyAlignment="1">
      <alignment vertical="center"/>
    </xf>
    <xf numFmtId="166" fontId="17" fillId="2" borderId="2" xfId="0" applyNumberFormat="1" applyFont="1" applyFill="1" applyBorder="1" applyAlignment="1">
      <alignment vertical="center"/>
    </xf>
    <xf numFmtId="166" fontId="11" fillId="2" borderId="1" xfId="0" applyNumberFormat="1" applyFont="1" applyFill="1" applyBorder="1" applyAlignment="1">
      <alignment vertical="center"/>
    </xf>
    <xf numFmtId="166" fontId="11" fillId="2" borderId="2" xfId="0" applyNumberFormat="1" applyFont="1" applyFill="1" applyBorder="1" applyAlignment="1">
      <alignment vertical="center"/>
    </xf>
    <xf numFmtId="166" fontId="17" fillId="2" borderId="40" xfId="0" applyNumberFormat="1" applyFont="1" applyFill="1" applyBorder="1" applyAlignment="1">
      <alignment vertical="center"/>
    </xf>
    <xf numFmtId="166" fontId="17" fillId="2" borderId="41" xfId="0" applyNumberFormat="1" applyFont="1" applyFill="1" applyBorder="1" applyAlignment="1">
      <alignment vertical="center"/>
    </xf>
    <xf numFmtId="166" fontId="17" fillId="2" borderId="3" xfId="0" applyNumberFormat="1" applyFont="1" applyFill="1" applyBorder="1" applyAlignment="1">
      <alignment vertical="center"/>
    </xf>
    <xf numFmtId="166" fontId="17" fillId="2" borderId="37" xfId="0" applyNumberFormat="1" applyFont="1" applyFill="1" applyBorder="1" applyAlignment="1">
      <alignment vertical="center"/>
    </xf>
    <xf numFmtId="166" fontId="11" fillId="2" borderId="3" xfId="0" applyNumberFormat="1" applyFont="1" applyFill="1" applyBorder="1" applyAlignment="1">
      <alignment vertical="center"/>
    </xf>
    <xf numFmtId="166" fontId="11" fillId="2" borderId="37" xfId="0" applyNumberFormat="1" applyFont="1" applyFill="1" applyBorder="1" applyAlignment="1">
      <alignment vertical="center"/>
    </xf>
    <xf numFmtId="166" fontId="17" fillId="2" borderId="39" xfId="0" applyNumberFormat="1" applyFont="1" applyFill="1" applyBorder="1" applyAlignment="1">
      <alignment vertical="center"/>
    </xf>
    <xf numFmtId="166" fontId="17" fillId="2" borderId="43" xfId="0" applyNumberFormat="1" applyFont="1" applyFill="1" applyBorder="1" applyAlignment="1">
      <alignment vertical="center"/>
    </xf>
    <xf numFmtId="166" fontId="11" fillId="2" borderId="31" xfId="0" applyNumberFormat="1" applyFont="1" applyFill="1" applyBorder="1" applyAlignment="1">
      <alignment vertical="center"/>
    </xf>
    <xf numFmtId="166" fontId="11" fillId="2" borderId="32" xfId="0" applyNumberFormat="1" applyFont="1" applyFill="1" applyBorder="1" applyAlignment="1">
      <alignment vertical="center"/>
    </xf>
    <xf numFmtId="166" fontId="11" fillId="2" borderId="35" xfId="0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166" fontId="12" fillId="6" borderId="5" xfId="0" applyNumberFormat="1" applyFont="1" applyFill="1" applyBorder="1" applyAlignment="1">
      <alignment vertical="center"/>
    </xf>
    <xf numFmtId="166" fontId="12" fillId="6" borderId="8" xfId="0" applyNumberFormat="1" applyFont="1" applyFill="1" applyBorder="1" applyAlignment="1">
      <alignment vertical="center"/>
    </xf>
    <xf numFmtId="166" fontId="12" fillId="5" borderId="27" xfId="0" applyNumberFormat="1" applyFont="1" applyFill="1" applyBorder="1" applyAlignment="1">
      <alignment vertical="center"/>
    </xf>
    <xf numFmtId="166" fontId="12" fillId="6" borderId="28" xfId="0" applyNumberFormat="1" applyFont="1" applyFill="1" applyBorder="1" applyAlignment="1">
      <alignment vertical="center"/>
    </xf>
    <xf numFmtId="166" fontId="12" fillId="6" borderId="66" xfId="0" applyNumberFormat="1" applyFont="1" applyFill="1" applyBorder="1" applyAlignment="1">
      <alignment vertical="center"/>
    </xf>
    <xf numFmtId="0" fontId="11" fillId="6" borderId="65" xfId="0" applyFont="1" applyFill="1" applyBorder="1" applyAlignment="1">
      <alignment horizontal="left" vertical="center" indent="2"/>
    </xf>
    <xf numFmtId="0" fontId="17" fillId="6" borderId="36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166" fontId="17" fillId="6" borderId="1" xfId="0" applyNumberFormat="1" applyFont="1" applyFill="1" applyBorder="1" applyAlignment="1">
      <alignment vertical="center"/>
    </xf>
    <xf numFmtId="166" fontId="17" fillId="6" borderId="2" xfId="0" applyNumberFormat="1" applyFont="1" applyFill="1" applyBorder="1" applyAlignment="1">
      <alignment vertical="center"/>
    </xf>
    <xf numFmtId="166" fontId="17" fillId="6" borderId="3" xfId="0" applyNumberFormat="1" applyFont="1" applyFill="1" applyBorder="1" applyAlignment="1">
      <alignment vertical="center"/>
    </xf>
    <xf numFmtId="166" fontId="17" fillId="6" borderId="37" xfId="0" applyNumberFormat="1" applyFont="1" applyFill="1" applyBorder="1" applyAlignment="1">
      <alignment vertical="center"/>
    </xf>
    <xf numFmtId="0" fontId="74" fillId="0" borderId="0" xfId="0" applyFont="1" applyAlignment="1">
      <alignment horizontal="center" vertical="center"/>
    </xf>
    <xf numFmtId="0" fontId="74" fillId="0" borderId="0" xfId="0" applyFont="1" applyAlignment="1">
      <alignment horizontal="center"/>
    </xf>
    <xf numFmtId="0" fontId="74" fillId="0" borderId="0" xfId="0" applyFont="1"/>
    <xf numFmtId="0" fontId="76" fillId="0" borderId="0" xfId="0" applyFont="1" applyAlignment="1">
      <alignment horizontal="center" vertical="center"/>
    </xf>
    <xf numFmtId="0" fontId="76" fillId="0" borderId="0" xfId="0" applyFont="1" applyAlignment="1">
      <alignment horizontal="center"/>
    </xf>
    <xf numFmtId="9" fontId="76" fillId="0" borderId="0" xfId="2" applyFont="1" applyFill="1" applyAlignment="1">
      <alignment horizontal="center" vertical="center"/>
    </xf>
    <xf numFmtId="4" fontId="76" fillId="0" borderId="0" xfId="0" applyNumberFormat="1" applyFont="1" applyAlignment="1">
      <alignment horizontal="center" vertical="center"/>
    </xf>
    <xf numFmtId="167" fontId="80" fillId="2" borderId="1" xfId="0" applyNumberFormat="1" applyFont="1" applyFill="1" applyBorder="1" applyAlignment="1">
      <alignment horizontal="center" vertical="center"/>
    </xf>
    <xf numFmtId="0" fontId="8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9" fontId="80" fillId="2" borderId="1" xfId="0" applyNumberFormat="1" applyFont="1" applyFill="1" applyBorder="1" applyAlignment="1">
      <alignment horizontal="center" vertical="center"/>
    </xf>
    <xf numFmtId="4" fontId="81" fillId="0" borderId="1" xfId="0" applyNumberFormat="1" applyFont="1" applyBorder="1" applyAlignment="1">
      <alignment horizontal="right" vertical="center"/>
    </xf>
    <xf numFmtId="167" fontId="79" fillId="2" borderId="1" xfId="0" applyNumberFormat="1" applyFont="1" applyFill="1" applyBorder="1" applyAlignment="1">
      <alignment horizontal="center" vertical="center"/>
    </xf>
    <xf numFmtId="0" fontId="79" fillId="0" borderId="1" xfId="0" applyFont="1" applyBorder="1" applyAlignment="1">
      <alignment horizontal="center" vertical="center" wrapText="1"/>
    </xf>
    <xf numFmtId="4" fontId="79" fillId="0" borderId="1" xfId="0" applyNumberFormat="1" applyFont="1" applyBorder="1" applyAlignment="1">
      <alignment horizontal="right" vertical="center" wrapText="1"/>
    </xf>
    <xf numFmtId="9" fontId="79" fillId="2" borderId="1" xfId="0" applyNumberFormat="1" applyFont="1" applyFill="1" applyBorder="1" applyAlignment="1">
      <alignment horizontal="center" vertical="center"/>
    </xf>
    <xf numFmtId="4" fontId="79" fillId="0" borderId="1" xfId="0" applyNumberFormat="1" applyFont="1" applyBorder="1" applyAlignment="1">
      <alignment horizontal="right" vertical="center"/>
    </xf>
    <xf numFmtId="0" fontId="76" fillId="0" borderId="0" xfId="0" applyFont="1" applyAlignment="1">
      <alignment vertical="center"/>
    </xf>
    <xf numFmtId="0" fontId="76" fillId="0" borderId="0" xfId="0" applyFont="1"/>
    <xf numFmtId="9" fontId="76" fillId="0" borderId="0" xfId="2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 shrinkToFit="1"/>
    </xf>
    <xf numFmtId="4" fontId="2" fillId="0" borderId="1" xfId="0" applyNumberFormat="1" applyFont="1" applyBorder="1" applyAlignment="1">
      <alignment vertical="center" wrapText="1"/>
    </xf>
    <xf numFmtId="4" fontId="79" fillId="0" borderId="1" xfId="0" applyNumberFormat="1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3" fillId="0" borderId="0" xfId="0" applyFont="1" applyAlignment="1">
      <alignment horizontal="left"/>
    </xf>
    <xf numFmtId="0" fontId="14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4" fontId="20" fillId="2" borderId="1" xfId="76" applyNumberFormat="1" applyFont="1" applyFill="1" applyBorder="1" applyAlignment="1">
      <alignment horizontal="center" vertical="center" wrapText="1"/>
    </xf>
    <xf numFmtId="167" fontId="20" fillId="2" borderId="1" xfId="0" applyNumberFormat="1" applyFont="1" applyFill="1" applyBorder="1" applyAlignment="1">
      <alignment horizontal="center" vertical="center" wrapText="1"/>
    </xf>
    <xf numFmtId="0" fontId="78" fillId="0" borderId="0" xfId="0" applyFont="1"/>
    <xf numFmtId="0" fontId="78" fillId="0" borderId="0" xfId="1" applyFont="1" applyAlignment="1">
      <alignment horizontal="left" vertical="center"/>
    </xf>
    <xf numFmtId="0" fontId="78" fillId="0" borderId="0" xfId="1" applyFont="1" applyAlignment="1">
      <alignment vertical="center"/>
    </xf>
    <xf numFmtId="0" fontId="78" fillId="0" borderId="0" xfId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7" fillId="0" borderId="0" xfId="1" applyFont="1" applyAlignment="1">
      <alignment horizontal="left" vertical="center"/>
    </xf>
    <xf numFmtId="0" fontId="77" fillId="0" borderId="0" xfId="1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/>
    <xf numFmtId="4" fontId="76" fillId="0" borderId="0" xfId="0" applyNumberFormat="1" applyFont="1"/>
    <xf numFmtId="0" fontId="10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4" fontId="82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3" fontId="11" fillId="0" borderId="31" xfId="0" applyNumberFormat="1" applyFont="1" applyBorder="1" applyAlignment="1">
      <alignment horizontal="center" vertical="center"/>
    </xf>
    <xf numFmtId="9" fontId="20" fillId="0" borderId="1" xfId="6" applyNumberFormat="1" applyFont="1" applyFill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 wrapText="1"/>
    </xf>
    <xf numFmtId="4" fontId="20" fillId="0" borderId="1" xfId="6" applyNumberFormat="1" applyFont="1" applyFill="1" applyBorder="1" applyAlignment="1">
      <alignment horizontal="right" vertical="center" wrapText="1"/>
    </xf>
    <xf numFmtId="4" fontId="20" fillId="0" borderId="2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" fontId="20" fillId="0" borderId="1" xfId="6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7" fontId="19" fillId="2" borderId="1" xfId="0" applyNumberFormat="1" applyFont="1" applyFill="1" applyBorder="1" applyAlignment="1">
      <alignment horizontal="center" vertical="center" wrapText="1"/>
    </xf>
    <xf numFmtId="4" fontId="19" fillId="2" borderId="1" xfId="76" applyNumberFormat="1" applyFont="1" applyFill="1" applyBorder="1" applyAlignment="1">
      <alignment horizontal="center" vertical="center" wrapText="1"/>
    </xf>
    <xf numFmtId="9" fontId="19" fillId="0" borderId="1" xfId="6" applyNumberFormat="1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 vertical="center" wrapText="1"/>
    </xf>
    <xf numFmtId="0" fontId="83" fillId="0" borderId="0" xfId="0" applyFont="1"/>
    <xf numFmtId="4" fontId="19" fillId="0" borderId="2" xfId="0" applyNumberFormat="1" applyFont="1" applyBorder="1" applyAlignment="1">
      <alignment vertical="center"/>
    </xf>
    <xf numFmtId="4" fontId="19" fillId="0" borderId="1" xfId="6" applyNumberFormat="1" applyFont="1" applyFill="1" applyBorder="1" applyAlignment="1">
      <alignment horizontal="right" vertical="center" wrapText="1"/>
    </xf>
    <xf numFmtId="4" fontId="19" fillId="0" borderId="1" xfId="6" applyNumberFormat="1" applyFont="1" applyBorder="1" applyAlignment="1">
      <alignment horizontal="right" vertical="center" wrapText="1"/>
    </xf>
    <xf numFmtId="0" fontId="16" fillId="0" borderId="0" xfId="0" applyFont="1"/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 wrapText="1"/>
    </xf>
    <xf numFmtId="167" fontId="20" fillId="0" borderId="1" xfId="0" applyNumberFormat="1" applyFont="1" applyBorder="1" applyAlignment="1">
      <alignment horizontal="center" vertical="center" wrapText="1"/>
    </xf>
    <xf numFmtId="4" fontId="20" fillId="0" borderId="1" xfId="76" applyNumberFormat="1" applyFont="1" applyFill="1" applyBorder="1" applyAlignment="1">
      <alignment horizontal="center" vertical="center" wrapText="1"/>
    </xf>
    <xf numFmtId="4" fontId="20" fillId="0" borderId="1" xfId="76" applyNumberFormat="1" applyFont="1" applyFill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4" fontId="19" fillId="0" borderId="1" xfId="76" applyNumberFormat="1" applyFont="1" applyFill="1" applyBorder="1" applyAlignment="1">
      <alignment horizontal="center" vertical="center" wrapText="1"/>
    </xf>
    <xf numFmtId="4" fontId="19" fillId="0" borderId="1" xfId="76" applyNumberFormat="1" applyFont="1" applyFill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4" fontId="20" fillId="0" borderId="1" xfId="76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vertical="center" wrapText="1"/>
    </xf>
    <xf numFmtId="43" fontId="20" fillId="0" borderId="1" xfId="6" applyFont="1" applyFill="1" applyBorder="1" applyAlignment="1">
      <alignment horizontal="right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9" fontId="80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4" fontId="84" fillId="0" borderId="1" xfId="0" applyNumberFormat="1" applyFont="1" applyBorder="1" applyAlignment="1">
      <alignment horizontal="right" vertical="center" wrapText="1"/>
    </xf>
    <xf numFmtId="4" fontId="84" fillId="0" borderId="1" xfId="0" applyNumberFormat="1" applyFont="1" applyBorder="1" applyAlignment="1">
      <alignment vertical="center" wrapText="1"/>
    </xf>
    <xf numFmtId="165" fontId="20" fillId="0" borderId="1" xfId="0" applyNumberFormat="1" applyFont="1" applyBorder="1" applyAlignment="1">
      <alignment vertical="center" wrapText="1"/>
    </xf>
    <xf numFmtId="4" fontId="84" fillId="0" borderId="2" xfId="0" applyNumberFormat="1" applyFont="1" applyBorder="1" applyAlignment="1">
      <alignment horizontal="right" vertical="center"/>
    </xf>
    <xf numFmtId="167" fontId="20" fillId="0" borderId="1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65" fontId="19" fillId="0" borderId="1" xfId="0" applyNumberFormat="1" applyFont="1" applyBorder="1" applyAlignment="1">
      <alignment vertical="center" wrapText="1"/>
    </xf>
    <xf numFmtId="4" fontId="85" fillId="0" borderId="2" xfId="0" applyNumberFormat="1" applyFont="1" applyBorder="1" applyAlignment="1">
      <alignment horizontal="right" vertical="center"/>
    </xf>
    <xf numFmtId="4" fontId="85" fillId="0" borderId="1" xfId="0" applyNumberFormat="1" applyFont="1" applyBorder="1" applyAlignment="1">
      <alignment horizontal="right" vertical="center" wrapText="1"/>
    </xf>
    <xf numFmtId="167" fontId="19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167" fontId="85" fillId="2" borderId="1" xfId="0" applyNumberFormat="1" applyFont="1" applyFill="1" applyBorder="1" applyAlignment="1">
      <alignment horizontal="center" vertical="center"/>
    </xf>
    <xf numFmtId="0" fontId="86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85" fillId="2" borderId="1" xfId="0" applyNumberFormat="1" applyFont="1" applyFill="1" applyBorder="1" applyAlignment="1">
      <alignment horizontal="center" vertical="center"/>
    </xf>
    <xf numFmtId="167" fontId="84" fillId="2" borderId="1" xfId="0" applyNumberFormat="1" applyFont="1" applyFill="1" applyBorder="1" applyAlignment="1">
      <alignment horizontal="center" vertical="center"/>
    </xf>
    <xf numFmtId="0" fontId="84" fillId="0" borderId="1" xfId="0" applyFont="1" applyBorder="1" applyAlignment="1">
      <alignment horizontal="center" vertical="center" wrapText="1"/>
    </xf>
    <xf numFmtId="9" fontId="84" fillId="2" borderId="1" xfId="0" applyNumberFormat="1" applyFont="1" applyFill="1" applyBorder="1" applyAlignment="1">
      <alignment horizontal="center" vertical="center"/>
    </xf>
    <xf numFmtId="4" fontId="84" fillId="0" borderId="1" xfId="0" applyNumberFormat="1" applyFont="1" applyBorder="1" applyAlignment="1">
      <alignment horizontal="right" vertical="center"/>
    </xf>
    <xf numFmtId="4" fontId="86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center" vertical="center" wrapText="1"/>
    </xf>
    <xf numFmtId="4" fontId="85" fillId="0" borderId="1" xfId="0" applyNumberFormat="1" applyFont="1" applyBorder="1" applyAlignment="1">
      <alignment vertical="center" wrapText="1"/>
    </xf>
    <xf numFmtId="9" fontId="20" fillId="0" borderId="1" xfId="5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9" fontId="20" fillId="0" borderId="1" xfId="0" applyNumberFormat="1" applyFont="1" applyBorder="1" applyAlignment="1">
      <alignment horizontal="center" vertical="center"/>
    </xf>
    <xf numFmtId="9" fontId="20" fillId="0" borderId="1" xfId="76" applyNumberFormat="1" applyFont="1" applyFill="1" applyBorder="1" applyAlignment="1">
      <alignment horizontal="center" vertical="center" wrapText="1"/>
    </xf>
    <xf numFmtId="4" fontId="76" fillId="0" borderId="0" xfId="0" applyNumberFormat="1" applyFont="1" applyAlignment="1">
      <alignment vertical="center"/>
    </xf>
    <xf numFmtId="4" fontId="21" fillId="0" borderId="0" xfId="0" applyNumberFormat="1" applyFont="1"/>
    <xf numFmtId="4" fontId="19" fillId="2" borderId="1" xfId="0" applyNumberFormat="1" applyFont="1" applyFill="1" applyBorder="1" applyAlignment="1">
      <alignment horizontal="right" vertical="center" wrapText="1"/>
    </xf>
    <xf numFmtId="4" fontId="19" fillId="2" borderId="2" xfId="0" applyNumberFormat="1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4" fontId="85" fillId="2" borderId="1" xfId="0" applyNumberFormat="1" applyFont="1" applyFill="1" applyBorder="1" applyAlignment="1">
      <alignment horizontal="right" vertical="center" wrapText="1"/>
    </xf>
    <xf numFmtId="4" fontId="85" fillId="2" borderId="1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4" fontId="84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19" fillId="0" borderId="1" xfId="76" applyNumberFormat="1" applyFont="1" applyBorder="1" applyAlignment="1">
      <alignment horizontal="center" vertical="center" wrapText="1"/>
    </xf>
    <xf numFmtId="4" fontId="20" fillId="0" borderId="1" xfId="76" applyNumberFormat="1" applyFont="1" applyBorder="1" applyAlignment="1">
      <alignment horizontal="center" vertical="center" wrapText="1"/>
    </xf>
    <xf numFmtId="4" fontId="19" fillId="2" borderId="1" xfId="76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/>
    </xf>
    <xf numFmtId="4" fontId="19" fillId="2" borderId="1" xfId="6" applyNumberFormat="1" applyFont="1" applyFill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center" vertical="center"/>
    </xf>
    <xf numFmtId="4" fontId="19" fillId="0" borderId="1" xfId="147" applyNumberFormat="1" applyFont="1" applyFill="1" applyBorder="1" applyAlignment="1">
      <alignment horizontal="right" vertical="center" wrapText="1"/>
    </xf>
    <xf numFmtId="4" fontId="20" fillId="0" borderId="1" xfId="151" applyNumberFormat="1" applyFont="1" applyFill="1" applyBorder="1" applyAlignment="1">
      <alignment horizontal="right" vertical="center" wrapText="1"/>
    </xf>
    <xf numFmtId="9" fontId="19" fillId="0" borderId="1" xfId="5" applyFont="1" applyFill="1" applyBorder="1" applyAlignment="1">
      <alignment horizontal="center" vertical="center" wrapText="1"/>
    </xf>
    <xf numFmtId="4" fontId="19" fillId="0" borderId="1" xfId="151" applyNumberFormat="1" applyFont="1" applyFill="1" applyBorder="1" applyAlignment="1">
      <alignment horizontal="right" vertical="center" wrapText="1"/>
    </xf>
    <xf numFmtId="9" fontId="19" fillId="0" borderId="1" xfId="76" applyNumberFormat="1" applyFont="1" applyFill="1" applyBorder="1" applyAlignment="1">
      <alignment horizontal="center" vertical="center" wrapText="1"/>
    </xf>
    <xf numFmtId="9" fontId="19" fillId="2" borderId="1" xfId="5" applyFont="1" applyFill="1" applyBorder="1" applyAlignment="1">
      <alignment horizontal="center" vertical="center" wrapText="1"/>
    </xf>
    <xf numFmtId="0" fontId="16" fillId="2" borderId="0" xfId="0" applyFont="1" applyFill="1"/>
    <xf numFmtId="0" fontId="16" fillId="55" borderId="0" xfId="0" applyFont="1" applyFill="1"/>
    <xf numFmtId="0" fontId="85" fillId="0" borderId="1" xfId="0" applyFont="1" applyBorder="1" applyAlignment="1">
      <alignment horizontal="center" vertical="center" wrapText="1"/>
    </xf>
    <xf numFmtId="0" fontId="83" fillId="0" borderId="0" xfId="0" applyFont="1" applyAlignment="1">
      <alignment vertical="center"/>
    </xf>
    <xf numFmtId="0" fontId="83" fillId="55" borderId="0" xfId="0" applyFont="1" applyFill="1"/>
    <xf numFmtId="0" fontId="87" fillId="0" borderId="0" xfId="0" applyFont="1" applyAlignment="1">
      <alignment vertical="center"/>
    </xf>
    <xf numFmtId="0" fontId="88" fillId="0" borderId="0" xfId="0" applyFont="1" applyAlignment="1">
      <alignment horizontal="center" vertical="center"/>
    </xf>
    <xf numFmtId="0" fontId="8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 shrinkToFit="1"/>
    </xf>
    <xf numFmtId="0" fontId="86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9" fillId="0" borderId="2" xfId="0" applyFont="1" applyBorder="1" applyAlignment="1">
      <alignment horizontal="center" vertical="center" wrapText="1"/>
    </xf>
    <xf numFmtId="0" fontId="79" fillId="0" borderId="9" xfId="0" applyFont="1" applyBorder="1" applyAlignment="1">
      <alignment horizontal="center" vertical="center" wrapText="1"/>
    </xf>
    <xf numFmtId="0" fontId="79" fillId="0" borderId="3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</cellXfs>
  <cellStyles count="153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akcent 1 2" xfId="15"/>
    <cellStyle name="20% - akcent 2 2" xfId="16"/>
    <cellStyle name="20% - akcent 3 2" xfId="17"/>
    <cellStyle name="20% - akcent 4 2" xfId="18"/>
    <cellStyle name="20% - akcent 5 2" xfId="19"/>
    <cellStyle name="20% - akcent 6 2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40% - akcent 1 2" xfId="27"/>
    <cellStyle name="40% - akcent 2 2" xfId="28"/>
    <cellStyle name="40% - akcent 3 2" xfId="29"/>
    <cellStyle name="40% - akcent 4 2" xfId="30"/>
    <cellStyle name="40% - akcent 5 2" xfId="31"/>
    <cellStyle name="40% - akcent 6 2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60% - akcent 1 2" xfId="39"/>
    <cellStyle name="60% - akcent 2 2" xfId="40"/>
    <cellStyle name="60% - akcent 3 2" xfId="41"/>
    <cellStyle name="60% - akcent 4 2" xfId="42"/>
    <cellStyle name="60% - akcent 5 2" xfId="43"/>
    <cellStyle name="60% - akcent 6 2" xfId="44"/>
    <cellStyle name="Accent1" xfId="45"/>
    <cellStyle name="Accent2" xfId="46"/>
    <cellStyle name="Accent3" xfId="47"/>
    <cellStyle name="Accent4" xfId="48"/>
    <cellStyle name="Accent5" xfId="49"/>
    <cellStyle name="Accent6" xfId="50"/>
    <cellStyle name="Akcent 1 2" xfId="51"/>
    <cellStyle name="Akcent 1 3" xfId="52"/>
    <cellStyle name="Akcent 2 2" xfId="53"/>
    <cellStyle name="Akcent 2 3" xfId="54"/>
    <cellStyle name="Akcent 3 2" xfId="55"/>
    <cellStyle name="Akcent 3 3" xfId="56"/>
    <cellStyle name="Akcent 4 2" xfId="57"/>
    <cellStyle name="Akcent 4 3" xfId="58"/>
    <cellStyle name="Akcent 5 2" xfId="59"/>
    <cellStyle name="Akcent 5 3" xfId="60"/>
    <cellStyle name="Akcent 6 2" xfId="61"/>
    <cellStyle name="Akcent 6 3" xfId="62"/>
    <cellStyle name="Bad" xfId="63"/>
    <cellStyle name="Calculation" xfId="64"/>
    <cellStyle name="Check Cell" xfId="65"/>
    <cellStyle name="Dane wejściowe 2" xfId="66"/>
    <cellStyle name="Dane wejściowe 3" xfId="67"/>
    <cellStyle name="Dane wyjściowe 2" xfId="68"/>
    <cellStyle name="Dane wyjściowe 3" xfId="69"/>
    <cellStyle name="Dobre 2" xfId="70"/>
    <cellStyle name="Dziesiętny" xfId="6" builtinId="3"/>
    <cellStyle name="Dziesiętny 2" xfId="4"/>
    <cellStyle name="Dziesiętny 2 2" xfId="72"/>
    <cellStyle name="Dziesiętny 2 3" xfId="73"/>
    <cellStyle name="Dziesiętny 2 4" xfId="71"/>
    <cellStyle name="Dziesiętny 3" xfId="7"/>
    <cellStyle name="Dziesiętny 3 2" xfId="75"/>
    <cellStyle name="Dziesiętny 3 3" xfId="76"/>
    <cellStyle name="Dziesiętny 3 3 2" xfId="77"/>
    <cellStyle name="Dziesiętny 3 4" xfId="74"/>
    <cellStyle name="Dziesiętny 3 5" xfId="145"/>
    <cellStyle name="Dziesiętny 3 5 2" xfId="151"/>
    <cellStyle name="Dziesiętny 3 6" xfId="148"/>
    <cellStyle name="Dziesiętny 4" xfId="78"/>
    <cellStyle name="Dziesiętny 4 2" xfId="79"/>
    <cellStyle name="Dziesiętny 5" xfId="80"/>
    <cellStyle name="Dziesiętny 6" xfId="144"/>
    <cellStyle name="Dziesiętny 6 2" xfId="150"/>
    <cellStyle name="Dziesiętny 7" xfId="147"/>
    <cellStyle name="Explanatory Text" xfId="81"/>
    <cellStyle name="Good" xfId="82"/>
    <cellStyle name="Heading 1" xfId="83"/>
    <cellStyle name="Heading 2" xfId="84"/>
    <cellStyle name="Heading 3" xfId="85"/>
    <cellStyle name="Heading 4" xfId="86"/>
    <cellStyle name="Input" xfId="87"/>
    <cellStyle name="Komórka połączona 2" xfId="88"/>
    <cellStyle name="Komórka połączona 3" xfId="89"/>
    <cellStyle name="Komórka zaznaczona 2" xfId="90"/>
    <cellStyle name="Komórka zaznaczona 3" xfId="91"/>
    <cellStyle name="Linked Cell" xfId="92"/>
    <cellStyle name="Nagłówek 1 2" xfId="93"/>
    <cellStyle name="Nagłówek 1 3" xfId="94"/>
    <cellStyle name="Nagłówek 2 2" xfId="95"/>
    <cellStyle name="Nagłówek 2 3" xfId="96"/>
    <cellStyle name="Nagłówek 3 2" xfId="97"/>
    <cellStyle name="Nagłówek 3 3" xfId="98"/>
    <cellStyle name="Nagłówek 4 2" xfId="99"/>
    <cellStyle name="Nagłówek 4 3" xfId="100"/>
    <cellStyle name="Neutral" xfId="101"/>
    <cellStyle name="Neutralne 2" xfId="102"/>
    <cellStyle name="Normalny" xfId="0" builtinId="0"/>
    <cellStyle name="Normalny 2" xfId="3"/>
    <cellStyle name="Normalny 2 2" xfId="104"/>
    <cellStyle name="Normalny 2 2 2" xfId="105"/>
    <cellStyle name="Normalny 2 2 2 2" xfId="106"/>
    <cellStyle name="Normalny 2 2 3" xfId="107"/>
    <cellStyle name="Normalny 2 3" xfId="108"/>
    <cellStyle name="Normalny 2 4" xfId="103"/>
    <cellStyle name="Normalny 3" xfId="1"/>
    <cellStyle name="Normalny 3 2" xfId="8"/>
    <cellStyle name="Normalny 3 2 2" xfId="111"/>
    <cellStyle name="Normalny 3 2 3" xfId="110"/>
    <cellStyle name="Normalny 3 3" xfId="112"/>
    <cellStyle name="Normalny 3 4" xfId="109"/>
    <cellStyle name="Normalny 4" xfId="113"/>
    <cellStyle name="Normalny 4 2" xfId="114"/>
    <cellStyle name="Normalny 4 3" xfId="115"/>
    <cellStyle name="Normalny 5" xfId="116"/>
    <cellStyle name="Normalny 5 2" xfId="117"/>
    <cellStyle name="Normalny 6" xfId="118"/>
    <cellStyle name="Normalny 6 2" xfId="119"/>
    <cellStyle name="Normalny 7" xfId="120"/>
    <cellStyle name="Note" xfId="121"/>
    <cellStyle name="Note 2" xfId="122"/>
    <cellStyle name="Note 2 2" xfId="123"/>
    <cellStyle name="Note 3" xfId="124"/>
    <cellStyle name="Obliczenia 2" xfId="125"/>
    <cellStyle name="Obliczenia 3" xfId="126"/>
    <cellStyle name="Output" xfId="127"/>
    <cellStyle name="Procentowy" xfId="5" builtinId="5"/>
    <cellStyle name="Procentowy 2" xfId="2"/>
    <cellStyle name="Procentowy 2 2" xfId="128"/>
    <cellStyle name="Suma 2" xfId="129"/>
    <cellStyle name="Suma 3" xfId="130"/>
    <cellStyle name="Tekst objaśnienia 2" xfId="131"/>
    <cellStyle name="Tekst objaśnienia 3" xfId="132"/>
    <cellStyle name="Tekst ostrzeżenia 2" xfId="133"/>
    <cellStyle name="Tekst ostrzeżenia 3" xfId="134"/>
    <cellStyle name="Title" xfId="135"/>
    <cellStyle name="Total" xfId="136"/>
    <cellStyle name="Tytuł 2" xfId="138"/>
    <cellStyle name="Tytuł 3" xfId="137"/>
    <cellStyle name="Uwaga 2" xfId="139"/>
    <cellStyle name="Uwaga 3" xfId="140"/>
    <cellStyle name="Walutowy 2" xfId="141"/>
    <cellStyle name="Walutowy 2 2" xfId="146"/>
    <cellStyle name="Walutowy 2 2 2" xfId="152"/>
    <cellStyle name="Walutowy 2 3" xfId="149"/>
    <cellStyle name="Warning Text" xfId="142"/>
    <cellStyle name="Złe 2" xfId="14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tabSelected="1" view="pageBreakPreview" zoomScale="90" zoomScaleNormal="100" zoomScaleSheetLayoutView="90" workbookViewId="0"/>
  </sheetViews>
  <sheetFormatPr defaultRowHeight="15"/>
  <cols>
    <col min="1" max="1" width="32.140625" style="8" customWidth="1"/>
    <col min="2" max="2" width="10.7109375" style="1" customWidth="1"/>
    <col min="3" max="5" width="20.7109375" style="8" customWidth="1"/>
    <col min="6" max="15" width="15.7109375" style="8" customWidth="1"/>
    <col min="16" max="16" width="10.42578125" style="8" bestFit="1" customWidth="1"/>
    <col min="17" max="17" width="11.85546875" style="8" bestFit="1" customWidth="1"/>
    <col min="18" max="18" width="13.7109375" customWidth="1"/>
    <col min="19" max="19" width="11.140625" bestFit="1" customWidth="1"/>
  </cols>
  <sheetData>
    <row r="1" spans="1:24" s="5" customFormat="1" ht="30" customHeight="1" thickBot="1">
      <c r="A1" s="2" t="s">
        <v>115</v>
      </c>
      <c r="B1" s="10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>
      <c r="A2" s="6"/>
      <c r="B2" s="11"/>
      <c r="C2" s="6"/>
      <c r="D2" s="6"/>
      <c r="E2" s="6"/>
      <c r="F2" s="289" t="s">
        <v>18</v>
      </c>
      <c r="G2" s="290"/>
      <c r="H2" s="290"/>
      <c r="I2" s="290"/>
      <c r="J2" s="290"/>
      <c r="K2" s="290"/>
      <c r="L2" s="290"/>
      <c r="M2" s="290"/>
      <c r="N2" s="291"/>
      <c r="O2" s="6"/>
      <c r="P2" s="6"/>
      <c r="Q2" s="6"/>
      <c r="R2" s="7"/>
      <c r="S2" s="7"/>
      <c r="T2" s="7"/>
      <c r="U2" s="7"/>
      <c r="V2" s="7"/>
      <c r="W2" s="7"/>
      <c r="X2" s="7"/>
    </row>
    <row r="3" spans="1:24">
      <c r="A3" s="286"/>
      <c r="B3" s="287"/>
      <c r="C3" s="288"/>
      <c r="D3" s="6"/>
      <c r="E3" s="6"/>
      <c r="F3" s="292"/>
      <c r="G3" s="293"/>
      <c r="H3" s="293"/>
      <c r="I3" s="293"/>
      <c r="J3" s="293"/>
      <c r="K3" s="293"/>
      <c r="L3" s="293"/>
      <c r="M3" s="293"/>
      <c r="N3" s="294"/>
      <c r="X3" s="7"/>
    </row>
    <row r="4" spans="1:24">
      <c r="A4" s="174" t="s">
        <v>424</v>
      </c>
      <c r="B4" s="287"/>
      <c r="C4" s="288"/>
      <c r="D4" s="6"/>
      <c r="E4" s="6"/>
      <c r="F4" s="292"/>
      <c r="G4" s="293"/>
      <c r="H4" s="293"/>
      <c r="I4" s="293"/>
      <c r="J4" s="293"/>
      <c r="K4" s="293"/>
      <c r="L4" s="293"/>
      <c r="M4" s="293"/>
      <c r="N4" s="294"/>
      <c r="X4" s="10"/>
    </row>
    <row r="5" spans="1:24">
      <c r="A5" s="288"/>
      <c r="B5" s="287"/>
      <c r="C5" s="288"/>
      <c r="D5" s="6"/>
      <c r="E5" s="6"/>
      <c r="F5" s="292"/>
      <c r="G5" s="293"/>
      <c r="H5" s="293"/>
      <c r="I5" s="293"/>
      <c r="J5" s="293"/>
      <c r="K5" s="293"/>
      <c r="L5" s="293"/>
      <c r="M5" s="293"/>
      <c r="N5" s="294"/>
      <c r="X5" s="7"/>
    </row>
    <row r="6" spans="1:24">
      <c r="A6" s="174" t="s">
        <v>425</v>
      </c>
      <c r="B6" s="287"/>
      <c r="C6" s="288"/>
      <c r="D6" s="6"/>
      <c r="E6" s="6"/>
      <c r="F6" s="292"/>
      <c r="G6" s="293"/>
      <c r="H6" s="293"/>
      <c r="I6" s="293"/>
      <c r="J6" s="293"/>
      <c r="K6" s="293"/>
      <c r="L6" s="293"/>
      <c r="M6" s="293"/>
      <c r="N6" s="294"/>
      <c r="X6" s="10"/>
    </row>
    <row r="7" spans="1:24" ht="15.75" thickBot="1">
      <c r="A7" s="288"/>
      <c r="B7" s="287"/>
      <c r="C7" s="288"/>
      <c r="D7" s="6"/>
      <c r="E7" s="6"/>
      <c r="F7" s="295" t="s">
        <v>19</v>
      </c>
      <c r="G7" s="296"/>
      <c r="H7" s="296"/>
      <c r="I7" s="296"/>
      <c r="J7" s="296"/>
      <c r="K7" s="296"/>
      <c r="L7" s="296"/>
      <c r="M7" s="296"/>
      <c r="N7" s="297"/>
      <c r="X7" s="7"/>
    </row>
    <row r="8" spans="1:24">
      <c r="A8" s="288"/>
      <c r="B8" s="287"/>
      <c r="C8" s="288"/>
      <c r="D8" s="6"/>
      <c r="E8" s="6"/>
      <c r="F8" s="11"/>
      <c r="G8" s="11"/>
      <c r="H8" s="11"/>
      <c r="I8" s="11"/>
      <c r="J8" s="11"/>
      <c r="K8" s="11"/>
      <c r="L8" s="11"/>
      <c r="M8" s="11"/>
      <c r="N8" s="11"/>
      <c r="X8" s="7"/>
    </row>
    <row r="9" spans="1:24" ht="20.100000000000001" customHeight="1" thickBot="1">
      <c r="A9" s="9" t="s">
        <v>0</v>
      </c>
      <c r="B9" s="173"/>
      <c r="C9" s="9"/>
      <c r="D9" s="9"/>
      <c r="E9" s="9"/>
      <c r="F9" s="173"/>
      <c r="G9" s="173"/>
      <c r="H9" s="173"/>
      <c r="I9" s="173"/>
      <c r="J9" s="173"/>
      <c r="K9" s="173"/>
      <c r="L9" s="173"/>
      <c r="M9" s="173"/>
      <c r="N9" s="173"/>
      <c r="O9" s="174"/>
      <c r="P9" s="174"/>
      <c r="Q9" s="174"/>
      <c r="X9" s="7"/>
    </row>
    <row r="10" spans="1:24" ht="20.100000000000001" customHeight="1">
      <c r="A10" s="298" t="s">
        <v>1</v>
      </c>
      <c r="B10" s="300" t="s">
        <v>35</v>
      </c>
      <c r="C10" s="302" t="s">
        <v>20</v>
      </c>
      <c r="D10" s="304" t="s">
        <v>21</v>
      </c>
      <c r="E10" s="306" t="s">
        <v>113</v>
      </c>
      <c r="F10" s="308" t="s">
        <v>12</v>
      </c>
      <c r="G10" s="309"/>
      <c r="H10" s="309"/>
      <c r="I10" s="309"/>
      <c r="J10" s="309"/>
      <c r="K10" s="309"/>
      <c r="L10" s="309"/>
      <c r="M10" s="309"/>
      <c r="N10" s="309"/>
      <c r="O10" s="310"/>
      <c r="P10" s="174"/>
      <c r="Q10" s="174"/>
      <c r="X10" s="7"/>
    </row>
    <row r="11" spans="1:24" s="1" customFormat="1" ht="20.100000000000001" customHeight="1" thickBot="1">
      <c r="A11" s="299"/>
      <c r="B11" s="301"/>
      <c r="C11" s="303"/>
      <c r="D11" s="305"/>
      <c r="E11" s="307"/>
      <c r="F11" s="175">
        <v>2019</v>
      </c>
      <c r="G11" s="176">
        <v>2020</v>
      </c>
      <c r="H11" s="176">
        <v>2021</v>
      </c>
      <c r="I11" s="176">
        <v>2022</v>
      </c>
      <c r="J11" s="176">
        <v>2023</v>
      </c>
      <c r="K11" s="176">
        <v>2024</v>
      </c>
      <c r="L11" s="176">
        <v>2025</v>
      </c>
      <c r="M11" s="176">
        <v>2026</v>
      </c>
      <c r="N11" s="176">
        <v>2027</v>
      </c>
      <c r="O11" s="177">
        <v>2028</v>
      </c>
      <c r="P11" s="173"/>
      <c r="Q11" s="173"/>
      <c r="R11" s="11"/>
      <c r="S11" s="11"/>
      <c r="T11" s="11"/>
      <c r="U11" s="11"/>
      <c r="V11" s="11"/>
      <c r="W11" s="11"/>
      <c r="X11" s="11"/>
    </row>
    <row r="12" spans="1:24" ht="39.950000000000003" customHeight="1" thickTop="1">
      <c r="A12" s="34" t="s">
        <v>37</v>
      </c>
      <c r="B12" s="103">
        <f>COUNTA('pow podst'!K3:K24)</f>
        <v>22</v>
      </c>
      <c r="C12" s="35">
        <f>SUM('pow podst'!J3:J24)</f>
        <v>166109413.62379998</v>
      </c>
      <c r="D12" s="36">
        <f>SUM('pow podst'!L3:L24)</f>
        <v>87472571.413800016</v>
      </c>
      <c r="E12" s="37">
        <f>SUM('pow podst'!K3:K24)</f>
        <v>78636842.210000008</v>
      </c>
      <c r="F12" s="38">
        <f>SUM('pow podst'!N3:N24)</f>
        <v>0</v>
      </c>
      <c r="G12" s="35">
        <f>SUM('pow podst'!O3:O24)</f>
        <v>464061.08999999985</v>
      </c>
      <c r="H12" s="35">
        <f>SUM('pow podst'!P3:P24)</f>
        <v>1023340.9</v>
      </c>
      <c r="I12" s="35">
        <f>SUM('pow podst'!Q3:Q24)</f>
        <v>4437012.46</v>
      </c>
      <c r="J12" s="35">
        <f>SUM('pow podst'!R3:R24)</f>
        <v>52231793.299999982</v>
      </c>
      <c r="K12" s="35">
        <f>SUM('pow podst'!S3:S24)</f>
        <v>20480634.460000001</v>
      </c>
      <c r="L12" s="35">
        <f>SUM('pow podst'!T3:T24)</f>
        <v>0</v>
      </c>
      <c r="M12" s="35">
        <f>SUM('pow podst'!U3:U24)</f>
        <v>0</v>
      </c>
      <c r="N12" s="35">
        <f>SUM('pow podst'!V3:V24)</f>
        <v>0</v>
      </c>
      <c r="O12" s="39">
        <f>SUM('pow podst'!W3:W24)</f>
        <v>0</v>
      </c>
      <c r="P12" s="178" t="b">
        <f>C12=(D12+E12)</f>
        <v>1</v>
      </c>
      <c r="Q12" s="179" t="b">
        <f>E12=SUM(F12:O12)</f>
        <v>1</v>
      </c>
      <c r="R12" s="12"/>
      <c r="S12" s="12"/>
      <c r="T12" s="12"/>
      <c r="U12" s="12"/>
      <c r="V12" s="7"/>
      <c r="W12" s="7"/>
      <c r="X12" s="7"/>
    </row>
    <row r="13" spans="1:24" ht="39.950000000000003" customHeight="1">
      <c r="A13" s="40" t="s">
        <v>38</v>
      </c>
      <c r="B13" s="104">
        <f>COUNTIF('pow podst'!C3:C24,"K")</f>
        <v>2</v>
      </c>
      <c r="C13" s="81">
        <f>SUMIF('pow podst'!C3:C24,"K",'pow podst'!J3:J24)</f>
        <v>31105769.390000001</v>
      </c>
      <c r="D13" s="82">
        <f>SUMIF('pow podst'!C3:C24,"K",'pow podst'!L3:L24)</f>
        <v>16788436</v>
      </c>
      <c r="E13" s="21">
        <f>SUMIF('pow podst'!C3:C24,"K",'pow podst'!K3:K24)</f>
        <v>14317333.390000001</v>
      </c>
      <c r="F13" s="87">
        <f>SUMIF('pow podst'!C3:C24,"K",'pow podst'!N3:N24)</f>
        <v>0</v>
      </c>
      <c r="G13" s="81">
        <f>SUMIF('pow podst'!C3:C24,"K",'pow podst'!O3:O24)</f>
        <v>464061.08999999985</v>
      </c>
      <c r="H13" s="81">
        <f>SUMIF('pow podst'!C3:C24,"K",'pow podst'!P3:P24)</f>
        <v>1023340.9</v>
      </c>
      <c r="I13" s="81">
        <f>SUMIF('pow podst'!C3:C24,"K",'pow podst'!Q3:Q24)</f>
        <v>4437012.46</v>
      </c>
      <c r="J13" s="81">
        <f>SUMIF('pow podst'!C3:C24,"K",'pow podst'!R3:R24)</f>
        <v>5356158.6400000006</v>
      </c>
      <c r="K13" s="81">
        <f>SUMIF('pow podst'!C3:C24,"K",'pow podst'!S3:S24)</f>
        <v>3036760.3</v>
      </c>
      <c r="L13" s="81">
        <f>SUMIF('pow podst'!C3:C24,"K",'pow podst'!T3:T24)</f>
        <v>0</v>
      </c>
      <c r="M13" s="81">
        <f>SUMIF('pow podst'!C3:C24,"K",'pow podst'!U3:U24)</f>
        <v>0</v>
      </c>
      <c r="N13" s="81">
        <f>SUMIF('pow podst'!C3:C24,"K",'pow podst'!V3:V24)</f>
        <v>0</v>
      </c>
      <c r="O13" s="88">
        <f>SUMIF('pow podst'!C3:C24,"K",'pow podst'!W3:W24)</f>
        <v>0</v>
      </c>
      <c r="P13" s="178" t="b">
        <f t="shared" ref="P13:P22" si="0">C13=(D13+E13)</f>
        <v>1</v>
      </c>
      <c r="Q13" s="179" t="b">
        <f t="shared" ref="Q13:Q19" si="1">E13=SUM(F13:O13)</f>
        <v>1</v>
      </c>
      <c r="R13" s="12"/>
      <c r="S13" s="12"/>
      <c r="T13" s="12"/>
      <c r="U13" s="12"/>
      <c r="V13" s="7"/>
      <c r="W13" s="7"/>
      <c r="X13" s="7"/>
    </row>
    <row r="14" spans="1:24" ht="39.950000000000003" customHeight="1">
      <c r="A14" s="41" t="s">
        <v>39</v>
      </c>
      <c r="B14" s="105">
        <f>COUNTIF('pow podst'!C3:C24,"N")</f>
        <v>14</v>
      </c>
      <c r="C14" s="83">
        <f>SUMIF('pow podst'!C3:C24,"N",'pow podst'!J3:J24)</f>
        <v>84955455.160000011</v>
      </c>
      <c r="D14" s="84">
        <f>SUMIF('pow podst'!C3:C24,"N",'pow podst'!L3:L24)</f>
        <v>45660040.899999999</v>
      </c>
      <c r="E14" s="20">
        <f>SUMIF('pow podst'!C3:C24,"N",'pow podst'!K3:K24)</f>
        <v>39295414.259999998</v>
      </c>
      <c r="F14" s="89">
        <f>SUMIF('pow podst'!C3:C24,"N",'pow podst'!N3:N24)</f>
        <v>0</v>
      </c>
      <c r="G14" s="83">
        <f>SUMIF('pow podst'!C3:C24,"N",'pow podst'!O3:O24)</f>
        <v>0</v>
      </c>
      <c r="H14" s="83">
        <f>SUMIF('pow podst'!C3:C24,"N",'pow podst'!P3:P24)</f>
        <v>0</v>
      </c>
      <c r="I14" s="83">
        <f>SUMIF('pow podst'!C3:C24,"N",'pow podst'!Q3:Q24)</f>
        <v>0</v>
      </c>
      <c r="J14" s="83">
        <f>SUMIF('pow podst'!C3:C24,"N",'pow podst'!R3:R24)</f>
        <v>39295414.259999998</v>
      </c>
      <c r="K14" s="83">
        <f>SUMIF('pow podst'!C3:C24,"N",'pow podst'!S3:S24)</f>
        <v>0</v>
      </c>
      <c r="L14" s="83">
        <f>SUMIF('pow podst'!C3:C24,"N",'pow podst'!T3:T24)</f>
        <v>0</v>
      </c>
      <c r="M14" s="83">
        <f>SUMIF('pow podst'!C3:C24,"N",'pow podst'!U3:U24)</f>
        <v>0</v>
      </c>
      <c r="N14" s="83">
        <f>SUMIF('pow podst'!C3:C24,"N",'pow podst'!V3:V24)</f>
        <v>0</v>
      </c>
      <c r="O14" s="90">
        <f>SUMIF('pow podst'!C3:C24,"N",'pow podst'!W3:W24)</f>
        <v>0</v>
      </c>
      <c r="P14" s="178" t="b">
        <f t="shared" si="0"/>
        <v>1</v>
      </c>
      <c r="Q14" s="179" t="b">
        <f t="shared" si="1"/>
        <v>1</v>
      </c>
      <c r="R14" s="12"/>
      <c r="S14" s="12"/>
      <c r="T14" s="12"/>
      <c r="U14" s="12"/>
      <c r="V14" s="7"/>
      <c r="W14" s="7"/>
      <c r="X14" s="7"/>
    </row>
    <row r="15" spans="1:24" ht="39.950000000000003" customHeight="1" thickBot="1">
      <c r="A15" s="42" t="s">
        <v>40</v>
      </c>
      <c r="B15" s="106">
        <f>COUNTIF('pow podst'!C3:C24,"W")</f>
        <v>6</v>
      </c>
      <c r="C15" s="85">
        <f>SUMIF('pow podst'!C3:C24,"W",'pow podst'!J3:J24)</f>
        <v>50048189.07379999</v>
      </c>
      <c r="D15" s="86">
        <f>SUMIF('pow podst'!C3:C24,"W",'pow podst'!L3:L24)</f>
        <v>25024094.513799999</v>
      </c>
      <c r="E15" s="43">
        <f>SUMIF('pow podst'!C3:C24,"W",'pow podst'!K3:K24)</f>
        <v>25024094.560000002</v>
      </c>
      <c r="F15" s="91">
        <f>SUMIF('pow podst'!C3:C24,"W",'pow podst'!N3:N24)</f>
        <v>0</v>
      </c>
      <c r="G15" s="85">
        <f>SUMIF('pow podst'!C3:C24,"W",'pow podst'!O3:O24)</f>
        <v>0</v>
      </c>
      <c r="H15" s="85">
        <f>SUMIF('pow podst'!C3:C24,"W",'pow podst'!P3:P24)</f>
        <v>0</v>
      </c>
      <c r="I15" s="85">
        <f>SUMIF('pow podst'!C3:C24,"W",'pow podst'!Q3:Q24)</f>
        <v>0</v>
      </c>
      <c r="J15" s="85">
        <f>SUMIF('pow podst'!C3:C24,"W",'pow podst'!R3:R24)</f>
        <v>7580220.4000000004</v>
      </c>
      <c r="K15" s="85">
        <f>SUMIF('pow podst'!C3:C24,"W",'pow podst'!S3:S24)</f>
        <v>17443874.16</v>
      </c>
      <c r="L15" s="85">
        <f>SUMIF('pow podst'!C3:C24,"W",'pow podst'!T3:T24)</f>
        <v>0</v>
      </c>
      <c r="M15" s="85">
        <f>SUMIF('pow podst'!C3:C24,"W",'pow podst'!U3:U24)</f>
        <v>0</v>
      </c>
      <c r="N15" s="85">
        <f>SUMIF('pow podst'!C3:C24,"W",'pow podst'!V3:V24)</f>
        <v>0</v>
      </c>
      <c r="O15" s="92">
        <f>SUMIF('pow podst'!C3:C24,"W",'pow podst'!W3:W24)</f>
        <v>0</v>
      </c>
      <c r="P15" s="178" t="b">
        <f t="shared" si="0"/>
        <v>1</v>
      </c>
      <c r="Q15" s="179" t="b">
        <f t="shared" si="1"/>
        <v>1</v>
      </c>
      <c r="R15" s="12"/>
      <c r="S15" s="12"/>
      <c r="T15" s="12"/>
      <c r="U15" s="12"/>
      <c r="V15" s="7"/>
      <c r="W15" s="7"/>
      <c r="X15" s="7"/>
    </row>
    <row r="16" spans="1:24" ht="39.950000000000003" customHeight="1" thickTop="1">
      <c r="A16" s="34" t="s">
        <v>41</v>
      </c>
      <c r="B16" s="180">
        <f>COUNTA('gm podst'!L3:L27)</f>
        <v>25</v>
      </c>
      <c r="C16" s="35">
        <f>SUM('gm podst'!K3:K27)</f>
        <v>172396581.61000001</v>
      </c>
      <c r="D16" s="36">
        <f>SUM('gm podst'!M3:M27)</f>
        <v>79760142.650000006</v>
      </c>
      <c r="E16" s="37">
        <f>SUM('gm podst'!L3:L27)</f>
        <v>92636438.959999993</v>
      </c>
      <c r="F16" s="93">
        <f>SUM('gm podst'!O3:O27)</f>
        <v>0</v>
      </c>
      <c r="G16" s="94">
        <f>SUM('gm podst'!P3:P27)</f>
        <v>182106.42000000004</v>
      </c>
      <c r="H16" s="94">
        <f>SUM('gm podst'!Q3:Q27)</f>
        <v>2122417.8499999996</v>
      </c>
      <c r="I16" s="94">
        <f>SUM('gm podst'!R3:R27)</f>
        <v>7590982.7599999998</v>
      </c>
      <c r="J16" s="94">
        <f>SUM('gm podst'!S3:S27)</f>
        <v>49991631.080000006</v>
      </c>
      <c r="K16" s="94">
        <f>SUM('gm podst'!T3:T27)</f>
        <v>22103232.530000005</v>
      </c>
      <c r="L16" s="94">
        <f>SUM('gm podst'!U3:U27)</f>
        <v>10646068.32</v>
      </c>
      <c r="M16" s="94">
        <f>SUM('gm podst'!V3:V27)</f>
        <v>0</v>
      </c>
      <c r="N16" s="94">
        <f>SUM('gm podst'!W3:W27)</f>
        <v>0</v>
      </c>
      <c r="O16" s="95">
        <f>SUM('gm podst'!X3:X27)</f>
        <v>0</v>
      </c>
      <c r="P16" s="178" t="b">
        <f>C16=(D16+E16)</f>
        <v>1</v>
      </c>
      <c r="Q16" s="179" t="b">
        <f t="shared" si="1"/>
        <v>1</v>
      </c>
      <c r="R16" s="12"/>
      <c r="S16" s="12"/>
      <c r="T16" s="12"/>
      <c r="U16" s="12"/>
      <c r="V16" s="12"/>
      <c r="W16" s="12"/>
      <c r="X16" s="12"/>
    </row>
    <row r="17" spans="1:24" ht="39.950000000000003" customHeight="1">
      <c r="A17" s="40" t="s">
        <v>38</v>
      </c>
      <c r="B17" s="104">
        <f>COUNTIF('gm podst'!C3:C27,"K")</f>
        <v>7</v>
      </c>
      <c r="C17" s="81">
        <f>SUMIF('gm podst'!C3:C27,"K",'gm podst'!K3:K27)</f>
        <v>38988449.879999995</v>
      </c>
      <c r="D17" s="82">
        <f>SUMIF('gm podst'!C3:C27,"K",'gm podst'!M3:M27)</f>
        <v>17243733.829999998</v>
      </c>
      <c r="E17" s="21">
        <f>SUMIF('gm podst'!C3:C27,"K",'gm podst'!L3:L27)</f>
        <v>21744716.049999997</v>
      </c>
      <c r="F17" s="87">
        <f>SUMIF('gm podst'!C3:C27,"K",'gm podst'!O3:O27)</f>
        <v>0</v>
      </c>
      <c r="G17" s="81">
        <f>SUMIF('gm podst'!C3:C27,"K",'gm podst'!P3:P27)</f>
        <v>182106.42000000004</v>
      </c>
      <c r="H17" s="81">
        <f>SUMIF('gm podst'!C3:C27,"K",'gm podst'!Q3:Q27)</f>
        <v>2122417.8499999996</v>
      </c>
      <c r="I17" s="81">
        <f>SUMIF('gm podst'!C3:C27,"K",'gm podst'!R3:R27)</f>
        <v>7590982.7599999998</v>
      </c>
      <c r="J17" s="81">
        <f>SUMIF('gm podst'!C3:C27,"K",'gm podst'!S3:S27)</f>
        <v>11849209.020000001</v>
      </c>
      <c r="K17" s="81">
        <f>SUMIF('gm podst'!C3:C27,"K",'gm podst'!T3:T27)</f>
        <v>0</v>
      </c>
      <c r="L17" s="81">
        <f>SUMIF('gm podst'!C3:C27,"K",'gm podst'!U3:U27)</f>
        <v>0</v>
      </c>
      <c r="M17" s="81">
        <f>SUMIF('gm podst'!C3:C27,"K",'gm podst'!V3:V27)</f>
        <v>0</v>
      </c>
      <c r="N17" s="81">
        <f>SUMIF('gm podst'!C3:C27,"K",'gm podst'!W3:W27)</f>
        <v>0</v>
      </c>
      <c r="O17" s="88">
        <f>SUMIF('gm podst'!C3:C27,"K",'gm podst'!X3:X27)</f>
        <v>0</v>
      </c>
      <c r="P17" s="178" t="b">
        <f t="shared" si="0"/>
        <v>1</v>
      </c>
      <c r="Q17" s="179" t="b">
        <f t="shared" si="1"/>
        <v>1</v>
      </c>
      <c r="R17" s="12"/>
      <c r="S17" s="12"/>
      <c r="T17" s="12"/>
      <c r="U17" s="12"/>
      <c r="V17" s="12"/>
      <c r="W17" s="12"/>
      <c r="X17" s="12"/>
    </row>
    <row r="18" spans="1:24" ht="39.950000000000003" customHeight="1">
      <c r="A18" s="41" t="s">
        <v>39</v>
      </c>
      <c r="B18" s="105">
        <f>COUNTIF('gm podst'!C3:C27,"N")</f>
        <v>11</v>
      </c>
      <c r="C18" s="83">
        <f>SUMIF('gm podst'!C3:C27,"N",'gm podst'!K3:K27)</f>
        <v>42352615.550000004</v>
      </c>
      <c r="D18" s="84">
        <f>SUMIF('gm podst'!C3:C27,"N",'gm podst'!M3:M27)</f>
        <v>20538759</v>
      </c>
      <c r="E18" s="20">
        <f>SUMIF('gm podst'!C3:C27,"N",'gm podst'!L3:L27)</f>
        <v>21813856.550000004</v>
      </c>
      <c r="F18" s="89">
        <f>SUMIF('gm podst'!C3:C27,"N",'gm podst'!O3:O27)</f>
        <v>0</v>
      </c>
      <c r="G18" s="83">
        <f>SUMIF('gm podst'!C3:C27,"N",'gm podst'!P3:P27)</f>
        <v>0</v>
      </c>
      <c r="H18" s="83">
        <f>SUMIF('gm podst'!C3:C27,"N",'gm podst'!Q3:Q27)</f>
        <v>0</v>
      </c>
      <c r="I18" s="83">
        <f>SUMIF('gm podst'!C3:C27,"N",'gm podst'!R3:R27)</f>
        <v>0</v>
      </c>
      <c r="J18" s="83">
        <f>SUMIF('gm podst'!C3:C27,"N",'gm podst'!S3:S27)</f>
        <v>21813856.550000004</v>
      </c>
      <c r="K18" s="83">
        <f>SUMIF('gm podst'!C3:C27,"N",'gm podst'!T3:T27)</f>
        <v>0</v>
      </c>
      <c r="L18" s="83">
        <f>SUMIF('gm podst'!C3:C27,"N",'gm podst'!U3:U27)</f>
        <v>0</v>
      </c>
      <c r="M18" s="83">
        <f>SUMIF('gm podst'!C3:C27,"N",'gm podst'!V3:V27)</f>
        <v>0</v>
      </c>
      <c r="N18" s="83">
        <f>SUMIF('gm podst'!C3:C27,"N",'gm podst'!W3:W27)</f>
        <v>0</v>
      </c>
      <c r="O18" s="90">
        <f>SUMIF('gm podst'!C3:C27,"N",'gm podst'!X3:X27)</f>
        <v>0</v>
      </c>
      <c r="P18" s="178" t="b">
        <f t="shared" si="0"/>
        <v>1</v>
      </c>
      <c r="Q18" s="179" t="b">
        <f t="shared" si="1"/>
        <v>1</v>
      </c>
      <c r="R18" s="12"/>
      <c r="S18" s="12"/>
      <c r="T18" s="12"/>
      <c r="U18" s="12"/>
      <c r="V18" s="12"/>
      <c r="W18" s="12"/>
      <c r="X18" s="12"/>
    </row>
    <row r="19" spans="1:24" ht="39.950000000000003" customHeight="1" thickBot="1">
      <c r="A19" s="42" t="s">
        <v>40</v>
      </c>
      <c r="B19" s="106">
        <f>COUNTIF('gm podst'!C3:C27,"W")</f>
        <v>7</v>
      </c>
      <c r="C19" s="85">
        <f>SUMIF('gm podst'!C3:C27,"W",'gm podst'!K3:K27)</f>
        <v>91055516.179999992</v>
      </c>
      <c r="D19" s="86">
        <f>SUMIF('gm podst'!C3:C27,"W",'gm podst'!M3:M27)</f>
        <v>41977649.82</v>
      </c>
      <c r="E19" s="43">
        <f>SUMIF('gm podst'!C3:C27,"W",'gm podst'!L3:L27)</f>
        <v>49077866.359999999</v>
      </c>
      <c r="F19" s="91">
        <f>SUMIF('gm podst'!C3:C27,"W",'gm podst'!O3:O27)</f>
        <v>0</v>
      </c>
      <c r="G19" s="85">
        <f>SUMIF('gm podst'!C3:C27,"W",'gm podst'!P3:P27)</f>
        <v>0</v>
      </c>
      <c r="H19" s="85">
        <f>SUMIF('gm podst'!C3:C27,"W",'gm podst'!Q3:Q27)</f>
        <v>0</v>
      </c>
      <c r="I19" s="85">
        <f>SUMIF('gm podst'!C3:C27,"W",'gm podst'!R3:R27)</f>
        <v>0</v>
      </c>
      <c r="J19" s="85">
        <f>SUMIF('gm podst'!C3:C27,"W",'gm podst'!S3:S27)</f>
        <v>16328565.51</v>
      </c>
      <c r="K19" s="85">
        <f>SUMIF('gm podst'!C3:C27,"W",'gm podst'!T3:T27)</f>
        <v>22103232.530000005</v>
      </c>
      <c r="L19" s="85">
        <f>SUMIF('gm podst'!C3:C27,"W",'gm podst'!U3:U27)</f>
        <v>10646068.32</v>
      </c>
      <c r="M19" s="85">
        <f>SUMIF('gm podst'!C3:C27,"W",'gm podst'!V3:V27)</f>
        <v>0</v>
      </c>
      <c r="N19" s="85">
        <f>SUMIF('gm podst'!C3:C27,"W",'gm podst'!W3:W27)</f>
        <v>0</v>
      </c>
      <c r="O19" s="92">
        <f>SUMIF('gm podst'!C3:C27,"W",'gm podst'!X3:X27)</f>
        <v>0</v>
      </c>
      <c r="P19" s="178" t="b">
        <f t="shared" si="0"/>
        <v>1</v>
      </c>
      <c r="Q19" s="179" t="b">
        <f t="shared" si="1"/>
        <v>1</v>
      </c>
      <c r="R19" s="12"/>
      <c r="S19" s="12"/>
      <c r="T19" s="12"/>
      <c r="U19" s="12"/>
      <c r="V19" s="12"/>
      <c r="W19" s="12"/>
      <c r="X19" s="12"/>
    </row>
    <row r="20" spans="1:24" s="14" customFormat="1" ht="39.950000000000003" customHeight="1" thickTop="1">
      <c r="A20" s="44" t="s">
        <v>42</v>
      </c>
      <c r="B20" s="107">
        <f>B12+B16</f>
        <v>47</v>
      </c>
      <c r="C20" s="45">
        <f>C12+C16</f>
        <v>338505995.23379999</v>
      </c>
      <c r="D20" s="46">
        <f t="shared" ref="C20:O22" si="2">D12+D16</f>
        <v>167232714.06380004</v>
      </c>
      <c r="E20" s="47">
        <f t="shared" si="2"/>
        <v>171273281.17000002</v>
      </c>
      <c r="F20" s="48">
        <f t="shared" si="2"/>
        <v>0</v>
      </c>
      <c r="G20" s="45">
        <f t="shared" si="2"/>
        <v>646167.50999999989</v>
      </c>
      <c r="H20" s="45">
        <f>H12+H16</f>
        <v>3145758.7499999995</v>
      </c>
      <c r="I20" s="45">
        <f t="shared" si="2"/>
        <v>12027995.219999999</v>
      </c>
      <c r="J20" s="45">
        <f t="shared" si="2"/>
        <v>102223424.38</v>
      </c>
      <c r="K20" s="45">
        <f t="shared" si="2"/>
        <v>42583866.99000001</v>
      </c>
      <c r="L20" s="45">
        <f t="shared" si="2"/>
        <v>10646068.32</v>
      </c>
      <c r="M20" s="45">
        <f t="shared" si="2"/>
        <v>0</v>
      </c>
      <c r="N20" s="45">
        <f t="shared" si="2"/>
        <v>0</v>
      </c>
      <c r="O20" s="49">
        <f t="shared" si="2"/>
        <v>0</v>
      </c>
      <c r="P20" s="178" t="b">
        <f t="shared" si="0"/>
        <v>1</v>
      </c>
      <c r="Q20" s="179" t="b">
        <f t="shared" ref="Q20:Q22" si="3">E20=SUM(F20:O20)</f>
        <v>1</v>
      </c>
      <c r="R20" s="13"/>
      <c r="S20" s="13"/>
      <c r="T20" s="13"/>
      <c r="U20" s="13"/>
      <c r="V20" s="13"/>
      <c r="W20" s="13"/>
      <c r="X20" s="13"/>
    </row>
    <row r="21" spans="1:24" s="14" customFormat="1" ht="39.950000000000003" customHeight="1">
      <c r="A21" s="50" t="s">
        <v>38</v>
      </c>
      <c r="B21" s="108">
        <f>B13+B17</f>
        <v>9</v>
      </c>
      <c r="C21" s="22">
        <f t="shared" si="2"/>
        <v>70094219.269999996</v>
      </c>
      <c r="D21" s="27">
        <f t="shared" si="2"/>
        <v>34032169.829999998</v>
      </c>
      <c r="E21" s="21">
        <f t="shared" si="2"/>
        <v>36062049.439999998</v>
      </c>
      <c r="F21" s="30">
        <f t="shared" si="2"/>
        <v>0</v>
      </c>
      <c r="G21" s="22">
        <f t="shared" si="2"/>
        <v>646167.50999999989</v>
      </c>
      <c r="H21" s="22">
        <f t="shared" si="2"/>
        <v>3145758.7499999995</v>
      </c>
      <c r="I21" s="22">
        <f t="shared" si="2"/>
        <v>12027995.219999999</v>
      </c>
      <c r="J21" s="22">
        <f t="shared" si="2"/>
        <v>17205367.660000004</v>
      </c>
      <c r="K21" s="22">
        <f t="shared" si="2"/>
        <v>3036760.3</v>
      </c>
      <c r="L21" s="22">
        <f t="shared" si="2"/>
        <v>0</v>
      </c>
      <c r="M21" s="22">
        <f t="shared" si="2"/>
        <v>0</v>
      </c>
      <c r="N21" s="22">
        <f t="shared" si="2"/>
        <v>0</v>
      </c>
      <c r="O21" s="51">
        <f t="shared" si="2"/>
        <v>0</v>
      </c>
      <c r="P21" s="178" t="b">
        <f t="shared" si="0"/>
        <v>1</v>
      </c>
      <c r="Q21" s="179" t="b">
        <f t="shared" si="3"/>
        <v>1</v>
      </c>
      <c r="R21" s="13"/>
      <c r="S21" s="13"/>
      <c r="T21" s="13"/>
      <c r="U21" s="13"/>
      <c r="V21" s="13"/>
      <c r="W21" s="13"/>
      <c r="X21" s="13"/>
    </row>
    <row r="22" spans="1:24" s="14" customFormat="1" ht="39.950000000000003" customHeight="1">
      <c r="A22" s="52" t="s">
        <v>39</v>
      </c>
      <c r="B22" s="109">
        <f>B14+B18</f>
        <v>25</v>
      </c>
      <c r="C22" s="24">
        <f t="shared" si="2"/>
        <v>127308070.71000001</v>
      </c>
      <c r="D22" s="28">
        <f t="shared" si="2"/>
        <v>66198799.899999999</v>
      </c>
      <c r="E22" s="20">
        <f t="shared" si="2"/>
        <v>61109270.810000002</v>
      </c>
      <c r="F22" s="31">
        <f t="shared" si="2"/>
        <v>0</v>
      </c>
      <c r="G22" s="24">
        <f t="shared" si="2"/>
        <v>0</v>
      </c>
      <c r="H22" s="24">
        <f t="shared" si="2"/>
        <v>0</v>
      </c>
      <c r="I22" s="24">
        <f t="shared" si="2"/>
        <v>0</v>
      </c>
      <c r="J22" s="24">
        <f t="shared" si="2"/>
        <v>61109270.810000002</v>
      </c>
      <c r="K22" s="24">
        <f t="shared" si="2"/>
        <v>0</v>
      </c>
      <c r="L22" s="24">
        <f t="shared" si="2"/>
        <v>0</v>
      </c>
      <c r="M22" s="24">
        <f t="shared" si="2"/>
        <v>0</v>
      </c>
      <c r="N22" s="24">
        <f t="shared" si="2"/>
        <v>0</v>
      </c>
      <c r="O22" s="53">
        <f t="shared" si="2"/>
        <v>0</v>
      </c>
      <c r="P22" s="178" t="b">
        <f t="shared" si="0"/>
        <v>1</v>
      </c>
      <c r="Q22" s="179" t="b">
        <f t="shared" si="3"/>
        <v>1</v>
      </c>
      <c r="R22" s="13"/>
      <c r="S22" s="13"/>
      <c r="T22" s="13"/>
      <c r="U22" s="13"/>
      <c r="V22" s="13"/>
      <c r="W22" s="13"/>
      <c r="X22" s="13"/>
    </row>
    <row r="23" spans="1:24" s="14" customFormat="1" ht="39.950000000000003" customHeight="1" thickBot="1">
      <c r="A23" s="54" t="s">
        <v>40</v>
      </c>
      <c r="B23" s="110">
        <f>B15+B19</f>
        <v>13</v>
      </c>
      <c r="C23" s="55">
        <f t="shared" ref="C23:O23" si="4">C15+C19</f>
        <v>141103705.25379997</v>
      </c>
      <c r="D23" s="56">
        <f t="shared" si="4"/>
        <v>67001744.333800003</v>
      </c>
      <c r="E23" s="43">
        <f t="shared" si="4"/>
        <v>74101960.920000002</v>
      </c>
      <c r="F23" s="57">
        <f t="shared" si="4"/>
        <v>0</v>
      </c>
      <c r="G23" s="55">
        <f t="shared" si="4"/>
        <v>0</v>
      </c>
      <c r="H23" s="55">
        <f t="shared" si="4"/>
        <v>0</v>
      </c>
      <c r="I23" s="55">
        <f t="shared" si="4"/>
        <v>0</v>
      </c>
      <c r="J23" s="55">
        <f t="shared" si="4"/>
        <v>23908785.91</v>
      </c>
      <c r="K23" s="55">
        <f t="shared" si="4"/>
        <v>39547106.690000005</v>
      </c>
      <c r="L23" s="55">
        <f t="shared" si="4"/>
        <v>10646068.32</v>
      </c>
      <c r="M23" s="55">
        <f t="shared" si="4"/>
        <v>0</v>
      </c>
      <c r="N23" s="55">
        <f t="shared" si="4"/>
        <v>0</v>
      </c>
      <c r="O23" s="58">
        <f t="shared" si="4"/>
        <v>0</v>
      </c>
      <c r="P23" s="178" t="b">
        <f t="shared" ref="P23" si="5">C23=(D23+E23)</f>
        <v>1</v>
      </c>
      <c r="Q23" s="179" t="b">
        <f t="shared" ref="Q23" si="6">E23=SUM(F23:O23)</f>
        <v>1</v>
      </c>
      <c r="R23" s="13"/>
      <c r="S23" s="13"/>
      <c r="T23" s="13"/>
      <c r="U23" s="13"/>
      <c r="V23" s="13"/>
      <c r="W23" s="13"/>
      <c r="X23" s="13"/>
    </row>
    <row r="24" spans="1:24" ht="39.950000000000003" customHeight="1" thickTop="1">
      <c r="A24" s="34" t="s">
        <v>2</v>
      </c>
      <c r="B24" s="103">
        <f>COUNTA('pow rez'!K3:K5)</f>
        <v>3</v>
      </c>
      <c r="C24" s="35">
        <f>SUM('pow rez'!J3:J5)</f>
        <v>10160239.260000002</v>
      </c>
      <c r="D24" s="36">
        <f>SUM('pow rez'!L3:L5)</f>
        <v>5080119.62</v>
      </c>
      <c r="E24" s="37">
        <f>SUM('pow rez'!K3:K5)</f>
        <v>5080119.6400000006</v>
      </c>
      <c r="F24" s="38">
        <f>SUM('pow rez'!N3:N5)</f>
        <v>0</v>
      </c>
      <c r="G24" s="35">
        <f>SUM('pow rez'!O3:O5)</f>
        <v>0</v>
      </c>
      <c r="H24" s="35">
        <f>SUM('pow rez'!P3:P5)</f>
        <v>0</v>
      </c>
      <c r="I24" s="35">
        <f>SUM('pow rez'!Q3:Q5)</f>
        <v>0</v>
      </c>
      <c r="J24" s="35">
        <f>SUM('pow rez'!R3:R5)</f>
        <v>5080119.6400000006</v>
      </c>
      <c r="K24" s="35">
        <f>SUM('pow rez'!S3:S5)</f>
        <v>0</v>
      </c>
      <c r="L24" s="35">
        <f>SUM('pow rez'!T3:T5)</f>
        <v>0</v>
      </c>
      <c r="M24" s="35">
        <f>SUM('pow rez'!U3:U5)</f>
        <v>0</v>
      </c>
      <c r="N24" s="35">
        <f>SUM('pow rez'!V3:V5)</f>
        <v>0</v>
      </c>
      <c r="O24" s="39">
        <f>SUM('pow rez'!W3:W5)</f>
        <v>0</v>
      </c>
      <c r="P24" s="178" t="b">
        <f t="shared" ref="P24:P36" si="7">C24=(D24+E24)</f>
        <v>1</v>
      </c>
      <c r="Q24" s="179" t="b">
        <f t="shared" ref="Q24:Q36" si="8">E24=SUM(F24:O24)</f>
        <v>1</v>
      </c>
      <c r="R24" s="12"/>
      <c r="S24" s="12"/>
      <c r="T24" s="12"/>
      <c r="U24" s="12"/>
      <c r="V24" s="12"/>
      <c r="W24" s="12"/>
      <c r="X24" s="12"/>
    </row>
    <row r="25" spans="1:24" ht="39.950000000000003" customHeight="1">
      <c r="A25" s="41" t="s">
        <v>39</v>
      </c>
      <c r="B25" s="105">
        <f>COUNTIF('pow rez'!C3:C5,"N")</f>
        <v>3</v>
      </c>
      <c r="C25" s="83">
        <f>SUMIF('pow rez'!C3:C5,"N",'pow rez'!J3:J5)</f>
        <v>10160239.260000002</v>
      </c>
      <c r="D25" s="84">
        <f>SUMIF('pow rez'!C3:C5,"N",'pow rez'!L3:L5)</f>
        <v>5080119.62</v>
      </c>
      <c r="E25" s="20">
        <f>SUMIF('pow rez'!C3:C5,"N",'pow rez'!K3:K5)</f>
        <v>5080119.6400000006</v>
      </c>
      <c r="F25" s="89">
        <f>SUMIF('pow rez'!C3:C5,"N",'pow rez'!N3:N5)</f>
        <v>0</v>
      </c>
      <c r="G25" s="83">
        <f>SUMIF('pow rez'!C3:C5,"N",'pow rez'!O3:O5)</f>
        <v>0</v>
      </c>
      <c r="H25" s="83">
        <f>SUMIF('pow rez'!C3:C5,"N",'pow rez'!P3:P5)</f>
        <v>0</v>
      </c>
      <c r="I25" s="83">
        <f>SUMIF('pow rez'!C3:C5,"N",'pow rez'!Q3:Q5)</f>
        <v>0</v>
      </c>
      <c r="J25" s="83">
        <f>SUMIF('pow rez'!C3:C5,"N",'pow rez'!R3:R5)</f>
        <v>5080119.6400000006</v>
      </c>
      <c r="K25" s="83">
        <f>SUMIF('pow rez'!C3:C5,"N",'pow rez'!S3:S5)</f>
        <v>0</v>
      </c>
      <c r="L25" s="83">
        <f>SUMIF('pow rez'!C3:C5,"N",'pow rez'!T3:T5)</f>
        <v>0</v>
      </c>
      <c r="M25" s="83">
        <f>SUMIF('pow rez'!C3:C5,"N",'pow rez'!U3:U5)</f>
        <v>0</v>
      </c>
      <c r="N25" s="83">
        <f>SUMIF('pow rez'!C3:C5,"N",'pow rez'!V3:V5)</f>
        <v>0</v>
      </c>
      <c r="O25" s="90">
        <f>SUMIF('pow rez'!C3:C5,"N",'pow rez'!W3:W5)</f>
        <v>0</v>
      </c>
      <c r="P25" s="178" t="b">
        <f t="shared" si="7"/>
        <v>1</v>
      </c>
      <c r="Q25" s="179" t="b">
        <f t="shared" si="8"/>
        <v>1</v>
      </c>
      <c r="R25" s="12"/>
      <c r="S25" s="12"/>
      <c r="T25" s="12"/>
      <c r="U25" s="12"/>
      <c r="V25" s="12"/>
      <c r="W25" s="12"/>
      <c r="X25" s="12"/>
    </row>
    <row r="26" spans="1:24" ht="39.950000000000003" customHeight="1" thickBot="1">
      <c r="A26" s="42" t="s">
        <v>40</v>
      </c>
      <c r="B26" s="106">
        <f>COUNTIF('pow rez'!C3:C5,"W")</f>
        <v>0</v>
      </c>
      <c r="C26" s="85">
        <f>SUMIF('pow rez'!C3:C5,"W",'pow rez'!J3:J5)</f>
        <v>0</v>
      </c>
      <c r="D26" s="86">
        <f>SUMIF('pow rez'!C3:C5,"W",'pow rez'!L3:L5)</f>
        <v>0</v>
      </c>
      <c r="E26" s="43">
        <f>SUMIF('pow rez'!C3:C5,"W",'pow rez'!K3:K5)</f>
        <v>0</v>
      </c>
      <c r="F26" s="91">
        <f>SUMIF('pow rez'!C3:C5,"W",'pow rez'!N3:N5)</f>
        <v>0</v>
      </c>
      <c r="G26" s="85">
        <f>SUMIF('pow rez'!C3:C5,"W",'pow rez'!O3:O5)</f>
        <v>0</v>
      </c>
      <c r="H26" s="85">
        <f>SUMIF('pow rez'!C3:C5,"W",'pow rez'!P3:P5)</f>
        <v>0</v>
      </c>
      <c r="I26" s="85">
        <f>SUMIF('pow rez'!C3:C5,"W",'pow rez'!Q3:Q5)</f>
        <v>0</v>
      </c>
      <c r="J26" s="85">
        <f>SUMIF('pow rez'!C3:C5,"W",'pow rez'!R3:R5)</f>
        <v>0</v>
      </c>
      <c r="K26" s="85">
        <f>SUMIF('pow rez'!C3:C5,"W",'pow rez'!S3:S5)</f>
        <v>0</v>
      </c>
      <c r="L26" s="85">
        <f>SUMIF('pow rez'!C3:C5,"W",'pow rez'!T3:T5)</f>
        <v>0</v>
      </c>
      <c r="M26" s="85">
        <f>SUMIF('pow rez'!C3:C5,"W",'pow rez'!U3:U5)</f>
        <v>0</v>
      </c>
      <c r="N26" s="85">
        <f>SUMIF('pow rez'!C3:C5,"W",'pow rez'!V3:V5)</f>
        <v>0</v>
      </c>
      <c r="O26" s="92">
        <f>SUMIF('pow rez'!C3:C5,"W",'pow rez'!W3:W5)</f>
        <v>0</v>
      </c>
      <c r="P26" s="178" t="b">
        <f t="shared" si="7"/>
        <v>1</v>
      </c>
      <c r="Q26" s="179" t="b">
        <f t="shared" si="8"/>
        <v>1</v>
      </c>
      <c r="R26" s="12"/>
      <c r="S26" s="12"/>
      <c r="T26" s="12"/>
      <c r="U26" s="12"/>
      <c r="V26" s="12"/>
      <c r="W26" s="12"/>
      <c r="X26" s="12"/>
    </row>
    <row r="27" spans="1:24" ht="39.950000000000003" customHeight="1" thickTop="1">
      <c r="A27" s="34" t="s">
        <v>3</v>
      </c>
      <c r="B27" s="180">
        <f>COUNTA('gm rez'!L3:L43)</f>
        <v>41</v>
      </c>
      <c r="C27" s="35">
        <f>SUM('gm rez'!K3:K43)</f>
        <v>95956389.220000014</v>
      </c>
      <c r="D27" s="36">
        <f>SUM('gm rez'!M3:M43)</f>
        <v>43964649.87000002</v>
      </c>
      <c r="E27" s="37">
        <f>SUM('gm rez'!L3:L43)</f>
        <v>51991739.350000001</v>
      </c>
      <c r="F27" s="38">
        <f>SUM('gm rez'!O3:O43)</f>
        <v>0</v>
      </c>
      <c r="G27" s="35">
        <f>SUM('gm rez'!P3:P43)</f>
        <v>0</v>
      </c>
      <c r="H27" s="35">
        <f>SUM('gm rez'!Q3:Q43)</f>
        <v>0</v>
      </c>
      <c r="I27" s="35">
        <f>SUM('gm rez'!R3:R43)</f>
        <v>0</v>
      </c>
      <c r="J27" s="35">
        <f>SUM('gm rez'!S3:S43)</f>
        <v>43258830.719999999</v>
      </c>
      <c r="K27" s="35">
        <f>SUM('gm rez'!T3:T43)</f>
        <v>8732908.6300000008</v>
      </c>
      <c r="L27" s="35">
        <f>SUM('gm rez'!U3:U43)</f>
        <v>0</v>
      </c>
      <c r="M27" s="35">
        <f>SUM('gm rez'!V3:V43)</f>
        <v>0</v>
      </c>
      <c r="N27" s="35">
        <f>SUM('gm rez'!W3:W43)</f>
        <v>0</v>
      </c>
      <c r="O27" s="39">
        <f>SUM('gm rez'!X3:X43)</f>
        <v>0</v>
      </c>
      <c r="P27" s="178" t="b">
        <f t="shared" si="7"/>
        <v>1</v>
      </c>
      <c r="Q27" s="179" t="b">
        <f t="shared" si="8"/>
        <v>1</v>
      </c>
      <c r="R27" s="15"/>
      <c r="S27" s="15"/>
      <c r="T27" s="15"/>
      <c r="U27" s="15"/>
      <c r="V27" s="7"/>
      <c r="W27" s="7"/>
      <c r="X27" s="7"/>
    </row>
    <row r="28" spans="1:24" ht="39.950000000000003" customHeight="1">
      <c r="A28" s="41" t="s">
        <v>39</v>
      </c>
      <c r="B28" s="105">
        <f>COUNTIF('gm rez'!C3:C43,"N")</f>
        <v>35</v>
      </c>
      <c r="C28" s="83">
        <f>SUMIF('gm rez'!C3:C43,"N",'gm rez'!K3:K43)</f>
        <v>73250629.589999989</v>
      </c>
      <c r="D28" s="84">
        <f>SUMIF('gm rez'!C3:C43,"N",'gm rez'!M3:M43)</f>
        <v>32839009.060000006</v>
      </c>
      <c r="E28" s="20">
        <f>SUMIF('gm rez'!C3:C43,"N",'gm rez'!L3:L43)</f>
        <v>40411620.530000001</v>
      </c>
      <c r="F28" s="89">
        <f>SUMIF('gm rez'!C3:C43,"N",'gm rez'!O3:O43)</f>
        <v>0</v>
      </c>
      <c r="G28" s="83">
        <f>SUMIF('gm rez'!C3:C43,"N",'gm rez'!P3:P43)</f>
        <v>0</v>
      </c>
      <c r="H28" s="83">
        <f>SUMIF('gm rez'!C3:C43,"N",'gm rez'!Q3:Q43)</f>
        <v>0</v>
      </c>
      <c r="I28" s="83">
        <f>SUMIF('gm rez'!C3:C43,"N",'gm rez'!R3:R43)</f>
        <v>0</v>
      </c>
      <c r="J28" s="83">
        <f>SUMIF('gm rez'!C3:C43,"N",'gm rez'!S3:S43)</f>
        <v>40411620.530000001</v>
      </c>
      <c r="K28" s="83">
        <f>SUMIF('gm rez'!C3:C43,"N",'gm rez'!T3:T43)</f>
        <v>0</v>
      </c>
      <c r="L28" s="83">
        <f>SUMIF('gm rez'!C3:C43,"N",'gm rez'!U3:U43)</f>
        <v>0</v>
      </c>
      <c r="M28" s="83">
        <f>SUMIF('gm rez'!C3:C43,"N",'gm rez'!V3:V43)</f>
        <v>0</v>
      </c>
      <c r="N28" s="83">
        <f>SUMIF('gm rez'!C3:C43,"N",'gm rez'!W3:W43)</f>
        <v>0</v>
      </c>
      <c r="O28" s="90">
        <f>SUMIF('gm rez'!C3:C43,"N",'gm rez'!X3:X43)</f>
        <v>0</v>
      </c>
      <c r="P28" s="178" t="b">
        <f t="shared" si="7"/>
        <v>1</v>
      </c>
      <c r="Q28" s="179" t="b">
        <f t="shared" si="8"/>
        <v>1</v>
      </c>
      <c r="R28" s="15"/>
      <c r="S28" s="15"/>
      <c r="T28" s="15"/>
      <c r="U28" s="15"/>
      <c r="V28" s="7"/>
      <c r="W28" s="7"/>
      <c r="X28" s="7"/>
    </row>
    <row r="29" spans="1:24" ht="39.950000000000003" customHeight="1" thickBot="1">
      <c r="A29" s="42" t="s">
        <v>40</v>
      </c>
      <c r="B29" s="106">
        <f>COUNTIF('gm rez'!C3:C43,"W")</f>
        <v>6</v>
      </c>
      <c r="C29" s="85">
        <f>SUMIF('gm rez'!C3:C43,"W",'gm rez'!K3:K43)</f>
        <v>22705759.629999999</v>
      </c>
      <c r="D29" s="86">
        <f>SUMIF('gm rez'!C3:C43,"W",'gm rez'!M3:M43)</f>
        <v>11125640.810000001</v>
      </c>
      <c r="E29" s="43">
        <f>SUMIF('gm rez'!C3:C43,"W",'gm rez'!L3:L43)</f>
        <v>11580118.82</v>
      </c>
      <c r="F29" s="91">
        <f>SUMIF('gm rez'!C3:C43,"W",'gm rez'!O3:O43)</f>
        <v>0</v>
      </c>
      <c r="G29" s="85">
        <f>SUMIF('gm rez'!C3:C43,"W",'gm rez'!P3:P43)</f>
        <v>0</v>
      </c>
      <c r="H29" s="85">
        <f>SUMIF('gm rez'!C3:C43,"W",'gm rez'!Q3:Q43)</f>
        <v>0</v>
      </c>
      <c r="I29" s="85">
        <f>SUMIF('gm rez'!C3:C43,"W",'gm rez'!R3:R43)</f>
        <v>0</v>
      </c>
      <c r="J29" s="85">
        <f>SUMIF('gm rez'!C3:C43,"W",'gm rez'!S3:S43)</f>
        <v>2847210.19</v>
      </c>
      <c r="K29" s="85">
        <f>SUMIF('gm rez'!C3:C43,"W",'gm rez'!T3:T43)</f>
        <v>8732908.6300000008</v>
      </c>
      <c r="L29" s="85">
        <f>SUMIF('gm rez'!C3:C43,"W",'gm rez'!U3:U43)</f>
        <v>0</v>
      </c>
      <c r="M29" s="85">
        <f>SUMIF('gm rez'!C3:C43,"W",'gm rez'!V3:V43)</f>
        <v>0</v>
      </c>
      <c r="N29" s="85">
        <f>SUMIF('gm rez'!C3:C43,"W",'gm rez'!W3:W43)</f>
        <v>0</v>
      </c>
      <c r="O29" s="92">
        <f>SUMIF('gm rez'!C3:C43,"W",'gm rez'!X3:X43)</f>
        <v>0</v>
      </c>
      <c r="P29" s="178" t="b">
        <f t="shared" si="7"/>
        <v>1</v>
      </c>
      <c r="Q29" s="179" t="b">
        <f t="shared" si="8"/>
        <v>1</v>
      </c>
      <c r="R29" s="15"/>
      <c r="S29" s="15"/>
      <c r="T29" s="15"/>
      <c r="U29" s="15"/>
      <c r="V29" s="7"/>
      <c r="W29" s="7"/>
      <c r="X29" s="7"/>
    </row>
    <row r="30" spans="1:24" ht="39.950000000000003" customHeight="1" thickTop="1">
      <c r="A30" s="59" t="s">
        <v>22</v>
      </c>
      <c r="B30" s="111">
        <f>B24+B27</f>
        <v>44</v>
      </c>
      <c r="C30" s="60">
        <f t="shared" ref="C30:O30" si="9">C24+C27</f>
        <v>106116628.48000002</v>
      </c>
      <c r="D30" s="61">
        <f t="shared" si="9"/>
        <v>49044769.490000017</v>
      </c>
      <c r="E30" s="33">
        <f t="shared" si="9"/>
        <v>57071858.990000002</v>
      </c>
      <c r="F30" s="62">
        <f t="shared" si="9"/>
        <v>0</v>
      </c>
      <c r="G30" s="60">
        <f t="shared" si="9"/>
        <v>0</v>
      </c>
      <c r="H30" s="60">
        <f t="shared" si="9"/>
        <v>0</v>
      </c>
      <c r="I30" s="60">
        <f t="shared" si="9"/>
        <v>0</v>
      </c>
      <c r="J30" s="60">
        <f t="shared" si="9"/>
        <v>48338950.359999999</v>
      </c>
      <c r="K30" s="60">
        <f t="shared" si="9"/>
        <v>8732908.6300000008</v>
      </c>
      <c r="L30" s="60">
        <f t="shared" si="9"/>
        <v>0</v>
      </c>
      <c r="M30" s="60">
        <f t="shared" si="9"/>
        <v>0</v>
      </c>
      <c r="N30" s="60">
        <f t="shared" si="9"/>
        <v>0</v>
      </c>
      <c r="O30" s="63">
        <f t="shared" si="9"/>
        <v>0</v>
      </c>
      <c r="P30" s="178" t="b">
        <f t="shared" si="7"/>
        <v>1</v>
      </c>
      <c r="Q30" s="179" t="b">
        <f t="shared" si="8"/>
        <v>1</v>
      </c>
    </row>
    <row r="31" spans="1:24" ht="39.950000000000003" customHeight="1">
      <c r="A31" s="26" t="s">
        <v>39</v>
      </c>
      <c r="B31" s="112">
        <f t="shared" ref="B31:O31" si="10">B25+B28</f>
        <v>38</v>
      </c>
      <c r="C31" s="23">
        <f t="shared" si="10"/>
        <v>83410868.849999994</v>
      </c>
      <c r="D31" s="29">
        <f t="shared" si="10"/>
        <v>37919128.680000007</v>
      </c>
      <c r="E31" s="20">
        <f t="shared" si="10"/>
        <v>45491740.170000002</v>
      </c>
      <c r="F31" s="32">
        <f t="shared" si="10"/>
        <v>0</v>
      </c>
      <c r="G31" s="23">
        <f t="shared" si="10"/>
        <v>0</v>
      </c>
      <c r="H31" s="23">
        <f t="shared" si="10"/>
        <v>0</v>
      </c>
      <c r="I31" s="23">
        <f t="shared" si="10"/>
        <v>0</v>
      </c>
      <c r="J31" s="23">
        <f t="shared" si="10"/>
        <v>45491740.170000002</v>
      </c>
      <c r="K31" s="23">
        <f t="shared" si="10"/>
        <v>0</v>
      </c>
      <c r="L31" s="23">
        <f t="shared" si="10"/>
        <v>0</v>
      </c>
      <c r="M31" s="23">
        <f t="shared" si="10"/>
        <v>0</v>
      </c>
      <c r="N31" s="23">
        <f t="shared" si="10"/>
        <v>0</v>
      </c>
      <c r="O31" s="25">
        <f t="shared" si="10"/>
        <v>0</v>
      </c>
      <c r="P31" s="178" t="b">
        <f t="shared" si="7"/>
        <v>1</v>
      </c>
      <c r="Q31" s="179" t="b">
        <f t="shared" si="8"/>
        <v>1</v>
      </c>
    </row>
    <row r="32" spans="1:24" ht="39.950000000000003" customHeight="1" thickBot="1">
      <c r="A32" s="64" t="s">
        <v>40</v>
      </c>
      <c r="B32" s="113">
        <f t="shared" ref="B32:O32" si="11">B26+B29</f>
        <v>6</v>
      </c>
      <c r="C32" s="65">
        <f t="shared" si="11"/>
        <v>22705759.629999999</v>
      </c>
      <c r="D32" s="66">
        <f t="shared" si="11"/>
        <v>11125640.810000001</v>
      </c>
      <c r="E32" s="67">
        <f t="shared" si="11"/>
        <v>11580118.82</v>
      </c>
      <c r="F32" s="68">
        <f t="shared" si="11"/>
        <v>0</v>
      </c>
      <c r="G32" s="68">
        <f t="shared" si="11"/>
        <v>0</v>
      </c>
      <c r="H32" s="65">
        <f t="shared" si="11"/>
        <v>0</v>
      </c>
      <c r="I32" s="65">
        <f t="shared" si="11"/>
        <v>0</v>
      </c>
      <c r="J32" s="65">
        <f t="shared" si="11"/>
        <v>2847210.19</v>
      </c>
      <c r="K32" s="65">
        <f t="shared" si="11"/>
        <v>8732908.6300000008</v>
      </c>
      <c r="L32" s="65">
        <f t="shared" si="11"/>
        <v>0</v>
      </c>
      <c r="M32" s="65">
        <f t="shared" si="11"/>
        <v>0</v>
      </c>
      <c r="N32" s="65">
        <f t="shared" si="11"/>
        <v>0</v>
      </c>
      <c r="O32" s="69">
        <f t="shared" si="11"/>
        <v>0</v>
      </c>
      <c r="P32" s="178" t="b">
        <f t="shared" si="7"/>
        <v>1</v>
      </c>
      <c r="Q32" s="179" t="b">
        <f t="shared" si="8"/>
        <v>1</v>
      </c>
    </row>
    <row r="33" spans="1:17" ht="39.950000000000003" customHeight="1" thickTop="1">
      <c r="A33" s="70" t="s">
        <v>34</v>
      </c>
      <c r="B33" s="114">
        <f>B20+B30</f>
        <v>91</v>
      </c>
      <c r="C33" s="71">
        <f t="shared" ref="C33:O33" si="12">C20+C30</f>
        <v>444622623.71380001</v>
      </c>
      <c r="D33" s="72">
        <f t="shared" si="12"/>
        <v>216277483.55380005</v>
      </c>
      <c r="E33" s="73">
        <f t="shared" si="12"/>
        <v>228345140.16000003</v>
      </c>
      <c r="F33" s="74">
        <f t="shared" si="12"/>
        <v>0</v>
      </c>
      <c r="G33" s="71">
        <f t="shared" si="12"/>
        <v>646167.50999999989</v>
      </c>
      <c r="H33" s="71">
        <f t="shared" si="12"/>
        <v>3145758.7499999995</v>
      </c>
      <c r="I33" s="71">
        <f t="shared" si="12"/>
        <v>12027995.219999999</v>
      </c>
      <c r="J33" s="71">
        <f t="shared" si="12"/>
        <v>150562374.74000001</v>
      </c>
      <c r="K33" s="71">
        <f t="shared" si="12"/>
        <v>51316775.620000012</v>
      </c>
      <c r="L33" s="71">
        <f t="shared" si="12"/>
        <v>10646068.32</v>
      </c>
      <c r="M33" s="71">
        <f t="shared" si="12"/>
        <v>0</v>
      </c>
      <c r="N33" s="71">
        <f t="shared" si="12"/>
        <v>0</v>
      </c>
      <c r="O33" s="75">
        <f t="shared" si="12"/>
        <v>0</v>
      </c>
      <c r="P33" s="178" t="b">
        <f t="shared" si="7"/>
        <v>1</v>
      </c>
      <c r="Q33" s="179" t="b">
        <f t="shared" si="8"/>
        <v>1</v>
      </c>
    </row>
    <row r="34" spans="1:17" ht="39.950000000000003" customHeight="1">
      <c r="A34" s="123" t="s">
        <v>38</v>
      </c>
      <c r="B34" s="124">
        <f>B21</f>
        <v>9</v>
      </c>
      <c r="C34" s="125">
        <f t="shared" ref="C34:O34" si="13">C21</f>
        <v>70094219.269999996</v>
      </c>
      <c r="D34" s="126">
        <f t="shared" si="13"/>
        <v>34032169.829999998</v>
      </c>
      <c r="E34" s="21">
        <f t="shared" si="13"/>
        <v>36062049.439999998</v>
      </c>
      <c r="F34" s="127">
        <f t="shared" si="13"/>
        <v>0</v>
      </c>
      <c r="G34" s="125">
        <f t="shared" si="13"/>
        <v>646167.50999999989</v>
      </c>
      <c r="H34" s="125">
        <f t="shared" si="13"/>
        <v>3145758.7499999995</v>
      </c>
      <c r="I34" s="125">
        <f t="shared" si="13"/>
        <v>12027995.219999999</v>
      </c>
      <c r="J34" s="125">
        <f t="shared" si="13"/>
        <v>17205367.660000004</v>
      </c>
      <c r="K34" s="125">
        <f t="shared" si="13"/>
        <v>3036760.3</v>
      </c>
      <c r="L34" s="125">
        <f t="shared" si="13"/>
        <v>0</v>
      </c>
      <c r="M34" s="125">
        <f t="shared" si="13"/>
        <v>0</v>
      </c>
      <c r="N34" s="125">
        <f t="shared" si="13"/>
        <v>0</v>
      </c>
      <c r="O34" s="128">
        <f t="shared" si="13"/>
        <v>0</v>
      </c>
      <c r="P34" s="178" t="b">
        <f t="shared" si="7"/>
        <v>1</v>
      </c>
      <c r="Q34" s="179" t="b">
        <f t="shared" si="8"/>
        <v>1</v>
      </c>
    </row>
    <row r="35" spans="1:17" ht="39.950000000000003" customHeight="1">
      <c r="A35" s="122" t="s">
        <v>39</v>
      </c>
      <c r="B35" s="116">
        <f>B22+B31</f>
        <v>63</v>
      </c>
      <c r="C35" s="117">
        <f t="shared" ref="C35:O36" si="14">C22+C31</f>
        <v>210718939.56</v>
      </c>
      <c r="D35" s="118">
        <f t="shared" si="14"/>
        <v>104117928.58000001</v>
      </c>
      <c r="E35" s="119">
        <f t="shared" si="14"/>
        <v>106601010.98</v>
      </c>
      <c r="F35" s="120">
        <f t="shared" si="14"/>
        <v>0</v>
      </c>
      <c r="G35" s="117">
        <f t="shared" si="14"/>
        <v>0</v>
      </c>
      <c r="H35" s="117">
        <f t="shared" si="14"/>
        <v>0</v>
      </c>
      <c r="I35" s="117">
        <f t="shared" si="14"/>
        <v>0</v>
      </c>
      <c r="J35" s="117">
        <f t="shared" si="14"/>
        <v>106601010.98</v>
      </c>
      <c r="K35" s="117">
        <f t="shared" si="14"/>
        <v>0</v>
      </c>
      <c r="L35" s="117">
        <f t="shared" si="14"/>
        <v>0</v>
      </c>
      <c r="M35" s="117">
        <f t="shared" si="14"/>
        <v>0</v>
      </c>
      <c r="N35" s="117">
        <f t="shared" si="14"/>
        <v>0</v>
      </c>
      <c r="O35" s="121">
        <f t="shared" si="14"/>
        <v>0</v>
      </c>
      <c r="P35" s="178" t="b">
        <f t="shared" si="7"/>
        <v>1</v>
      </c>
      <c r="Q35" s="179" t="b">
        <f t="shared" si="8"/>
        <v>1</v>
      </c>
    </row>
    <row r="36" spans="1:17" ht="39.950000000000003" customHeight="1" thickBot="1">
      <c r="A36" s="76" t="s">
        <v>40</v>
      </c>
      <c r="B36" s="115">
        <f>B23+B32</f>
        <v>19</v>
      </c>
      <c r="C36" s="77">
        <f t="shared" si="14"/>
        <v>163809464.88379997</v>
      </c>
      <c r="D36" s="78">
        <f t="shared" si="14"/>
        <v>78127385.143800005</v>
      </c>
      <c r="E36" s="43">
        <f t="shared" si="14"/>
        <v>85682079.74000001</v>
      </c>
      <c r="F36" s="79">
        <f t="shared" si="14"/>
        <v>0</v>
      </c>
      <c r="G36" s="77">
        <f t="shared" si="14"/>
        <v>0</v>
      </c>
      <c r="H36" s="77">
        <f t="shared" si="14"/>
        <v>0</v>
      </c>
      <c r="I36" s="77">
        <f t="shared" si="14"/>
        <v>0</v>
      </c>
      <c r="J36" s="77">
        <f t="shared" si="14"/>
        <v>26755996.100000001</v>
      </c>
      <c r="K36" s="77">
        <f t="shared" si="14"/>
        <v>48280015.320000008</v>
      </c>
      <c r="L36" s="77">
        <f t="shared" si="14"/>
        <v>10646068.32</v>
      </c>
      <c r="M36" s="77">
        <f t="shared" si="14"/>
        <v>0</v>
      </c>
      <c r="N36" s="77">
        <f t="shared" si="14"/>
        <v>0</v>
      </c>
      <c r="O36" s="80">
        <f t="shared" si="14"/>
        <v>0</v>
      </c>
      <c r="P36" s="178" t="b">
        <f t="shared" si="7"/>
        <v>1</v>
      </c>
      <c r="Q36" s="179" t="b">
        <f t="shared" si="8"/>
        <v>1</v>
      </c>
    </row>
    <row r="37" spans="1:17" ht="15.75" thickTop="1"/>
    <row r="38" spans="1:17">
      <c r="B38" s="1" t="b">
        <f>B33=B34+B35+B36</f>
        <v>1</v>
      </c>
      <c r="C38" s="8" t="b">
        <f t="shared" ref="C38:O38" si="15">C33=C34+C35+C36</f>
        <v>1</v>
      </c>
      <c r="D38" s="8" t="b">
        <f t="shared" si="15"/>
        <v>1</v>
      </c>
      <c r="E38" s="8" t="b">
        <f t="shared" si="15"/>
        <v>1</v>
      </c>
      <c r="F38" s="8" t="b">
        <f t="shared" si="15"/>
        <v>1</v>
      </c>
      <c r="G38" s="8" t="b">
        <f t="shared" si="15"/>
        <v>1</v>
      </c>
      <c r="H38" s="8" t="b">
        <f t="shared" si="15"/>
        <v>1</v>
      </c>
      <c r="I38" s="8" t="b">
        <f t="shared" si="15"/>
        <v>1</v>
      </c>
      <c r="J38" s="8" t="b">
        <f t="shared" si="15"/>
        <v>1</v>
      </c>
      <c r="K38" s="8" t="b">
        <f t="shared" si="15"/>
        <v>1</v>
      </c>
      <c r="L38" s="8" t="b">
        <f t="shared" si="15"/>
        <v>1</v>
      </c>
      <c r="M38" s="8" t="b">
        <f t="shared" si="15"/>
        <v>1</v>
      </c>
      <c r="N38" s="8" t="b">
        <f t="shared" si="15"/>
        <v>1</v>
      </c>
      <c r="O38" s="8" t="b">
        <f t="shared" si="15"/>
        <v>1</v>
      </c>
    </row>
    <row r="39" spans="1:17">
      <c r="B39" s="1" t="b">
        <f>B21=B34</f>
        <v>1</v>
      </c>
      <c r="C39" s="8" t="b">
        <f t="shared" ref="C39:O39" si="16">C21=C34</f>
        <v>1</v>
      </c>
      <c r="D39" s="8" t="b">
        <f t="shared" si="16"/>
        <v>1</v>
      </c>
      <c r="E39" s="8" t="b">
        <f t="shared" si="16"/>
        <v>1</v>
      </c>
      <c r="F39" s="8" t="b">
        <f t="shared" si="16"/>
        <v>1</v>
      </c>
      <c r="G39" s="8" t="b">
        <f t="shared" si="16"/>
        <v>1</v>
      </c>
      <c r="H39" s="8" t="b">
        <f t="shared" si="16"/>
        <v>1</v>
      </c>
      <c r="I39" s="8" t="b">
        <f t="shared" si="16"/>
        <v>1</v>
      </c>
      <c r="J39" s="8" t="b">
        <f t="shared" si="16"/>
        <v>1</v>
      </c>
      <c r="K39" s="8" t="b">
        <f t="shared" si="16"/>
        <v>1</v>
      </c>
      <c r="L39" s="8" t="b">
        <f t="shared" si="16"/>
        <v>1</v>
      </c>
      <c r="M39" s="8" t="b">
        <f t="shared" si="16"/>
        <v>1</v>
      </c>
      <c r="N39" s="8" t="b">
        <f t="shared" si="16"/>
        <v>1</v>
      </c>
      <c r="O39" s="8" t="b">
        <f t="shared" si="16"/>
        <v>1</v>
      </c>
    </row>
    <row r="40" spans="1:17">
      <c r="B40" s="1" t="b">
        <f>B14+B18+B25+B28=B35</f>
        <v>1</v>
      </c>
      <c r="C40" s="8" t="b">
        <f t="shared" ref="C40:O41" si="17">C14+C18+C25+C28=C35</f>
        <v>1</v>
      </c>
      <c r="D40" s="8" t="b">
        <f t="shared" si="17"/>
        <v>1</v>
      </c>
      <c r="E40" s="8" t="b">
        <f t="shared" si="17"/>
        <v>1</v>
      </c>
      <c r="F40" s="8" t="b">
        <f t="shared" si="17"/>
        <v>1</v>
      </c>
      <c r="G40" s="96" t="b">
        <f t="shared" si="17"/>
        <v>1</v>
      </c>
      <c r="H40" s="96" t="b">
        <f t="shared" si="17"/>
        <v>1</v>
      </c>
      <c r="I40" s="96" t="b">
        <f t="shared" si="17"/>
        <v>1</v>
      </c>
      <c r="J40" s="96" t="b">
        <f t="shared" si="17"/>
        <v>1</v>
      </c>
      <c r="K40" s="96" t="b">
        <f t="shared" si="17"/>
        <v>1</v>
      </c>
      <c r="L40" s="96" t="b">
        <f t="shared" si="17"/>
        <v>1</v>
      </c>
      <c r="M40" s="96" t="b">
        <f t="shared" si="17"/>
        <v>1</v>
      </c>
      <c r="N40" s="8" t="b">
        <f t="shared" si="17"/>
        <v>1</v>
      </c>
      <c r="O40" s="8" t="b">
        <f t="shared" si="17"/>
        <v>1</v>
      </c>
    </row>
    <row r="41" spans="1:17">
      <c r="B41" s="1" t="b">
        <f>B15+B19+B26+B29=B36</f>
        <v>1</v>
      </c>
      <c r="C41" s="8" t="b">
        <f t="shared" si="17"/>
        <v>1</v>
      </c>
      <c r="D41" s="8" t="b">
        <f t="shared" si="17"/>
        <v>1</v>
      </c>
      <c r="E41" s="8" t="b">
        <f t="shared" si="17"/>
        <v>1</v>
      </c>
      <c r="F41" s="8" t="b">
        <f t="shared" si="17"/>
        <v>1</v>
      </c>
      <c r="G41" s="8" t="b">
        <f t="shared" si="17"/>
        <v>1</v>
      </c>
      <c r="H41" s="8" t="b">
        <f t="shared" si="17"/>
        <v>1</v>
      </c>
      <c r="I41" s="8" t="b">
        <f t="shared" si="17"/>
        <v>1</v>
      </c>
      <c r="J41" s="8" t="b">
        <f t="shared" si="17"/>
        <v>1</v>
      </c>
      <c r="K41" s="8" t="b">
        <f t="shared" si="17"/>
        <v>1</v>
      </c>
      <c r="L41" s="8" t="b">
        <f t="shared" si="17"/>
        <v>1</v>
      </c>
      <c r="M41" s="8" t="b">
        <f t="shared" si="17"/>
        <v>1</v>
      </c>
      <c r="N41" s="8" t="b">
        <f t="shared" si="17"/>
        <v>1</v>
      </c>
      <c r="O41" s="8" t="b">
        <f t="shared" si="17"/>
        <v>1</v>
      </c>
    </row>
    <row r="42" spans="1:17">
      <c r="B42" s="1" t="b">
        <f>B12=B13+B14+B15</f>
        <v>1</v>
      </c>
      <c r="C42" s="8" t="b">
        <f t="shared" ref="C42:O42" si="18">C12=C13+C14+C15</f>
        <v>1</v>
      </c>
      <c r="D42" s="8" t="b">
        <f t="shared" si="18"/>
        <v>1</v>
      </c>
      <c r="E42" s="8" t="b">
        <f t="shared" si="18"/>
        <v>1</v>
      </c>
      <c r="F42" s="8" t="b">
        <f t="shared" si="18"/>
        <v>1</v>
      </c>
      <c r="G42" s="96" t="b">
        <f t="shared" si="18"/>
        <v>1</v>
      </c>
      <c r="H42" s="8" t="b">
        <f t="shared" si="18"/>
        <v>1</v>
      </c>
      <c r="I42" s="8" t="b">
        <f t="shared" si="18"/>
        <v>1</v>
      </c>
      <c r="J42" s="8" t="b">
        <f t="shared" si="18"/>
        <v>1</v>
      </c>
      <c r="K42" s="8" t="b">
        <f t="shared" si="18"/>
        <v>1</v>
      </c>
      <c r="L42" s="8" t="b">
        <f t="shared" si="18"/>
        <v>1</v>
      </c>
      <c r="M42" s="8" t="b">
        <f t="shared" si="18"/>
        <v>1</v>
      </c>
      <c r="N42" s="8" t="b">
        <f t="shared" si="18"/>
        <v>1</v>
      </c>
      <c r="O42" s="8" t="b">
        <f t="shared" si="18"/>
        <v>1</v>
      </c>
    </row>
    <row r="43" spans="1:17">
      <c r="B43" s="1" t="b">
        <f>B16=B17+B18+B19</f>
        <v>1</v>
      </c>
      <c r="C43" s="8" t="b">
        <f t="shared" ref="C43:O43" si="19">C16=C17+C18+C19</f>
        <v>1</v>
      </c>
      <c r="D43" s="8" t="b">
        <f t="shared" si="19"/>
        <v>1</v>
      </c>
      <c r="E43" s="8" t="b">
        <f t="shared" si="19"/>
        <v>1</v>
      </c>
      <c r="F43" s="8" t="b">
        <f t="shared" si="19"/>
        <v>1</v>
      </c>
      <c r="G43" s="8" t="b">
        <f t="shared" si="19"/>
        <v>1</v>
      </c>
      <c r="H43" s="8" t="b">
        <f t="shared" si="19"/>
        <v>1</v>
      </c>
      <c r="I43" s="8" t="b">
        <f t="shared" si="19"/>
        <v>1</v>
      </c>
      <c r="J43" s="8" t="b">
        <f t="shared" si="19"/>
        <v>1</v>
      </c>
      <c r="K43" s="8" t="b">
        <f t="shared" si="19"/>
        <v>1</v>
      </c>
      <c r="L43" s="8" t="b">
        <f t="shared" si="19"/>
        <v>1</v>
      </c>
      <c r="M43" s="8" t="b">
        <f t="shared" si="19"/>
        <v>1</v>
      </c>
      <c r="N43" s="8" t="b">
        <f t="shared" si="19"/>
        <v>1</v>
      </c>
      <c r="O43" s="8" t="b">
        <f t="shared" si="19"/>
        <v>1</v>
      </c>
    </row>
    <row r="44" spans="1:17">
      <c r="B44" s="1" t="b">
        <f>B20=B21+B22+B23</f>
        <v>1</v>
      </c>
      <c r="C44" s="8" t="b">
        <f t="shared" ref="C44:O44" si="20">C20=C21+C22+C23</f>
        <v>1</v>
      </c>
      <c r="D44" s="8" t="b">
        <f t="shared" si="20"/>
        <v>1</v>
      </c>
      <c r="E44" s="8" t="b">
        <f t="shared" si="20"/>
        <v>1</v>
      </c>
      <c r="F44" s="8" t="b">
        <f t="shared" si="20"/>
        <v>1</v>
      </c>
      <c r="G44" s="8" t="b">
        <f t="shared" si="20"/>
        <v>1</v>
      </c>
      <c r="H44" s="8" t="b">
        <f t="shared" si="20"/>
        <v>1</v>
      </c>
      <c r="I44" s="8" t="b">
        <f t="shared" si="20"/>
        <v>1</v>
      </c>
      <c r="J44" s="8" t="b">
        <f t="shared" si="20"/>
        <v>1</v>
      </c>
      <c r="K44" s="8" t="b">
        <f t="shared" si="20"/>
        <v>1</v>
      </c>
      <c r="L44" s="8" t="b">
        <f t="shared" si="20"/>
        <v>1</v>
      </c>
      <c r="M44" s="8" t="b">
        <f t="shared" si="20"/>
        <v>1</v>
      </c>
      <c r="N44" s="8" t="b">
        <f t="shared" si="20"/>
        <v>1</v>
      </c>
      <c r="O44" s="8" t="b">
        <f t="shared" si="20"/>
        <v>1</v>
      </c>
    </row>
    <row r="45" spans="1:17">
      <c r="B45" s="1" t="b">
        <f>B24=B25+B26</f>
        <v>1</v>
      </c>
      <c r="C45" s="8" t="b">
        <f t="shared" ref="C45:O45" si="21">C24=C25+C26</f>
        <v>1</v>
      </c>
      <c r="D45" s="8" t="b">
        <f t="shared" si="21"/>
        <v>1</v>
      </c>
      <c r="E45" s="8" t="b">
        <f t="shared" si="21"/>
        <v>1</v>
      </c>
      <c r="F45" s="8" t="b">
        <f t="shared" si="21"/>
        <v>1</v>
      </c>
      <c r="G45" s="8" t="b">
        <f t="shared" si="21"/>
        <v>1</v>
      </c>
      <c r="H45" s="8" t="b">
        <f t="shared" si="21"/>
        <v>1</v>
      </c>
      <c r="I45" s="8" t="b">
        <f t="shared" si="21"/>
        <v>1</v>
      </c>
      <c r="J45" s="8" t="b">
        <f t="shared" si="21"/>
        <v>1</v>
      </c>
      <c r="K45" s="8" t="b">
        <f t="shared" si="21"/>
        <v>1</v>
      </c>
      <c r="L45" s="8" t="b">
        <f t="shared" si="21"/>
        <v>1</v>
      </c>
      <c r="M45" s="8" t="b">
        <f t="shared" si="21"/>
        <v>1</v>
      </c>
      <c r="N45" s="8" t="b">
        <f t="shared" si="21"/>
        <v>1</v>
      </c>
      <c r="O45" s="8" t="b">
        <f t="shared" si="21"/>
        <v>1</v>
      </c>
    </row>
    <row r="46" spans="1:17">
      <c r="B46" s="1" t="b">
        <f>B27=B28+B29</f>
        <v>1</v>
      </c>
      <c r="C46" s="8" t="b">
        <f t="shared" ref="C46:O46" si="22">C27=C28+C29</f>
        <v>1</v>
      </c>
      <c r="D46" s="8" t="b">
        <f t="shared" si="22"/>
        <v>1</v>
      </c>
      <c r="E46" s="8" t="b">
        <f t="shared" si="22"/>
        <v>1</v>
      </c>
      <c r="F46" s="8" t="b">
        <f t="shared" si="22"/>
        <v>1</v>
      </c>
      <c r="G46" s="8" t="b">
        <f t="shared" si="22"/>
        <v>1</v>
      </c>
      <c r="H46" s="8" t="b">
        <f t="shared" si="22"/>
        <v>1</v>
      </c>
      <c r="I46" s="8" t="b">
        <f t="shared" si="22"/>
        <v>1</v>
      </c>
      <c r="J46" s="8" t="b">
        <f t="shared" si="22"/>
        <v>1</v>
      </c>
      <c r="K46" s="8" t="b">
        <f t="shared" si="22"/>
        <v>1</v>
      </c>
      <c r="L46" s="8" t="b">
        <f t="shared" si="22"/>
        <v>1</v>
      </c>
      <c r="M46" s="8" t="b">
        <f t="shared" si="22"/>
        <v>1</v>
      </c>
      <c r="N46" s="8" t="b">
        <f t="shared" si="22"/>
        <v>1</v>
      </c>
      <c r="O46" s="8" t="b">
        <f t="shared" si="22"/>
        <v>1</v>
      </c>
    </row>
    <row r="47" spans="1:17">
      <c r="B47" s="1" t="b">
        <f>B30=+B31+B32</f>
        <v>1</v>
      </c>
      <c r="C47" s="8" t="b">
        <f t="shared" ref="C47:O47" si="23">C30=+C31+C32</f>
        <v>1</v>
      </c>
      <c r="D47" s="8" t="b">
        <f t="shared" si="23"/>
        <v>1</v>
      </c>
      <c r="E47" s="8" t="b">
        <f t="shared" si="23"/>
        <v>1</v>
      </c>
      <c r="F47" s="8" t="b">
        <f t="shared" si="23"/>
        <v>1</v>
      </c>
      <c r="G47" s="8" t="b">
        <f t="shared" si="23"/>
        <v>1</v>
      </c>
      <c r="H47" s="8" t="b">
        <f t="shared" si="23"/>
        <v>1</v>
      </c>
      <c r="I47" s="8" t="b">
        <f t="shared" si="23"/>
        <v>1</v>
      </c>
      <c r="J47" s="8" t="b">
        <f t="shared" si="23"/>
        <v>1</v>
      </c>
      <c r="K47" s="8" t="b">
        <f t="shared" si="23"/>
        <v>1</v>
      </c>
      <c r="L47" s="8" t="b">
        <f t="shared" si="23"/>
        <v>1</v>
      </c>
      <c r="M47" s="8" t="b">
        <f t="shared" si="23"/>
        <v>1</v>
      </c>
      <c r="N47" s="8" t="b">
        <f t="shared" si="23"/>
        <v>1</v>
      </c>
      <c r="O47" s="8" t="b">
        <f t="shared" si="23"/>
        <v>1</v>
      </c>
    </row>
  </sheetData>
  <mergeCells count="8"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&amp;K000000Zachodniopomorskie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showGridLines="0" view="pageBreakPreview" zoomScale="90" zoomScaleNormal="78" zoomScaleSheetLayoutView="90" workbookViewId="0">
      <selection sqref="A1:A2"/>
    </sheetView>
  </sheetViews>
  <sheetFormatPr defaultRowHeight="11.25"/>
  <cols>
    <col min="1" max="1" width="5" style="131" customWidth="1"/>
    <col min="2" max="2" width="12" style="131" customWidth="1"/>
    <col min="3" max="4" width="14.5703125" style="131" customWidth="1"/>
    <col min="5" max="5" width="10.7109375" style="131" customWidth="1"/>
    <col min="6" max="6" width="43.28515625" style="131" customWidth="1"/>
    <col min="7" max="7" width="8.7109375" style="131" customWidth="1"/>
    <col min="8" max="9" width="15.85546875" style="131" customWidth="1"/>
    <col min="10" max="10" width="17.42578125" style="131" customWidth="1"/>
    <col min="11" max="11" width="16.7109375" style="131" customWidth="1"/>
    <col min="12" max="12" width="17.85546875" style="131" customWidth="1"/>
    <col min="13" max="13" width="15.5703125" style="129" customWidth="1"/>
    <col min="14" max="14" width="13" style="131" customWidth="1"/>
    <col min="15" max="15" width="16" style="131" customWidth="1"/>
    <col min="16" max="16" width="14.5703125" style="131" customWidth="1"/>
    <col min="17" max="17" width="14.7109375" style="131" bestFit="1" customWidth="1"/>
    <col min="18" max="18" width="16.85546875" style="131" bestFit="1" customWidth="1"/>
    <col min="19" max="19" width="17.140625" style="131" customWidth="1"/>
    <col min="20" max="20" width="9.85546875" style="131" customWidth="1"/>
    <col min="21" max="21" width="10.140625" style="131" customWidth="1"/>
    <col min="22" max="23" width="9.85546875" style="131" customWidth="1"/>
    <col min="24" max="24" width="15.7109375" style="130" customWidth="1"/>
    <col min="25" max="25" width="16" style="129" customWidth="1"/>
    <col min="26" max="26" width="15.7109375" style="129" customWidth="1"/>
    <col min="27" max="27" width="15.7109375" style="130" customWidth="1"/>
    <col min="28" max="16384" width="9.140625" style="131"/>
  </cols>
  <sheetData>
    <row r="1" spans="1:27" ht="25.5" customHeight="1">
      <c r="A1" s="315" t="s">
        <v>4</v>
      </c>
      <c r="B1" s="315" t="s">
        <v>5</v>
      </c>
      <c r="C1" s="316" t="s">
        <v>44</v>
      </c>
      <c r="D1" s="311" t="s">
        <v>6</v>
      </c>
      <c r="E1" s="311" t="s">
        <v>33</v>
      </c>
      <c r="F1" s="311" t="s">
        <v>7</v>
      </c>
      <c r="G1" s="315" t="s">
        <v>26</v>
      </c>
      <c r="H1" s="315" t="s">
        <v>8</v>
      </c>
      <c r="I1" s="315" t="s">
        <v>23</v>
      </c>
      <c r="J1" s="315" t="s">
        <v>9</v>
      </c>
      <c r="K1" s="315" t="s">
        <v>16</v>
      </c>
      <c r="L1" s="311" t="s">
        <v>13</v>
      </c>
      <c r="M1" s="315" t="s">
        <v>11</v>
      </c>
      <c r="N1" s="315" t="s">
        <v>12</v>
      </c>
      <c r="O1" s="315"/>
      <c r="P1" s="315"/>
      <c r="Q1" s="315"/>
      <c r="R1" s="315"/>
      <c r="S1" s="315"/>
      <c r="T1" s="315"/>
      <c r="U1" s="315"/>
      <c r="V1" s="315"/>
      <c r="W1" s="315"/>
      <c r="X1" s="132"/>
      <c r="Y1" s="132"/>
      <c r="Z1" s="132"/>
      <c r="AA1" s="133"/>
    </row>
    <row r="2" spans="1:27" ht="27.75" customHeight="1">
      <c r="A2" s="315"/>
      <c r="B2" s="315"/>
      <c r="C2" s="317"/>
      <c r="D2" s="312"/>
      <c r="E2" s="312"/>
      <c r="F2" s="312"/>
      <c r="G2" s="315"/>
      <c r="H2" s="315"/>
      <c r="I2" s="315"/>
      <c r="J2" s="315"/>
      <c r="K2" s="315"/>
      <c r="L2" s="312"/>
      <c r="M2" s="315"/>
      <c r="N2" s="101">
        <v>2019</v>
      </c>
      <c r="O2" s="101">
        <v>2020</v>
      </c>
      <c r="P2" s="101">
        <v>2021</v>
      </c>
      <c r="Q2" s="101">
        <v>2022</v>
      </c>
      <c r="R2" s="101">
        <v>2023</v>
      </c>
      <c r="S2" s="101">
        <v>2024</v>
      </c>
      <c r="T2" s="101">
        <v>2025</v>
      </c>
      <c r="U2" s="101">
        <v>2026</v>
      </c>
      <c r="V2" s="101">
        <v>2027</v>
      </c>
      <c r="W2" s="101">
        <v>2028</v>
      </c>
      <c r="X2" s="132" t="s">
        <v>29</v>
      </c>
      <c r="Y2" s="132" t="s">
        <v>30</v>
      </c>
      <c r="Z2" s="132" t="s">
        <v>31</v>
      </c>
      <c r="AA2" s="132" t="s">
        <v>32</v>
      </c>
    </row>
    <row r="3" spans="1:27" ht="25.5">
      <c r="A3" s="211">
        <v>1</v>
      </c>
      <c r="B3" s="201" t="s">
        <v>116</v>
      </c>
      <c r="C3" s="212" t="s">
        <v>117</v>
      </c>
      <c r="D3" s="201" t="s">
        <v>118</v>
      </c>
      <c r="E3" s="213" t="s">
        <v>110</v>
      </c>
      <c r="F3" s="214" t="s">
        <v>119</v>
      </c>
      <c r="G3" s="201" t="s">
        <v>120</v>
      </c>
      <c r="H3" s="204">
        <v>12.266999999999999</v>
      </c>
      <c r="I3" s="215" t="s">
        <v>121</v>
      </c>
      <c r="J3" s="184">
        <f>20088584.29-55510</f>
        <v>20033074.289999999</v>
      </c>
      <c r="K3" s="182">
        <f>O3+P3+Q3+R3+S3</f>
        <v>10015311.449999999</v>
      </c>
      <c r="L3" s="183">
        <f t="shared" ref="L3:L23" si="0">J3-K3</f>
        <v>10017762.84</v>
      </c>
      <c r="M3" s="181">
        <v>0.5</v>
      </c>
      <c r="N3" s="182">
        <v>0</v>
      </c>
      <c r="O3" s="182">
        <f>2764061.09-2300000</f>
        <v>464061.08999999985</v>
      </c>
      <c r="P3" s="183">
        <v>1023340.9</v>
      </c>
      <c r="Q3" s="183">
        <v>2937012.46</v>
      </c>
      <c r="R3" s="183">
        <v>2554136.7000000002</v>
      </c>
      <c r="S3" s="183">
        <v>3036760.3</v>
      </c>
      <c r="T3" s="223"/>
      <c r="U3" s="223"/>
      <c r="V3" s="224"/>
      <c r="W3" s="224"/>
      <c r="X3" s="132" t="b">
        <f t="shared" ref="X3" si="1">K3=SUM(N3:W3)</f>
        <v>1</v>
      </c>
      <c r="Y3" s="134">
        <f t="shared" ref="Y3" si="2">ROUND(K3/J3,4)</f>
        <v>0.49990000000000001</v>
      </c>
      <c r="Z3" s="135" t="b">
        <f t="shared" ref="Z3" si="3">Y3=M3</f>
        <v>0</v>
      </c>
      <c r="AA3" s="135" t="b">
        <f t="shared" ref="AA3" si="4">J3=K3+L3</f>
        <v>1</v>
      </c>
    </row>
    <row r="4" spans="1:27" ht="25.5">
      <c r="A4" s="201">
        <v>2</v>
      </c>
      <c r="B4" s="201" t="s">
        <v>122</v>
      </c>
      <c r="C4" s="212" t="s">
        <v>117</v>
      </c>
      <c r="D4" s="201" t="s">
        <v>124</v>
      </c>
      <c r="E4" s="213" t="s">
        <v>57</v>
      </c>
      <c r="F4" s="214" t="s">
        <v>125</v>
      </c>
      <c r="G4" s="203" t="s">
        <v>126</v>
      </c>
      <c r="H4" s="204">
        <v>0.97299999999999998</v>
      </c>
      <c r="I4" s="216" t="s">
        <v>127</v>
      </c>
      <c r="J4" s="205">
        <v>11072695.1</v>
      </c>
      <c r="K4" s="185">
        <v>4302021.9400000004</v>
      </c>
      <c r="L4" s="217">
        <f t="shared" si="0"/>
        <v>6770673.1599999992</v>
      </c>
      <c r="M4" s="181">
        <v>0.5</v>
      </c>
      <c r="N4" s="182">
        <v>0</v>
      </c>
      <c r="O4" s="182">
        <v>0</v>
      </c>
      <c r="P4" s="183">
        <v>0</v>
      </c>
      <c r="Q4" s="218">
        <v>1500000</v>
      </c>
      <c r="R4" s="219">
        <f>K4-Q4</f>
        <v>2802021.9400000004</v>
      </c>
      <c r="S4" s="183"/>
      <c r="T4" s="183"/>
      <c r="U4" s="183"/>
      <c r="V4" s="217"/>
      <c r="W4" s="217"/>
      <c r="X4" s="132" t="b">
        <f t="shared" ref="X4:X24" si="5">K4=SUM(N4:W4)</f>
        <v>1</v>
      </c>
      <c r="Y4" s="134">
        <f t="shared" ref="Y4:Y24" si="6">ROUND(K4/J4,4)</f>
        <v>0.38850000000000001</v>
      </c>
      <c r="Z4" s="135" t="b">
        <f t="shared" ref="Z4:Z24" si="7">Y4=M4</f>
        <v>0</v>
      </c>
      <c r="AA4" s="135" t="b">
        <f t="shared" ref="AA4:AA24" si="8">J4=K4+L4</f>
        <v>1</v>
      </c>
    </row>
    <row r="5" spans="1:27" ht="25.5">
      <c r="A5" s="201">
        <v>3</v>
      </c>
      <c r="B5" s="201" t="s">
        <v>156</v>
      </c>
      <c r="C5" s="212" t="s">
        <v>123</v>
      </c>
      <c r="D5" s="201" t="s">
        <v>171</v>
      </c>
      <c r="E5" s="213" t="s">
        <v>109</v>
      </c>
      <c r="F5" s="214" t="s">
        <v>180</v>
      </c>
      <c r="G5" s="203" t="s">
        <v>120</v>
      </c>
      <c r="H5" s="204">
        <v>0.95</v>
      </c>
      <c r="I5" s="225" t="s">
        <v>245</v>
      </c>
      <c r="J5" s="205">
        <v>8600000</v>
      </c>
      <c r="K5" s="226">
        <f t="shared" ref="K5:K23" si="9">ROUND(J5*M5,2)</f>
        <v>4300000</v>
      </c>
      <c r="L5" s="223">
        <f t="shared" si="0"/>
        <v>4300000</v>
      </c>
      <c r="M5" s="181">
        <v>0.5</v>
      </c>
      <c r="N5" s="182">
        <v>0</v>
      </c>
      <c r="O5" s="182">
        <v>0</v>
      </c>
      <c r="P5" s="183">
        <v>0</v>
      </c>
      <c r="Q5" s="183">
        <v>0</v>
      </c>
      <c r="R5" s="227">
        <v>2000000</v>
      </c>
      <c r="S5" s="183">
        <f>K5-R5</f>
        <v>2300000</v>
      </c>
      <c r="T5" s="183"/>
      <c r="U5" s="183"/>
      <c r="V5" s="217"/>
      <c r="W5" s="217"/>
      <c r="X5" s="132" t="b">
        <f t="shared" si="5"/>
        <v>1</v>
      </c>
      <c r="Y5" s="134">
        <f t="shared" si="6"/>
        <v>0.5</v>
      </c>
      <c r="Z5" s="135" t="b">
        <f t="shared" si="7"/>
        <v>1</v>
      </c>
      <c r="AA5" s="135" t="b">
        <f t="shared" si="8"/>
        <v>1</v>
      </c>
    </row>
    <row r="6" spans="1:27" ht="25.5">
      <c r="A6" s="200">
        <v>4</v>
      </c>
      <c r="B6" s="200" t="s">
        <v>157</v>
      </c>
      <c r="C6" s="228" t="s">
        <v>194</v>
      </c>
      <c r="D6" s="200" t="s">
        <v>172</v>
      </c>
      <c r="E6" s="229" t="s">
        <v>55</v>
      </c>
      <c r="F6" s="230" t="s">
        <v>181</v>
      </c>
      <c r="G6" s="207" t="s">
        <v>126</v>
      </c>
      <c r="H6" s="208">
        <v>0.85</v>
      </c>
      <c r="I6" s="231" t="s">
        <v>246</v>
      </c>
      <c r="J6" s="209">
        <v>10008434.92</v>
      </c>
      <c r="K6" s="232">
        <f t="shared" si="9"/>
        <v>5004217.46</v>
      </c>
      <c r="L6" s="233">
        <f t="shared" si="0"/>
        <v>5004217.46</v>
      </c>
      <c r="M6" s="192">
        <v>0.5</v>
      </c>
      <c r="N6" s="193">
        <v>0</v>
      </c>
      <c r="O6" s="193">
        <v>0</v>
      </c>
      <c r="P6" s="194">
        <v>0</v>
      </c>
      <c r="Q6" s="194">
        <v>0</v>
      </c>
      <c r="R6" s="234">
        <f>K6</f>
        <v>5004217.46</v>
      </c>
      <c r="S6" s="194"/>
      <c r="T6" s="194"/>
      <c r="U6" s="194"/>
      <c r="V6" s="235"/>
      <c r="W6" s="235"/>
      <c r="X6" s="132" t="b">
        <f t="shared" si="5"/>
        <v>1</v>
      </c>
      <c r="Y6" s="134">
        <f t="shared" si="6"/>
        <v>0.5</v>
      </c>
      <c r="Z6" s="135" t="b">
        <f t="shared" si="7"/>
        <v>1</v>
      </c>
      <c r="AA6" s="135" t="b">
        <f t="shared" si="8"/>
        <v>1</v>
      </c>
    </row>
    <row r="7" spans="1:27" ht="38.25">
      <c r="A7" s="200">
        <v>5</v>
      </c>
      <c r="B7" s="200" t="s">
        <v>155</v>
      </c>
      <c r="C7" s="228" t="s">
        <v>194</v>
      </c>
      <c r="D7" s="200" t="s">
        <v>170</v>
      </c>
      <c r="E7" s="229" t="s">
        <v>56</v>
      </c>
      <c r="F7" s="230" t="s">
        <v>179</v>
      </c>
      <c r="G7" s="207" t="s">
        <v>120</v>
      </c>
      <c r="H7" s="208">
        <v>7.4119999999999999</v>
      </c>
      <c r="I7" s="231" t="s">
        <v>244</v>
      </c>
      <c r="J7" s="209">
        <v>25084993.210000001</v>
      </c>
      <c r="K7" s="232">
        <f t="shared" si="9"/>
        <v>12542496.609999999</v>
      </c>
      <c r="L7" s="233">
        <f t="shared" si="0"/>
        <v>12542496.600000001</v>
      </c>
      <c r="M7" s="192">
        <v>0.5</v>
      </c>
      <c r="N7" s="193">
        <v>0</v>
      </c>
      <c r="O7" s="193">
        <v>0</v>
      </c>
      <c r="P7" s="194">
        <v>0</v>
      </c>
      <c r="Q7" s="194">
        <v>0</v>
      </c>
      <c r="R7" s="234">
        <f>K7</f>
        <v>12542496.609999999</v>
      </c>
      <c r="S7" s="194"/>
      <c r="T7" s="194"/>
      <c r="U7" s="194"/>
      <c r="V7" s="235"/>
      <c r="W7" s="235"/>
      <c r="X7" s="132" t="b">
        <f t="shared" si="5"/>
        <v>1</v>
      </c>
      <c r="Y7" s="134">
        <f t="shared" si="6"/>
        <v>0.5</v>
      </c>
      <c r="Z7" s="135" t="b">
        <f t="shared" si="7"/>
        <v>1</v>
      </c>
      <c r="AA7" s="135" t="b">
        <f t="shared" si="8"/>
        <v>1</v>
      </c>
    </row>
    <row r="8" spans="1:27" ht="25.5">
      <c r="A8" s="201">
        <v>6</v>
      </c>
      <c r="B8" s="201" t="s">
        <v>158</v>
      </c>
      <c r="C8" s="212" t="s">
        <v>123</v>
      </c>
      <c r="D8" s="201" t="s">
        <v>124</v>
      </c>
      <c r="E8" s="213" t="s">
        <v>57</v>
      </c>
      <c r="F8" s="214" t="s">
        <v>182</v>
      </c>
      <c r="G8" s="203" t="s">
        <v>126</v>
      </c>
      <c r="H8" s="204">
        <v>1.153</v>
      </c>
      <c r="I8" s="225" t="s">
        <v>247</v>
      </c>
      <c r="J8" s="205">
        <v>9923966.1899999995</v>
      </c>
      <c r="K8" s="226">
        <f t="shared" si="9"/>
        <v>4961983.0999999996</v>
      </c>
      <c r="L8" s="223">
        <f t="shared" si="0"/>
        <v>4961983.09</v>
      </c>
      <c r="M8" s="181">
        <v>0.5</v>
      </c>
      <c r="N8" s="182">
        <v>0</v>
      </c>
      <c r="O8" s="182">
        <v>0</v>
      </c>
      <c r="P8" s="183">
        <v>0</v>
      </c>
      <c r="Q8" s="183">
        <v>0</v>
      </c>
      <c r="R8" s="227">
        <f>1600000</f>
        <v>1600000</v>
      </c>
      <c r="S8" s="183">
        <f>K8-R8</f>
        <v>3361983.0999999996</v>
      </c>
      <c r="T8" s="183"/>
      <c r="U8" s="183"/>
      <c r="V8" s="217"/>
      <c r="W8" s="217"/>
      <c r="X8" s="132" t="b">
        <f t="shared" si="5"/>
        <v>1</v>
      </c>
      <c r="Y8" s="134">
        <f t="shared" si="6"/>
        <v>0.5</v>
      </c>
      <c r="Z8" s="135" t="b">
        <f t="shared" si="7"/>
        <v>1</v>
      </c>
      <c r="AA8" s="135" t="b">
        <f t="shared" si="8"/>
        <v>1</v>
      </c>
    </row>
    <row r="9" spans="1:27" s="8" customFormat="1" ht="38.25">
      <c r="A9" s="201">
        <v>7</v>
      </c>
      <c r="B9" s="201" t="s">
        <v>159</v>
      </c>
      <c r="C9" s="212" t="s">
        <v>123</v>
      </c>
      <c r="D9" s="201" t="s">
        <v>124</v>
      </c>
      <c r="E9" s="213" t="s">
        <v>57</v>
      </c>
      <c r="F9" s="214" t="s">
        <v>183</v>
      </c>
      <c r="G9" s="203" t="s">
        <v>126</v>
      </c>
      <c r="H9" s="204">
        <v>1.04</v>
      </c>
      <c r="I9" s="225" t="s">
        <v>248</v>
      </c>
      <c r="J9" s="205">
        <v>10008170.67</v>
      </c>
      <c r="K9" s="226">
        <f t="shared" si="9"/>
        <v>5004085.34</v>
      </c>
      <c r="L9" s="223">
        <f t="shared" si="0"/>
        <v>5004085.33</v>
      </c>
      <c r="M9" s="181">
        <v>0.5</v>
      </c>
      <c r="N9" s="182">
        <v>0</v>
      </c>
      <c r="O9" s="182">
        <v>0</v>
      </c>
      <c r="P9" s="183">
        <v>0</v>
      </c>
      <c r="Q9" s="183">
        <v>0</v>
      </c>
      <c r="R9" s="227">
        <f>1400000</f>
        <v>1400000</v>
      </c>
      <c r="S9" s="183">
        <f>K9-R9</f>
        <v>3604085.34</v>
      </c>
      <c r="T9" s="183"/>
      <c r="U9" s="183"/>
      <c r="V9" s="217"/>
      <c r="W9" s="217"/>
      <c r="X9" s="132" t="b">
        <f t="shared" si="5"/>
        <v>1</v>
      </c>
      <c r="Y9" s="134">
        <f t="shared" si="6"/>
        <v>0.5</v>
      </c>
      <c r="Z9" s="135" t="b">
        <f t="shared" si="7"/>
        <v>1</v>
      </c>
      <c r="AA9" s="135" t="b">
        <f t="shared" si="8"/>
        <v>1</v>
      </c>
    </row>
    <row r="10" spans="1:27" s="8" customFormat="1" ht="38.25">
      <c r="A10" s="201">
        <v>8</v>
      </c>
      <c r="B10" s="201" t="s">
        <v>204</v>
      </c>
      <c r="C10" s="212" t="s">
        <v>123</v>
      </c>
      <c r="D10" s="201" t="s">
        <v>216</v>
      </c>
      <c r="E10" s="221">
        <v>3263011</v>
      </c>
      <c r="F10" s="214" t="s">
        <v>239</v>
      </c>
      <c r="G10" s="203" t="s">
        <v>120</v>
      </c>
      <c r="H10" s="204">
        <v>0.63</v>
      </c>
      <c r="I10" s="225" t="s">
        <v>249</v>
      </c>
      <c r="J10" s="205">
        <v>16160440.7938</v>
      </c>
      <c r="K10" s="226">
        <f t="shared" si="9"/>
        <v>8080220.4000000004</v>
      </c>
      <c r="L10" s="223">
        <f t="shared" si="0"/>
        <v>8080220.3937999997</v>
      </c>
      <c r="M10" s="181">
        <v>0.5</v>
      </c>
      <c r="N10" s="182">
        <v>0</v>
      </c>
      <c r="O10" s="182">
        <v>0</v>
      </c>
      <c r="P10" s="183">
        <v>0</v>
      </c>
      <c r="Q10" s="183">
        <v>0</v>
      </c>
      <c r="R10" s="227">
        <f>280220.4+200000+1000000</f>
        <v>1480220.4</v>
      </c>
      <c r="S10" s="183">
        <f>K10-R10</f>
        <v>6600000</v>
      </c>
      <c r="T10" s="183"/>
      <c r="U10" s="183"/>
      <c r="V10" s="217"/>
      <c r="W10" s="217"/>
      <c r="X10" s="132" t="b">
        <f t="shared" si="5"/>
        <v>1</v>
      </c>
      <c r="Y10" s="134">
        <f t="shared" si="6"/>
        <v>0.5</v>
      </c>
      <c r="Z10" s="135" t="b">
        <f t="shared" si="7"/>
        <v>1</v>
      </c>
      <c r="AA10" s="135" t="b">
        <f t="shared" si="8"/>
        <v>1</v>
      </c>
    </row>
    <row r="11" spans="1:27" customFormat="1" ht="25.5">
      <c r="A11" s="200">
        <v>9</v>
      </c>
      <c r="B11" s="200" t="s">
        <v>160</v>
      </c>
      <c r="C11" s="228" t="s">
        <v>194</v>
      </c>
      <c r="D11" s="200" t="s">
        <v>173</v>
      </c>
      <c r="E11" s="229" t="s">
        <v>105</v>
      </c>
      <c r="F11" s="230" t="s">
        <v>184</v>
      </c>
      <c r="G11" s="207" t="s">
        <v>120</v>
      </c>
      <c r="H11" s="208">
        <v>2.2989999999999999</v>
      </c>
      <c r="I11" s="231" t="s">
        <v>250</v>
      </c>
      <c r="J11" s="209">
        <v>6703078.4399999995</v>
      </c>
      <c r="K11" s="232">
        <f t="shared" si="9"/>
        <v>3351539.22</v>
      </c>
      <c r="L11" s="233">
        <f t="shared" si="0"/>
        <v>3351539.2199999993</v>
      </c>
      <c r="M11" s="192">
        <v>0.5</v>
      </c>
      <c r="N11" s="193">
        <v>0</v>
      </c>
      <c r="O11" s="193">
        <v>0</v>
      </c>
      <c r="P11" s="194">
        <v>0</v>
      </c>
      <c r="Q11" s="194">
        <v>0</v>
      </c>
      <c r="R11" s="234">
        <f>K11</f>
        <v>3351539.22</v>
      </c>
      <c r="S11" s="194"/>
      <c r="T11" s="194"/>
      <c r="U11" s="194"/>
      <c r="V11" s="235"/>
      <c r="W11" s="235"/>
      <c r="X11" s="132" t="b">
        <f t="shared" si="5"/>
        <v>1</v>
      </c>
      <c r="Y11" s="134">
        <f t="shared" si="6"/>
        <v>0.5</v>
      </c>
      <c r="Z11" s="135" t="b">
        <f t="shared" si="7"/>
        <v>1</v>
      </c>
      <c r="AA11" s="135" t="b">
        <f t="shared" si="8"/>
        <v>1</v>
      </c>
    </row>
    <row r="12" spans="1:27" customFormat="1" ht="38.25">
      <c r="A12" s="200">
        <v>10</v>
      </c>
      <c r="B12" s="200" t="s">
        <v>161</v>
      </c>
      <c r="C12" s="228" t="s">
        <v>194</v>
      </c>
      <c r="D12" s="200" t="s">
        <v>174</v>
      </c>
      <c r="E12" s="229" t="s">
        <v>107</v>
      </c>
      <c r="F12" s="230" t="s">
        <v>185</v>
      </c>
      <c r="G12" s="207" t="s">
        <v>120</v>
      </c>
      <c r="H12" s="208">
        <v>2.0920000000000001</v>
      </c>
      <c r="I12" s="231" t="s">
        <v>251</v>
      </c>
      <c r="J12" s="209">
        <v>5647565.7400000002</v>
      </c>
      <c r="K12" s="232">
        <f t="shared" si="9"/>
        <v>2823782.87</v>
      </c>
      <c r="L12" s="233">
        <f t="shared" si="0"/>
        <v>2823782.87</v>
      </c>
      <c r="M12" s="192">
        <v>0.5</v>
      </c>
      <c r="N12" s="193">
        <v>0</v>
      </c>
      <c r="O12" s="193">
        <v>0</v>
      </c>
      <c r="P12" s="194">
        <v>0</v>
      </c>
      <c r="Q12" s="194">
        <v>0</v>
      </c>
      <c r="R12" s="234">
        <f>K12</f>
        <v>2823782.87</v>
      </c>
      <c r="S12" s="194"/>
      <c r="T12" s="194"/>
      <c r="U12" s="194"/>
      <c r="V12" s="235"/>
      <c r="W12" s="235"/>
      <c r="X12" s="132" t="b">
        <f t="shared" si="5"/>
        <v>1</v>
      </c>
      <c r="Y12" s="134">
        <f t="shared" si="6"/>
        <v>0.5</v>
      </c>
      <c r="Z12" s="135" t="b">
        <f t="shared" si="7"/>
        <v>1</v>
      </c>
      <c r="AA12" s="135" t="b">
        <f t="shared" si="8"/>
        <v>1</v>
      </c>
    </row>
    <row r="13" spans="1:27" customFormat="1" ht="38.25">
      <c r="A13" s="201">
        <v>11</v>
      </c>
      <c r="B13" s="201" t="s">
        <v>162</v>
      </c>
      <c r="C13" s="212" t="s">
        <v>123</v>
      </c>
      <c r="D13" s="201" t="s">
        <v>175</v>
      </c>
      <c r="E13" s="213" t="s">
        <v>106</v>
      </c>
      <c r="F13" s="214" t="s">
        <v>186</v>
      </c>
      <c r="G13" s="203" t="s">
        <v>120</v>
      </c>
      <c r="H13" s="204">
        <v>0.44800000000000001</v>
      </c>
      <c r="I13" s="225" t="s">
        <v>252</v>
      </c>
      <c r="J13" s="205">
        <v>3365289.91</v>
      </c>
      <c r="K13" s="226">
        <f t="shared" si="9"/>
        <v>1682644.96</v>
      </c>
      <c r="L13" s="223">
        <f t="shared" si="0"/>
        <v>1682644.9500000002</v>
      </c>
      <c r="M13" s="181">
        <v>0.5</v>
      </c>
      <c r="N13" s="182">
        <v>0</v>
      </c>
      <c r="O13" s="182">
        <v>0</v>
      </c>
      <c r="P13" s="183">
        <v>0</v>
      </c>
      <c r="Q13" s="183">
        <v>0</v>
      </c>
      <c r="R13" s="227">
        <v>700000</v>
      </c>
      <c r="S13" s="183">
        <f>K13-R13</f>
        <v>982644.96</v>
      </c>
      <c r="T13" s="183"/>
      <c r="U13" s="183"/>
      <c r="V13" s="217"/>
      <c r="W13" s="217"/>
      <c r="X13" s="132" t="b">
        <f t="shared" si="5"/>
        <v>1</v>
      </c>
      <c r="Y13" s="134">
        <f t="shared" si="6"/>
        <v>0.5</v>
      </c>
      <c r="Z13" s="135" t="b">
        <f t="shared" si="7"/>
        <v>1</v>
      </c>
      <c r="AA13" s="135" t="b">
        <f t="shared" si="8"/>
        <v>1</v>
      </c>
    </row>
    <row r="14" spans="1:27" customFormat="1" ht="25.5">
      <c r="A14" s="200">
        <v>12</v>
      </c>
      <c r="B14" s="200" t="s">
        <v>163</v>
      </c>
      <c r="C14" s="228" t="s">
        <v>194</v>
      </c>
      <c r="D14" s="200" t="s">
        <v>173</v>
      </c>
      <c r="E14" s="229" t="s">
        <v>105</v>
      </c>
      <c r="F14" s="230" t="s">
        <v>187</v>
      </c>
      <c r="G14" s="207" t="s">
        <v>120</v>
      </c>
      <c r="H14" s="208">
        <v>1.8560000000000001</v>
      </c>
      <c r="I14" s="231" t="s">
        <v>250</v>
      </c>
      <c r="J14" s="209">
        <v>4950660.8600000003</v>
      </c>
      <c r="K14" s="232">
        <f t="shared" si="9"/>
        <v>2475330.4300000002</v>
      </c>
      <c r="L14" s="233">
        <f t="shared" si="0"/>
        <v>2475330.4300000002</v>
      </c>
      <c r="M14" s="192">
        <v>0.5</v>
      </c>
      <c r="N14" s="193">
        <v>0</v>
      </c>
      <c r="O14" s="193">
        <v>0</v>
      </c>
      <c r="P14" s="194">
        <v>0</v>
      </c>
      <c r="Q14" s="194">
        <v>0</v>
      </c>
      <c r="R14" s="234">
        <f>K14</f>
        <v>2475330.4300000002</v>
      </c>
      <c r="S14" s="194"/>
      <c r="T14" s="194"/>
      <c r="U14" s="194"/>
      <c r="V14" s="235"/>
      <c r="W14" s="235"/>
      <c r="X14" s="132" t="b">
        <f t="shared" si="5"/>
        <v>1</v>
      </c>
      <c r="Y14" s="134">
        <f t="shared" si="6"/>
        <v>0.5</v>
      </c>
      <c r="Z14" s="135" t="b">
        <f t="shared" si="7"/>
        <v>1</v>
      </c>
      <c r="AA14" s="135" t="b">
        <f t="shared" si="8"/>
        <v>1</v>
      </c>
    </row>
    <row r="15" spans="1:27" customFormat="1" ht="38.25">
      <c r="A15" s="200">
        <v>13</v>
      </c>
      <c r="B15" s="200" t="s">
        <v>227</v>
      </c>
      <c r="C15" s="228" t="s">
        <v>194</v>
      </c>
      <c r="D15" s="200" t="s">
        <v>216</v>
      </c>
      <c r="E15" s="222">
        <v>3263011</v>
      </c>
      <c r="F15" s="230" t="s">
        <v>240</v>
      </c>
      <c r="G15" s="207" t="s">
        <v>120</v>
      </c>
      <c r="H15" s="208">
        <v>0.25700000000000001</v>
      </c>
      <c r="I15" s="231" t="s">
        <v>253</v>
      </c>
      <c r="J15" s="209">
        <v>5936686.9500000002</v>
      </c>
      <c r="K15" s="232">
        <f t="shared" si="9"/>
        <v>2968343.48</v>
      </c>
      <c r="L15" s="233">
        <f t="shared" si="0"/>
        <v>2968343.47</v>
      </c>
      <c r="M15" s="192">
        <v>0.5</v>
      </c>
      <c r="N15" s="193">
        <v>0</v>
      </c>
      <c r="O15" s="193">
        <v>0</v>
      </c>
      <c r="P15" s="194">
        <v>0</v>
      </c>
      <c r="Q15" s="194">
        <v>0</v>
      </c>
      <c r="R15" s="234">
        <f>K15</f>
        <v>2968343.48</v>
      </c>
      <c r="S15" s="236"/>
      <c r="T15" s="194"/>
      <c r="U15" s="194"/>
      <c r="V15" s="235"/>
      <c r="W15" s="235"/>
      <c r="X15" s="132" t="b">
        <f t="shared" si="5"/>
        <v>1</v>
      </c>
      <c r="Y15" s="134">
        <f t="shared" si="6"/>
        <v>0.5</v>
      </c>
      <c r="Z15" s="135" t="b">
        <f t="shared" si="7"/>
        <v>1</v>
      </c>
      <c r="AA15" s="135" t="b">
        <f t="shared" si="8"/>
        <v>1</v>
      </c>
    </row>
    <row r="16" spans="1:27" customFormat="1" ht="38.25">
      <c r="A16" s="200">
        <v>14</v>
      </c>
      <c r="B16" s="200" t="s">
        <v>241</v>
      </c>
      <c r="C16" s="228" t="s">
        <v>194</v>
      </c>
      <c r="D16" s="200" t="s">
        <v>242</v>
      </c>
      <c r="E16" s="222">
        <v>3261011</v>
      </c>
      <c r="F16" s="230" t="s">
        <v>243</v>
      </c>
      <c r="G16" s="207" t="s">
        <v>238</v>
      </c>
      <c r="H16" s="208">
        <v>0.495</v>
      </c>
      <c r="I16" s="231" t="s">
        <v>251</v>
      </c>
      <c r="J16" s="209">
        <v>2164282.81</v>
      </c>
      <c r="K16" s="232">
        <f t="shared" si="9"/>
        <v>1082141.4099999999</v>
      </c>
      <c r="L16" s="233">
        <f t="shared" si="0"/>
        <v>1082141.4000000001</v>
      </c>
      <c r="M16" s="192">
        <v>0.5</v>
      </c>
      <c r="N16" s="193">
        <v>0</v>
      </c>
      <c r="O16" s="193">
        <v>0</v>
      </c>
      <c r="P16" s="194">
        <v>0</v>
      </c>
      <c r="Q16" s="194">
        <v>0</v>
      </c>
      <c r="R16" s="234">
        <f>K16</f>
        <v>1082141.4099999999</v>
      </c>
      <c r="S16" s="236"/>
      <c r="T16" s="194"/>
      <c r="U16" s="194"/>
      <c r="V16" s="235"/>
      <c r="W16" s="235"/>
      <c r="X16" s="132" t="b">
        <f t="shared" si="5"/>
        <v>1</v>
      </c>
      <c r="Y16" s="134">
        <f t="shared" si="6"/>
        <v>0.5</v>
      </c>
      <c r="Z16" s="135" t="b">
        <f t="shared" si="7"/>
        <v>1</v>
      </c>
      <c r="AA16" s="135" t="b">
        <f t="shared" si="8"/>
        <v>1</v>
      </c>
    </row>
    <row r="17" spans="1:27" customFormat="1" ht="38.25">
      <c r="A17" s="200">
        <v>15</v>
      </c>
      <c r="B17" s="188" t="s">
        <v>164</v>
      </c>
      <c r="C17" s="228" t="s">
        <v>194</v>
      </c>
      <c r="D17" s="200" t="s">
        <v>176</v>
      </c>
      <c r="E17" s="229" t="s">
        <v>59</v>
      </c>
      <c r="F17" s="237" t="s">
        <v>188</v>
      </c>
      <c r="G17" s="189" t="s">
        <v>120</v>
      </c>
      <c r="H17" s="190">
        <v>1</v>
      </c>
      <c r="I17" s="231" t="s">
        <v>254</v>
      </c>
      <c r="J17" s="191">
        <v>2832511.3499999996</v>
      </c>
      <c r="K17" s="232">
        <f t="shared" si="9"/>
        <v>1416255.68</v>
      </c>
      <c r="L17" s="233">
        <f t="shared" si="0"/>
        <v>1416255.6699999997</v>
      </c>
      <c r="M17" s="192">
        <v>0.5</v>
      </c>
      <c r="N17" s="193">
        <v>0</v>
      </c>
      <c r="O17" s="193">
        <v>0</v>
      </c>
      <c r="P17" s="194">
        <v>0</v>
      </c>
      <c r="Q17" s="194">
        <v>0</v>
      </c>
      <c r="R17" s="234">
        <f>K17</f>
        <v>1416255.68</v>
      </c>
      <c r="S17" s="193"/>
      <c r="T17" s="194"/>
      <c r="U17" s="194"/>
      <c r="V17" s="235"/>
      <c r="W17" s="235"/>
      <c r="X17" s="132" t="b">
        <f t="shared" si="5"/>
        <v>1</v>
      </c>
      <c r="Y17" s="134">
        <f t="shared" si="6"/>
        <v>0.5</v>
      </c>
      <c r="Z17" s="135" t="b">
        <f t="shared" si="7"/>
        <v>1</v>
      </c>
      <c r="AA17" s="135" t="b">
        <f t="shared" si="8"/>
        <v>1</v>
      </c>
    </row>
    <row r="18" spans="1:27" customFormat="1" ht="25.5">
      <c r="A18" s="200">
        <v>16</v>
      </c>
      <c r="B18" s="188" t="s">
        <v>165</v>
      </c>
      <c r="C18" s="228" t="s">
        <v>194</v>
      </c>
      <c r="D18" s="200" t="s">
        <v>177</v>
      </c>
      <c r="E18" s="229" t="s">
        <v>58</v>
      </c>
      <c r="F18" s="237" t="s">
        <v>189</v>
      </c>
      <c r="G18" s="189" t="s">
        <v>120</v>
      </c>
      <c r="H18" s="190">
        <v>1.22</v>
      </c>
      <c r="I18" s="231" t="s">
        <v>253</v>
      </c>
      <c r="J18" s="191">
        <v>3153683.38</v>
      </c>
      <c r="K18" s="232">
        <f t="shared" si="9"/>
        <v>1576841.69</v>
      </c>
      <c r="L18" s="233">
        <f t="shared" si="0"/>
        <v>1576841.69</v>
      </c>
      <c r="M18" s="192">
        <v>0.5</v>
      </c>
      <c r="N18" s="193">
        <v>0</v>
      </c>
      <c r="O18" s="193">
        <v>0</v>
      </c>
      <c r="P18" s="194">
        <v>0</v>
      </c>
      <c r="Q18" s="194">
        <v>0</v>
      </c>
      <c r="R18" s="234">
        <f>K18</f>
        <v>1576841.69</v>
      </c>
      <c r="S18" s="193"/>
      <c r="T18" s="194"/>
      <c r="U18" s="194"/>
      <c r="V18" s="235"/>
      <c r="W18" s="235"/>
      <c r="X18" s="132" t="b">
        <f t="shared" si="5"/>
        <v>1</v>
      </c>
      <c r="Y18" s="134">
        <f t="shared" si="6"/>
        <v>0.5</v>
      </c>
      <c r="Z18" s="135" t="b">
        <f t="shared" si="7"/>
        <v>1</v>
      </c>
      <c r="AA18" s="135" t="b">
        <f t="shared" si="8"/>
        <v>1</v>
      </c>
    </row>
    <row r="19" spans="1:27" customFormat="1" ht="25.5">
      <c r="A19" s="201">
        <v>17</v>
      </c>
      <c r="B19" s="159" t="s">
        <v>166</v>
      </c>
      <c r="C19" s="212" t="s">
        <v>123</v>
      </c>
      <c r="D19" s="201" t="s">
        <v>175</v>
      </c>
      <c r="E19" s="213" t="s">
        <v>106</v>
      </c>
      <c r="F19" s="238" t="s">
        <v>190</v>
      </c>
      <c r="G19" s="160" t="s">
        <v>120</v>
      </c>
      <c r="H19" s="162">
        <v>0.88700000000000001</v>
      </c>
      <c r="I19" s="225" t="s">
        <v>255</v>
      </c>
      <c r="J19" s="161">
        <v>1990321.51</v>
      </c>
      <c r="K19" s="226">
        <f t="shared" si="9"/>
        <v>995160.76</v>
      </c>
      <c r="L19" s="223">
        <f t="shared" si="0"/>
        <v>995160.75</v>
      </c>
      <c r="M19" s="181">
        <v>0.5</v>
      </c>
      <c r="N19" s="182">
        <v>0</v>
      </c>
      <c r="O19" s="182">
        <v>0</v>
      </c>
      <c r="P19" s="183">
        <v>0</v>
      </c>
      <c r="Q19" s="183">
        <v>0</v>
      </c>
      <c r="R19" s="227">
        <f>400000</f>
        <v>400000</v>
      </c>
      <c r="S19" s="182">
        <f>K19-R19</f>
        <v>595160.76</v>
      </c>
      <c r="T19" s="183"/>
      <c r="U19" s="183"/>
      <c r="V19" s="217"/>
      <c r="W19" s="217"/>
      <c r="X19" s="132" t="b">
        <f t="shared" si="5"/>
        <v>1</v>
      </c>
      <c r="Y19" s="134">
        <f t="shared" si="6"/>
        <v>0.5</v>
      </c>
      <c r="Z19" s="135" t="b">
        <f t="shared" si="7"/>
        <v>1</v>
      </c>
      <c r="AA19" s="135" t="b">
        <f t="shared" si="8"/>
        <v>1</v>
      </c>
    </row>
    <row r="20" spans="1:27" customFormat="1" ht="38.25">
      <c r="A20" s="200">
        <v>18</v>
      </c>
      <c r="B20" s="188" t="s">
        <v>167</v>
      </c>
      <c r="C20" s="228" t="s">
        <v>194</v>
      </c>
      <c r="D20" s="200" t="s">
        <v>172</v>
      </c>
      <c r="E20" s="229" t="s">
        <v>55</v>
      </c>
      <c r="F20" s="237" t="s">
        <v>191</v>
      </c>
      <c r="G20" s="189" t="s">
        <v>126</v>
      </c>
      <c r="H20" s="190">
        <v>1.1000000000000001</v>
      </c>
      <c r="I20" s="231" t="s">
        <v>256</v>
      </c>
      <c r="J20" s="191">
        <v>2297512.94</v>
      </c>
      <c r="K20" s="232">
        <f t="shared" si="9"/>
        <v>1148756.47</v>
      </c>
      <c r="L20" s="233">
        <f t="shared" si="0"/>
        <v>1148756.47</v>
      </c>
      <c r="M20" s="192">
        <v>0.5</v>
      </c>
      <c r="N20" s="193">
        <v>0</v>
      </c>
      <c r="O20" s="193">
        <v>0</v>
      </c>
      <c r="P20" s="194">
        <v>0</v>
      </c>
      <c r="Q20" s="194">
        <v>0</v>
      </c>
      <c r="R20" s="234">
        <f>K20</f>
        <v>1148756.47</v>
      </c>
      <c r="S20" s="193"/>
      <c r="T20" s="194"/>
      <c r="U20" s="194"/>
      <c r="V20" s="235"/>
      <c r="W20" s="235"/>
      <c r="X20" s="132" t="b">
        <f t="shared" si="5"/>
        <v>1</v>
      </c>
      <c r="Y20" s="134">
        <f t="shared" si="6"/>
        <v>0.5</v>
      </c>
      <c r="Z20" s="135" t="b">
        <f t="shared" si="7"/>
        <v>1</v>
      </c>
      <c r="AA20" s="135" t="b">
        <f t="shared" si="8"/>
        <v>1</v>
      </c>
    </row>
    <row r="21" spans="1:27" customFormat="1" ht="25.5">
      <c r="A21" s="200">
        <v>19</v>
      </c>
      <c r="B21" s="188" t="s">
        <v>168</v>
      </c>
      <c r="C21" s="228" t="s">
        <v>194</v>
      </c>
      <c r="D21" s="200" t="s">
        <v>170</v>
      </c>
      <c r="E21" s="229" t="s">
        <v>56</v>
      </c>
      <c r="F21" s="237" t="s">
        <v>192</v>
      </c>
      <c r="G21" s="189" t="s">
        <v>120</v>
      </c>
      <c r="H21" s="190">
        <v>1.867</v>
      </c>
      <c r="I21" s="231" t="s">
        <v>246</v>
      </c>
      <c r="J21" s="191">
        <v>6438339.8700000001</v>
      </c>
      <c r="K21" s="232">
        <f t="shared" si="9"/>
        <v>3219169.94</v>
      </c>
      <c r="L21" s="233">
        <f t="shared" si="0"/>
        <v>3219169.93</v>
      </c>
      <c r="M21" s="192">
        <v>0.5</v>
      </c>
      <c r="N21" s="193">
        <v>0</v>
      </c>
      <c r="O21" s="193">
        <v>0</v>
      </c>
      <c r="P21" s="194">
        <v>0</v>
      </c>
      <c r="Q21" s="194">
        <v>0</v>
      </c>
      <c r="R21" s="234">
        <f>K21</f>
        <v>3219169.94</v>
      </c>
      <c r="S21" s="193"/>
      <c r="T21" s="194"/>
      <c r="U21" s="194"/>
      <c r="V21" s="235"/>
      <c r="W21" s="235"/>
      <c r="X21" s="132" t="b">
        <f t="shared" si="5"/>
        <v>1</v>
      </c>
      <c r="Y21" s="134">
        <f t="shared" si="6"/>
        <v>0.5</v>
      </c>
      <c r="Z21" s="135" t="b">
        <f t="shared" si="7"/>
        <v>1</v>
      </c>
      <c r="AA21" s="135" t="b">
        <f t="shared" si="8"/>
        <v>1</v>
      </c>
    </row>
    <row r="22" spans="1:27" customFormat="1" ht="25.5">
      <c r="A22" s="200">
        <v>20</v>
      </c>
      <c r="B22" s="188" t="s">
        <v>408</v>
      </c>
      <c r="C22" s="228" t="s">
        <v>194</v>
      </c>
      <c r="D22" s="200" t="s">
        <v>178</v>
      </c>
      <c r="E22" s="229" t="s">
        <v>108</v>
      </c>
      <c r="F22" s="237" t="s">
        <v>409</v>
      </c>
      <c r="G22" s="189" t="s">
        <v>120</v>
      </c>
      <c r="H22" s="190">
        <v>1.538</v>
      </c>
      <c r="I22" s="231" t="s">
        <v>246</v>
      </c>
      <c r="J22" s="191">
        <v>2350000</v>
      </c>
      <c r="K22" s="232">
        <f t="shared" si="9"/>
        <v>1175000</v>
      </c>
      <c r="L22" s="233">
        <f t="shared" si="0"/>
        <v>1175000</v>
      </c>
      <c r="M22" s="192">
        <v>0.5</v>
      </c>
      <c r="N22" s="193">
        <v>0</v>
      </c>
      <c r="O22" s="193">
        <v>0</v>
      </c>
      <c r="P22" s="194">
        <v>0</v>
      </c>
      <c r="Q22" s="194">
        <v>0</v>
      </c>
      <c r="R22" s="234">
        <f>K22</f>
        <v>1175000</v>
      </c>
      <c r="S22" s="193"/>
      <c r="T22" s="194"/>
      <c r="U22" s="194"/>
      <c r="V22" s="235"/>
      <c r="W22" s="235"/>
      <c r="X22" s="132" t="b">
        <f t="shared" si="5"/>
        <v>1</v>
      </c>
      <c r="Y22" s="134">
        <f t="shared" si="6"/>
        <v>0.5</v>
      </c>
      <c r="Z22" s="135" t="b">
        <f t="shared" si="7"/>
        <v>1</v>
      </c>
      <c r="AA22" s="135" t="b">
        <f t="shared" si="8"/>
        <v>1</v>
      </c>
    </row>
    <row r="23" spans="1:27" customFormat="1" ht="25.5">
      <c r="A23" s="200">
        <v>21</v>
      </c>
      <c r="B23" s="188" t="s">
        <v>169</v>
      </c>
      <c r="C23" s="228" t="s">
        <v>194</v>
      </c>
      <c r="D23" s="200" t="s">
        <v>178</v>
      </c>
      <c r="E23" s="229" t="s">
        <v>108</v>
      </c>
      <c r="F23" s="237" t="s">
        <v>193</v>
      </c>
      <c r="G23" s="189" t="s">
        <v>120</v>
      </c>
      <c r="H23" s="190">
        <v>0.35499999999999998</v>
      </c>
      <c r="I23" s="231" t="s">
        <v>246</v>
      </c>
      <c r="J23" s="191">
        <v>623078</v>
      </c>
      <c r="K23" s="232">
        <f t="shared" si="9"/>
        <v>311539</v>
      </c>
      <c r="L23" s="233">
        <f t="shared" si="0"/>
        <v>311539</v>
      </c>
      <c r="M23" s="192">
        <v>0.5</v>
      </c>
      <c r="N23" s="193">
        <v>0</v>
      </c>
      <c r="O23" s="193">
        <v>0</v>
      </c>
      <c r="P23" s="194">
        <v>0</v>
      </c>
      <c r="Q23" s="194">
        <v>0</v>
      </c>
      <c r="R23" s="234">
        <f>K23</f>
        <v>311539</v>
      </c>
      <c r="S23" s="193"/>
      <c r="T23" s="194"/>
      <c r="U23" s="194"/>
      <c r="V23" s="235"/>
      <c r="W23" s="235"/>
      <c r="X23" s="132" t="b">
        <f t="shared" si="5"/>
        <v>1</v>
      </c>
      <c r="Y23" s="134">
        <f t="shared" si="6"/>
        <v>0.5</v>
      </c>
      <c r="Z23" s="135" t="b">
        <f t="shared" si="7"/>
        <v>1</v>
      </c>
      <c r="AA23" s="135" t="b">
        <f t="shared" si="8"/>
        <v>1</v>
      </c>
    </row>
    <row r="24" spans="1:27" customFormat="1" ht="51">
      <c r="A24" s="200" t="s">
        <v>419</v>
      </c>
      <c r="B24" s="188" t="s">
        <v>231</v>
      </c>
      <c r="C24" s="228" t="s">
        <v>194</v>
      </c>
      <c r="D24" s="200" t="s">
        <v>174</v>
      </c>
      <c r="E24" s="229" t="s">
        <v>107</v>
      </c>
      <c r="F24" s="237" t="s">
        <v>235</v>
      </c>
      <c r="G24" s="189" t="s">
        <v>238</v>
      </c>
      <c r="H24" s="190">
        <v>6.36</v>
      </c>
      <c r="I24" s="231" t="s">
        <v>251</v>
      </c>
      <c r="J24" s="191">
        <v>6764626.6900000004</v>
      </c>
      <c r="K24" s="232">
        <v>200000</v>
      </c>
      <c r="L24" s="233">
        <f>J24-K24</f>
        <v>6564626.6900000004</v>
      </c>
      <c r="M24" s="192">
        <v>0.5</v>
      </c>
      <c r="N24" s="193">
        <v>0</v>
      </c>
      <c r="O24" s="193">
        <v>0</v>
      </c>
      <c r="P24" s="194">
        <v>0</v>
      </c>
      <c r="Q24" s="194">
        <v>0</v>
      </c>
      <c r="R24" s="234">
        <f>K24</f>
        <v>200000</v>
      </c>
      <c r="S24" s="193"/>
      <c r="T24" s="194"/>
      <c r="U24" s="194"/>
      <c r="V24" s="235"/>
      <c r="W24" s="235"/>
      <c r="X24" s="132" t="b">
        <f t="shared" si="5"/>
        <v>1</v>
      </c>
      <c r="Y24" s="134">
        <f t="shared" si="6"/>
        <v>2.9600000000000001E-2</v>
      </c>
      <c r="Z24" s="135" t="b">
        <f t="shared" si="7"/>
        <v>0</v>
      </c>
      <c r="AA24" s="135" t="b">
        <f t="shared" si="8"/>
        <v>1</v>
      </c>
    </row>
    <row r="25" spans="1:27" ht="20.100000000000001" customHeight="1">
      <c r="A25" s="314" t="s">
        <v>45</v>
      </c>
      <c r="B25" s="314"/>
      <c r="C25" s="314"/>
      <c r="D25" s="314"/>
      <c r="E25" s="314"/>
      <c r="F25" s="314"/>
      <c r="G25" s="314"/>
      <c r="H25" s="239">
        <f>SUM(H3:H24)</f>
        <v>47.048999999999985</v>
      </c>
      <c r="I25" s="240" t="s">
        <v>14</v>
      </c>
      <c r="J25" s="241">
        <f>SUM(J3:J24)</f>
        <v>166109413.62379998</v>
      </c>
      <c r="K25" s="241">
        <f>SUM(K3:K24)</f>
        <v>78636842.210000008</v>
      </c>
      <c r="L25" s="241">
        <f>SUM(L3:L24)</f>
        <v>87472571.413800016</v>
      </c>
      <c r="M25" s="242" t="s">
        <v>14</v>
      </c>
      <c r="N25" s="241">
        <f t="shared" ref="N25:W25" si="10">SUM(N3:N24)</f>
        <v>0</v>
      </c>
      <c r="O25" s="241">
        <f t="shared" si="10"/>
        <v>464061.08999999985</v>
      </c>
      <c r="P25" s="241">
        <f t="shared" si="10"/>
        <v>1023340.9</v>
      </c>
      <c r="Q25" s="241">
        <f t="shared" si="10"/>
        <v>4437012.46</v>
      </c>
      <c r="R25" s="241">
        <f t="shared" si="10"/>
        <v>52231793.299999982</v>
      </c>
      <c r="S25" s="241">
        <f t="shared" si="10"/>
        <v>20480634.460000001</v>
      </c>
      <c r="T25" s="241">
        <f t="shared" si="10"/>
        <v>0</v>
      </c>
      <c r="U25" s="241">
        <f t="shared" si="10"/>
        <v>0</v>
      </c>
      <c r="V25" s="241">
        <f t="shared" si="10"/>
        <v>0</v>
      </c>
      <c r="W25" s="241">
        <f t="shared" si="10"/>
        <v>0</v>
      </c>
      <c r="X25" s="132" t="b">
        <f t="shared" ref="X25:X28" si="11">K25=SUM(N25:W25)</f>
        <v>1</v>
      </c>
      <c r="Y25" s="134"/>
      <c r="Z25" s="135"/>
      <c r="AA25" s="135" t="b">
        <f t="shared" ref="AA25:AA28" si="12">J25=K25+L25</f>
        <v>1</v>
      </c>
    </row>
    <row r="26" spans="1:27" ht="20.100000000000001" customHeight="1">
      <c r="A26" s="313" t="s">
        <v>38</v>
      </c>
      <c r="B26" s="313"/>
      <c r="C26" s="313"/>
      <c r="D26" s="313"/>
      <c r="E26" s="313"/>
      <c r="F26" s="313"/>
      <c r="G26" s="313"/>
      <c r="H26" s="243">
        <f>SUMIF($C$3:$C$24,"K",H3:H24)</f>
        <v>13.24</v>
      </c>
      <c r="I26" s="244" t="s">
        <v>14</v>
      </c>
      <c r="J26" s="223">
        <f>SUMIF($C$3:$C$24,"K",J3:J24)</f>
        <v>31105769.390000001</v>
      </c>
      <c r="K26" s="223">
        <f>SUMIF($C$3:$C$24,"K",K3:K24)</f>
        <v>14317333.390000001</v>
      </c>
      <c r="L26" s="223">
        <f>SUMIF($C$3:$C$24,"K",L3:L24)</f>
        <v>16788436</v>
      </c>
      <c r="M26" s="245" t="s">
        <v>14</v>
      </c>
      <c r="N26" s="223">
        <f t="shared" ref="N26:W26" si="13">SUMIF($C$3:$C$24,"K",N3:N24)</f>
        <v>0</v>
      </c>
      <c r="O26" s="223">
        <f t="shared" si="13"/>
        <v>464061.08999999985</v>
      </c>
      <c r="P26" s="246">
        <f t="shared" si="13"/>
        <v>1023340.9</v>
      </c>
      <c r="Q26" s="246">
        <f t="shared" si="13"/>
        <v>4437012.46</v>
      </c>
      <c r="R26" s="246">
        <f t="shared" si="13"/>
        <v>5356158.6400000006</v>
      </c>
      <c r="S26" s="246">
        <f t="shared" si="13"/>
        <v>3036760.3</v>
      </c>
      <c r="T26" s="246">
        <f t="shared" si="13"/>
        <v>0</v>
      </c>
      <c r="U26" s="246">
        <f t="shared" si="13"/>
        <v>0</v>
      </c>
      <c r="V26" s="246">
        <f t="shared" si="13"/>
        <v>0</v>
      </c>
      <c r="W26" s="246">
        <f t="shared" si="13"/>
        <v>0</v>
      </c>
      <c r="X26" s="132" t="b">
        <f t="shared" si="11"/>
        <v>1</v>
      </c>
      <c r="Y26" s="134"/>
      <c r="Z26" s="135"/>
      <c r="AA26" s="135" t="b">
        <f t="shared" si="12"/>
        <v>1</v>
      </c>
    </row>
    <row r="27" spans="1:27" ht="20.100000000000001" customHeight="1">
      <c r="A27" s="314" t="s">
        <v>39</v>
      </c>
      <c r="B27" s="314"/>
      <c r="C27" s="314"/>
      <c r="D27" s="314"/>
      <c r="E27" s="314"/>
      <c r="F27" s="314"/>
      <c r="G27" s="314"/>
      <c r="H27" s="239">
        <f>SUMIF($C$3:$C$24,"N",H3:H24)</f>
        <v>28.701000000000001</v>
      </c>
      <c r="I27" s="240" t="s">
        <v>14</v>
      </c>
      <c r="J27" s="241">
        <f>SUMIF($C$3:$C$24,"N",J3:J24)</f>
        <v>84955455.160000011</v>
      </c>
      <c r="K27" s="241">
        <f>SUMIF($C$3:$C$24,"N",K3:K24)</f>
        <v>39295414.259999998</v>
      </c>
      <c r="L27" s="241">
        <f>SUMIF($C$3:$C$24,"N",L3:L24)</f>
        <v>45660040.899999999</v>
      </c>
      <c r="M27" s="242" t="s">
        <v>14</v>
      </c>
      <c r="N27" s="241">
        <f t="shared" ref="N27:S27" si="14">SUMIF($C$3:$C$24,"N",N3:N24)</f>
        <v>0</v>
      </c>
      <c r="O27" s="241">
        <f t="shared" si="14"/>
        <v>0</v>
      </c>
      <c r="P27" s="247">
        <f t="shared" si="14"/>
        <v>0</v>
      </c>
      <c r="Q27" s="247">
        <f t="shared" si="14"/>
        <v>0</v>
      </c>
      <c r="R27" s="247">
        <f t="shared" si="14"/>
        <v>39295414.259999998</v>
      </c>
      <c r="S27" s="247">
        <f t="shared" si="14"/>
        <v>0</v>
      </c>
      <c r="T27" s="246">
        <f>SUMIF($C$3:$C$24,"K",T3:T24)</f>
        <v>0</v>
      </c>
      <c r="U27" s="247">
        <f>SUMIF($C$3:$C$24,"N",U3:U24)</f>
        <v>0</v>
      </c>
      <c r="V27" s="247">
        <f>SUMIF($C$3:$C$24,"N",V3:V24)</f>
        <v>0</v>
      </c>
      <c r="W27" s="247">
        <f>SUMIF($C$3:$C$24,"N",W3:W24)</f>
        <v>0</v>
      </c>
      <c r="X27" s="132" t="b">
        <f t="shared" si="11"/>
        <v>1</v>
      </c>
      <c r="Y27" s="134"/>
      <c r="Z27" s="135"/>
      <c r="AA27" s="135" t="b">
        <f t="shared" si="12"/>
        <v>1</v>
      </c>
    </row>
    <row r="28" spans="1:27" ht="20.100000000000001" customHeight="1">
      <c r="A28" s="313" t="s">
        <v>40</v>
      </c>
      <c r="B28" s="313"/>
      <c r="C28" s="313"/>
      <c r="D28" s="313"/>
      <c r="E28" s="313"/>
      <c r="F28" s="313"/>
      <c r="G28" s="313"/>
      <c r="H28" s="243">
        <f>SUMIF($C$3:$C$24,"W",H3:H24)</f>
        <v>5.1080000000000005</v>
      </c>
      <c r="I28" s="244" t="s">
        <v>14</v>
      </c>
      <c r="J28" s="223">
        <f>SUMIF($C$3:$C$24,"W",J3:J24)</f>
        <v>50048189.07379999</v>
      </c>
      <c r="K28" s="223">
        <f>SUMIF($C$3:$C$24,"W",K3:K24)</f>
        <v>25024094.560000002</v>
      </c>
      <c r="L28" s="223">
        <f>SUMIF($C$3:$C$24,"W",L3:L24)</f>
        <v>25024094.513799999</v>
      </c>
      <c r="M28" s="245" t="s">
        <v>14</v>
      </c>
      <c r="N28" s="223">
        <f t="shared" ref="N28:S28" si="15">SUMIF($C$3:$C$24,"W",N3:N24)</f>
        <v>0</v>
      </c>
      <c r="O28" s="223">
        <f t="shared" si="15"/>
        <v>0</v>
      </c>
      <c r="P28" s="246">
        <f t="shared" si="15"/>
        <v>0</v>
      </c>
      <c r="Q28" s="246">
        <f t="shared" si="15"/>
        <v>0</v>
      </c>
      <c r="R28" s="246">
        <f t="shared" si="15"/>
        <v>7580220.4000000004</v>
      </c>
      <c r="S28" s="246">
        <f t="shared" si="15"/>
        <v>17443874.16</v>
      </c>
      <c r="T28" s="246">
        <f>SUMIF($C$3:$C$24,"K",T3:T24)</f>
        <v>0</v>
      </c>
      <c r="U28" s="246">
        <f>SUMIF($C$3:$C$24,"W",U3:U24)</f>
        <v>0</v>
      </c>
      <c r="V28" s="246">
        <f>SUMIF($C$3:$C$24,"W",V3:V24)</f>
        <v>0</v>
      </c>
      <c r="W28" s="246">
        <f>SUMIF($C$3:$C$24,"W",W3:W24)</f>
        <v>0</v>
      </c>
      <c r="X28" s="132" t="b">
        <f t="shared" si="11"/>
        <v>1</v>
      </c>
      <c r="Y28" s="134"/>
      <c r="Z28" s="135"/>
      <c r="AA28" s="135" t="b">
        <f t="shared" si="12"/>
        <v>1</v>
      </c>
    </row>
    <row r="29" spans="1:27">
      <c r="A29" s="163"/>
      <c r="B29" s="163"/>
      <c r="C29" s="163"/>
      <c r="D29" s="163"/>
      <c r="E29" s="163"/>
      <c r="F29" s="163"/>
      <c r="G29" s="163"/>
      <c r="H29" s="147"/>
      <c r="I29" s="147"/>
      <c r="J29" s="147"/>
      <c r="K29" s="147"/>
      <c r="L29" s="147"/>
      <c r="M29" s="132"/>
      <c r="N29" s="147"/>
      <c r="O29" s="147"/>
      <c r="P29" s="147"/>
      <c r="Q29" s="147"/>
      <c r="R29" s="147"/>
      <c r="S29" s="147"/>
      <c r="T29" s="147"/>
      <c r="U29" s="147"/>
      <c r="V29" s="147"/>
      <c r="W29" s="147" t="s">
        <v>114</v>
      </c>
      <c r="X29" s="133"/>
      <c r="Y29" s="132"/>
      <c r="Z29" s="132"/>
      <c r="AA29" s="133"/>
    </row>
    <row r="30" spans="1:27">
      <c r="A30" s="164" t="s">
        <v>24</v>
      </c>
      <c r="B30" s="165"/>
      <c r="C30" s="165"/>
      <c r="D30" s="165"/>
      <c r="E30" s="166"/>
      <c r="F30" s="165"/>
      <c r="G30" s="165"/>
      <c r="H30" s="146"/>
      <c r="I30" s="146"/>
      <c r="J30" s="167"/>
      <c r="K30" s="146"/>
      <c r="L30" s="146"/>
      <c r="M30" s="132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32"/>
      <c r="Y30" s="132"/>
      <c r="Z30" s="132"/>
      <c r="AA30" s="135"/>
    </row>
    <row r="31" spans="1:27">
      <c r="A31" s="168" t="s">
        <v>25</v>
      </c>
      <c r="B31" s="169"/>
      <c r="C31" s="169"/>
      <c r="D31" s="169"/>
      <c r="E31" s="169"/>
      <c r="F31" s="169"/>
      <c r="G31" s="169"/>
      <c r="H31" s="146"/>
      <c r="I31" s="146"/>
      <c r="J31" s="146"/>
      <c r="K31" s="258">
        <f>SUM(K27:K28)</f>
        <v>64319508.82</v>
      </c>
      <c r="L31" s="146"/>
      <c r="M31" s="132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32"/>
      <c r="Y31" s="132"/>
      <c r="Z31" s="132"/>
      <c r="AA31" s="133"/>
    </row>
    <row r="32" spans="1:27">
      <c r="A32" s="164" t="s">
        <v>43</v>
      </c>
      <c r="B32" s="163"/>
      <c r="C32" s="163"/>
      <c r="D32" s="163"/>
      <c r="E32" s="163"/>
      <c r="F32" s="163"/>
      <c r="G32" s="163"/>
      <c r="H32" s="147"/>
      <c r="I32" s="147"/>
      <c r="J32" s="147"/>
      <c r="K32" s="147"/>
      <c r="L32" s="147"/>
      <c r="M32" s="132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33"/>
      <c r="Y32" s="132"/>
      <c r="Z32" s="132"/>
      <c r="AA32" s="133"/>
    </row>
    <row r="33" spans="1:27">
      <c r="A33" s="170" t="s">
        <v>28</v>
      </c>
      <c r="B33" s="171"/>
      <c r="C33" s="171"/>
      <c r="D33" s="171"/>
      <c r="E33" s="171"/>
      <c r="F33" s="171"/>
      <c r="G33" s="171"/>
      <c r="H33" s="147"/>
      <c r="I33" s="147"/>
      <c r="J33" s="147"/>
      <c r="K33" s="147"/>
      <c r="L33" s="147"/>
      <c r="M33" s="132"/>
      <c r="N33" s="147"/>
      <c r="O33" s="172"/>
      <c r="P33" s="147"/>
      <c r="Q33" s="147"/>
      <c r="R33" s="147"/>
      <c r="S33" s="147"/>
      <c r="T33" s="147"/>
      <c r="U33" s="147"/>
      <c r="V33" s="147"/>
      <c r="W33" s="147"/>
      <c r="X33" s="133"/>
      <c r="Y33" s="132"/>
      <c r="Z33" s="132"/>
      <c r="AA33" s="133"/>
    </row>
  </sheetData>
  <mergeCells count="18">
    <mergeCell ref="L1:L2"/>
    <mergeCell ref="M1:M2"/>
    <mergeCell ref="N1:W1"/>
    <mergeCell ref="H1:H2"/>
    <mergeCell ref="I1:I2"/>
    <mergeCell ref="J1:J2"/>
    <mergeCell ref="K1:K2"/>
    <mergeCell ref="D1:D2"/>
    <mergeCell ref="A28:G28"/>
    <mergeCell ref="A27:G27"/>
    <mergeCell ref="E1:E2"/>
    <mergeCell ref="A25:G25"/>
    <mergeCell ref="A1:A2"/>
    <mergeCell ref="B1:B2"/>
    <mergeCell ref="C1:C2"/>
    <mergeCell ref="F1:F2"/>
    <mergeCell ref="G1:G2"/>
    <mergeCell ref="A26:G26"/>
  </mergeCells>
  <conditionalFormatting sqref="X3:AA28">
    <cfRule type="cellIs" dxfId="15" priority="35" operator="equal">
      <formula>FALSE</formula>
    </cfRule>
  </conditionalFormatting>
  <conditionalFormatting sqref="X3:Z28">
    <cfRule type="containsText" dxfId="14" priority="33" operator="containsText" text="fałsz">
      <formula>NOT(ISERROR(SEARCH("fałsz",X3)))</formula>
    </cfRule>
  </conditionalFormatting>
  <conditionalFormatting sqref="AA30">
    <cfRule type="cellIs" dxfId="13" priority="32" operator="equal">
      <formula>FALSE</formula>
    </cfRule>
  </conditionalFormatting>
  <conditionalFormatting sqref="AA30">
    <cfRule type="cellIs" dxfId="12" priority="31" operator="equal">
      <formula>FALSE</formula>
    </cfRule>
  </conditionalFormatting>
  <dataValidations count="2">
    <dataValidation type="list" allowBlank="1" showInputMessage="1" showErrorMessage="1" sqref="G3">
      <formula1>"B,P,R"</formula1>
    </dataValidation>
    <dataValidation type="list" allowBlank="1" showInputMessage="1" showErrorMessage="1" sqref="C3:C24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&amp;LWojewództwo Zachodniopomorskie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showGridLines="0" view="pageBreakPreview" zoomScale="90" zoomScaleNormal="100" zoomScaleSheetLayoutView="90" workbookViewId="0">
      <selection sqref="A1:A2"/>
    </sheetView>
  </sheetViews>
  <sheetFormatPr defaultRowHeight="15"/>
  <cols>
    <col min="1" max="1" width="7.140625" style="18" customWidth="1"/>
    <col min="2" max="2" width="14.85546875" customWidth="1"/>
    <col min="3" max="3" width="15.28515625" style="18" customWidth="1"/>
    <col min="4" max="4" width="15.7109375" customWidth="1"/>
    <col min="5" max="5" width="10.7109375" customWidth="1"/>
    <col min="6" max="6" width="11.42578125" customWidth="1"/>
    <col min="7" max="7" width="40.28515625" customWidth="1"/>
    <col min="8" max="8" width="9.5703125" style="18" customWidth="1"/>
    <col min="9" max="9" width="14.28515625" customWidth="1"/>
    <col min="10" max="10" width="16" style="18" customWidth="1"/>
    <col min="11" max="11" width="14.42578125" customWidth="1"/>
    <col min="12" max="12" width="14.28515625" customWidth="1"/>
    <col min="13" max="13" width="15" customWidth="1"/>
    <col min="14" max="14" width="13.140625" style="1" customWidth="1"/>
    <col min="15" max="18" width="12.85546875" customWidth="1"/>
    <col min="19" max="19" width="13.7109375" bestFit="1" customWidth="1"/>
    <col min="20" max="20" width="16.5703125" customWidth="1"/>
    <col min="21" max="21" width="16.85546875" customWidth="1"/>
    <col min="22" max="24" width="12.85546875" customWidth="1"/>
    <col min="25" max="27" width="15.7109375" style="8" customWidth="1"/>
    <col min="28" max="28" width="15.7109375" customWidth="1"/>
  </cols>
  <sheetData>
    <row r="1" spans="1:28" ht="27" customHeight="1">
      <c r="A1" s="315" t="s">
        <v>4</v>
      </c>
      <c r="B1" s="315" t="s">
        <v>5</v>
      </c>
      <c r="C1" s="316" t="s">
        <v>44</v>
      </c>
      <c r="D1" s="311" t="s">
        <v>6</v>
      </c>
      <c r="E1" s="315" t="s">
        <v>33</v>
      </c>
      <c r="F1" s="311" t="s">
        <v>15</v>
      </c>
      <c r="G1" s="315" t="s">
        <v>7</v>
      </c>
      <c r="H1" s="315" t="s">
        <v>26</v>
      </c>
      <c r="I1" s="315" t="s">
        <v>8</v>
      </c>
      <c r="J1" s="315" t="s">
        <v>27</v>
      </c>
      <c r="K1" s="315" t="s">
        <v>9</v>
      </c>
      <c r="L1" s="315" t="s">
        <v>17</v>
      </c>
      <c r="M1" s="311" t="s">
        <v>13</v>
      </c>
      <c r="N1" s="315" t="s">
        <v>11</v>
      </c>
      <c r="O1" s="315" t="s">
        <v>12</v>
      </c>
      <c r="P1" s="315"/>
      <c r="Q1" s="315"/>
      <c r="R1" s="315"/>
      <c r="S1" s="315"/>
      <c r="T1" s="315"/>
      <c r="U1" s="315"/>
      <c r="V1" s="315"/>
      <c r="W1" s="315"/>
      <c r="X1" s="315"/>
      <c r="Y1" s="146"/>
      <c r="Z1" s="146"/>
      <c r="AA1" s="146"/>
      <c r="AB1" s="147"/>
    </row>
    <row r="2" spans="1:28" ht="30.75" customHeight="1">
      <c r="A2" s="315"/>
      <c r="B2" s="315"/>
      <c r="C2" s="317"/>
      <c r="D2" s="312"/>
      <c r="E2" s="315"/>
      <c r="F2" s="312"/>
      <c r="G2" s="315"/>
      <c r="H2" s="315"/>
      <c r="I2" s="315"/>
      <c r="J2" s="315"/>
      <c r="K2" s="315"/>
      <c r="L2" s="315"/>
      <c r="M2" s="312"/>
      <c r="N2" s="315"/>
      <c r="O2" s="101">
        <v>2019</v>
      </c>
      <c r="P2" s="101">
        <v>2020</v>
      </c>
      <c r="Q2" s="101">
        <v>2021</v>
      </c>
      <c r="R2" s="101">
        <v>2022</v>
      </c>
      <c r="S2" s="101">
        <v>2023</v>
      </c>
      <c r="T2" s="101">
        <v>2024</v>
      </c>
      <c r="U2" s="101">
        <v>2025</v>
      </c>
      <c r="V2" s="101">
        <v>2026</v>
      </c>
      <c r="W2" s="101">
        <v>2027</v>
      </c>
      <c r="X2" s="101">
        <v>2028</v>
      </c>
      <c r="Y2" s="132" t="s">
        <v>29</v>
      </c>
      <c r="Z2" s="132" t="s">
        <v>30</v>
      </c>
      <c r="AA2" s="132" t="s">
        <v>31</v>
      </c>
      <c r="AB2" s="132" t="s">
        <v>32</v>
      </c>
    </row>
    <row r="3" spans="1:28" ht="25.5">
      <c r="A3" s="186">
        <v>1</v>
      </c>
      <c r="B3" s="201" t="s">
        <v>128</v>
      </c>
      <c r="C3" s="212" t="s">
        <v>117</v>
      </c>
      <c r="D3" s="201" t="s">
        <v>129</v>
      </c>
      <c r="E3" s="186" t="s">
        <v>61</v>
      </c>
      <c r="F3" s="201" t="s">
        <v>49</v>
      </c>
      <c r="G3" s="214" t="s">
        <v>130</v>
      </c>
      <c r="H3" s="201" t="s">
        <v>120</v>
      </c>
      <c r="I3" s="204">
        <v>2.5550000000000002</v>
      </c>
      <c r="J3" s="215" t="s">
        <v>131</v>
      </c>
      <c r="K3" s="184">
        <v>4797359.46</v>
      </c>
      <c r="L3" s="182">
        <f>ROUND(K3*N3,2)</f>
        <v>2398679.73</v>
      </c>
      <c r="M3" s="183">
        <f>K3-L3</f>
        <v>2398679.73</v>
      </c>
      <c r="N3" s="256">
        <v>0.5</v>
      </c>
      <c r="O3" s="182">
        <v>0</v>
      </c>
      <c r="P3" s="184">
        <f>532106.42-350000</f>
        <v>182106.42000000004</v>
      </c>
      <c r="Q3" s="184">
        <f>1056622.43-300000</f>
        <v>756622.42999999993</v>
      </c>
      <c r="R3" s="184">
        <f>574940.59+550000</f>
        <v>1124940.5899999999</v>
      </c>
      <c r="S3" s="184">
        <f>235010.29+100000</f>
        <v>335010.29000000004</v>
      </c>
      <c r="T3" s="250"/>
      <c r="U3" s="250"/>
      <c r="V3" s="248"/>
      <c r="W3" s="248"/>
      <c r="X3" s="248"/>
      <c r="Y3" s="132" t="b">
        <f t="shared" ref="Y3" si="0">L3=SUM(O3:X3)</f>
        <v>1</v>
      </c>
      <c r="Z3" s="134">
        <f t="shared" ref="Z3" si="1">ROUND(L3/K3,4)</f>
        <v>0.5</v>
      </c>
      <c r="AA3" s="135" t="b">
        <f t="shared" ref="AA3" si="2">Z3=N3</f>
        <v>1</v>
      </c>
      <c r="AB3" s="135" t="b">
        <f t="shared" ref="AB3" si="3">K3=L3+M3</f>
        <v>1</v>
      </c>
    </row>
    <row r="4" spans="1:28" ht="38.25">
      <c r="A4" s="186">
        <v>2</v>
      </c>
      <c r="B4" s="201" t="s">
        <v>132</v>
      </c>
      <c r="C4" s="212" t="s">
        <v>117</v>
      </c>
      <c r="D4" s="201" t="s">
        <v>133</v>
      </c>
      <c r="E4" s="186">
        <v>3214011</v>
      </c>
      <c r="F4" s="201" t="s">
        <v>46</v>
      </c>
      <c r="G4" s="214" t="s">
        <v>134</v>
      </c>
      <c r="H4" s="203" t="s">
        <v>126</v>
      </c>
      <c r="I4" s="204">
        <v>0.84599999999999997</v>
      </c>
      <c r="J4" s="215" t="s">
        <v>135</v>
      </c>
      <c r="K4" s="206">
        <v>9152739.0399999991</v>
      </c>
      <c r="L4" s="206">
        <f>ROUND(K4*N4,2)</f>
        <v>5491643.4199999999</v>
      </c>
      <c r="M4" s="206">
        <f>K4-L4</f>
        <v>3661095.6199999992</v>
      </c>
      <c r="N4" s="253">
        <v>0.6</v>
      </c>
      <c r="O4" s="182">
        <v>0</v>
      </c>
      <c r="P4" s="184">
        <v>0</v>
      </c>
      <c r="Q4" s="206">
        <f>150000+1040429.4-374633.98</f>
        <v>815795.41999999993</v>
      </c>
      <c r="R4" s="206">
        <f>850000+222704.65+1739795.01</f>
        <v>2812499.66</v>
      </c>
      <c r="S4" s="206">
        <f>L4-Q4-R4</f>
        <v>1863348.3399999999</v>
      </c>
      <c r="T4" s="250"/>
      <c r="U4" s="250"/>
      <c r="V4" s="248"/>
      <c r="W4" s="248"/>
      <c r="X4" s="248"/>
      <c r="Y4" s="132" t="b">
        <f t="shared" ref="Y4:Y27" si="4">L4=SUM(O4:X4)</f>
        <v>1</v>
      </c>
      <c r="Z4" s="134">
        <f t="shared" ref="Z4:Z27" si="5">ROUND(L4/K4,4)</f>
        <v>0.6</v>
      </c>
      <c r="AA4" s="135" t="b">
        <f t="shared" ref="AA4:AA27" si="6">Z4=N4</f>
        <v>1</v>
      </c>
      <c r="AB4" s="135" t="b">
        <f t="shared" ref="AB4:AB27" si="7">K4=L4+M4</f>
        <v>1</v>
      </c>
    </row>
    <row r="5" spans="1:28" ht="38.25">
      <c r="A5" s="186">
        <v>3</v>
      </c>
      <c r="B5" s="201" t="s">
        <v>136</v>
      </c>
      <c r="C5" s="212" t="s">
        <v>117</v>
      </c>
      <c r="D5" s="201" t="s">
        <v>137</v>
      </c>
      <c r="E5" s="186" t="s">
        <v>92</v>
      </c>
      <c r="F5" s="201" t="s">
        <v>47</v>
      </c>
      <c r="G5" s="214" t="s">
        <v>138</v>
      </c>
      <c r="H5" s="203" t="s">
        <v>126</v>
      </c>
      <c r="I5" s="204">
        <v>0.93100000000000005</v>
      </c>
      <c r="J5" s="215" t="s">
        <v>139</v>
      </c>
      <c r="K5" s="206">
        <f>L5+M5</f>
        <v>2792197.17</v>
      </c>
      <c r="L5" s="206">
        <v>1263977.99</v>
      </c>
      <c r="M5" s="206">
        <v>1528219.18</v>
      </c>
      <c r="N5" s="253">
        <v>0.5</v>
      </c>
      <c r="O5" s="182">
        <v>0</v>
      </c>
      <c r="P5" s="184">
        <v>0</v>
      </c>
      <c r="Q5" s="206">
        <v>100000</v>
      </c>
      <c r="R5" s="206">
        <f>350000+613977.99</f>
        <v>963977.99</v>
      </c>
      <c r="S5" s="206">
        <f>L5-Q5-R5</f>
        <v>200000</v>
      </c>
      <c r="T5" s="250"/>
      <c r="U5" s="250"/>
      <c r="V5" s="248"/>
      <c r="W5" s="248"/>
      <c r="X5" s="248"/>
      <c r="Y5" s="132" t="b">
        <f t="shared" si="4"/>
        <v>1</v>
      </c>
      <c r="Z5" s="134">
        <f t="shared" si="5"/>
        <v>0.45269999999999999</v>
      </c>
      <c r="AA5" s="135" t="b">
        <f t="shared" si="6"/>
        <v>0</v>
      </c>
      <c r="AB5" s="135" t="b">
        <f t="shared" si="7"/>
        <v>1</v>
      </c>
    </row>
    <row r="6" spans="1:28" ht="38.25">
      <c r="A6" s="186">
        <v>4</v>
      </c>
      <c r="B6" s="201" t="s">
        <v>140</v>
      </c>
      <c r="C6" s="212" t="s">
        <v>117</v>
      </c>
      <c r="D6" s="201" t="s">
        <v>141</v>
      </c>
      <c r="E6" s="186" t="s">
        <v>82</v>
      </c>
      <c r="F6" s="201" t="s">
        <v>103</v>
      </c>
      <c r="G6" s="214" t="s">
        <v>142</v>
      </c>
      <c r="H6" s="203" t="s">
        <v>120</v>
      </c>
      <c r="I6" s="204">
        <v>1.1200000000000001</v>
      </c>
      <c r="J6" s="215" t="s">
        <v>143</v>
      </c>
      <c r="K6" s="206">
        <v>3279129.04</v>
      </c>
      <c r="L6" s="206">
        <f>ROUND(K6*N6,2)</f>
        <v>1639564.52</v>
      </c>
      <c r="M6" s="206">
        <f t="shared" ref="M6:M27" si="8">K6-L6</f>
        <v>1639564.52</v>
      </c>
      <c r="N6" s="257">
        <v>0.5</v>
      </c>
      <c r="O6" s="182">
        <v>0</v>
      </c>
      <c r="P6" s="184">
        <v>0</v>
      </c>
      <c r="Q6" s="206">
        <f>450000</f>
        <v>450000</v>
      </c>
      <c r="R6" s="206">
        <f>L6-Q6</f>
        <v>1189564.52</v>
      </c>
      <c r="S6" s="249"/>
      <c r="T6" s="250"/>
      <c r="U6" s="250"/>
      <c r="V6" s="248"/>
      <c r="W6" s="248"/>
      <c r="X6" s="248"/>
      <c r="Y6" s="132" t="b">
        <f t="shared" si="4"/>
        <v>1</v>
      </c>
      <c r="Z6" s="134">
        <f t="shared" si="5"/>
        <v>0.5</v>
      </c>
      <c r="AA6" s="135" t="b">
        <f t="shared" si="6"/>
        <v>1</v>
      </c>
      <c r="AB6" s="135" t="b">
        <f t="shared" si="7"/>
        <v>1</v>
      </c>
    </row>
    <row r="7" spans="1:28" ht="51">
      <c r="A7" s="186">
        <v>5</v>
      </c>
      <c r="B7" s="201" t="s">
        <v>144</v>
      </c>
      <c r="C7" s="212" t="s">
        <v>117</v>
      </c>
      <c r="D7" s="201" t="s">
        <v>145</v>
      </c>
      <c r="E7" s="186">
        <v>3217011</v>
      </c>
      <c r="F7" s="201" t="s">
        <v>48</v>
      </c>
      <c r="G7" s="214" t="s">
        <v>146</v>
      </c>
      <c r="H7" s="203" t="s">
        <v>120</v>
      </c>
      <c r="I7" s="204">
        <v>1.05</v>
      </c>
      <c r="J7" s="215" t="s">
        <v>147</v>
      </c>
      <c r="K7" s="206">
        <v>4891126.04</v>
      </c>
      <c r="L7" s="206">
        <f>ROUND(K7*N7,2)</f>
        <v>3912900.83</v>
      </c>
      <c r="M7" s="183">
        <f t="shared" si="8"/>
        <v>978225.21</v>
      </c>
      <c r="N7" s="257">
        <v>0.8</v>
      </c>
      <c r="O7" s="185">
        <v>0</v>
      </c>
      <c r="P7" s="184">
        <v>0</v>
      </c>
      <c r="Q7" s="184">
        <v>0</v>
      </c>
      <c r="R7" s="206">
        <v>300000</v>
      </c>
      <c r="S7" s="206">
        <f>L7-R7</f>
        <v>3612900.83</v>
      </c>
      <c r="T7" s="250"/>
      <c r="U7" s="250"/>
      <c r="V7" s="248"/>
      <c r="W7" s="248"/>
      <c r="X7" s="248"/>
      <c r="Y7" s="132" t="b">
        <f t="shared" si="4"/>
        <v>1</v>
      </c>
      <c r="Z7" s="134">
        <f t="shared" si="5"/>
        <v>0.8</v>
      </c>
      <c r="AA7" s="135" t="b">
        <f t="shared" si="6"/>
        <v>1</v>
      </c>
      <c r="AB7" s="135" t="b">
        <f t="shared" si="7"/>
        <v>1</v>
      </c>
    </row>
    <row r="8" spans="1:28" ht="38.25">
      <c r="A8" s="186">
        <v>6</v>
      </c>
      <c r="B8" s="201" t="s">
        <v>148</v>
      </c>
      <c r="C8" s="212" t="s">
        <v>117</v>
      </c>
      <c r="D8" s="201" t="s">
        <v>69</v>
      </c>
      <c r="E8" s="186">
        <v>3214102</v>
      </c>
      <c r="F8" s="201" t="s">
        <v>46</v>
      </c>
      <c r="G8" s="214" t="s">
        <v>149</v>
      </c>
      <c r="H8" s="203" t="s">
        <v>120</v>
      </c>
      <c r="I8" s="204">
        <v>0.94299999999999995</v>
      </c>
      <c r="J8" s="215" t="s">
        <v>150</v>
      </c>
      <c r="K8" s="206">
        <v>8663084.1899999995</v>
      </c>
      <c r="L8" s="206">
        <f>ROUND(K8*N8,2)-0.01</f>
        <v>4331542.09</v>
      </c>
      <c r="M8" s="183">
        <f t="shared" si="8"/>
        <v>4331542.0999999996</v>
      </c>
      <c r="N8" s="257">
        <v>0.5</v>
      </c>
      <c r="O8" s="185">
        <v>0</v>
      </c>
      <c r="P8" s="184">
        <v>0</v>
      </c>
      <c r="Q8" s="184">
        <v>0</v>
      </c>
      <c r="R8" s="206">
        <v>500000</v>
      </c>
      <c r="S8" s="206">
        <f>L8-R8</f>
        <v>3831542.09</v>
      </c>
      <c r="T8" s="249"/>
      <c r="U8" s="249"/>
      <c r="V8" s="248"/>
      <c r="W8" s="248"/>
      <c r="X8" s="248"/>
      <c r="Y8" s="132" t="b">
        <f t="shared" si="4"/>
        <v>1</v>
      </c>
      <c r="Z8" s="134">
        <f t="shared" si="5"/>
        <v>0.5</v>
      </c>
      <c r="AA8" s="135" t="b">
        <f t="shared" si="6"/>
        <v>1</v>
      </c>
      <c r="AB8" s="135" t="b">
        <f t="shared" si="7"/>
        <v>1</v>
      </c>
    </row>
    <row r="9" spans="1:28" ht="25.5">
      <c r="A9" s="186">
        <v>7</v>
      </c>
      <c r="B9" s="201" t="s">
        <v>151</v>
      </c>
      <c r="C9" s="212" t="s">
        <v>117</v>
      </c>
      <c r="D9" s="201" t="s">
        <v>152</v>
      </c>
      <c r="E9" s="186" t="s">
        <v>84</v>
      </c>
      <c r="F9" s="201" t="s">
        <v>53</v>
      </c>
      <c r="G9" s="214" t="s">
        <v>153</v>
      </c>
      <c r="H9" s="203" t="s">
        <v>120</v>
      </c>
      <c r="I9" s="204">
        <v>0.59099999999999997</v>
      </c>
      <c r="J9" s="215" t="s">
        <v>154</v>
      </c>
      <c r="K9" s="206">
        <v>5412814.9400000004</v>
      </c>
      <c r="L9" s="206">
        <f t="shared" ref="L9:L26" si="9">ROUND(K9*N9,2)</f>
        <v>2706407.47</v>
      </c>
      <c r="M9" s="183">
        <f t="shared" si="8"/>
        <v>2706407.47</v>
      </c>
      <c r="N9" s="257">
        <v>0.5</v>
      </c>
      <c r="O9" s="185">
        <v>0</v>
      </c>
      <c r="P9" s="184">
        <v>0</v>
      </c>
      <c r="Q9" s="184">
        <v>0</v>
      </c>
      <c r="R9" s="206">
        <v>700000</v>
      </c>
      <c r="S9" s="206">
        <f>L9-R9</f>
        <v>2006407.4700000002</v>
      </c>
      <c r="T9" s="249"/>
      <c r="U9" s="249"/>
      <c r="V9" s="249"/>
      <c r="W9" s="249"/>
      <c r="X9" s="249"/>
      <c r="Y9" s="132" t="b">
        <f t="shared" si="4"/>
        <v>1</v>
      </c>
      <c r="Z9" s="134">
        <f t="shared" si="5"/>
        <v>0.5</v>
      </c>
      <c r="AA9" s="135" t="b">
        <f t="shared" si="6"/>
        <v>1</v>
      </c>
      <c r="AB9" s="135" t="b">
        <f t="shared" si="7"/>
        <v>1</v>
      </c>
    </row>
    <row r="10" spans="1:28" ht="38.25">
      <c r="A10" s="186">
        <v>8</v>
      </c>
      <c r="B10" s="201" t="s">
        <v>195</v>
      </c>
      <c r="C10" s="212" t="s">
        <v>123</v>
      </c>
      <c r="D10" s="201" t="s">
        <v>133</v>
      </c>
      <c r="E10" s="186">
        <v>3214011</v>
      </c>
      <c r="F10" s="201" t="s">
        <v>46</v>
      </c>
      <c r="G10" s="214" t="s">
        <v>341</v>
      </c>
      <c r="H10" s="203" t="s">
        <v>126</v>
      </c>
      <c r="I10" s="204">
        <v>1.1359999999999999</v>
      </c>
      <c r="J10" s="215" t="s">
        <v>363</v>
      </c>
      <c r="K10" s="205">
        <v>17360427.370000001</v>
      </c>
      <c r="L10" s="206">
        <f t="shared" si="9"/>
        <v>10416256.42</v>
      </c>
      <c r="M10" s="183">
        <f t="shared" si="8"/>
        <v>6944170.9500000011</v>
      </c>
      <c r="N10" s="257">
        <v>0.6</v>
      </c>
      <c r="O10" s="185">
        <v>0</v>
      </c>
      <c r="P10" s="184">
        <v>0</v>
      </c>
      <c r="Q10" s="184">
        <v>0</v>
      </c>
      <c r="R10" s="184">
        <v>0</v>
      </c>
      <c r="S10" s="184">
        <f>2500000</f>
        <v>2500000</v>
      </c>
      <c r="T10" s="250">
        <f>3000000-315850.57-341434.49</f>
        <v>2342714.9400000004</v>
      </c>
      <c r="U10" s="250">
        <f>L10-S10-T10</f>
        <v>5573541.4799999995</v>
      </c>
      <c r="V10" s="249"/>
      <c r="W10" s="249"/>
      <c r="X10" s="249"/>
      <c r="Y10" s="132" t="b">
        <f t="shared" si="4"/>
        <v>1</v>
      </c>
      <c r="Z10" s="134">
        <f t="shared" si="5"/>
        <v>0.6</v>
      </c>
      <c r="AA10" s="135" t="b">
        <f t="shared" si="6"/>
        <v>1</v>
      </c>
      <c r="AB10" s="135" t="b">
        <f t="shared" si="7"/>
        <v>1</v>
      </c>
    </row>
    <row r="11" spans="1:28" ht="25.5">
      <c r="A11" s="186">
        <v>9</v>
      </c>
      <c r="B11" s="201" t="s">
        <v>196</v>
      </c>
      <c r="C11" s="212" t="s">
        <v>123</v>
      </c>
      <c r="D11" s="201" t="s">
        <v>200</v>
      </c>
      <c r="E11" s="186">
        <v>3209053</v>
      </c>
      <c r="F11" s="201" t="s">
        <v>47</v>
      </c>
      <c r="G11" s="214" t="s">
        <v>342</v>
      </c>
      <c r="H11" s="203" t="s">
        <v>126</v>
      </c>
      <c r="I11" s="204">
        <v>0.76500000000000001</v>
      </c>
      <c r="J11" s="215" t="s">
        <v>364</v>
      </c>
      <c r="K11" s="205">
        <v>13563657.390000001</v>
      </c>
      <c r="L11" s="206">
        <f t="shared" si="9"/>
        <v>6781828.7000000002</v>
      </c>
      <c r="M11" s="183">
        <f t="shared" si="8"/>
        <v>6781828.6900000004</v>
      </c>
      <c r="N11" s="257">
        <v>0.5</v>
      </c>
      <c r="O11" s="185">
        <v>0</v>
      </c>
      <c r="P11" s="184">
        <v>0</v>
      </c>
      <c r="Q11" s="184">
        <v>0</v>
      </c>
      <c r="R11" s="184">
        <v>0</v>
      </c>
      <c r="S11" s="184">
        <v>2300000</v>
      </c>
      <c r="T11" s="250">
        <f>L11-S11</f>
        <v>4481828.7</v>
      </c>
      <c r="U11" s="250"/>
      <c r="V11" s="250"/>
      <c r="W11" s="250"/>
      <c r="X11" s="250"/>
      <c r="Y11" s="132" t="b">
        <f t="shared" si="4"/>
        <v>1</v>
      </c>
      <c r="Z11" s="134">
        <f t="shared" si="5"/>
        <v>0.5</v>
      </c>
      <c r="AA11" s="135" t="b">
        <f t="shared" si="6"/>
        <v>1</v>
      </c>
      <c r="AB11" s="135" t="b">
        <f t="shared" si="7"/>
        <v>1</v>
      </c>
    </row>
    <row r="12" spans="1:28" ht="25.5">
      <c r="A12" s="186">
        <v>10</v>
      </c>
      <c r="B12" s="201" t="s">
        <v>197</v>
      </c>
      <c r="C12" s="212" t="s">
        <v>123</v>
      </c>
      <c r="D12" s="201" t="s">
        <v>68</v>
      </c>
      <c r="E12" s="186">
        <v>3208042</v>
      </c>
      <c r="F12" s="201" t="s">
        <v>71</v>
      </c>
      <c r="G12" s="214" t="s">
        <v>343</v>
      </c>
      <c r="H12" s="203" t="s">
        <v>120</v>
      </c>
      <c r="I12" s="204">
        <v>0.94799999999999995</v>
      </c>
      <c r="J12" s="215" t="s">
        <v>255</v>
      </c>
      <c r="K12" s="205">
        <v>9088913.7400000002</v>
      </c>
      <c r="L12" s="206">
        <f t="shared" si="9"/>
        <v>4544456.87</v>
      </c>
      <c r="M12" s="183">
        <f t="shared" si="8"/>
        <v>4544456.87</v>
      </c>
      <c r="N12" s="257">
        <v>0.5</v>
      </c>
      <c r="O12" s="185">
        <v>0</v>
      </c>
      <c r="P12" s="184">
        <v>0</v>
      </c>
      <c r="Q12" s="184">
        <v>0</v>
      </c>
      <c r="R12" s="184">
        <v>0</v>
      </c>
      <c r="S12" s="184">
        <v>2000000</v>
      </c>
      <c r="T12" s="250">
        <f>L12-S12</f>
        <v>2544456.87</v>
      </c>
      <c r="U12" s="250"/>
      <c r="V12" s="250"/>
      <c r="W12" s="250"/>
      <c r="X12" s="250"/>
      <c r="Y12" s="132" t="b">
        <f t="shared" si="4"/>
        <v>1</v>
      </c>
      <c r="Z12" s="134">
        <f t="shared" si="5"/>
        <v>0.5</v>
      </c>
      <c r="AA12" s="135" t="b">
        <f t="shared" si="6"/>
        <v>1</v>
      </c>
      <c r="AB12" s="135" t="b">
        <f t="shared" si="7"/>
        <v>1</v>
      </c>
    </row>
    <row r="13" spans="1:28" s="199" customFormat="1" ht="38.25">
      <c r="A13" s="202">
        <v>11</v>
      </c>
      <c r="B13" s="200" t="s">
        <v>199</v>
      </c>
      <c r="C13" s="228" t="s">
        <v>194</v>
      </c>
      <c r="D13" s="200" t="s">
        <v>202</v>
      </c>
      <c r="E13" s="202" t="s">
        <v>73</v>
      </c>
      <c r="F13" s="200" t="s">
        <v>54</v>
      </c>
      <c r="G13" s="230" t="s">
        <v>345</v>
      </c>
      <c r="H13" s="207" t="s">
        <v>120</v>
      </c>
      <c r="I13" s="208">
        <v>0.38</v>
      </c>
      <c r="J13" s="251" t="s">
        <v>365</v>
      </c>
      <c r="K13" s="209">
        <v>6897490.5300000003</v>
      </c>
      <c r="L13" s="210">
        <f t="shared" si="9"/>
        <v>3448745.27</v>
      </c>
      <c r="M13" s="194">
        <f t="shared" si="8"/>
        <v>3448745.2600000002</v>
      </c>
      <c r="N13" s="279">
        <v>0.5</v>
      </c>
      <c r="O13" s="196">
        <v>0</v>
      </c>
      <c r="P13" s="197">
        <v>0</v>
      </c>
      <c r="Q13" s="197">
        <v>0</v>
      </c>
      <c r="R13" s="197">
        <v>0</v>
      </c>
      <c r="S13" s="197">
        <f>L13</f>
        <v>3448745.27</v>
      </c>
      <c r="T13" s="233"/>
      <c r="U13" s="233"/>
      <c r="V13" s="252"/>
      <c r="W13" s="252"/>
      <c r="X13" s="252"/>
      <c r="Y13" s="132" t="b">
        <f t="shared" si="4"/>
        <v>1</v>
      </c>
      <c r="Z13" s="134">
        <f t="shared" si="5"/>
        <v>0.5</v>
      </c>
      <c r="AA13" s="135" t="b">
        <f t="shared" si="6"/>
        <v>1</v>
      </c>
      <c r="AB13" s="135" t="b">
        <f t="shared" si="7"/>
        <v>1</v>
      </c>
    </row>
    <row r="14" spans="1:28" s="195" customFormat="1" ht="51">
      <c r="A14" s="186">
        <v>12</v>
      </c>
      <c r="B14" s="201" t="s">
        <v>203</v>
      </c>
      <c r="C14" s="212" t="s">
        <v>123</v>
      </c>
      <c r="D14" s="201" t="s">
        <v>201</v>
      </c>
      <c r="E14" s="186">
        <v>3201011</v>
      </c>
      <c r="F14" s="201" t="s">
        <v>72</v>
      </c>
      <c r="G14" s="214" t="s">
        <v>346</v>
      </c>
      <c r="H14" s="207" t="s">
        <v>126</v>
      </c>
      <c r="I14" s="208">
        <v>0.91800000000000004</v>
      </c>
      <c r="J14" s="215" t="s">
        <v>367</v>
      </c>
      <c r="K14" s="205">
        <v>18140655.289999999</v>
      </c>
      <c r="L14" s="206">
        <f t="shared" si="9"/>
        <v>10884393.17</v>
      </c>
      <c r="M14" s="183">
        <f t="shared" si="8"/>
        <v>7256262.1199999992</v>
      </c>
      <c r="N14" s="257">
        <v>0.6</v>
      </c>
      <c r="O14" s="185">
        <v>0</v>
      </c>
      <c r="P14" s="184">
        <v>0</v>
      </c>
      <c r="Q14" s="184">
        <v>0</v>
      </c>
      <c r="R14" s="184">
        <v>0</v>
      </c>
      <c r="S14" s="184">
        <f>800000+500000+2500000</f>
        <v>3800000</v>
      </c>
      <c r="T14" s="223">
        <f>3000000-830000-158133.67</f>
        <v>2011866.33</v>
      </c>
      <c r="U14" s="223">
        <f>L14-S14-T14</f>
        <v>5072526.84</v>
      </c>
      <c r="V14" s="224"/>
      <c r="W14" s="224"/>
      <c r="X14" s="224"/>
      <c r="Y14" s="132" t="b">
        <f t="shared" si="4"/>
        <v>1</v>
      </c>
      <c r="Z14" s="134">
        <f t="shared" si="5"/>
        <v>0.6</v>
      </c>
      <c r="AA14" s="135" t="b">
        <f t="shared" si="6"/>
        <v>1</v>
      </c>
      <c r="AB14" s="135" t="b">
        <f t="shared" si="7"/>
        <v>1</v>
      </c>
    </row>
    <row r="15" spans="1:28" s="195" customFormat="1" ht="51">
      <c r="A15" s="186">
        <v>13</v>
      </c>
      <c r="B15" s="201" t="s">
        <v>412</v>
      </c>
      <c r="C15" s="212" t="s">
        <v>123</v>
      </c>
      <c r="D15" s="201" t="s">
        <v>413</v>
      </c>
      <c r="E15" s="186" t="s">
        <v>96</v>
      </c>
      <c r="F15" s="201" t="s">
        <v>46</v>
      </c>
      <c r="G15" s="214" t="s">
        <v>414</v>
      </c>
      <c r="H15" s="203" t="s">
        <v>120</v>
      </c>
      <c r="I15" s="204">
        <v>2.7589999999999999</v>
      </c>
      <c r="J15" s="215" t="s">
        <v>422</v>
      </c>
      <c r="K15" s="205">
        <v>14243154.630000001</v>
      </c>
      <c r="L15" s="206">
        <f t="shared" si="9"/>
        <v>7121577.3200000003</v>
      </c>
      <c r="M15" s="183">
        <f t="shared" si="8"/>
        <v>7121577.3100000005</v>
      </c>
      <c r="N15" s="257">
        <v>0.5</v>
      </c>
      <c r="O15" s="185">
        <v>0</v>
      </c>
      <c r="P15" s="184">
        <v>0</v>
      </c>
      <c r="Q15" s="184">
        <v>0</v>
      </c>
      <c r="R15" s="184">
        <v>0</v>
      </c>
      <c r="S15" s="184">
        <f>2000000+800000</f>
        <v>2800000</v>
      </c>
      <c r="T15" s="223">
        <f>L15-S15</f>
        <v>4321577.32</v>
      </c>
      <c r="U15" s="223"/>
      <c r="V15" s="224"/>
      <c r="W15" s="224"/>
      <c r="X15" s="224"/>
      <c r="Y15" s="132" t="b">
        <f t="shared" si="4"/>
        <v>1</v>
      </c>
      <c r="Z15" s="134">
        <f t="shared" si="5"/>
        <v>0.5</v>
      </c>
      <c r="AA15" s="135" t="b">
        <f t="shared" si="6"/>
        <v>1</v>
      </c>
      <c r="AB15" s="135" t="b">
        <f t="shared" si="7"/>
        <v>1</v>
      </c>
    </row>
    <row r="16" spans="1:28" s="199" customFormat="1" ht="38.25">
      <c r="A16" s="202">
        <v>14</v>
      </c>
      <c r="B16" s="200" t="s">
        <v>205</v>
      </c>
      <c r="C16" s="228" t="s">
        <v>194</v>
      </c>
      <c r="D16" s="200" t="s">
        <v>217</v>
      </c>
      <c r="E16" s="202">
        <v>3208011</v>
      </c>
      <c r="F16" s="200" t="s">
        <v>71</v>
      </c>
      <c r="G16" s="230" t="s">
        <v>347</v>
      </c>
      <c r="H16" s="207" t="s">
        <v>120</v>
      </c>
      <c r="I16" s="208">
        <v>0.29299999999999998</v>
      </c>
      <c r="J16" s="251" t="s">
        <v>250</v>
      </c>
      <c r="K16" s="209">
        <v>5416302.1099999994</v>
      </c>
      <c r="L16" s="210">
        <f t="shared" si="9"/>
        <v>3249781.27</v>
      </c>
      <c r="M16" s="194">
        <f t="shared" si="8"/>
        <v>2166520.8399999994</v>
      </c>
      <c r="N16" s="279">
        <v>0.6</v>
      </c>
      <c r="O16" s="196">
        <v>0</v>
      </c>
      <c r="P16" s="197">
        <v>0</v>
      </c>
      <c r="Q16" s="197">
        <v>0</v>
      </c>
      <c r="R16" s="197">
        <v>0</v>
      </c>
      <c r="S16" s="197">
        <f>L16</f>
        <v>3249781.27</v>
      </c>
      <c r="T16" s="210"/>
      <c r="U16" s="233"/>
      <c r="V16" s="252"/>
      <c r="W16" s="252"/>
      <c r="X16" s="252"/>
      <c r="Y16" s="132" t="b">
        <f t="shared" si="4"/>
        <v>1</v>
      </c>
      <c r="Z16" s="134">
        <f t="shared" si="5"/>
        <v>0.6</v>
      </c>
      <c r="AA16" s="135" t="b">
        <f t="shared" si="6"/>
        <v>1</v>
      </c>
      <c r="AB16" s="135" t="b">
        <f t="shared" si="7"/>
        <v>1</v>
      </c>
    </row>
    <row r="17" spans="1:28" s="195" customFormat="1" ht="38.25">
      <c r="A17" s="186">
        <v>15</v>
      </c>
      <c r="B17" s="201" t="s">
        <v>206</v>
      </c>
      <c r="C17" s="212" t="s">
        <v>123</v>
      </c>
      <c r="D17" s="201" t="s">
        <v>152</v>
      </c>
      <c r="E17" s="186" t="s">
        <v>84</v>
      </c>
      <c r="F17" s="201" t="s">
        <v>53</v>
      </c>
      <c r="G17" s="214" t="s">
        <v>348</v>
      </c>
      <c r="H17" s="207" t="s">
        <v>120</v>
      </c>
      <c r="I17" s="208">
        <v>1.504</v>
      </c>
      <c r="J17" s="215" t="s">
        <v>252</v>
      </c>
      <c r="K17" s="205">
        <v>11359353.16</v>
      </c>
      <c r="L17" s="206">
        <f t="shared" si="9"/>
        <v>5679676.5800000001</v>
      </c>
      <c r="M17" s="183">
        <f t="shared" si="8"/>
        <v>5679676.5800000001</v>
      </c>
      <c r="N17" s="257">
        <v>0.5</v>
      </c>
      <c r="O17" s="185">
        <v>0</v>
      </c>
      <c r="P17" s="184">
        <v>0</v>
      </c>
      <c r="Q17" s="184">
        <v>0</v>
      </c>
      <c r="R17" s="184">
        <v>0</v>
      </c>
      <c r="S17" s="184">
        <f>1000000+28565.51</f>
        <v>1028565.51</v>
      </c>
      <c r="T17" s="206">
        <f>L17-S17</f>
        <v>4651111.07</v>
      </c>
      <c r="U17" s="223"/>
      <c r="V17" s="224"/>
      <c r="W17" s="224"/>
      <c r="X17" s="224"/>
      <c r="Y17" s="132" t="b">
        <f t="shared" si="4"/>
        <v>1</v>
      </c>
      <c r="Z17" s="134">
        <f t="shared" si="5"/>
        <v>0.5</v>
      </c>
      <c r="AA17" s="135" t="b">
        <f t="shared" si="6"/>
        <v>1</v>
      </c>
      <c r="AB17" s="135" t="b">
        <f t="shared" si="7"/>
        <v>1</v>
      </c>
    </row>
    <row r="18" spans="1:28" s="199" customFormat="1" ht="25.5">
      <c r="A18" s="202">
        <v>16</v>
      </c>
      <c r="B18" s="200" t="s">
        <v>209</v>
      </c>
      <c r="C18" s="228" t="s">
        <v>194</v>
      </c>
      <c r="D18" s="200" t="s">
        <v>218</v>
      </c>
      <c r="E18" s="202" t="s">
        <v>93</v>
      </c>
      <c r="F18" s="200" t="s">
        <v>47</v>
      </c>
      <c r="G18" s="230" t="s">
        <v>351</v>
      </c>
      <c r="H18" s="207" t="s">
        <v>126</v>
      </c>
      <c r="I18" s="208">
        <v>0.78</v>
      </c>
      <c r="J18" s="251" t="s">
        <v>370</v>
      </c>
      <c r="K18" s="209">
        <v>3745671.94</v>
      </c>
      <c r="L18" s="210">
        <f t="shared" si="9"/>
        <v>2247403.16</v>
      </c>
      <c r="M18" s="194">
        <f t="shared" si="8"/>
        <v>1498268.7799999998</v>
      </c>
      <c r="N18" s="279">
        <v>0.6</v>
      </c>
      <c r="O18" s="196">
        <v>0</v>
      </c>
      <c r="P18" s="197">
        <v>0</v>
      </c>
      <c r="Q18" s="197">
        <v>0</v>
      </c>
      <c r="R18" s="197">
        <v>0</v>
      </c>
      <c r="S18" s="197">
        <f>L18</f>
        <v>2247403.16</v>
      </c>
      <c r="T18" s="210"/>
      <c r="U18" s="233"/>
      <c r="V18" s="252"/>
      <c r="W18" s="252"/>
      <c r="X18" s="252"/>
      <c r="Y18" s="132" t="b">
        <f t="shared" si="4"/>
        <v>1</v>
      </c>
      <c r="Z18" s="134">
        <f t="shared" si="5"/>
        <v>0.6</v>
      </c>
      <c r="AA18" s="135" t="b">
        <f t="shared" si="6"/>
        <v>1</v>
      </c>
      <c r="AB18" s="135" t="b">
        <f t="shared" si="7"/>
        <v>1</v>
      </c>
    </row>
    <row r="19" spans="1:28" s="199" customFormat="1" ht="38.25">
      <c r="A19" s="202">
        <v>17</v>
      </c>
      <c r="B19" s="200" t="s">
        <v>208</v>
      </c>
      <c r="C19" s="228" t="s">
        <v>194</v>
      </c>
      <c r="D19" s="200" t="s">
        <v>215</v>
      </c>
      <c r="E19" s="202" t="s">
        <v>77</v>
      </c>
      <c r="F19" s="200" t="s">
        <v>71</v>
      </c>
      <c r="G19" s="230" t="s">
        <v>350</v>
      </c>
      <c r="H19" s="207" t="s">
        <v>238</v>
      </c>
      <c r="I19" s="208">
        <v>1.3</v>
      </c>
      <c r="J19" s="251" t="s">
        <v>369</v>
      </c>
      <c r="K19" s="209">
        <v>4546506.24</v>
      </c>
      <c r="L19" s="209">
        <f t="shared" ref="L19" si="10">ROUND(K19*N19,2)</f>
        <v>2273253.12</v>
      </c>
      <c r="M19" s="194">
        <f t="shared" ref="M19" si="11">K19-L19</f>
        <v>2273253.12</v>
      </c>
      <c r="N19" s="277">
        <v>0.5</v>
      </c>
      <c r="O19" s="196">
        <v>0</v>
      </c>
      <c r="P19" s="278">
        <v>0</v>
      </c>
      <c r="Q19" s="278">
        <v>0</v>
      </c>
      <c r="R19" s="278">
        <v>0</v>
      </c>
      <c r="S19" s="278">
        <f>L19</f>
        <v>2273253.12</v>
      </c>
      <c r="T19" s="210"/>
      <c r="U19" s="233"/>
      <c r="V19" s="252"/>
      <c r="W19" s="252"/>
      <c r="X19" s="252"/>
      <c r="Y19" s="132" t="b">
        <f t="shared" si="4"/>
        <v>1</v>
      </c>
      <c r="Z19" s="134">
        <f t="shared" si="5"/>
        <v>0.5</v>
      </c>
      <c r="AA19" s="135" t="b">
        <f t="shared" si="6"/>
        <v>1</v>
      </c>
      <c r="AB19" s="135" t="b">
        <f t="shared" si="7"/>
        <v>1</v>
      </c>
    </row>
    <row r="20" spans="1:28" s="199" customFormat="1" ht="25.5">
      <c r="A20" s="202">
        <v>18</v>
      </c>
      <c r="B20" s="200" t="s">
        <v>210</v>
      </c>
      <c r="C20" s="228" t="s">
        <v>194</v>
      </c>
      <c r="D20" s="200" t="s">
        <v>67</v>
      </c>
      <c r="E20" s="202">
        <v>3215011</v>
      </c>
      <c r="F20" s="200" t="s">
        <v>312</v>
      </c>
      <c r="G20" s="230" t="s">
        <v>352</v>
      </c>
      <c r="H20" s="207" t="s">
        <v>120</v>
      </c>
      <c r="I20" s="208">
        <v>0.151</v>
      </c>
      <c r="J20" s="251" t="s">
        <v>371</v>
      </c>
      <c r="K20" s="209">
        <v>1389545.55</v>
      </c>
      <c r="L20" s="210">
        <f t="shared" si="9"/>
        <v>833727.33</v>
      </c>
      <c r="M20" s="194">
        <f t="shared" si="8"/>
        <v>555818.22000000009</v>
      </c>
      <c r="N20" s="279">
        <v>0.6</v>
      </c>
      <c r="O20" s="196">
        <v>0</v>
      </c>
      <c r="P20" s="197">
        <v>0</v>
      </c>
      <c r="Q20" s="197">
        <v>0</v>
      </c>
      <c r="R20" s="197">
        <v>0</v>
      </c>
      <c r="S20" s="197">
        <f>L20</f>
        <v>833727.33</v>
      </c>
      <c r="T20" s="210"/>
      <c r="U20" s="233"/>
      <c r="V20" s="252"/>
      <c r="W20" s="252"/>
      <c r="X20" s="252"/>
      <c r="Y20" s="132" t="b">
        <f t="shared" si="4"/>
        <v>1</v>
      </c>
      <c r="Z20" s="134">
        <f t="shared" si="5"/>
        <v>0.6</v>
      </c>
      <c r="AA20" s="135" t="b">
        <f t="shared" si="6"/>
        <v>1</v>
      </c>
      <c r="AB20" s="135" t="b">
        <f t="shared" si="7"/>
        <v>1</v>
      </c>
    </row>
    <row r="21" spans="1:28" s="199" customFormat="1" ht="51">
      <c r="A21" s="202">
        <v>19</v>
      </c>
      <c r="B21" s="200" t="s">
        <v>211</v>
      </c>
      <c r="C21" s="228" t="s">
        <v>194</v>
      </c>
      <c r="D21" s="200" t="s">
        <v>219</v>
      </c>
      <c r="E21" s="202" t="s">
        <v>78</v>
      </c>
      <c r="F21" s="200" t="s">
        <v>52</v>
      </c>
      <c r="G21" s="230" t="s">
        <v>353</v>
      </c>
      <c r="H21" s="207" t="s">
        <v>126</v>
      </c>
      <c r="I21" s="208">
        <v>0.66400000000000003</v>
      </c>
      <c r="J21" s="251" t="s">
        <v>372</v>
      </c>
      <c r="K21" s="209">
        <v>5553269.8399999999</v>
      </c>
      <c r="L21" s="210">
        <f t="shared" si="9"/>
        <v>2776634.92</v>
      </c>
      <c r="M21" s="194">
        <f t="shared" si="8"/>
        <v>2776634.92</v>
      </c>
      <c r="N21" s="279">
        <v>0.5</v>
      </c>
      <c r="O21" s="196">
        <v>0</v>
      </c>
      <c r="P21" s="197">
        <v>0</v>
      </c>
      <c r="Q21" s="197">
        <v>0</v>
      </c>
      <c r="R21" s="197">
        <v>0</v>
      </c>
      <c r="S21" s="197">
        <f>L21</f>
        <v>2776634.92</v>
      </c>
      <c r="T21" s="210"/>
      <c r="U21" s="233"/>
      <c r="V21" s="252"/>
      <c r="W21" s="252"/>
      <c r="X21" s="252"/>
      <c r="Y21" s="132" t="b">
        <f t="shared" si="4"/>
        <v>1</v>
      </c>
      <c r="Z21" s="134">
        <f t="shared" si="5"/>
        <v>0.5</v>
      </c>
      <c r="AA21" s="135" t="b">
        <f t="shared" si="6"/>
        <v>1</v>
      </c>
      <c r="AB21" s="135" t="b">
        <f t="shared" si="7"/>
        <v>1</v>
      </c>
    </row>
    <row r="22" spans="1:28" ht="25.5">
      <c r="A22" s="186">
        <v>20</v>
      </c>
      <c r="B22" s="201" t="s">
        <v>213</v>
      </c>
      <c r="C22" s="212" t="s">
        <v>123</v>
      </c>
      <c r="D22" s="201" t="s">
        <v>141</v>
      </c>
      <c r="E22" s="186" t="s">
        <v>82</v>
      </c>
      <c r="F22" s="201" t="s">
        <v>103</v>
      </c>
      <c r="G22" s="214" t="s">
        <v>420</v>
      </c>
      <c r="H22" s="207" t="s">
        <v>120</v>
      </c>
      <c r="I22" s="208">
        <v>1.3440000000000001</v>
      </c>
      <c r="J22" s="215" t="s">
        <v>374</v>
      </c>
      <c r="K22" s="205">
        <v>7299354.5999999996</v>
      </c>
      <c r="L22" s="206">
        <f t="shared" si="9"/>
        <v>3649677.3</v>
      </c>
      <c r="M22" s="183">
        <f t="shared" si="8"/>
        <v>3649677.3</v>
      </c>
      <c r="N22" s="253">
        <v>0.5</v>
      </c>
      <c r="O22" s="185">
        <v>0</v>
      </c>
      <c r="P22" s="184">
        <v>0</v>
      </c>
      <c r="Q22" s="184">
        <v>0</v>
      </c>
      <c r="R22" s="184">
        <v>0</v>
      </c>
      <c r="S22" s="184">
        <v>1900000</v>
      </c>
      <c r="T22" s="206">
        <f>L22-S22</f>
        <v>1749677.2999999998</v>
      </c>
      <c r="U22" s="254"/>
      <c r="V22" s="254"/>
      <c r="W22" s="254"/>
      <c r="X22" s="254"/>
      <c r="Y22" s="132" t="b">
        <f t="shared" si="4"/>
        <v>1</v>
      </c>
      <c r="Z22" s="134">
        <f t="shared" si="5"/>
        <v>0.5</v>
      </c>
      <c r="AA22" s="135" t="b">
        <f t="shared" si="6"/>
        <v>1</v>
      </c>
      <c r="AB22" s="135" t="b">
        <f t="shared" si="7"/>
        <v>1</v>
      </c>
    </row>
    <row r="23" spans="1:28" s="199" customFormat="1" ht="25.5">
      <c r="A23" s="202">
        <v>21</v>
      </c>
      <c r="B23" s="200" t="s">
        <v>212</v>
      </c>
      <c r="C23" s="228" t="s">
        <v>194</v>
      </c>
      <c r="D23" s="200" t="s">
        <v>220</v>
      </c>
      <c r="E23" s="202" t="s">
        <v>99</v>
      </c>
      <c r="F23" s="200" t="s">
        <v>312</v>
      </c>
      <c r="G23" s="230" t="s">
        <v>354</v>
      </c>
      <c r="H23" s="207" t="s">
        <v>120</v>
      </c>
      <c r="I23" s="208">
        <v>0.8</v>
      </c>
      <c r="J23" s="251" t="s">
        <v>373</v>
      </c>
      <c r="K23" s="209">
        <v>4328147.72</v>
      </c>
      <c r="L23" s="210">
        <f t="shared" si="9"/>
        <v>2596888.63</v>
      </c>
      <c r="M23" s="194">
        <f t="shared" si="8"/>
        <v>1731259.0899999999</v>
      </c>
      <c r="N23" s="277">
        <v>0.6</v>
      </c>
      <c r="O23" s="196">
        <v>0</v>
      </c>
      <c r="P23" s="197">
        <v>0</v>
      </c>
      <c r="Q23" s="197">
        <v>0</v>
      </c>
      <c r="R23" s="197">
        <v>0</v>
      </c>
      <c r="S23" s="197">
        <f>L23</f>
        <v>2596888.63</v>
      </c>
      <c r="T23" s="210"/>
      <c r="U23" s="283"/>
      <c r="V23" s="283"/>
      <c r="W23" s="283"/>
      <c r="X23" s="283"/>
      <c r="Y23" s="132" t="b">
        <f t="shared" si="4"/>
        <v>1</v>
      </c>
      <c r="Z23" s="134">
        <f t="shared" si="5"/>
        <v>0.6</v>
      </c>
      <c r="AA23" s="135" t="b">
        <f t="shared" si="6"/>
        <v>1</v>
      </c>
      <c r="AB23" s="135" t="b">
        <f t="shared" si="7"/>
        <v>1</v>
      </c>
    </row>
    <row r="24" spans="1:28" s="199" customFormat="1" ht="25.5">
      <c r="A24" s="202">
        <v>22</v>
      </c>
      <c r="B24" s="200" t="s">
        <v>415</v>
      </c>
      <c r="C24" s="228" t="s">
        <v>194</v>
      </c>
      <c r="D24" s="200" t="s">
        <v>416</v>
      </c>
      <c r="E24" s="202" t="s">
        <v>66</v>
      </c>
      <c r="F24" s="200" t="s">
        <v>285</v>
      </c>
      <c r="G24" s="230" t="s">
        <v>417</v>
      </c>
      <c r="H24" s="207" t="s">
        <v>120</v>
      </c>
      <c r="I24" s="208">
        <v>0.97499999999999998</v>
      </c>
      <c r="J24" s="251" t="s">
        <v>418</v>
      </c>
      <c r="K24" s="209">
        <v>3758551.52</v>
      </c>
      <c r="L24" s="210">
        <f t="shared" si="9"/>
        <v>1879275.76</v>
      </c>
      <c r="M24" s="194">
        <f t="shared" si="8"/>
        <v>1879275.76</v>
      </c>
      <c r="N24" s="277">
        <v>0.5</v>
      </c>
      <c r="O24" s="196">
        <v>0</v>
      </c>
      <c r="P24" s="197">
        <v>0</v>
      </c>
      <c r="Q24" s="197">
        <v>0</v>
      </c>
      <c r="R24" s="197">
        <v>0</v>
      </c>
      <c r="S24" s="197">
        <f>L24</f>
        <v>1879275.76</v>
      </c>
      <c r="T24" s="210"/>
      <c r="U24" s="283"/>
      <c r="V24" s="283"/>
      <c r="W24" s="283"/>
      <c r="X24" s="283"/>
      <c r="Y24" s="132" t="b">
        <f t="shared" si="4"/>
        <v>1</v>
      </c>
      <c r="Z24" s="134">
        <f t="shared" si="5"/>
        <v>0.5</v>
      </c>
      <c r="AA24" s="135" t="b">
        <f t="shared" si="6"/>
        <v>1</v>
      </c>
      <c r="AB24" s="135" t="b">
        <f t="shared" si="7"/>
        <v>1</v>
      </c>
    </row>
    <row r="25" spans="1:28" s="199" customFormat="1" ht="63.75">
      <c r="A25" s="202">
        <v>23</v>
      </c>
      <c r="B25" s="200" t="s">
        <v>260</v>
      </c>
      <c r="C25" s="228" t="s">
        <v>194</v>
      </c>
      <c r="D25" s="200" t="s">
        <v>262</v>
      </c>
      <c r="E25" s="202" t="s">
        <v>75</v>
      </c>
      <c r="F25" s="200" t="s">
        <v>286</v>
      </c>
      <c r="G25" s="230" t="s">
        <v>265</v>
      </c>
      <c r="H25" s="207" t="s">
        <v>120</v>
      </c>
      <c r="I25" s="208">
        <v>0.35</v>
      </c>
      <c r="J25" s="251" t="s">
        <v>378</v>
      </c>
      <c r="K25" s="210">
        <v>1946143.06</v>
      </c>
      <c r="L25" s="209">
        <f t="shared" si="9"/>
        <v>973071.53</v>
      </c>
      <c r="M25" s="194">
        <f t="shared" si="8"/>
        <v>973071.53</v>
      </c>
      <c r="N25" s="277">
        <v>0.5</v>
      </c>
      <c r="O25" s="196">
        <v>0</v>
      </c>
      <c r="P25" s="197">
        <v>0</v>
      </c>
      <c r="Q25" s="197">
        <v>0</v>
      </c>
      <c r="R25" s="197">
        <v>0</v>
      </c>
      <c r="S25" s="197">
        <f>L25</f>
        <v>973071.53</v>
      </c>
      <c r="T25" s="210"/>
      <c r="U25" s="233"/>
      <c r="V25" s="252"/>
      <c r="W25" s="252"/>
      <c r="X25" s="252"/>
      <c r="Y25" s="132" t="b">
        <f t="shared" si="4"/>
        <v>1</v>
      </c>
      <c r="Z25" s="134">
        <f t="shared" si="5"/>
        <v>0.5</v>
      </c>
      <c r="AA25" s="135" t="b">
        <f t="shared" si="6"/>
        <v>1</v>
      </c>
      <c r="AB25" s="135" t="b">
        <f t="shared" si="7"/>
        <v>1</v>
      </c>
    </row>
    <row r="26" spans="1:28" s="199" customFormat="1" ht="25.5">
      <c r="A26" s="202">
        <v>24</v>
      </c>
      <c r="B26" s="200" t="s">
        <v>392</v>
      </c>
      <c r="C26" s="228" t="s">
        <v>194</v>
      </c>
      <c r="D26" s="200" t="s">
        <v>393</v>
      </c>
      <c r="E26" s="202" t="s">
        <v>91</v>
      </c>
      <c r="F26" s="200" t="s">
        <v>71</v>
      </c>
      <c r="G26" s="230" t="s">
        <v>394</v>
      </c>
      <c r="H26" s="207" t="s">
        <v>126</v>
      </c>
      <c r="I26" s="208">
        <v>0.28199999999999997</v>
      </c>
      <c r="J26" s="251" t="s">
        <v>395</v>
      </c>
      <c r="K26" s="210">
        <v>2167164.41</v>
      </c>
      <c r="L26" s="209">
        <f t="shared" si="9"/>
        <v>1083582.21</v>
      </c>
      <c r="M26" s="194">
        <f t="shared" si="8"/>
        <v>1083582.2000000002</v>
      </c>
      <c r="N26" s="277">
        <v>0.5</v>
      </c>
      <c r="O26" s="196">
        <v>0</v>
      </c>
      <c r="P26" s="197">
        <v>0</v>
      </c>
      <c r="Q26" s="197">
        <v>0</v>
      </c>
      <c r="R26" s="197">
        <v>0</v>
      </c>
      <c r="S26" s="197">
        <f>L26</f>
        <v>1083582.21</v>
      </c>
      <c r="T26" s="210"/>
      <c r="U26" s="233"/>
      <c r="V26" s="252"/>
      <c r="W26" s="252"/>
      <c r="X26" s="252"/>
      <c r="Y26" s="132" t="b">
        <f t="shared" si="4"/>
        <v>1</v>
      </c>
      <c r="Z26" s="134">
        <f t="shared" si="5"/>
        <v>0.5</v>
      </c>
      <c r="AA26" s="135" t="b">
        <f t="shared" si="6"/>
        <v>1</v>
      </c>
      <c r="AB26" s="135" t="b">
        <f t="shared" si="7"/>
        <v>1</v>
      </c>
    </row>
    <row r="27" spans="1:28" s="199" customFormat="1" ht="38.25">
      <c r="A27" s="202" t="s">
        <v>421</v>
      </c>
      <c r="B27" s="200" t="s">
        <v>214</v>
      </c>
      <c r="C27" s="228" t="s">
        <v>194</v>
      </c>
      <c r="D27" s="200" t="s">
        <v>221</v>
      </c>
      <c r="E27" s="202" t="s">
        <v>65</v>
      </c>
      <c r="F27" s="200" t="s">
        <v>52</v>
      </c>
      <c r="G27" s="230" t="s">
        <v>355</v>
      </c>
      <c r="H27" s="207" t="s">
        <v>120</v>
      </c>
      <c r="I27" s="208">
        <v>0.37</v>
      </c>
      <c r="J27" s="251" t="s">
        <v>375</v>
      </c>
      <c r="K27" s="209">
        <v>2603822.63</v>
      </c>
      <c r="L27" s="210">
        <f>1562293.58-1132591.61+21791.38</f>
        <v>451493.35</v>
      </c>
      <c r="M27" s="194">
        <f t="shared" si="8"/>
        <v>2152329.2799999998</v>
      </c>
      <c r="N27" s="277">
        <v>0.6</v>
      </c>
      <c r="O27" s="196">
        <v>0</v>
      </c>
      <c r="P27" s="197">
        <v>0</v>
      </c>
      <c r="Q27" s="197">
        <v>0</v>
      </c>
      <c r="R27" s="197">
        <v>0</v>
      </c>
      <c r="S27" s="197">
        <f>L27</f>
        <v>451493.35</v>
      </c>
      <c r="T27" s="210"/>
      <c r="U27" s="233"/>
      <c r="V27" s="252"/>
      <c r="W27" s="252"/>
      <c r="X27" s="252"/>
      <c r="Y27" s="132" t="b">
        <f t="shared" si="4"/>
        <v>1</v>
      </c>
      <c r="Z27" s="134">
        <f t="shared" si="5"/>
        <v>0.1734</v>
      </c>
      <c r="AA27" s="135" t="b">
        <f t="shared" si="6"/>
        <v>0</v>
      </c>
      <c r="AB27" s="135" t="b">
        <f t="shared" si="7"/>
        <v>1</v>
      </c>
    </row>
    <row r="28" spans="1:28" ht="15" customHeight="1">
      <c r="A28" s="318" t="s">
        <v>45</v>
      </c>
      <c r="B28" s="319"/>
      <c r="C28" s="319"/>
      <c r="D28" s="319"/>
      <c r="E28" s="319"/>
      <c r="F28" s="319"/>
      <c r="G28" s="319"/>
      <c r="H28" s="320"/>
      <c r="I28" s="136">
        <f>SUM(I3:I27)</f>
        <v>23.75500000000001</v>
      </c>
      <c r="J28" s="137" t="s">
        <v>14</v>
      </c>
      <c r="K28" s="138">
        <f>SUM(K3:K27)</f>
        <v>172396581.61000001</v>
      </c>
      <c r="L28" s="138">
        <f>SUM(L3:L27)</f>
        <v>92636438.959999993</v>
      </c>
      <c r="M28" s="138">
        <f>SUM(M3:M27)</f>
        <v>79760142.650000006</v>
      </c>
      <c r="N28" s="139" t="s">
        <v>14</v>
      </c>
      <c r="O28" s="138">
        <f t="shared" ref="O28:X28" si="12">SUM(O3:O27)</f>
        <v>0</v>
      </c>
      <c r="P28" s="138">
        <f t="shared" si="12"/>
        <v>182106.42000000004</v>
      </c>
      <c r="Q28" s="138">
        <f t="shared" si="12"/>
        <v>2122417.8499999996</v>
      </c>
      <c r="R28" s="138">
        <f t="shared" si="12"/>
        <v>7590982.7599999998</v>
      </c>
      <c r="S28" s="138">
        <f t="shared" si="12"/>
        <v>49991631.080000006</v>
      </c>
      <c r="T28" s="138">
        <f t="shared" si="12"/>
        <v>22103232.530000005</v>
      </c>
      <c r="U28" s="138">
        <f t="shared" si="12"/>
        <v>10646068.32</v>
      </c>
      <c r="V28" s="138">
        <f t="shared" si="12"/>
        <v>0</v>
      </c>
      <c r="W28" s="138">
        <f t="shared" si="12"/>
        <v>0</v>
      </c>
      <c r="X28" s="138">
        <f t="shared" si="12"/>
        <v>0</v>
      </c>
      <c r="Y28" s="132" t="b">
        <f t="shared" ref="Y28:Y31" si="13">L28=SUM(O28:X28)</f>
        <v>1</v>
      </c>
      <c r="Z28" s="148"/>
      <c r="AA28" s="135"/>
      <c r="AB28" s="135" t="b">
        <f t="shared" ref="AB28:AB31" si="14">K28=L28+M28</f>
        <v>1</v>
      </c>
    </row>
    <row r="29" spans="1:28">
      <c r="A29" s="318" t="s">
        <v>38</v>
      </c>
      <c r="B29" s="319"/>
      <c r="C29" s="319"/>
      <c r="D29" s="319"/>
      <c r="E29" s="319"/>
      <c r="F29" s="319"/>
      <c r="G29" s="319"/>
      <c r="H29" s="320"/>
      <c r="I29" s="136">
        <f>SUMIF($C$3:$C$27,"K",I3:I27)</f>
        <v>8.0359999999999996</v>
      </c>
      <c r="J29" s="137" t="s">
        <v>14</v>
      </c>
      <c r="K29" s="138">
        <f>SUMIF($C$3:$C$27,"K",K3:K27)</f>
        <v>38988449.879999995</v>
      </c>
      <c r="L29" s="138">
        <f>SUMIF($C$3:$C$27,"K",L3:L27)</f>
        <v>21744716.049999997</v>
      </c>
      <c r="M29" s="138">
        <f>SUMIF($C$3:$C$27,"K",M3:M27)</f>
        <v>17243733.829999998</v>
      </c>
      <c r="N29" s="139" t="s">
        <v>14</v>
      </c>
      <c r="O29" s="138">
        <f t="shared" ref="O29:X29" si="15">SUMIF($C$3:$C$27,"K",O3:O27)</f>
        <v>0</v>
      </c>
      <c r="P29" s="138">
        <f t="shared" si="15"/>
        <v>182106.42000000004</v>
      </c>
      <c r="Q29" s="140">
        <f t="shared" si="15"/>
        <v>2122417.8499999996</v>
      </c>
      <c r="R29" s="140">
        <f t="shared" si="15"/>
        <v>7590982.7599999998</v>
      </c>
      <c r="S29" s="140">
        <f t="shared" si="15"/>
        <v>11849209.020000001</v>
      </c>
      <c r="T29" s="140">
        <f t="shared" si="15"/>
        <v>0</v>
      </c>
      <c r="U29" s="140">
        <f t="shared" si="15"/>
        <v>0</v>
      </c>
      <c r="V29" s="140">
        <f t="shared" si="15"/>
        <v>0</v>
      </c>
      <c r="W29" s="140">
        <f t="shared" si="15"/>
        <v>0</v>
      </c>
      <c r="X29" s="140">
        <f t="shared" si="15"/>
        <v>0</v>
      </c>
      <c r="Y29" s="132" t="b">
        <f t="shared" si="13"/>
        <v>1</v>
      </c>
      <c r="Z29" s="148"/>
      <c r="AA29" s="135"/>
      <c r="AB29" s="135" t="b">
        <f t="shared" si="14"/>
        <v>1</v>
      </c>
    </row>
    <row r="30" spans="1:28">
      <c r="A30" s="318" t="s">
        <v>39</v>
      </c>
      <c r="B30" s="319"/>
      <c r="C30" s="319"/>
      <c r="D30" s="319"/>
      <c r="E30" s="319"/>
      <c r="F30" s="319"/>
      <c r="G30" s="319"/>
      <c r="H30" s="320"/>
      <c r="I30" s="136">
        <f>SUMIF($C$3:$C$27,"N",I3:I27)</f>
        <v>6.3449999999999998</v>
      </c>
      <c r="J30" s="137" t="s">
        <v>14</v>
      </c>
      <c r="K30" s="138">
        <f>SUMIF($C$3:$C$27,"N",K3:K27)</f>
        <v>42352615.550000004</v>
      </c>
      <c r="L30" s="138">
        <f>SUMIF($C$3:$C$27,"N",L3:L27)</f>
        <v>21813856.550000004</v>
      </c>
      <c r="M30" s="138">
        <f>SUMIF($C$3:$C$27,"N",M3:M27)</f>
        <v>20538759</v>
      </c>
      <c r="N30" s="139" t="s">
        <v>14</v>
      </c>
      <c r="O30" s="138">
        <f t="shared" ref="O30:X30" si="16">SUMIF($C$3:$C$27,"N",O3:O27)</f>
        <v>0</v>
      </c>
      <c r="P30" s="138">
        <f t="shared" si="16"/>
        <v>0</v>
      </c>
      <c r="Q30" s="140">
        <f t="shared" si="16"/>
        <v>0</v>
      </c>
      <c r="R30" s="140">
        <f t="shared" si="16"/>
        <v>0</v>
      </c>
      <c r="S30" s="140">
        <f t="shared" si="16"/>
        <v>21813856.550000004</v>
      </c>
      <c r="T30" s="140">
        <f t="shared" si="16"/>
        <v>0</v>
      </c>
      <c r="U30" s="140">
        <f t="shared" si="16"/>
        <v>0</v>
      </c>
      <c r="V30" s="140">
        <f t="shared" si="16"/>
        <v>0</v>
      </c>
      <c r="W30" s="140">
        <f t="shared" si="16"/>
        <v>0</v>
      </c>
      <c r="X30" s="140">
        <f t="shared" si="16"/>
        <v>0</v>
      </c>
      <c r="Y30" s="132" t="b">
        <f t="shared" si="13"/>
        <v>1</v>
      </c>
      <c r="Z30" s="148"/>
      <c r="AA30" s="135"/>
      <c r="AB30" s="135" t="b">
        <f t="shared" si="14"/>
        <v>1</v>
      </c>
    </row>
    <row r="31" spans="1:28">
      <c r="A31" s="321" t="s">
        <v>40</v>
      </c>
      <c r="B31" s="322"/>
      <c r="C31" s="322"/>
      <c r="D31" s="322"/>
      <c r="E31" s="322"/>
      <c r="F31" s="322"/>
      <c r="G31" s="322"/>
      <c r="H31" s="323"/>
      <c r="I31" s="141">
        <f>SUMIF($C$3:$C$27,"W",I3:I27)</f>
        <v>9.3739999999999988</v>
      </c>
      <c r="J31" s="142" t="s">
        <v>14</v>
      </c>
      <c r="K31" s="143">
        <f>SUMIF($C$3:$C$27,"W",K3:K27)</f>
        <v>91055516.179999992</v>
      </c>
      <c r="L31" s="138">
        <f>SUMIF($C$3:$C$27,"W",L3:L27)</f>
        <v>49077866.359999999</v>
      </c>
      <c r="M31" s="143">
        <f>SUMIF($C$3:$C$27,"W",M3:M27)</f>
        <v>41977649.82</v>
      </c>
      <c r="N31" s="144" t="s">
        <v>14</v>
      </c>
      <c r="O31" s="143">
        <f t="shared" ref="O31:X31" si="17">SUMIF($C$3:$C$27,"W",O3:O27)</f>
        <v>0</v>
      </c>
      <c r="P31" s="143">
        <f t="shared" si="17"/>
        <v>0</v>
      </c>
      <c r="Q31" s="145">
        <f t="shared" si="17"/>
        <v>0</v>
      </c>
      <c r="R31" s="145">
        <f t="shared" si="17"/>
        <v>0</v>
      </c>
      <c r="S31" s="145">
        <f t="shared" si="17"/>
        <v>16328565.51</v>
      </c>
      <c r="T31" s="145">
        <f t="shared" si="17"/>
        <v>22103232.530000005</v>
      </c>
      <c r="U31" s="145">
        <f t="shared" si="17"/>
        <v>10646068.32</v>
      </c>
      <c r="V31" s="145">
        <f t="shared" si="17"/>
        <v>0</v>
      </c>
      <c r="W31" s="145">
        <f t="shared" si="17"/>
        <v>0</v>
      </c>
      <c r="X31" s="145">
        <f t="shared" si="17"/>
        <v>0</v>
      </c>
      <c r="Y31" s="132" t="b">
        <f t="shared" si="13"/>
        <v>1</v>
      </c>
      <c r="Z31" s="148"/>
      <c r="AA31" s="135"/>
      <c r="AB31" s="135" t="b">
        <f t="shared" si="14"/>
        <v>1</v>
      </c>
    </row>
    <row r="32" spans="1:28">
      <c r="A32" s="150"/>
      <c r="B32" s="97"/>
      <c r="C32" s="149"/>
      <c r="D32" s="97"/>
      <c r="E32" s="97"/>
      <c r="F32" s="97"/>
      <c r="G32" s="97"/>
      <c r="H32" s="149"/>
      <c r="I32" s="97"/>
      <c r="J32" s="149"/>
      <c r="K32" s="100"/>
      <c r="L32" s="97"/>
      <c r="M32" s="97"/>
      <c r="N32" s="98"/>
      <c r="O32" s="97"/>
      <c r="P32" s="97"/>
      <c r="Q32" s="97"/>
      <c r="R32" s="97"/>
      <c r="S32" s="97"/>
      <c r="T32" s="97"/>
      <c r="U32" s="97"/>
      <c r="V32" s="97"/>
      <c r="W32" s="97"/>
      <c r="X32" s="97"/>
    </row>
    <row r="33" spans="1:24">
      <c r="A33" s="154" t="s">
        <v>24</v>
      </c>
      <c r="B33" s="97"/>
      <c r="C33" s="149"/>
      <c r="D33" s="97"/>
      <c r="E33" s="97"/>
      <c r="F33" s="97"/>
      <c r="G33" s="97"/>
      <c r="H33" s="149"/>
      <c r="I33" s="97"/>
      <c r="J33" s="149"/>
      <c r="K33" s="259"/>
      <c r="L33" s="259"/>
      <c r="M33" s="97"/>
      <c r="N33" s="98"/>
      <c r="O33" s="97"/>
      <c r="P33" s="97"/>
      <c r="Q33" s="97"/>
      <c r="R33" s="97"/>
      <c r="S33" s="259"/>
      <c r="T33" s="97"/>
      <c r="U33" s="97"/>
      <c r="V33" s="97"/>
      <c r="W33" s="97"/>
      <c r="X33" s="97"/>
    </row>
    <row r="34" spans="1:24">
      <c r="A34" s="155" t="s">
        <v>25</v>
      </c>
      <c r="B34" s="97"/>
      <c r="C34" s="149"/>
      <c r="D34" s="97"/>
      <c r="E34" s="97"/>
      <c r="F34" s="97"/>
      <c r="G34" s="97"/>
      <c r="H34" s="149"/>
      <c r="I34" s="97"/>
      <c r="J34" s="149"/>
      <c r="K34" s="97"/>
      <c r="L34" s="97"/>
      <c r="M34" s="97"/>
      <c r="N34" s="98"/>
      <c r="O34" s="97"/>
      <c r="P34" s="259"/>
      <c r="Q34" s="97"/>
      <c r="R34" s="97"/>
      <c r="S34" s="97"/>
      <c r="T34" s="97"/>
      <c r="U34" s="97"/>
      <c r="V34" s="97"/>
      <c r="W34" s="97"/>
      <c r="X34" s="97"/>
    </row>
    <row r="35" spans="1:24">
      <c r="A35" s="154" t="s">
        <v>43</v>
      </c>
      <c r="B35" s="97"/>
      <c r="C35" s="149"/>
      <c r="D35" s="97"/>
      <c r="E35" s="97"/>
      <c r="F35" s="97"/>
      <c r="G35" s="97"/>
      <c r="H35" s="149"/>
      <c r="I35" s="97"/>
      <c r="J35" s="149"/>
      <c r="K35" s="97"/>
      <c r="L35" s="97"/>
      <c r="M35" s="97"/>
      <c r="N35" s="98"/>
      <c r="O35" s="97"/>
      <c r="P35" s="97"/>
      <c r="Q35" s="97"/>
      <c r="R35" s="97"/>
      <c r="S35" s="97"/>
      <c r="T35" s="97"/>
      <c r="U35" s="97"/>
      <c r="V35" s="97"/>
      <c r="W35" s="97"/>
      <c r="X35" s="97"/>
    </row>
    <row r="36" spans="1:24">
      <c r="A36" s="156" t="s">
        <v>28</v>
      </c>
      <c r="B36" s="97"/>
      <c r="C36" s="149"/>
      <c r="D36" s="97"/>
      <c r="E36" s="97"/>
      <c r="F36" s="97"/>
      <c r="G36" s="97"/>
      <c r="H36" s="149"/>
      <c r="I36" s="97"/>
      <c r="J36" s="149"/>
      <c r="K36" s="97"/>
      <c r="L36" s="97"/>
      <c r="M36" s="97"/>
      <c r="N36" s="98"/>
      <c r="O36" s="97"/>
      <c r="P36" s="97"/>
      <c r="Q36" s="97"/>
      <c r="R36" s="97"/>
      <c r="S36" s="97"/>
      <c r="T36" s="97"/>
      <c r="U36" s="97"/>
      <c r="V36" s="97"/>
      <c r="W36" s="97"/>
      <c r="X36" s="97"/>
    </row>
  </sheetData>
  <mergeCells count="19">
    <mergeCell ref="A31:H31"/>
    <mergeCell ref="A30:H30"/>
    <mergeCell ref="E1:E2"/>
    <mergeCell ref="A29:H29"/>
    <mergeCell ref="N1:N2"/>
    <mergeCell ref="O1:X1"/>
    <mergeCell ref="L1:L2"/>
    <mergeCell ref="M1:M2"/>
    <mergeCell ref="A28:H28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phoneticPr fontId="75" type="noConversion"/>
  <conditionalFormatting sqref="Y3:AB31">
    <cfRule type="cellIs" dxfId="11" priority="33" operator="equal">
      <formula>FALSE</formula>
    </cfRule>
  </conditionalFormatting>
  <conditionalFormatting sqref="Y3:AA31">
    <cfRule type="containsText" dxfId="10" priority="31" operator="containsText" text="fałsz">
      <formula>NOT(ISERROR(SEARCH("fałsz",Y3)))</formula>
    </cfRule>
  </conditionalFormatting>
  <dataValidations count="3">
    <dataValidation type="list" allowBlank="1" showInputMessage="1" showErrorMessage="1" sqref="H3">
      <formula1>"B,P,R"</formula1>
    </dataValidation>
    <dataValidation type="list" allowBlank="1" showInputMessage="1" showErrorMessage="1" sqref="C3:C17">
      <formula1>"N,K,W"</formula1>
    </dataValidation>
    <dataValidation type="list" allowBlank="1" showInputMessage="1" showErrorMessage="1" sqref="C16:C27">
      <formula1>"N,W"</formula1>
    </dataValidation>
  </dataValidations>
  <pageMargins left="0.23622047244094491" right="0.23622047244094491" top="0.55118110236220474" bottom="0.35433070866141736" header="0.31496062992125984" footer="0.31496062992125984"/>
  <pageSetup paperSize="8" scale="58" fitToHeight="0" orientation="landscape" r:id="rId1"/>
  <headerFooter>
    <oddHeader>&amp;LWojewództwo &amp;K000000Zachodniopomorskie&amp;K01+000 -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90" zoomScaleNormal="78" zoomScaleSheetLayoutView="90" workbookViewId="0">
      <selection sqref="A1:A2"/>
    </sheetView>
  </sheetViews>
  <sheetFormatPr defaultRowHeight="15"/>
  <cols>
    <col min="1" max="1" width="6.140625" style="8" customWidth="1"/>
    <col min="2" max="2" width="12.85546875" style="8" customWidth="1"/>
    <col min="3" max="3" width="13" style="8" customWidth="1"/>
    <col min="4" max="4" width="15.7109375" style="8" customWidth="1"/>
    <col min="5" max="5" width="11.5703125" style="8" customWidth="1"/>
    <col min="6" max="6" width="38.7109375" style="8" customWidth="1"/>
    <col min="7" max="7" width="8.42578125" style="8" customWidth="1"/>
    <col min="8" max="8" width="11.85546875" style="8" customWidth="1"/>
    <col min="9" max="9" width="12.42578125" style="8" customWidth="1"/>
    <col min="10" max="10" width="12" style="8" customWidth="1"/>
    <col min="11" max="11" width="16.140625" style="8" customWidth="1"/>
    <col min="12" max="12" width="15.5703125" style="8" customWidth="1"/>
    <col min="13" max="13" width="14.28515625" style="1" customWidth="1"/>
    <col min="14" max="14" width="9.85546875" style="8" customWidth="1"/>
    <col min="15" max="15" width="12.140625" style="8" customWidth="1"/>
    <col min="16" max="16" width="12.42578125" style="8" bestFit="1" customWidth="1"/>
    <col min="17" max="17" width="12" style="8" bestFit="1" customWidth="1"/>
    <col min="18" max="18" width="12.85546875" style="8" bestFit="1" customWidth="1"/>
    <col min="19" max="23" width="9.85546875" style="8" customWidth="1"/>
    <col min="24" max="27" width="15.7109375" style="8" customWidth="1"/>
    <col min="28" max="16384" width="9.140625" style="8"/>
  </cols>
  <sheetData>
    <row r="1" spans="1:28" ht="20.100000000000001" customHeight="1">
      <c r="A1" s="315" t="s">
        <v>4</v>
      </c>
      <c r="B1" s="315" t="s">
        <v>5</v>
      </c>
      <c r="C1" s="316" t="s">
        <v>112</v>
      </c>
      <c r="D1" s="311" t="s">
        <v>6</v>
      </c>
      <c r="E1" s="316" t="s">
        <v>33</v>
      </c>
      <c r="F1" s="311" t="s">
        <v>7</v>
      </c>
      <c r="G1" s="315" t="s">
        <v>26</v>
      </c>
      <c r="H1" s="315" t="s">
        <v>8</v>
      </c>
      <c r="I1" s="315" t="s">
        <v>23</v>
      </c>
      <c r="J1" s="315" t="s">
        <v>9</v>
      </c>
      <c r="K1" s="315" t="s">
        <v>10</v>
      </c>
      <c r="L1" s="311" t="s">
        <v>13</v>
      </c>
      <c r="M1" s="315" t="s">
        <v>11</v>
      </c>
      <c r="N1" s="315" t="s">
        <v>12</v>
      </c>
      <c r="O1" s="315"/>
      <c r="P1" s="315"/>
      <c r="Q1" s="315"/>
      <c r="R1" s="315"/>
      <c r="S1" s="315"/>
      <c r="T1" s="315"/>
      <c r="U1" s="315"/>
      <c r="V1" s="315"/>
      <c r="W1" s="315"/>
      <c r="X1" s="146"/>
      <c r="Y1" s="146"/>
      <c r="Z1" s="146"/>
      <c r="AA1" s="146"/>
    </row>
    <row r="2" spans="1:28" ht="20.100000000000001" customHeight="1">
      <c r="A2" s="315"/>
      <c r="B2" s="315"/>
      <c r="C2" s="317"/>
      <c r="D2" s="312"/>
      <c r="E2" s="317"/>
      <c r="F2" s="312"/>
      <c r="G2" s="315"/>
      <c r="H2" s="315"/>
      <c r="I2" s="315"/>
      <c r="J2" s="315"/>
      <c r="K2" s="315"/>
      <c r="L2" s="312"/>
      <c r="M2" s="315"/>
      <c r="N2" s="101">
        <v>2019</v>
      </c>
      <c r="O2" s="101">
        <v>2020</v>
      </c>
      <c r="P2" s="101">
        <v>2021</v>
      </c>
      <c r="Q2" s="101">
        <v>2022</v>
      </c>
      <c r="R2" s="101">
        <v>2023</v>
      </c>
      <c r="S2" s="101">
        <v>2024</v>
      </c>
      <c r="T2" s="101">
        <v>2025</v>
      </c>
      <c r="U2" s="101">
        <v>2026</v>
      </c>
      <c r="V2" s="101">
        <v>2027</v>
      </c>
      <c r="W2" s="101">
        <v>2028</v>
      </c>
      <c r="X2" s="132" t="s">
        <v>29</v>
      </c>
      <c r="Y2" s="132" t="s">
        <v>30</v>
      </c>
      <c r="Z2" s="132" t="s">
        <v>31</v>
      </c>
      <c r="AA2" s="132" t="s">
        <v>32</v>
      </c>
    </row>
    <row r="3" spans="1:28" customFormat="1" ht="25.5">
      <c r="A3" s="200">
        <v>1</v>
      </c>
      <c r="B3" s="188" t="s">
        <v>232</v>
      </c>
      <c r="C3" s="228" t="s">
        <v>194</v>
      </c>
      <c r="D3" s="200" t="s">
        <v>234</v>
      </c>
      <c r="E3" s="229" t="s">
        <v>111</v>
      </c>
      <c r="F3" s="237" t="s">
        <v>236</v>
      </c>
      <c r="G3" s="189" t="s">
        <v>238</v>
      </c>
      <c r="H3" s="190">
        <v>2</v>
      </c>
      <c r="I3" s="231" t="s">
        <v>257</v>
      </c>
      <c r="J3" s="191">
        <v>2589365.4300000002</v>
      </c>
      <c r="K3" s="232">
        <f>ROUND(J3*M3,2)</f>
        <v>1294682.72</v>
      </c>
      <c r="L3" s="233">
        <f>J3-K3</f>
        <v>1294682.7100000002</v>
      </c>
      <c r="M3" s="192">
        <v>0.5</v>
      </c>
      <c r="N3" s="193">
        <v>0</v>
      </c>
      <c r="O3" s="193">
        <v>0</v>
      </c>
      <c r="P3" s="194">
        <v>0</v>
      </c>
      <c r="Q3" s="194">
        <v>0</v>
      </c>
      <c r="R3" s="234">
        <f>K3</f>
        <v>1294682.72</v>
      </c>
      <c r="S3" s="193"/>
      <c r="T3" s="194"/>
      <c r="U3" s="194"/>
      <c r="V3" s="235"/>
      <c r="W3" s="235"/>
      <c r="X3" s="132" t="b">
        <f>K3=SUM(N3:W3)</f>
        <v>1</v>
      </c>
      <c r="Y3" s="134">
        <f>ROUND(K3/J3,4)</f>
        <v>0.5</v>
      </c>
      <c r="Z3" s="135" t="b">
        <f>Y3=M3</f>
        <v>1</v>
      </c>
      <c r="AA3" s="135" t="b">
        <f>J3=K3+L3</f>
        <v>1</v>
      </c>
    </row>
    <row r="4" spans="1:28" customFormat="1" ht="25.5">
      <c r="A4" s="200">
        <v>2</v>
      </c>
      <c r="B4" s="188" t="s">
        <v>233</v>
      </c>
      <c r="C4" s="228" t="s">
        <v>194</v>
      </c>
      <c r="D4" s="200" t="s">
        <v>234</v>
      </c>
      <c r="E4" s="229" t="s">
        <v>111</v>
      </c>
      <c r="F4" s="237" t="s">
        <v>237</v>
      </c>
      <c r="G4" s="189" t="s">
        <v>238</v>
      </c>
      <c r="H4" s="190">
        <v>2.6659999999999999</v>
      </c>
      <c r="I4" s="231" t="s">
        <v>258</v>
      </c>
      <c r="J4" s="191">
        <v>3262741.71</v>
      </c>
      <c r="K4" s="232">
        <f>ROUND(J4*M4,2)</f>
        <v>1631370.86</v>
      </c>
      <c r="L4" s="233">
        <f>J4-K4</f>
        <v>1631370.8499999999</v>
      </c>
      <c r="M4" s="192">
        <v>0.5</v>
      </c>
      <c r="N4" s="193">
        <v>0</v>
      </c>
      <c r="O4" s="193">
        <v>0</v>
      </c>
      <c r="P4" s="194">
        <v>0</v>
      </c>
      <c r="Q4" s="194">
        <v>0</v>
      </c>
      <c r="R4" s="234">
        <f>K4</f>
        <v>1631370.86</v>
      </c>
      <c r="S4" s="193"/>
      <c r="T4" s="194"/>
      <c r="U4" s="194"/>
      <c r="V4" s="235"/>
      <c r="W4" s="235"/>
      <c r="X4" s="132" t="b">
        <f>K4=SUM(N4:W4)</f>
        <v>1</v>
      </c>
      <c r="Y4" s="134">
        <f>ROUND(K4/J4,4)</f>
        <v>0.5</v>
      </c>
      <c r="Z4" s="135" t="b">
        <f>Y4=M4</f>
        <v>1</v>
      </c>
      <c r="AA4" s="135" t="b">
        <f>J4=K4+L4</f>
        <v>1</v>
      </c>
    </row>
    <row r="5" spans="1:28" customFormat="1" ht="38.25">
      <c r="A5" s="200">
        <v>3</v>
      </c>
      <c r="B5" s="188" t="s">
        <v>410</v>
      </c>
      <c r="C5" s="228" t="s">
        <v>194</v>
      </c>
      <c r="D5" s="200" t="s">
        <v>176</v>
      </c>
      <c r="E5" s="229" t="s">
        <v>59</v>
      </c>
      <c r="F5" s="237" t="s">
        <v>411</v>
      </c>
      <c r="G5" s="189" t="s">
        <v>238</v>
      </c>
      <c r="H5" s="190">
        <v>4.492</v>
      </c>
      <c r="I5" s="231" t="s">
        <v>254</v>
      </c>
      <c r="J5" s="191">
        <v>4308132.12</v>
      </c>
      <c r="K5" s="232">
        <f>ROUND(J5*M5,2)</f>
        <v>2154066.06</v>
      </c>
      <c r="L5" s="233">
        <f>J5-K5</f>
        <v>2154066.06</v>
      </c>
      <c r="M5" s="192">
        <v>0.5</v>
      </c>
      <c r="N5" s="193">
        <v>0</v>
      </c>
      <c r="O5" s="193">
        <v>0</v>
      </c>
      <c r="P5" s="194">
        <v>0</v>
      </c>
      <c r="Q5" s="194">
        <v>0</v>
      </c>
      <c r="R5" s="234">
        <f>K5</f>
        <v>2154066.06</v>
      </c>
      <c r="S5" s="193"/>
      <c r="T5" s="194"/>
      <c r="U5" s="194"/>
      <c r="V5" s="235"/>
      <c r="W5" s="235"/>
      <c r="X5" s="132" t="b">
        <f>K5=SUM(N5:W5)</f>
        <v>1</v>
      </c>
      <c r="Y5" s="134">
        <f>ROUND(K5/J5,4)</f>
        <v>0.5</v>
      </c>
      <c r="Z5" s="135" t="b">
        <f>Y5=M5</f>
        <v>1</v>
      </c>
      <c r="AA5" s="135" t="b">
        <f>J5=K5+L5</f>
        <v>1</v>
      </c>
    </row>
    <row r="6" spans="1:28" ht="20.100000000000001" customHeight="1">
      <c r="A6" s="315" t="s">
        <v>45</v>
      </c>
      <c r="B6" s="315"/>
      <c r="C6" s="315"/>
      <c r="D6" s="315"/>
      <c r="E6" s="315"/>
      <c r="F6" s="315"/>
      <c r="G6" s="315"/>
      <c r="H6" s="136">
        <f>SUM(H3:H5)</f>
        <v>9.1580000000000013</v>
      </c>
      <c r="I6" s="137" t="s">
        <v>14</v>
      </c>
      <c r="J6" s="138">
        <f>SUM(J3:J5)</f>
        <v>10160239.260000002</v>
      </c>
      <c r="K6" s="138">
        <f>SUM(K3:K5)</f>
        <v>5080119.6400000006</v>
      </c>
      <c r="L6" s="138">
        <f>SUM(L3:L5)</f>
        <v>5080119.62</v>
      </c>
      <c r="M6" s="220" t="s">
        <v>14</v>
      </c>
      <c r="N6" s="151">
        <f t="shared" ref="N6:W6" si="0">SUM(N3:N5)</f>
        <v>0</v>
      </c>
      <c r="O6" s="151">
        <f t="shared" si="0"/>
        <v>0</v>
      </c>
      <c r="P6" s="151">
        <f t="shared" si="0"/>
        <v>0</v>
      </c>
      <c r="Q6" s="151">
        <f t="shared" si="0"/>
        <v>0</v>
      </c>
      <c r="R6" s="151">
        <f t="shared" si="0"/>
        <v>5080119.6400000006</v>
      </c>
      <c r="S6" s="151">
        <f t="shared" si="0"/>
        <v>0</v>
      </c>
      <c r="T6" s="151">
        <f t="shared" si="0"/>
        <v>0</v>
      </c>
      <c r="U6" s="151">
        <f t="shared" si="0"/>
        <v>0</v>
      </c>
      <c r="V6" s="151">
        <f t="shared" si="0"/>
        <v>0</v>
      </c>
      <c r="W6" s="151">
        <f t="shared" si="0"/>
        <v>0</v>
      </c>
      <c r="X6" s="132" t="b">
        <f t="shared" ref="X6:X8" si="1">K6=SUM(N6:W6)</f>
        <v>1</v>
      </c>
      <c r="Y6" s="134"/>
      <c r="Z6" s="135"/>
      <c r="AA6" s="135" t="b">
        <f t="shared" ref="AA6:AA8" si="2">J6=K6+L6</f>
        <v>1</v>
      </c>
      <c r="AB6" s="16"/>
    </row>
    <row r="7" spans="1:28" ht="20.100000000000001" customHeight="1">
      <c r="A7" s="315" t="s">
        <v>39</v>
      </c>
      <c r="B7" s="315"/>
      <c r="C7" s="315"/>
      <c r="D7" s="315"/>
      <c r="E7" s="315"/>
      <c r="F7" s="315"/>
      <c r="G7" s="315"/>
      <c r="H7" s="136">
        <f>SUMIF($C$3:$C$5,"N",H3:H5)</f>
        <v>9.1580000000000013</v>
      </c>
      <c r="I7" s="137" t="s">
        <v>14</v>
      </c>
      <c r="J7" s="138">
        <f>SUMIF($C$3:$C$5,"N",J3:J5)</f>
        <v>10160239.260000002</v>
      </c>
      <c r="K7" s="138">
        <f>SUMIF($C$3:$C$5,"N",K3:K5)</f>
        <v>5080119.6400000006</v>
      </c>
      <c r="L7" s="138">
        <f>SUMIF($C$3:$C$5,"N",L3:L5)</f>
        <v>5080119.62</v>
      </c>
      <c r="M7" s="139" t="s">
        <v>14</v>
      </c>
      <c r="N7" s="151">
        <f t="shared" ref="N7:W7" si="3">SUMIF($C$3:$C$5,"N",N3:N5)</f>
        <v>0</v>
      </c>
      <c r="O7" s="151">
        <f t="shared" si="3"/>
        <v>0</v>
      </c>
      <c r="P7" s="151">
        <f t="shared" si="3"/>
        <v>0</v>
      </c>
      <c r="Q7" s="151">
        <f t="shared" si="3"/>
        <v>0</v>
      </c>
      <c r="R7" s="151">
        <f t="shared" si="3"/>
        <v>5080119.6400000006</v>
      </c>
      <c r="S7" s="151">
        <f t="shared" si="3"/>
        <v>0</v>
      </c>
      <c r="T7" s="151">
        <f t="shared" si="3"/>
        <v>0</v>
      </c>
      <c r="U7" s="151">
        <f t="shared" si="3"/>
        <v>0</v>
      </c>
      <c r="V7" s="151">
        <f t="shared" si="3"/>
        <v>0</v>
      </c>
      <c r="W7" s="151">
        <f t="shared" si="3"/>
        <v>0</v>
      </c>
      <c r="X7" s="132" t="b">
        <f t="shared" si="1"/>
        <v>1</v>
      </c>
      <c r="Y7" s="134"/>
      <c r="Z7" s="135"/>
      <c r="AA7" s="135" t="b">
        <f t="shared" si="2"/>
        <v>1</v>
      </c>
      <c r="AB7" s="16"/>
    </row>
    <row r="8" spans="1:28" ht="20.100000000000001" customHeight="1">
      <c r="A8" s="324" t="s">
        <v>40</v>
      </c>
      <c r="B8" s="324"/>
      <c r="C8" s="324"/>
      <c r="D8" s="324"/>
      <c r="E8" s="324"/>
      <c r="F8" s="324"/>
      <c r="G8" s="324"/>
      <c r="H8" s="141">
        <f>SUMIF($C$3:$C$5,"W",H3:H5)</f>
        <v>0</v>
      </c>
      <c r="I8" s="142" t="s">
        <v>14</v>
      </c>
      <c r="J8" s="143">
        <f>SUMIF($C$3:$C$5,"W",J3:J5)</f>
        <v>0</v>
      </c>
      <c r="K8" s="143">
        <f>SUMIF($C$3:$C$5,"W",K3:K5)</f>
        <v>0</v>
      </c>
      <c r="L8" s="143">
        <f>SUMIF($C$3:$C$5,"W",L3:L5)</f>
        <v>0</v>
      </c>
      <c r="M8" s="144" t="s">
        <v>14</v>
      </c>
      <c r="N8" s="152">
        <f t="shared" ref="N8:W8" si="4">SUMIF($C$3:$C$5,"W",N3:N5)</f>
        <v>0</v>
      </c>
      <c r="O8" s="152">
        <f t="shared" si="4"/>
        <v>0</v>
      </c>
      <c r="P8" s="152">
        <f t="shared" si="4"/>
        <v>0</v>
      </c>
      <c r="Q8" s="152">
        <f t="shared" si="4"/>
        <v>0</v>
      </c>
      <c r="R8" s="152">
        <f t="shared" si="4"/>
        <v>0</v>
      </c>
      <c r="S8" s="152">
        <f t="shared" si="4"/>
        <v>0</v>
      </c>
      <c r="T8" s="152">
        <f t="shared" si="4"/>
        <v>0</v>
      </c>
      <c r="U8" s="152">
        <f t="shared" si="4"/>
        <v>0</v>
      </c>
      <c r="V8" s="152">
        <f t="shared" si="4"/>
        <v>0</v>
      </c>
      <c r="W8" s="152">
        <f t="shared" si="4"/>
        <v>0</v>
      </c>
      <c r="X8" s="132" t="b">
        <f t="shared" si="1"/>
        <v>1</v>
      </c>
      <c r="Y8" s="134"/>
      <c r="Z8" s="135"/>
      <c r="AA8" s="135" t="b">
        <f t="shared" si="2"/>
        <v>1</v>
      </c>
      <c r="AB8" s="16"/>
    </row>
    <row r="9" spans="1:28">
      <c r="A9" s="17"/>
    </row>
    <row r="10" spans="1:28">
      <c r="A10" s="157" t="s">
        <v>24</v>
      </c>
    </row>
    <row r="11" spans="1:28">
      <c r="A11" s="158" t="s">
        <v>25</v>
      </c>
    </row>
    <row r="12" spans="1:28">
      <c r="A12" s="157" t="s">
        <v>36</v>
      </c>
    </row>
  </sheetData>
  <mergeCells count="17">
    <mergeCell ref="A8:G8"/>
    <mergeCell ref="I1:I2"/>
    <mergeCell ref="A1:A2"/>
    <mergeCell ref="B1:B2"/>
    <mergeCell ref="C1:C2"/>
    <mergeCell ref="F1:F2"/>
    <mergeCell ref="G1:G2"/>
    <mergeCell ref="H1:H2"/>
    <mergeCell ref="D1:D2"/>
    <mergeCell ref="A6:G6"/>
    <mergeCell ref="E1:E2"/>
    <mergeCell ref="A7:G7"/>
    <mergeCell ref="J1:J2"/>
    <mergeCell ref="K1:K2"/>
    <mergeCell ref="L1:L2"/>
    <mergeCell ref="M1:M2"/>
    <mergeCell ref="N1:W1"/>
  </mergeCells>
  <conditionalFormatting sqref="X3:AA8">
    <cfRule type="cellIs" dxfId="9" priority="24" operator="equal">
      <formula>FALSE</formula>
    </cfRule>
  </conditionalFormatting>
  <conditionalFormatting sqref="AB8">
    <cfRule type="cellIs" dxfId="8" priority="29" operator="equal">
      <formula>FALSE</formula>
    </cfRule>
  </conditionalFormatting>
  <conditionalFormatting sqref="AB8">
    <cfRule type="cellIs" dxfId="7" priority="28" operator="equal">
      <formula>FALSE</formula>
    </cfRule>
  </conditionalFormatting>
  <conditionalFormatting sqref="AB6:AB7">
    <cfRule type="cellIs" dxfId="6" priority="22" operator="equal">
      <formula>FALSE</formula>
    </cfRule>
  </conditionalFormatting>
  <conditionalFormatting sqref="AB6:AB7">
    <cfRule type="cellIs" dxfId="5" priority="21" operator="equal">
      <formula>FALSE</formula>
    </cfRule>
  </conditionalFormatting>
  <conditionalFormatting sqref="X3:Z8">
    <cfRule type="containsText" dxfId="4" priority="9" operator="containsText" text="fałsz">
      <formula>NOT(ISERROR(SEARCH("fałsz",X3)))</formula>
    </cfRule>
  </conditionalFormatting>
  <dataValidations count="1">
    <dataValidation type="list" allowBlank="1" showInputMessage="1" showErrorMessage="1" sqref="C3:C5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8" fitToHeight="0" orientation="landscape" r:id="rId1"/>
  <headerFooter>
    <oddHeader>&amp;LWojewództwo &amp;K000000Zachodniopomorskie&amp;K01+000 -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showGridLines="0" view="pageBreakPreview" zoomScale="90" zoomScaleNormal="78" zoomScaleSheetLayoutView="90" workbookViewId="0">
      <selection sqref="A1:A2"/>
    </sheetView>
  </sheetViews>
  <sheetFormatPr defaultRowHeight="15"/>
  <cols>
    <col min="1" max="1" width="5" style="1" customWidth="1"/>
    <col min="2" max="2" width="15.7109375" style="8" customWidth="1"/>
    <col min="3" max="3" width="12.42578125" style="1" customWidth="1"/>
    <col min="4" max="4" width="15.7109375" style="8" customWidth="1"/>
    <col min="5" max="5" width="12.140625" style="8" customWidth="1"/>
    <col min="6" max="6" width="13" style="8" customWidth="1"/>
    <col min="7" max="7" width="38.7109375" style="8" customWidth="1"/>
    <col min="8" max="8" width="12.28515625" style="8" customWidth="1"/>
    <col min="9" max="9" width="12.85546875" style="8" customWidth="1"/>
    <col min="10" max="10" width="14.42578125" style="1" customWidth="1"/>
    <col min="11" max="11" width="17.85546875" style="8" customWidth="1"/>
    <col min="12" max="12" width="17.85546875" style="1" customWidth="1"/>
    <col min="13" max="13" width="17.42578125" style="8" customWidth="1"/>
    <col min="14" max="14" width="14.7109375" style="1" customWidth="1"/>
    <col min="15" max="16" width="9.85546875" style="8" customWidth="1"/>
    <col min="17" max="18" width="12.5703125" style="8" bestFit="1" customWidth="1"/>
    <col min="19" max="19" width="17.28515625" style="8" customWidth="1"/>
    <col min="20" max="20" width="15.140625" style="8" bestFit="1" customWidth="1"/>
    <col min="21" max="24" width="9.85546875" style="8" customWidth="1"/>
    <col min="25" max="28" width="15.7109375" style="8" customWidth="1"/>
    <col min="29" max="16384" width="9.140625" style="8"/>
  </cols>
  <sheetData>
    <row r="1" spans="1:28" ht="20.100000000000001" customHeight="1">
      <c r="A1" s="326" t="s">
        <v>4</v>
      </c>
      <c r="B1" s="315" t="s">
        <v>5</v>
      </c>
      <c r="C1" s="316" t="s">
        <v>112</v>
      </c>
      <c r="D1" s="311" t="s">
        <v>6</v>
      </c>
      <c r="E1" s="311" t="s">
        <v>33</v>
      </c>
      <c r="F1" s="311" t="s">
        <v>15</v>
      </c>
      <c r="G1" s="315" t="s">
        <v>7</v>
      </c>
      <c r="H1" s="315" t="s">
        <v>26</v>
      </c>
      <c r="I1" s="315" t="s">
        <v>8</v>
      </c>
      <c r="J1" s="315" t="s">
        <v>27</v>
      </c>
      <c r="K1" s="315" t="s">
        <v>9</v>
      </c>
      <c r="L1" s="315" t="s">
        <v>10</v>
      </c>
      <c r="M1" s="311" t="s">
        <v>13</v>
      </c>
      <c r="N1" s="315" t="s">
        <v>11</v>
      </c>
      <c r="O1" s="315" t="s">
        <v>12</v>
      </c>
      <c r="P1" s="315"/>
      <c r="Q1" s="315"/>
      <c r="R1" s="315"/>
      <c r="S1" s="315"/>
      <c r="T1" s="315"/>
      <c r="U1" s="315"/>
      <c r="V1" s="315"/>
      <c r="W1" s="315"/>
      <c r="X1" s="315"/>
      <c r="Y1" s="146"/>
      <c r="Z1" s="146"/>
      <c r="AA1" s="146"/>
      <c r="AB1" s="146"/>
    </row>
    <row r="2" spans="1:28" ht="20.100000000000001" customHeight="1">
      <c r="A2" s="326"/>
      <c r="B2" s="315"/>
      <c r="C2" s="317"/>
      <c r="D2" s="312"/>
      <c r="E2" s="312"/>
      <c r="F2" s="312"/>
      <c r="G2" s="315"/>
      <c r="H2" s="315"/>
      <c r="I2" s="315"/>
      <c r="J2" s="315"/>
      <c r="K2" s="315"/>
      <c r="L2" s="315"/>
      <c r="M2" s="312"/>
      <c r="N2" s="315"/>
      <c r="O2" s="101">
        <v>2019</v>
      </c>
      <c r="P2" s="101">
        <v>2020</v>
      </c>
      <c r="Q2" s="101">
        <v>2021</v>
      </c>
      <c r="R2" s="101">
        <v>2022</v>
      </c>
      <c r="S2" s="101">
        <v>2023</v>
      </c>
      <c r="T2" s="101">
        <v>2024</v>
      </c>
      <c r="U2" s="101">
        <v>2025</v>
      </c>
      <c r="V2" s="101">
        <v>2026</v>
      </c>
      <c r="W2" s="101">
        <v>2027</v>
      </c>
      <c r="X2" s="101">
        <v>2028</v>
      </c>
      <c r="Y2" s="132" t="s">
        <v>29</v>
      </c>
      <c r="Z2" s="132" t="s">
        <v>30</v>
      </c>
      <c r="AA2" s="132" t="s">
        <v>31</v>
      </c>
      <c r="AB2" s="132" t="s">
        <v>32</v>
      </c>
    </row>
    <row r="3" spans="1:28" s="282" customFormat="1" ht="25.5">
      <c r="A3" s="202">
        <v>1</v>
      </c>
      <c r="B3" s="200" t="s">
        <v>224</v>
      </c>
      <c r="C3" s="228" t="s">
        <v>194</v>
      </c>
      <c r="D3" s="200" t="s">
        <v>229</v>
      </c>
      <c r="E3" s="202">
        <v>3216011</v>
      </c>
      <c r="F3" s="200" t="s">
        <v>51</v>
      </c>
      <c r="G3" s="230" t="s">
        <v>358</v>
      </c>
      <c r="H3" s="207" t="s">
        <v>120</v>
      </c>
      <c r="I3" s="208">
        <v>0.28699999999999998</v>
      </c>
      <c r="J3" s="251" t="s">
        <v>373</v>
      </c>
      <c r="K3" s="209">
        <v>1178086.57</v>
      </c>
      <c r="L3" s="210">
        <f t="shared" ref="L3:L33" si="0">ROUND(K3*N3,2)</f>
        <v>706851.94</v>
      </c>
      <c r="M3" s="194">
        <f t="shared" ref="M3:M33" si="1">K3-L3</f>
        <v>471234.63000000012</v>
      </c>
      <c r="N3" s="277">
        <v>0.6</v>
      </c>
      <c r="O3" s="196">
        <v>0</v>
      </c>
      <c r="P3" s="197">
        <v>0</v>
      </c>
      <c r="Q3" s="197">
        <v>0</v>
      </c>
      <c r="R3" s="197">
        <v>0</v>
      </c>
      <c r="S3" s="197">
        <f>L3</f>
        <v>706851.94</v>
      </c>
      <c r="T3" s="210"/>
      <c r="U3" s="233"/>
      <c r="V3" s="252"/>
      <c r="W3" s="252"/>
      <c r="X3" s="252"/>
      <c r="Y3" s="132" t="b">
        <f t="shared" ref="Y3" si="2">L3=SUM(O3:X3)</f>
        <v>1</v>
      </c>
      <c r="Z3" s="134">
        <f t="shared" ref="Z3" si="3">ROUND(L3/K3,4)</f>
        <v>0.6</v>
      </c>
      <c r="AA3" s="135" t="b">
        <f t="shared" ref="AA3" si="4">Z3=N3</f>
        <v>1</v>
      </c>
      <c r="AB3" s="135" t="b">
        <f t="shared" ref="AB3" si="5">K3=L3+M3</f>
        <v>1</v>
      </c>
    </row>
    <row r="4" spans="1:28" s="285" customFormat="1" ht="63.75">
      <c r="A4" s="186">
        <v>2</v>
      </c>
      <c r="B4" s="201" t="s">
        <v>225</v>
      </c>
      <c r="C4" s="212" t="s">
        <v>123</v>
      </c>
      <c r="D4" s="201" t="s">
        <v>145</v>
      </c>
      <c r="E4" s="186">
        <v>3217011</v>
      </c>
      <c r="F4" s="201" t="s">
        <v>48</v>
      </c>
      <c r="G4" s="214" t="s">
        <v>359</v>
      </c>
      <c r="H4" s="203" t="s">
        <v>126</v>
      </c>
      <c r="I4" s="204">
        <v>0.17199999999999999</v>
      </c>
      <c r="J4" s="215" t="s">
        <v>374</v>
      </c>
      <c r="K4" s="205">
        <v>1401577</v>
      </c>
      <c r="L4" s="206">
        <f t="shared" si="0"/>
        <v>840946.2</v>
      </c>
      <c r="M4" s="183">
        <f t="shared" si="1"/>
        <v>560630.80000000005</v>
      </c>
      <c r="N4" s="253">
        <v>0.6</v>
      </c>
      <c r="O4" s="185">
        <v>0</v>
      </c>
      <c r="P4" s="184">
        <v>0</v>
      </c>
      <c r="Q4" s="184">
        <v>0</v>
      </c>
      <c r="R4" s="184">
        <v>0</v>
      </c>
      <c r="S4" s="184">
        <v>217210.19</v>
      </c>
      <c r="T4" s="206">
        <f>L4-S4</f>
        <v>623736.01</v>
      </c>
      <c r="U4" s="223"/>
      <c r="V4" s="224"/>
      <c r="W4" s="224"/>
      <c r="X4" s="224"/>
      <c r="Y4" s="132" t="b">
        <f t="shared" ref="Y4:Y43" si="6">L4=SUM(O4:X4)</f>
        <v>1</v>
      </c>
      <c r="Z4" s="134">
        <f t="shared" ref="Z4:Z43" si="7">ROUND(L4/K4,4)</f>
        <v>0.6</v>
      </c>
      <c r="AA4" s="135" t="b">
        <f t="shared" ref="AA4:AA43" si="8">Z4=N4</f>
        <v>1</v>
      </c>
      <c r="AB4" s="135" t="b">
        <f t="shared" ref="AB4:AB43" si="9">K4=L4+M4</f>
        <v>1</v>
      </c>
    </row>
    <row r="5" spans="1:28" s="199" customFormat="1" ht="38.25">
      <c r="A5" s="202">
        <v>3</v>
      </c>
      <c r="B5" s="188" t="s">
        <v>223</v>
      </c>
      <c r="C5" s="228" t="s">
        <v>194</v>
      </c>
      <c r="D5" s="200" t="s">
        <v>228</v>
      </c>
      <c r="E5" s="202" t="s">
        <v>95</v>
      </c>
      <c r="F5" s="188" t="s">
        <v>70</v>
      </c>
      <c r="G5" s="237" t="s">
        <v>357</v>
      </c>
      <c r="H5" s="189" t="s">
        <v>120</v>
      </c>
      <c r="I5" s="190">
        <v>1.3480000000000001</v>
      </c>
      <c r="J5" s="251" t="s">
        <v>376</v>
      </c>
      <c r="K5" s="191">
        <v>10001384.109999999</v>
      </c>
      <c r="L5" s="209">
        <f t="shared" si="0"/>
        <v>5000692.0599999996</v>
      </c>
      <c r="M5" s="194">
        <f t="shared" si="1"/>
        <v>5000692.05</v>
      </c>
      <c r="N5" s="277">
        <v>0.5</v>
      </c>
      <c r="O5" s="196">
        <v>0</v>
      </c>
      <c r="P5" s="197">
        <v>0</v>
      </c>
      <c r="Q5" s="198">
        <v>0</v>
      </c>
      <c r="R5" s="197">
        <v>0</v>
      </c>
      <c r="S5" s="197">
        <f>L5</f>
        <v>5000692.0599999996</v>
      </c>
      <c r="T5" s="210"/>
      <c r="U5" s="233"/>
      <c r="V5" s="252"/>
      <c r="W5" s="252"/>
      <c r="X5" s="252"/>
      <c r="Y5" s="132" t="b">
        <f t="shared" si="6"/>
        <v>1</v>
      </c>
      <c r="Z5" s="134">
        <f t="shared" si="7"/>
        <v>0.5</v>
      </c>
      <c r="AA5" s="135" t="b">
        <f t="shared" si="8"/>
        <v>1</v>
      </c>
      <c r="AB5" s="135" t="b">
        <f t="shared" si="9"/>
        <v>1</v>
      </c>
    </row>
    <row r="6" spans="1:28" s="281" customFormat="1" ht="38.25">
      <c r="A6" s="272">
        <v>4</v>
      </c>
      <c r="B6" s="188" t="s">
        <v>226</v>
      </c>
      <c r="C6" s="265" t="s">
        <v>194</v>
      </c>
      <c r="D6" s="200" t="s">
        <v>230</v>
      </c>
      <c r="E6" s="272" t="s">
        <v>88</v>
      </c>
      <c r="F6" s="188" t="s">
        <v>286</v>
      </c>
      <c r="G6" s="237" t="s">
        <v>360</v>
      </c>
      <c r="H6" s="189" t="s">
        <v>120</v>
      </c>
      <c r="I6" s="190">
        <v>0.83699999999999997</v>
      </c>
      <c r="J6" s="266" t="s">
        <v>377</v>
      </c>
      <c r="K6" s="191">
        <v>3207080.81</v>
      </c>
      <c r="L6" s="191">
        <f t="shared" si="0"/>
        <v>1603540.41</v>
      </c>
      <c r="M6" s="260">
        <f t="shared" si="1"/>
        <v>1603540.4000000001</v>
      </c>
      <c r="N6" s="280">
        <v>0.5</v>
      </c>
      <c r="O6" s="261">
        <v>0</v>
      </c>
      <c r="P6" s="273">
        <v>0</v>
      </c>
      <c r="Q6" s="273">
        <v>0</v>
      </c>
      <c r="R6" s="273">
        <v>0</v>
      </c>
      <c r="S6" s="273">
        <f>L6</f>
        <v>1603540.41</v>
      </c>
      <c r="T6" s="271"/>
      <c r="U6" s="263"/>
      <c r="V6" s="264"/>
      <c r="W6" s="264"/>
      <c r="X6" s="264"/>
      <c r="Y6" s="132" t="b">
        <f t="shared" si="6"/>
        <v>1</v>
      </c>
      <c r="Z6" s="134">
        <f t="shared" si="7"/>
        <v>0.5</v>
      </c>
      <c r="AA6" s="135" t="b">
        <f t="shared" si="8"/>
        <v>1</v>
      </c>
      <c r="AB6" s="135" t="b">
        <f t="shared" si="9"/>
        <v>1</v>
      </c>
    </row>
    <row r="7" spans="1:28" s="195" customFormat="1" ht="25.5">
      <c r="A7" s="262">
        <v>5</v>
      </c>
      <c r="B7" s="159" t="s">
        <v>261</v>
      </c>
      <c r="C7" s="212" t="s">
        <v>123</v>
      </c>
      <c r="D7" s="201" t="s">
        <v>263</v>
      </c>
      <c r="E7" s="186" t="s">
        <v>79</v>
      </c>
      <c r="F7" s="159" t="s">
        <v>70</v>
      </c>
      <c r="G7" s="238" t="s">
        <v>266</v>
      </c>
      <c r="H7" s="160" t="s">
        <v>120</v>
      </c>
      <c r="I7" s="162">
        <v>1.4850000000000001</v>
      </c>
      <c r="J7" s="215" t="s">
        <v>249</v>
      </c>
      <c r="K7" s="206">
        <v>10550204.380000001</v>
      </c>
      <c r="L7" s="270">
        <f t="shared" si="0"/>
        <v>5275102.1900000004</v>
      </c>
      <c r="M7" s="183">
        <f t="shared" si="1"/>
        <v>5275102.1900000004</v>
      </c>
      <c r="N7" s="253">
        <v>0.5</v>
      </c>
      <c r="O7" s="185">
        <v>0</v>
      </c>
      <c r="P7" s="184">
        <v>0</v>
      </c>
      <c r="Q7" s="187">
        <v>0</v>
      </c>
      <c r="R7" s="184">
        <v>0</v>
      </c>
      <c r="S7" s="184">
        <v>200000</v>
      </c>
      <c r="T7" s="206">
        <f>L7-S7</f>
        <v>5075102.1900000004</v>
      </c>
      <c r="U7" s="223"/>
      <c r="V7" s="224"/>
      <c r="W7" s="224"/>
      <c r="X7" s="224"/>
      <c r="Y7" s="132" t="b">
        <f t="shared" si="6"/>
        <v>1</v>
      </c>
      <c r="Z7" s="134">
        <f t="shared" si="7"/>
        <v>0.5</v>
      </c>
      <c r="AA7" s="135" t="b">
        <f t="shared" si="8"/>
        <v>1</v>
      </c>
      <c r="AB7" s="135" t="b">
        <f t="shared" si="9"/>
        <v>1</v>
      </c>
    </row>
    <row r="8" spans="1:28" s="199" customFormat="1" ht="38.25">
      <c r="A8" s="202">
        <v>6</v>
      </c>
      <c r="B8" s="188" t="s">
        <v>267</v>
      </c>
      <c r="C8" s="228" t="s">
        <v>194</v>
      </c>
      <c r="D8" s="200" t="s">
        <v>270</v>
      </c>
      <c r="E8" s="202" t="s">
        <v>63</v>
      </c>
      <c r="F8" s="188" t="s">
        <v>53</v>
      </c>
      <c r="G8" s="237" t="s">
        <v>272</v>
      </c>
      <c r="H8" s="207" t="s">
        <v>120</v>
      </c>
      <c r="I8" s="190">
        <v>0.17100000000000001</v>
      </c>
      <c r="J8" s="251" t="s">
        <v>379</v>
      </c>
      <c r="K8" s="210">
        <v>1400439.14</v>
      </c>
      <c r="L8" s="269">
        <f t="shared" si="0"/>
        <v>840263.48</v>
      </c>
      <c r="M8" s="194">
        <f t="shared" si="1"/>
        <v>560175.65999999992</v>
      </c>
      <c r="N8" s="277">
        <v>0.6</v>
      </c>
      <c r="O8" s="196">
        <v>0</v>
      </c>
      <c r="P8" s="197">
        <v>0</v>
      </c>
      <c r="Q8" s="198">
        <v>0</v>
      </c>
      <c r="R8" s="197">
        <v>0</v>
      </c>
      <c r="S8" s="197">
        <f>L8</f>
        <v>840263.48</v>
      </c>
      <c r="T8" s="210"/>
      <c r="U8" s="233"/>
      <c r="V8" s="252"/>
      <c r="W8" s="252"/>
      <c r="X8" s="252"/>
      <c r="Y8" s="132" t="b">
        <f t="shared" si="6"/>
        <v>1</v>
      </c>
      <c r="Z8" s="134">
        <f t="shared" si="7"/>
        <v>0.6</v>
      </c>
      <c r="AA8" s="135" t="b">
        <f t="shared" si="8"/>
        <v>1</v>
      </c>
      <c r="AB8" s="135" t="b">
        <f t="shared" si="9"/>
        <v>1</v>
      </c>
    </row>
    <row r="9" spans="1:28" s="199" customFormat="1" ht="25.5">
      <c r="A9" s="202">
        <v>7</v>
      </c>
      <c r="B9" s="200" t="s">
        <v>268</v>
      </c>
      <c r="C9" s="228" t="s">
        <v>194</v>
      </c>
      <c r="D9" s="200" t="s">
        <v>271</v>
      </c>
      <c r="E9" s="202" t="s">
        <v>74</v>
      </c>
      <c r="F9" s="200" t="s">
        <v>53</v>
      </c>
      <c r="G9" s="230" t="s">
        <v>273</v>
      </c>
      <c r="H9" s="207" t="s">
        <v>120</v>
      </c>
      <c r="I9" s="208">
        <v>0.54</v>
      </c>
      <c r="J9" s="251" t="s">
        <v>380</v>
      </c>
      <c r="K9" s="210">
        <v>1620619.91</v>
      </c>
      <c r="L9" s="269">
        <f t="shared" si="0"/>
        <v>972371.95</v>
      </c>
      <c r="M9" s="194">
        <f t="shared" si="1"/>
        <v>648247.96</v>
      </c>
      <c r="N9" s="277">
        <v>0.6</v>
      </c>
      <c r="O9" s="196">
        <v>0</v>
      </c>
      <c r="P9" s="197">
        <v>0</v>
      </c>
      <c r="Q9" s="198">
        <v>0</v>
      </c>
      <c r="R9" s="197">
        <v>0</v>
      </c>
      <c r="S9" s="197">
        <f>L9</f>
        <v>972371.95</v>
      </c>
      <c r="T9" s="210"/>
      <c r="U9" s="233"/>
      <c r="V9" s="252"/>
      <c r="W9" s="252"/>
      <c r="X9" s="252"/>
      <c r="Y9" s="132" t="b">
        <f t="shared" si="6"/>
        <v>1</v>
      </c>
      <c r="Z9" s="134">
        <f t="shared" si="7"/>
        <v>0.6</v>
      </c>
      <c r="AA9" s="135" t="b">
        <f t="shared" si="8"/>
        <v>1</v>
      </c>
      <c r="AB9" s="135" t="b">
        <f t="shared" si="9"/>
        <v>1</v>
      </c>
    </row>
    <row r="10" spans="1:28" s="199" customFormat="1" ht="25.5">
      <c r="A10" s="202">
        <v>8</v>
      </c>
      <c r="B10" s="188" t="s">
        <v>396</v>
      </c>
      <c r="C10" s="228" t="s">
        <v>194</v>
      </c>
      <c r="D10" s="200" t="s">
        <v>242</v>
      </c>
      <c r="E10" s="202">
        <v>3261011</v>
      </c>
      <c r="F10" s="188" t="s">
        <v>398</v>
      </c>
      <c r="G10" s="237" t="s">
        <v>397</v>
      </c>
      <c r="H10" s="207" t="s">
        <v>120</v>
      </c>
      <c r="I10" s="190">
        <v>0.35799999999999998</v>
      </c>
      <c r="J10" s="251" t="s">
        <v>383</v>
      </c>
      <c r="K10" s="210">
        <v>5307700.28</v>
      </c>
      <c r="L10" s="269">
        <f t="shared" si="0"/>
        <v>2653850.14</v>
      </c>
      <c r="M10" s="194">
        <f t="shared" si="1"/>
        <v>2653850.14</v>
      </c>
      <c r="N10" s="277">
        <v>0.5</v>
      </c>
      <c r="O10" s="196">
        <v>0</v>
      </c>
      <c r="P10" s="197">
        <v>0</v>
      </c>
      <c r="Q10" s="198">
        <v>0</v>
      </c>
      <c r="R10" s="197">
        <v>0</v>
      </c>
      <c r="S10" s="197">
        <f>L10</f>
        <v>2653850.14</v>
      </c>
      <c r="T10" s="210"/>
      <c r="U10" s="233"/>
      <c r="V10" s="252"/>
      <c r="W10" s="252"/>
      <c r="X10" s="252"/>
      <c r="Y10" s="132" t="b">
        <f t="shared" si="6"/>
        <v>1</v>
      </c>
      <c r="Z10" s="134">
        <f t="shared" si="7"/>
        <v>0.5</v>
      </c>
      <c r="AA10" s="135" t="b">
        <f t="shared" si="8"/>
        <v>1</v>
      </c>
      <c r="AB10" s="135" t="b">
        <f t="shared" si="9"/>
        <v>1</v>
      </c>
    </row>
    <row r="11" spans="1:28" s="199" customFormat="1" ht="63.75">
      <c r="A11" s="272">
        <v>9</v>
      </c>
      <c r="B11" s="188" t="s">
        <v>278</v>
      </c>
      <c r="C11" s="228" t="s">
        <v>194</v>
      </c>
      <c r="D11" s="200" t="s">
        <v>280</v>
      </c>
      <c r="E11" s="202" t="s">
        <v>89</v>
      </c>
      <c r="F11" s="188" t="s">
        <v>286</v>
      </c>
      <c r="G11" s="237" t="s">
        <v>284</v>
      </c>
      <c r="H11" s="189" t="s">
        <v>120</v>
      </c>
      <c r="I11" s="190">
        <v>0.49299999999999999</v>
      </c>
      <c r="J11" s="251" t="s">
        <v>383</v>
      </c>
      <c r="K11" s="210">
        <v>3545703.97</v>
      </c>
      <c r="L11" s="269">
        <f t="shared" si="0"/>
        <v>1772851.99</v>
      </c>
      <c r="M11" s="194">
        <f t="shared" si="1"/>
        <v>1772851.9800000002</v>
      </c>
      <c r="N11" s="277">
        <v>0.5</v>
      </c>
      <c r="O11" s="196">
        <v>0</v>
      </c>
      <c r="P11" s="197">
        <v>0</v>
      </c>
      <c r="Q11" s="198">
        <v>0</v>
      </c>
      <c r="R11" s="197">
        <v>0</v>
      </c>
      <c r="S11" s="197">
        <f t="shared" ref="S11:S16" si="10">L11</f>
        <v>1772851.99</v>
      </c>
      <c r="T11" s="210"/>
      <c r="U11" s="233"/>
      <c r="V11" s="252"/>
      <c r="W11" s="252"/>
      <c r="X11" s="252"/>
      <c r="Y11" s="132" t="b">
        <f t="shared" si="6"/>
        <v>1</v>
      </c>
      <c r="Z11" s="134">
        <f t="shared" si="7"/>
        <v>0.5</v>
      </c>
      <c r="AA11" s="135" t="b">
        <f t="shared" si="8"/>
        <v>1</v>
      </c>
      <c r="AB11" s="135" t="b">
        <f t="shared" si="9"/>
        <v>1</v>
      </c>
    </row>
    <row r="12" spans="1:28" s="199" customFormat="1" ht="25.5">
      <c r="A12" s="202">
        <v>10</v>
      </c>
      <c r="B12" s="188" t="s">
        <v>277</v>
      </c>
      <c r="C12" s="228" t="s">
        <v>194</v>
      </c>
      <c r="D12" s="200" t="s">
        <v>101</v>
      </c>
      <c r="E12" s="202">
        <v>3213062</v>
      </c>
      <c r="F12" s="188" t="s">
        <v>285</v>
      </c>
      <c r="G12" s="237" t="s">
        <v>283</v>
      </c>
      <c r="H12" s="189" t="s">
        <v>120</v>
      </c>
      <c r="I12" s="190">
        <v>1.115</v>
      </c>
      <c r="J12" s="251" t="s">
        <v>371</v>
      </c>
      <c r="K12" s="210">
        <v>2725788.77</v>
      </c>
      <c r="L12" s="269">
        <f t="shared" si="0"/>
        <v>1635473.26</v>
      </c>
      <c r="M12" s="194">
        <f t="shared" si="1"/>
        <v>1090315.51</v>
      </c>
      <c r="N12" s="277">
        <v>0.6</v>
      </c>
      <c r="O12" s="196">
        <v>0</v>
      </c>
      <c r="P12" s="197">
        <v>0</v>
      </c>
      <c r="Q12" s="198">
        <v>0</v>
      </c>
      <c r="R12" s="197">
        <v>0</v>
      </c>
      <c r="S12" s="197">
        <f t="shared" si="10"/>
        <v>1635473.26</v>
      </c>
      <c r="T12" s="210"/>
      <c r="U12" s="233"/>
      <c r="V12" s="252"/>
      <c r="W12" s="252"/>
      <c r="X12" s="252"/>
      <c r="Y12" s="132" t="b">
        <f t="shared" si="6"/>
        <v>1</v>
      </c>
      <c r="Z12" s="134">
        <f t="shared" si="7"/>
        <v>0.6</v>
      </c>
      <c r="AA12" s="135" t="b">
        <f t="shared" si="8"/>
        <v>1</v>
      </c>
      <c r="AB12" s="135" t="b">
        <f t="shared" si="9"/>
        <v>1</v>
      </c>
    </row>
    <row r="13" spans="1:28" s="199" customFormat="1" ht="51">
      <c r="A13" s="202">
        <v>11</v>
      </c>
      <c r="B13" s="188" t="s">
        <v>287</v>
      </c>
      <c r="C13" s="228" t="s">
        <v>194</v>
      </c>
      <c r="D13" s="200" t="s">
        <v>301</v>
      </c>
      <c r="E13" s="202" t="s">
        <v>83</v>
      </c>
      <c r="F13" s="188" t="s">
        <v>103</v>
      </c>
      <c r="G13" s="237" t="s">
        <v>313</v>
      </c>
      <c r="H13" s="189" t="s">
        <v>126</v>
      </c>
      <c r="I13" s="190">
        <v>0.76100000000000001</v>
      </c>
      <c r="J13" s="251" t="s">
        <v>384</v>
      </c>
      <c r="K13" s="210">
        <v>2690038.03</v>
      </c>
      <c r="L13" s="269">
        <f t="shared" si="0"/>
        <v>1614022.82</v>
      </c>
      <c r="M13" s="194">
        <f t="shared" si="1"/>
        <v>1076015.2099999997</v>
      </c>
      <c r="N13" s="277">
        <v>0.6</v>
      </c>
      <c r="O13" s="196">
        <v>0</v>
      </c>
      <c r="P13" s="197">
        <v>0</v>
      </c>
      <c r="Q13" s="198">
        <v>0</v>
      </c>
      <c r="R13" s="197">
        <v>0</v>
      </c>
      <c r="S13" s="197">
        <f t="shared" si="10"/>
        <v>1614022.82</v>
      </c>
      <c r="T13" s="210"/>
      <c r="U13" s="233"/>
      <c r="V13" s="252"/>
      <c r="W13" s="252"/>
      <c r="X13" s="252"/>
      <c r="Y13" s="132" t="b">
        <f t="shared" si="6"/>
        <v>1</v>
      </c>
      <c r="Z13" s="134">
        <f t="shared" si="7"/>
        <v>0.6</v>
      </c>
      <c r="AA13" s="135" t="b">
        <f t="shared" si="8"/>
        <v>1</v>
      </c>
      <c r="AB13" s="135" t="b">
        <f t="shared" si="9"/>
        <v>1</v>
      </c>
    </row>
    <row r="14" spans="1:28" s="199" customFormat="1" ht="25.5">
      <c r="A14" s="202">
        <v>12</v>
      </c>
      <c r="B14" s="188" t="s">
        <v>275</v>
      </c>
      <c r="C14" s="228" t="s">
        <v>194</v>
      </c>
      <c r="D14" s="200" t="s">
        <v>100</v>
      </c>
      <c r="E14" s="202">
        <v>3213032</v>
      </c>
      <c r="F14" s="188" t="s">
        <v>285</v>
      </c>
      <c r="G14" s="237" t="s">
        <v>281</v>
      </c>
      <c r="H14" s="189" t="s">
        <v>120</v>
      </c>
      <c r="I14" s="190">
        <v>0.66</v>
      </c>
      <c r="J14" s="251" t="s">
        <v>366</v>
      </c>
      <c r="K14" s="210">
        <v>3528748.82</v>
      </c>
      <c r="L14" s="269">
        <f t="shared" si="0"/>
        <v>1764374.41</v>
      </c>
      <c r="M14" s="194">
        <f t="shared" si="1"/>
        <v>1764374.41</v>
      </c>
      <c r="N14" s="277">
        <v>0.5</v>
      </c>
      <c r="O14" s="196">
        <v>0</v>
      </c>
      <c r="P14" s="197">
        <v>0</v>
      </c>
      <c r="Q14" s="198">
        <v>0</v>
      </c>
      <c r="R14" s="197">
        <v>0</v>
      </c>
      <c r="S14" s="197">
        <f t="shared" si="10"/>
        <v>1764374.41</v>
      </c>
      <c r="T14" s="210"/>
      <c r="U14" s="233"/>
      <c r="V14" s="252"/>
      <c r="W14" s="252"/>
      <c r="X14" s="252"/>
      <c r="Y14" s="132" t="b">
        <f t="shared" si="6"/>
        <v>1</v>
      </c>
      <c r="Z14" s="134">
        <f t="shared" si="7"/>
        <v>0.5</v>
      </c>
      <c r="AA14" s="135" t="b">
        <f t="shared" si="8"/>
        <v>1</v>
      </c>
      <c r="AB14" s="135" t="b">
        <f t="shared" si="9"/>
        <v>1</v>
      </c>
    </row>
    <row r="15" spans="1:28" s="199" customFormat="1" ht="51">
      <c r="A15" s="202">
        <v>13</v>
      </c>
      <c r="B15" s="188" t="s">
        <v>276</v>
      </c>
      <c r="C15" s="228" t="s">
        <v>194</v>
      </c>
      <c r="D15" s="200" t="s">
        <v>279</v>
      </c>
      <c r="E15" s="202" t="s">
        <v>76</v>
      </c>
      <c r="F15" s="188" t="s">
        <v>286</v>
      </c>
      <c r="G15" s="237" t="s">
        <v>282</v>
      </c>
      <c r="H15" s="189" t="s">
        <v>120</v>
      </c>
      <c r="I15" s="190">
        <v>0.25700000000000001</v>
      </c>
      <c r="J15" s="251" t="s">
        <v>382</v>
      </c>
      <c r="K15" s="210">
        <v>1464163.53</v>
      </c>
      <c r="L15" s="269">
        <f t="shared" si="0"/>
        <v>878498.12</v>
      </c>
      <c r="M15" s="194">
        <f t="shared" si="1"/>
        <v>585665.41</v>
      </c>
      <c r="N15" s="277">
        <v>0.6</v>
      </c>
      <c r="O15" s="196">
        <v>0</v>
      </c>
      <c r="P15" s="197">
        <v>0</v>
      </c>
      <c r="Q15" s="198">
        <v>0</v>
      </c>
      <c r="R15" s="197">
        <v>0</v>
      </c>
      <c r="S15" s="197">
        <f t="shared" si="10"/>
        <v>878498.12</v>
      </c>
      <c r="T15" s="210"/>
      <c r="U15" s="233"/>
      <c r="V15" s="252"/>
      <c r="W15" s="252"/>
      <c r="X15" s="252"/>
      <c r="Y15" s="132" t="b">
        <f t="shared" si="6"/>
        <v>1</v>
      </c>
      <c r="Z15" s="134">
        <f t="shared" si="7"/>
        <v>0.6</v>
      </c>
      <c r="AA15" s="135" t="b">
        <f t="shared" si="8"/>
        <v>1</v>
      </c>
      <c r="AB15" s="135" t="b">
        <f t="shared" si="9"/>
        <v>1</v>
      </c>
    </row>
    <row r="16" spans="1:28" s="199" customFormat="1" ht="38.25">
      <c r="A16" s="202">
        <v>14</v>
      </c>
      <c r="B16" s="188" t="s">
        <v>289</v>
      </c>
      <c r="C16" s="228" t="s">
        <v>194</v>
      </c>
      <c r="D16" s="200" t="s">
        <v>69</v>
      </c>
      <c r="E16" s="202">
        <v>3214102</v>
      </c>
      <c r="F16" s="188" t="s">
        <v>46</v>
      </c>
      <c r="G16" s="237" t="s">
        <v>315</v>
      </c>
      <c r="H16" s="189" t="s">
        <v>238</v>
      </c>
      <c r="I16" s="190">
        <v>1.4</v>
      </c>
      <c r="J16" s="251" t="s">
        <v>385</v>
      </c>
      <c r="K16" s="210">
        <v>1464806.73</v>
      </c>
      <c r="L16" s="269">
        <f t="shared" si="0"/>
        <v>878884.04</v>
      </c>
      <c r="M16" s="194">
        <f t="shared" si="1"/>
        <v>585922.68999999994</v>
      </c>
      <c r="N16" s="277">
        <v>0.6</v>
      </c>
      <c r="O16" s="196">
        <v>0</v>
      </c>
      <c r="P16" s="197">
        <v>0</v>
      </c>
      <c r="Q16" s="198">
        <v>0</v>
      </c>
      <c r="R16" s="197">
        <v>0</v>
      </c>
      <c r="S16" s="197">
        <f t="shared" si="10"/>
        <v>878884.04</v>
      </c>
      <c r="T16" s="233"/>
      <c r="U16" s="233"/>
      <c r="V16" s="252"/>
      <c r="W16" s="252"/>
      <c r="X16" s="252"/>
      <c r="Y16" s="132" t="b">
        <f t="shared" si="6"/>
        <v>1</v>
      </c>
      <c r="Z16" s="134">
        <f t="shared" si="7"/>
        <v>0.6</v>
      </c>
      <c r="AA16" s="135" t="b">
        <f t="shared" si="8"/>
        <v>1</v>
      </c>
      <c r="AB16" s="135" t="b">
        <f t="shared" si="9"/>
        <v>1</v>
      </c>
    </row>
    <row r="17" spans="1:28" s="199" customFormat="1" ht="25.5">
      <c r="A17" s="202">
        <v>15</v>
      </c>
      <c r="B17" s="188" t="s">
        <v>290</v>
      </c>
      <c r="C17" s="228" t="s">
        <v>194</v>
      </c>
      <c r="D17" s="200" t="s">
        <v>302</v>
      </c>
      <c r="E17" s="202" t="s">
        <v>97</v>
      </c>
      <c r="F17" s="188" t="s">
        <v>312</v>
      </c>
      <c r="G17" s="237" t="s">
        <v>316</v>
      </c>
      <c r="H17" s="189" t="s">
        <v>120</v>
      </c>
      <c r="I17" s="190">
        <v>0.14599999999999999</v>
      </c>
      <c r="J17" s="251" t="s">
        <v>373</v>
      </c>
      <c r="K17" s="210">
        <v>652766.13</v>
      </c>
      <c r="L17" s="269">
        <f t="shared" si="0"/>
        <v>391659.68</v>
      </c>
      <c r="M17" s="194">
        <f t="shared" si="1"/>
        <v>261106.45</v>
      </c>
      <c r="N17" s="277">
        <v>0.6</v>
      </c>
      <c r="O17" s="196">
        <v>0</v>
      </c>
      <c r="P17" s="197">
        <v>0</v>
      </c>
      <c r="Q17" s="198">
        <v>0</v>
      </c>
      <c r="R17" s="197">
        <v>0</v>
      </c>
      <c r="S17" s="197">
        <f t="shared" ref="S17:S30" si="11">L17</f>
        <v>391659.68</v>
      </c>
      <c r="T17" s="233"/>
      <c r="U17" s="233"/>
      <c r="V17" s="252"/>
      <c r="W17" s="252"/>
      <c r="X17" s="252"/>
      <c r="Y17" s="132" t="b">
        <f t="shared" si="6"/>
        <v>1</v>
      </c>
      <c r="Z17" s="134">
        <f t="shared" si="7"/>
        <v>0.6</v>
      </c>
      <c r="AA17" s="135" t="b">
        <f t="shared" si="8"/>
        <v>1</v>
      </c>
      <c r="AB17" s="135" t="b">
        <f t="shared" si="9"/>
        <v>1</v>
      </c>
    </row>
    <row r="18" spans="1:28" s="199" customFormat="1" ht="25.5">
      <c r="A18" s="202">
        <v>16</v>
      </c>
      <c r="B18" s="188" t="s">
        <v>292</v>
      </c>
      <c r="C18" s="228" t="s">
        <v>194</v>
      </c>
      <c r="D18" s="200" t="s">
        <v>303</v>
      </c>
      <c r="E18" s="202" t="s">
        <v>98</v>
      </c>
      <c r="F18" s="188" t="s">
        <v>312</v>
      </c>
      <c r="G18" s="237" t="s">
        <v>318</v>
      </c>
      <c r="H18" s="207" t="s">
        <v>120</v>
      </c>
      <c r="I18" s="208">
        <v>0.2</v>
      </c>
      <c r="J18" s="251" t="s">
        <v>246</v>
      </c>
      <c r="K18" s="210">
        <v>1287438.0900000001</v>
      </c>
      <c r="L18" s="269">
        <f t="shared" si="0"/>
        <v>643719.05000000005</v>
      </c>
      <c r="M18" s="194">
        <f t="shared" si="1"/>
        <v>643719.04</v>
      </c>
      <c r="N18" s="277">
        <v>0.5</v>
      </c>
      <c r="O18" s="196">
        <v>0</v>
      </c>
      <c r="P18" s="197">
        <v>0</v>
      </c>
      <c r="Q18" s="198">
        <v>0</v>
      </c>
      <c r="R18" s="197">
        <v>0</v>
      </c>
      <c r="S18" s="197">
        <f t="shared" si="11"/>
        <v>643719.05000000005</v>
      </c>
      <c r="T18" s="233"/>
      <c r="U18" s="233"/>
      <c r="V18" s="252"/>
      <c r="W18" s="252"/>
      <c r="X18" s="252"/>
      <c r="Y18" s="132" t="b">
        <f t="shared" si="6"/>
        <v>1</v>
      </c>
      <c r="Z18" s="134">
        <f t="shared" si="7"/>
        <v>0.5</v>
      </c>
      <c r="AA18" s="135" t="b">
        <f t="shared" si="8"/>
        <v>1</v>
      </c>
      <c r="AB18" s="135" t="b">
        <f t="shared" si="9"/>
        <v>1</v>
      </c>
    </row>
    <row r="19" spans="1:28" s="199" customFormat="1" ht="25.5">
      <c r="A19" s="202">
        <v>17</v>
      </c>
      <c r="B19" s="188" t="s">
        <v>295</v>
      </c>
      <c r="C19" s="228" t="s">
        <v>194</v>
      </c>
      <c r="D19" s="200" t="s">
        <v>306</v>
      </c>
      <c r="E19" s="202" t="s">
        <v>87</v>
      </c>
      <c r="F19" s="188" t="s">
        <v>50</v>
      </c>
      <c r="G19" s="237" t="s">
        <v>321</v>
      </c>
      <c r="H19" s="207" t="s">
        <v>120</v>
      </c>
      <c r="I19" s="208">
        <v>0.35199999999999998</v>
      </c>
      <c r="J19" s="251" t="s">
        <v>383</v>
      </c>
      <c r="K19" s="210">
        <v>1378334.01</v>
      </c>
      <c r="L19" s="269">
        <f t="shared" si="0"/>
        <v>827000.41</v>
      </c>
      <c r="M19" s="194">
        <f t="shared" si="1"/>
        <v>551333.6</v>
      </c>
      <c r="N19" s="277">
        <v>0.6</v>
      </c>
      <c r="O19" s="196">
        <v>0</v>
      </c>
      <c r="P19" s="197">
        <v>0</v>
      </c>
      <c r="Q19" s="198">
        <v>0</v>
      </c>
      <c r="R19" s="197">
        <v>0</v>
      </c>
      <c r="S19" s="197">
        <f t="shared" si="11"/>
        <v>827000.41</v>
      </c>
      <c r="T19" s="233"/>
      <c r="U19" s="233"/>
      <c r="V19" s="252"/>
      <c r="W19" s="252"/>
      <c r="X19" s="252"/>
      <c r="Y19" s="132" t="b">
        <f t="shared" si="6"/>
        <v>1</v>
      </c>
      <c r="Z19" s="134">
        <f t="shared" si="7"/>
        <v>0.6</v>
      </c>
      <c r="AA19" s="135" t="b">
        <f t="shared" si="8"/>
        <v>1</v>
      </c>
      <c r="AB19" s="135" t="b">
        <f t="shared" si="9"/>
        <v>1</v>
      </c>
    </row>
    <row r="20" spans="1:28" s="199" customFormat="1" ht="25.5">
      <c r="A20" s="202">
        <v>18</v>
      </c>
      <c r="B20" s="188" t="s">
        <v>296</v>
      </c>
      <c r="C20" s="228" t="s">
        <v>194</v>
      </c>
      <c r="D20" s="200" t="s">
        <v>307</v>
      </c>
      <c r="E20" s="202">
        <v>3210013</v>
      </c>
      <c r="F20" s="188" t="s">
        <v>52</v>
      </c>
      <c r="G20" s="237" t="s">
        <v>322</v>
      </c>
      <c r="H20" s="207" t="s">
        <v>126</v>
      </c>
      <c r="I20" s="208">
        <v>0.3</v>
      </c>
      <c r="J20" s="251" t="s">
        <v>253</v>
      </c>
      <c r="K20" s="210">
        <v>1148982.43</v>
      </c>
      <c r="L20" s="269">
        <f t="shared" si="0"/>
        <v>689389.46</v>
      </c>
      <c r="M20" s="194">
        <f t="shared" si="1"/>
        <v>459592.97</v>
      </c>
      <c r="N20" s="277">
        <v>0.6</v>
      </c>
      <c r="O20" s="196">
        <v>0</v>
      </c>
      <c r="P20" s="197">
        <v>0</v>
      </c>
      <c r="Q20" s="198">
        <v>0</v>
      </c>
      <c r="R20" s="197">
        <v>0</v>
      </c>
      <c r="S20" s="197">
        <f t="shared" si="11"/>
        <v>689389.46</v>
      </c>
      <c r="T20" s="233"/>
      <c r="U20" s="233"/>
      <c r="V20" s="252"/>
      <c r="W20" s="252"/>
      <c r="X20" s="252"/>
      <c r="Y20" s="132" t="b">
        <f t="shared" si="6"/>
        <v>1</v>
      </c>
      <c r="Z20" s="134">
        <f t="shared" si="7"/>
        <v>0.6</v>
      </c>
      <c r="AA20" s="135" t="b">
        <f t="shared" si="8"/>
        <v>1</v>
      </c>
      <c r="AB20" s="135" t="b">
        <f t="shared" si="9"/>
        <v>1</v>
      </c>
    </row>
    <row r="21" spans="1:28" s="199" customFormat="1" ht="89.25">
      <c r="A21" s="202">
        <v>19</v>
      </c>
      <c r="B21" s="188" t="s">
        <v>294</v>
      </c>
      <c r="C21" s="228" t="s">
        <v>194</v>
      </c>
      <c r="D21" s="200" t="s">
        <v>305</v>
      </c>
      <c r="E21" s="202" t="s">
        <v>85</v>
      </c>
      <c r="F21" s="188" t="s">
        <v>50</v>
      </c>
      <c r="G21" s="237" t="s">
        <v>320</v>
      </c>
      <c r="H21" s="207" t="s">
        <v>126</v>
      </c>
      <c r="I21" s="208">
        <v>0.24</v>
      </c>
      <c r="J21" s="251" t="s">
        <v>387</v>
      </c>
      <c r="K21" s="210">
        <v>519749.01</v>
      </c>
      <c r="L21" s="269">
        <f t="shared" si="0"/>
        <v>311849.40999999997</v>
      </c>
      <c r="M21" s="194">
        <f t="shared" si="1"/>
        <v>207899.60000000003</v>
      </c>
      <c r="N21" s="277">
        <v>0.6</v>
      </c>
      <c r="O21" s="196">
        <v>0</v>
      </c>
      <c r="P21" s="197">
        <v>0</v>
      </c>
      <c r="Q21" s="198">
        <v>0</v>
      </c>
      <c r="R21" s="197">
        <v>0</v>
      </c>
      <c r="S21" s="197">
        <f t="shared" si="11"/>
        <v>311849.40999999997</v>
      </c>
      <c r="T21" s="233"/>
      <c r="U21" s="233"/>
      <c r="V21" s="252"/>
      <c r="W21" s="252"/>
      <c r="X21" s="252"/>
      <c r="Y21" s="132" t="b">
        <f t="shared" si="6"/>
        <v>1</v>
      </c>
      <c r="Z21" s="134">
        <f t="shared" si="7"/>
        <v>0.6</v>
      </c>
      <c r="AA21" s="135" t="b">
        <f t="shared" si="8"/>
        <v>1</v>
      </c>
      <c r="AB21" s="135" t="b">
        <f t="shared" si="9"/>
        <v>1</v>
      </c>
    </row>
    <row r="22" spans="1:28" s="199" customFormat="1" ht="51">
      <c r="A22" s="202">
        <v>20</v>
      </c>
      <c r="B22" s="188" t="s">
        <v>293</v>
      </c>
      <c r="C22" s="228" t="s">
        <v>194</v>
      </c>
      <c r="D22" s="200" t="s">
        <v>304</v>
      </c>
      <c r="E22" s="202" t="s">
        <v>86</v>
      </c>
      <c r="F22" s="188" t="s">
        <v>50</v>
      </c>
      <c r="G22" s="237" t="s">
        <v>319</v>
      </c>
      <c r="H22" s="207" t="s">
        <v>120</v>
      </c>
      <c r="I22" s="208">
        <v>0.27300000000000002</v>
      </c>
      <c r="J22" s="251" t="s">
        <v>380</v>
      </c>
      <c r="K22" s="210">
        <v>1163651.6000000001</v>
      </c>
      <c r="L22" s="269">
        <f t="shared" si="0"/>
        <v>698190.96</v>
      </c>
      <c r="M22" s="194">
        <f t="shared" si="1"/>
        <v>465460.64000000013</v>
      </c>
      <c r="N22" s="277">
        <v>0.6</v>
      </c>
      <c r="O22" s="196">
        <v>0</v>
      </c>
      <c r="P22" s="197">
        <v>0</v>
      </c>
      <c r="Q22" s="198">
        <v>0</v>
      </c>
      <c r="R22" s="197">
        <v>0</v>
      </c>
      <c r="S22" s="197">
        <f t="shared" si="11"/>
        <v>698190.96</v>
      </c>
      <c r="T22" s="233"/>
      <c r="U22" s="233"/>
      <c r="V22" s="252"/>
      <c r="W22" s="252"/>
      <c r="X22" s="252"/>
      <c r="Y22" s="132" t="b">
        <f t="shared" si="6"/>
        <v>1</v>
      </c>
      <c r="Z22" s="134">
        <f t="shared" si="7"/>
        <v>0.6</v>
      </c>
      <c r="AA22" s="135" t="b">
        <f t="shared" si="8"/>
        <v>1</v>
      </c>
      <c r="AB22" s="135" t="b">
        <f t="shared" si="9"/>
        <v>1</v>
      </c>
    </row>
    <row r="23" spans="1:28" s="199" customFormat="1" ht="25.5">
      <c r="A23" s="202">
        <v>21</v>
      </c>
      <c r="B23" s="188" t="s">
        <v>298</v>
      </c>
      <c r="C23" s="228" t="s">
        <v>194</v>
      </c>
      <c r="D23" s="200" t="s">
        <v>309</v>
      </c>
      <c r="E23" s="202" t="s">
        <v>64</v>
      </c>
      <c r="F23" s="188" t="s">
        <v>50</v>
      </c>
      <c r="G23" s="237" t="s">
        <v>324</v>
      </c>
      <c r="H23" s="207" t="s">
        <v>120</v>
      </c>
      <c r="I23" s="208">
        <v>0.39200000000000002</v>
      </c>
      <c r="J23" s="251" t="s">
        <v>257</v>
      </c>
      <c r="K23" s="210">
        <v>786384.24</v>
      </c>
      <c r="L23" s="269">
        <f t="shared" si="0"/>
        <v>393192.12</v>
      </c>
      <c r="M23" s="194">
        <f t="shared" si="1"/>
        <v>393192.12</v>
      </c>
      <c r="N23" s="277">
        <v>0.5</v>
      </c>
      <c r="O23" s="196">
        <v>0</v>
      </c>
      <c r="P23" s="197">
        <v>0</v>
      </c>
      <c r="Q23" s="198">
        <v>0</v>
      </c>
      <c r="R23" s="197">
        <v>0</v>
      </c>
      <c r="S23" s="197">
        <f t="shared" si="11"/>
        <v>393192.12</v>
      </c>
      <c r="T23" s="233"/>
      <c r="U23" s="233"/>
      <c r="V23" s="252"/>
      <c r="W23" s="252"/>
      <c r="X23" s="252"/>
      <c r="Y23" s="132" t="b">
        <f t="shared" si="6"/>
        <v>1</v>
      </c>
      <c r="Z23" s="134">
        <f t="shared" si="7"/>
        <v>0.5</v>
      </c>
      <c r="AA23" s="135" t="b">
        <f t="shared" si="8"/>
        <v>1</v>
      </c>
      <c r="AB23" s="135" t="b">
        <f t="shared" si="9"/>
        <v>1</v>
      </c>
    </row>
    <row r="24" spans="1:28" s="199" customFormat="1" ht="25.5">
      <c r="A24" s="202">
        <v>22</v>
      </c>
      <c r="B24" s="188" t="s">
        <v>299</v>
      </c>
      <c r="C24" s="228" t="s">
        <v>194</v>
      </c>
      <c r="D24" s="200" t="s">
        <v>310</v>
      </c>
      <c r="E24" s="202" t="s">
        <v>81</v>
      </c>
      <c r="F24" s="188" t="s">
        <v>103</v>
      </c>
      <c r="G24" s="237" t="s">
        <v>325</v>
      </c>
      <c r="H24" s="207" t="s">
        <v>120</v>
      </c>
      <c r="I24" s="208">
        <v>0.26400000000000001</v>
      </c>
      <c r="J24" s="251" t="s">
        <v>389</v>
      </c>
      <c r="K24" s="210">
        <v>958573.16</v>
      </c>
      <c r="L24" s="269">
        <f t="shared" si="0"/>
        <v>479286.58</v>
      </c>
      <c r="M24" s="194">
        <f t="shared" si="1"/>
        <v>479286.58</v>
      </c>
      <c r="N24" s="277">
        <v>0.5</v>
      </c>
      <c r="O24" s="196">
        <v>0</v>
      </c>
      <c r="P24" s="197">
        <v>0</v>
      </c>
      <c r="Q24" s="198">
        <v>0</v>
      </c>
      <c r="R24" s="197">
        <v>0</v>
      </c>
      <c r="S24" s="197">
        <f t="shared" si="11"/>
        <v>479286.58</v>
      </c>
      <c r="T24" s="233"/>
      <c r="U24" s="233"/>
      <c r="V24" s="252"/>
      <c r="W24" s="252"/>
      <c r="X24" s="252"/>
      <c r="Y24" s="132" t="b">
        <f t="shared" si="6"/>
        <v>1</v>
      </c>
      <c r="Z24" s="134">
        <f t="shared" si="7"/>
        <v>0.5</v>
      </c>
      <c r="AA24" s="135" t="b">
        <f t="shared" si="8"/>
        <v>1</v>
      </c>
      <c r="AB24" s="135" t="b">
        <f t="shared" si="9"/>
        <v>1</v>
      </c>
    </row>
    <row r="25" spans="1:28" s="199" customFormat="1" ht="25.5">
      <c r="A25" s="202">
        <v>23</v>
      </c>
      <c r="B25" s="188" t="s">
        <v>297</v>
      </c>
      <c r="C25" s="228" t="s">
        <v>194</v>
      </c>
      <c r="D25" s="200" t="s">
        <v>308</v>
      </c>
      <c r="E25" s="202" t="s">
        <v>60</v>
      </c>
      <c r="F25" s="188" t="s">
        <v>49</v>
      </c>
      <c r="G25" s="237" t="s">
        <v>323</v>
      </c>
      <c r="H25" s="207" t="s">
        <v>126</v>
      </c>
      <c r="I25" s="208">
        <v>0.57199999999999995</v>
      </c>
      <c r="J25" s="251" t="s">
        <v>388</v>
      </c>
      <c r="K25" s="210">
        <v>827040.12</v>
      </c>
      <c r="L25" s="269">
        <f t="shared" si="0"/>
        <v>496224.07</v>
      </c>
      <c r="M25" s="194">
        <f t="shared" si="1"/>
        <v>330816.05</v>
      </c>
      <c r="N25" s="277">
        <v>0.6</v>
      </c>
      <c r="O25" s="196">
        <v>0</v>
      </c>
      <c r="P25" s="197">
        <v>0</v>
      </c>
      <c r="Q25" s="198">
        <v>0</v>
      </c>
      <c r="R25" s="197">
        <v>0</v>
      </c>
      <c r="S25" s="197">
        <f t="shared" si="11"/>
        <v>496224.07</v>
      </c>
      <c r="T25" s="233"/>
      <c r="U25" s="233"/>
      <c r="V25" s="252"/>
      <c r="W25" s="252"/>
      <c r="X25" s="252"/>
      <c r="Y25" s="132" t="b">
        <f t="shared" si="6"/>
        <v>1</v>
      </c>
      <c r="Z25" s="134">
        <f t="shared" si="7"/>
        <v>0.6</v>
      </c>
      <c r="AA25" s="135" t="b">
        <f t="shared" si="8"/>
        <v>1</v>
      </c>
      <c r="AB25" s="135" t="b">
        <f t="shared" si="9"/>
        <v>1</v>
      </c>
    </row>
    <row r="26" spans="1:28" s="199" customFormat="1" ht="51">
      <c r="A26" s="202">
        <v>24</v>
      </c>
      <c r="B26" s="188" t="s">
        <v>403</v>
      </c>
      <c r="C26" s="228" t="s">
        <v>194</v>
      </c>
      <c r="D26" s="200" t="s">
        <v>404</v>
      </c>
      <c r="E26" s="202" t="s">
        <v>80</v>
      </c>
      <c r="F26" s="188" t="s">
        <v>49</v>
      </c>
      <c r="G26" s="237" t="s">
        <v>406</v>
      </c>
      <c r="H26" s="207" t="s">
        <v>120</v>
      </c>
      <c r="I26" s="208">
        <v>0.498</v>
      </c>
      <c r="J26" s="251" t="s">
        <v>385</v>
      </c>
      <c r="K26" s="210">
        <v>1361648.29</v>
      </c>
      <c r="L26" s="269">
        <f t="shared" si="0"/>
        <v>680824.15</v>
      </c>
      <c r="M26" s="194">
        <f t="shared" si="1"/>
        <v>680824.14</v>
      </c>
      <c r="N26" s="277">
        <v>0.5</v>
      </c>
      <c r="O26" s="196">
        <v>0</v>
      </c>
      <c r="P26" s="197">
        <v>0</v>
      </c>
      <c r="Q26" s="198">
        <v>0</v>
      </c>
      <c r="R26" s="197">
        <v>0</v>
      </c>
      <c r="S26" s="197">
        <f t="shared" si="11"/>
        <v>680824.15</v>
      </c>
      <c r="T26" s="233"/>
      <c r="U26" s="233"/>
      <c r="V26" s="252"/>
      <c r="W26" s="252"/>
      <c r="X26" s="252"/>
      <c r="Y26" s="132" t="b">
        <f t="shared" si="6"/>
        <v>1</v>
      </c>
      <c r="Z26" s="134">
        <f t="shared" si="7"/>
        <v>0.5</v>
      </c>
      <c r="AA26" s="135" t="b">
        <f t="shared" si="8"/>
        <v>1</v>
      </c>
      <c r="AB26" s="135" t="b">
        <f t="shared" si="9"/>
        <v>1</v>
      </c>
    </row>
    <row r="27" spans="1:28" s="199" customFormat="1" ht="25.5">
      <c r="A27" s="202">
        <v>25</v>
      </c>
      <c r="B27" s="188" t="s">
        <v>300</v>
      </c>
      <c r="C27" s="228" t="s">
        <v>194</v>
      </c>
      <c r="D27" s="200" t="s">
        <v>311</v>
      </c>
      <c r="E27" s="202" t="s">
        <v>90</v>
      </c>
      <c r="F27" s="188" t="s">
        <v>286</v>
      </c>
      <c r="G27" s="237" t="s">
        <v>326</v>
      </c>
      <c r="H27" s="207" t="s">
        <v>120</v>
      </c>
      <c r="I27" s="208">
        <v>0.41</v>
      </c>
      <c r="J27" s="251" t="s">
        <v>257</v>
      </c>
      <c r="K27" s="210">
        <v>994724.07</v>
      </c>
      <c r="L27" s="269">
        <f t="shared" si="0"/>
        <v>497362.04</v>
      </c>
      <c r="M27" s="194">
        <f t="shared" si="1"/>
        <v>497362.02999999997</v>
      </c>
      <c r="N27" s="277">
        <v>0.5</v>
      </c>
      <c r="O27" s="196">
        <v>0</v>
      </c>
      <c r="P27" s="197">
        <v>0</v>
      </c>
      <c r="Q27" s="198">
        <v>0</v>
      </c>
      <c r="R27" s="197">
        <v>0</v>
      </c>
      <c r="S27" s="197">
        <f t="shared" si="11"/>
        <v>497362.04</v>
      </c>
      <c r="T27" s="233"/>
      <c r="U27" s="233"/>
      <c r="V27" s="252"/>
      <c r="W27" s="252"/>
      <c r="X27" s="252"/>
      <c r="Y27" s="132" t="b">
        <f t="shared" si="6"/>
        <v>1</v>
      </c>
      <c r="Z27" s="134">
        <f t="shared" si="7"/>
        <v>0.5</v>
      </c>
      <c r="AA27" s="135" t="b">
        <f t="shared" si="8"/>
        <v>1</v>
      </c>
      <c r="AB27" s="135" t="b">
        <f t="shared" si="9"/>
        <v>1</v>
      </c>
    </row>
    <row r="28" spans="1:28" s="199" customFormat="1" ht="25.5">
      <c r="A28" s="202">
        <v>26</v>
      </c>
      <c r="B28" s="188" t="s">
        <v>330</v>
      </c>
      <c r="C28" s="228" t="s">
        <v>194</v>
      </c>
      <c r="D28" s="200" t="s">
        <v>331</v>
      </c>
      <c r="E28" s="202" t="s">
        <v>62</v>
      </c>
      <c r="F28" s="188" t="s">
        <v>54</v>
      </c>
      <c r="G28" s="237" t="s">
        <v>333</v>
      </c>
      <c r="H28" s="207" t="s">
        <v>120</v>
      </c>
      <c r="I28" s="208">
        <v>0.23400000000000001</v>
      </c>
      <c r="J28" s="251" t="s">
        <v>390</v>
      </c>
      <c r="K28" s="210">
        <v>636512.18999999994</v>
      </c>
      <c r="L28" s="269">
        <f t="shared" si="0"/>
        <v>318256.09999999998</v>
      </c>
      <c r="M28" s="194">
        <f t="shared" si="1"/>
        <v>318256.08999999997</v>
      </c>
      <c r="N28" s="277">
        <v>0.5</v>
      </c>
      <c r="O28" s="196">
        <v>0</v>
      </c>
      <c r="P28" s="197">
        <v>0</v>
      </c>
      <c r="Q28" s="198">
        <v>0</v>
      </c>
      <c r="R28" s="197">
        <v>0</v>
      </c>
      <c r="S28" s="197">
        <f t="shared" si="11"/>
        <v>318256.09999999998</v>
      </c>
      <c r="T28" s="233"/>
      <c r="U28" s="233"/>
      <c r="V28" s="252"/>
      <c r="W28" s="252"/>
      <c r="X28" s="252"/>
      <c r="Y28" s="132" t="b">
        <f t="shared" si="6"/>
        <v>1</v>
      </c>
      <c r="Z28" s="134">
        <f t="shared" si="7"/>
        <v>0.5</v>
      </c>
      <c r="AA28" s="135" t="b">
        <f t="shared" si="8"/>
        <v>1</v>
      </c>
      <c r="AB28" s="135" t="b">
        <f t="shared" si="9"/>
        <v>1</v>
      </c>
    </row>
    <row r="29" spans="1:28" s="199" customFormat="1" ht="25.5">
      <c r="A29" s="202">
        <v>27</v>
      </c>
      <c r="B29" s="188" t="s">
        <v>334</v>
      </c>
      <c r="C29" s="228" t="s">
        <v>194</v>
      </c>
      <c r="D29" s="200" t="s">
        <v>102</v>
      </c>
      <c r="E29" s="202">
        <v>3215062</v>
      </c>
      <c r="F29" s="188" t="s">
        <v>312</v>
      </c>
      <c r="G29" s="237" t="s">
        <v>338</v>
      </c>
      <c r="H29" s="207" t="s">
        <v>120</v>
      </c>
      <c r="I29" s="208">
        <v>0.54400000000000004</v>
      </c>
      <c r="J29" s="251" t="s">
        <v>251</v>
      </c>
      <c r="K29" s="210">
        <v>1122816.19</v>
      </c>
      <c r="L29" s="269">
        <f t="shared" si="0"/>
        <v>673689.71</v>
      </c>
      <c r="M29" s="194">
        <f t="shared" si="1"/>
        <v>449126.48</v>
      </c>
      <c r="N29" s="277">
        <v>0.6</v>
      </c>
      <c r="O29" s="196">
        <v>0</v>
      </c>
      <c r="P29" s="197">
        <v>0</v>
      </c>
      <c r="Q29" s="198">
        <v>0</v>
      </c>
      <c r="R29" s="197">
        <v>0</v>
      </c>
      <c r="S29" s="197">
        <f t="shared" si="11"/>
        <v>673689.71</v>
      </c>
      <c r="T29" s="233"/>
      <c r="U29" s="233"/>
      <c r="V29" s="252"/>
      <c r="W29" s="252"/>
      <c r="X29" s="252"/>
      <c r="Y29" s="132" t="b">
        <f t="shared" si="6"/>
        <v>1</v>
      </c>
      <c r="Z29" s="134">
        <f t="shared" si="7"/>
        <v>0.6</v>
      </c>
      <c r="AA29" s="135" t="b">
        <f t="shared" si="8"/>
        <v>1</v>
      </c>
      <c r="AB29" s="135" t="b">
        <f t="shared" si="9"/>
        <v>1</v>
      </c>
    </row>
    <row r="30" spans="1:28" s="19" customFormat="1" ht="25.5">
      <c r="A30" s="202">
        <v>28</v>
      </c>
      <c r="B30" s="188" t="s">
        <v>335</v>
      </c>
      <c r="C30" s="228" t="s">
        <v>194</v>
      </c>
      <c r="D30" s="200" t="s">
        <v>337</v>
      </c>
      <c r="E30" s="202" t="s">
        <v>94</v>
      </c>
      <c r="F30" s="188" t="s">
        <v>104</v>
      </c>
      <c r="G30" s="237" t="s">
        <v>339</v>
      </c>
      <c r="H30" s="207" t="s">
        <v>120</v>
      </c>
      <c r="I30" s="208">
        <v>0.4</v>
      </c>
      <c r="J30" s="251" t="s">
        <v>376</v>
      </c>
      <c r="K30" s="210">
        <v>1555257.03</v>
      </c>
      <c r="L30" s="269">
        <f t="shared" si="0"/>
        <v>777628.52</v>
      </c>
      <c r="M30" s="194">
        <f t="shared" si="1"/>
        <v>777628.51</v>
      </c>
      <c r="N30" s="277">
        <v>0.5</v>
      </c>
      <c r="O30" s="196">
        <v>0</v>
      </c>
      <c r="P30" s="197">
        <v>0</v>
      </c>
      <c r="Q30" s="198">
        <v>0</v>
      </c>
      <c r="R30" s="197">
        <v>0</v>
      </c>
      <c r="S30" s="197">
        <f t="shared" si="11"/>
        <v>777628.52</v>
      </c>
      <c r="T30" s="233"/>
      <c r="U30" s="233"/>
      <c r="V30" s="252"/>
      <c r="W30" s="252"/>
      <c r="X30" s="252"/>
      <c r="Y30" s="132" t="b">
        <f t="shared" si="6"/>
        <v>1</v>
      </c>
      <c r="Z30" s="134">
        <f t="shared" si="7"/>
        <v>0.5</v>
      </c>
      <c r="AA30" s="135" t="b">
        <f t="shared" si="8"/>
        <v>1</v>
      </c>
      <c r="AB30" s="135" t="b">
        <f t="shared" si="9"/>
        <v>1</v>
      </c>
    </row>
    <row r="31" spans="1:28" s="19" customFormat="1" ht="25.5">
      <c r="A31" s="202">
        <v>29</v>
      </c>
      <c r="B31" s="200" t="s">
        <v>198</v>
      </c>
      <c r="C31" s="228" t="s">
        <v>194</v>
      </c>
      <c r="D31" s="200" t="s">
        <v>201</v>
      </c>
      <c r="E31" s="202">
        <v>3201011</v>
      </c>
      <c r="F31" s="200" t="s">
        <v>72</v>
      </c>
      <c r="G31" s="230" t="s">
        <v>344</v>
      </c>
      <c r="H31" s="207" t="s">
        <v>120</v>
      </c>
      <c r="I31" s="208">
        <v>0.42899999999999999</v>
      </c>
      <c r="J31" s="251" t="s">
        <v>258</v>
      </c>
      <c r="K31" s="209">
        <v>4336816.08</v>
      </c>
      <c r="L31" s="269">
        <f t="shared" si="0"/>
        <v>2602089.65</v>
      </c>
      <c r="M31" s="194">
        <f t="shared" si="1"/>
        <v>1734726.4300000002</v>
      </c>
      <c r="N31" s="274">
        <v>0.6</v>
      </c>
      <c r="O31" s="196">
        <v>0</v>
      </c>
      <c r="P31" s="275">
        <v>0</v>
      </c>
      <c r="Q31" s="275">
        <v>0</v>
      </c>
      <c r="R31" s="275">
        <v>0</v>
      </c>
      <c r="S31" s="275">
        <f>L31</f>
        <v>2602089.65</v>
      </c>
      <c r="T31" s="210"/>
      <c r="U31" s="283"/>
      <c r="V31" s="283"/>
      <c r="W31" s="283"/>
      <c r="X31" s="283"/>
      <c r="Y31" s="132" t="b">
        <f t="shared" si="6"/>
        <v>1</v>
      </c>
      <c r="Z31" s="134">
        <f t="shared" si="7"/>
        <v>0.6</v>
      </c>
      <c r="AA31" s="135" t="b">
        <f t="shared" si="8"/>
        <v>1</v>
      </c>
      <c r="AB31" s="135" t="b">
        <f t="shared" si="9"/>
        <v>1</v>
      </c>
    </row>
    <row r="32" spans="1:28" s="284" customFormat="1" ht="25.5">
      <c r="A32" s="186">
        <v>30</v>
      </c>
      <c r="B32" s="201" t="s">
        <v>207</v>
      </c>
      <c r="C32" s="212" t="s">
        <v>123</v>
      </c>
      <c r="D32" s="201" t="s">
        <v>68</v>
      </c>
      <c r="E32" s="186">
        <v>3208042</v>
      </c>
      <c r="F32" s="201" t="s">
        <v>71</v>
      </c>
      <c r="G32" s="214" t="s">
        <v>349</v>
      </c>
      <c r="H32" s="203" t="s">
        <v>120</v>
      </c>
      <c r="I32" s="204">
        <v>0.81599999999999995</v>
      </c>
      <c r="J32" s="215" t="s">
        <v>368</v>
      </c>
      <c r="K32" s="205">
        <v>5183087.26</v>
      </c>
      <c r="L32" s="205">
        <f t="shared" si="0"/>
        <v>2591543.63</v>
      </c>
      <c r="M32" s="183">
        <f t="shared" si="1"/>
        <v>2591543.63</v>
      </c>
      <c r="N32" s="253">
        <v>0.5</v>
      </c>
      <c r="O32" s="185">
        <v>0</v>
      </c>
      <c r="P32" s="276">
        <v>0</v>
      </c>
      <c r="Q32" s="276">
        <v>0</v>
      </c>
      <c r="R32" s="276">
        <v>0</v>
      </c>
      <c r="S32" s="276">
        <v>1000000</v>
      </c>
      <c r="T32" s="206">
        <f>L32-S32</f>
        <v>1591543.63</v>
      </c>
      <c r="U32" s="244"/>
      <c r="V32" s="244"/>
      <c r="W32" s="244"/>
      <c r="X32" s="244"/>
      <c r="Y32" s="132" t="b">
        <f t="shared" si="6"/>
        <v>1</v>
      </c>
      <c r="Z32" s="134">
        <f t="shared" si="7"/>
        <v>0.5</v>
      </c>
      <c r="AA32" s="135" t="b">
        <f t="shared" si="8"/>
        <v>1</v>
      </c>
      <c r="AB32" s="135" t="b">
        <f t="shared" si="9"/>
        <v>1</v>
      </c>
    </row>
    <row r="33" spans="1:28" s="19" customFormat="1" ht="25.5">
      <c r="A33" s="272">
        <v>31</v>
      </c>
      <c r="B33" s="200" t="s">
        <v>222</v>
      </c>
      <c r="C33" s="228" t="s">
        <v>194</v>
      </c>
      <c r="D33" s="200" t="s">
        <v>67</v>
      </c>
      <c r="E33" s="202">
        <v>3215011</v>
      </c>
      <c r="F33" s="200" t="s">
        <v>312</v>
      </c>
      <c r="G33" s="230" t="s">
        <v>356</v>
      </c>
      <c r="H33" s="207" t="s">
        <v>126</v>
      </c>
      <c r="I33" s="208">
        <v>0.63900000000000001</v>
      </c>
      <c r="J33" s="251" t="s">
        <v>372</v>
      </c>
      <c r="K33" s="209">
        <v>6546625.25</v>
      </c>
      <c r="L33" s="209">
        <f t="shared" si="0"/>
        <v>3927975.15</v>
      </c>
      <c r="M33" s="194">
        <f t="shared" si="1"/>
        <v>2618650.1</v>
      </c>
      <c r="N33" s="277">
        <v>0.6</v>
      </c>
      <c r="O33" s="196">
        <v>0</v>
      </c>
      <c r="P33" s="197">
        <v>0</v>
      </c>
      <c r="Q33" s="197">
        <v>0</v>
      </c>
      <c r="R33" s="197">
        <v>0</v>
      </c>
      <c r="S33" s="197">
        <f>L33</f>
        <v>3927975.15</v>
      </c>
      <c r="T33" s="210"/>
      <c r="U33" s="283"/>
      <c r="V33" s="283"/>
      <c r="W33" s="283"/>
      <c r="X33" s="283"/>
      <c r="Y33" s="132" t="b">
        <f t="shared" si="6"/>
        <v>1</v>
      </c>
      <c r="Z33" s="134">
        <f t="shared" si="7"/>
        <v>0.6</v>
      </c>
      <c r="AA33" s="135" t="b">
        <f t="shared" si="8"/>
        <v>1</v>
      </c>
      <c r="AB33" s="135" t="b">
        <f t="shared" si="9"/>
        <v>1</v>
      </c>
    </row>
    <row r="34" spans="1:28" s="19" customFormat="1" ht="25.5">
      <c r="A34" s="202">
        <v>32</v>
      </c>
      <c r="B34" s="188" t="s">
        <v>259</v>
      </c>
      <c r="C34" s="228" t="s">
        <v>194</v>
      </c>
      <c r="D34" s="200" t="s">
        <v>221</v>
      </c>
      <c r="E34" s="202" t="s">
        <v>65</v>
      </c>
      <c r="F34" s="188" t="s">
        <v>52</v>
      </c>
      <c r="G34" s="237" t="s">
        <v>264</v>
      </c>
      <c r="H34" s="189" t="s">
        <v>238</v>
      </c>
      <c r="I34" s="190">
        <v>0.61899999999999999</v>
      </c>
      <c r="J34" s="251" t="s">
        <v>370</v>
      </c>
      <c r="K34" s="191">
        <v>2235425.91</v>
      </c>
      <c r="L34" s="269">
        <f t="shared" ref="L34:L43" si="12">ROUND(K34*N34,2)</f>
        <v>1341255.55</v>
      </c>
      <c r="M34" s="194">
        <f t="shared" ref="M34:M43" si="13">K34-L34</f>
        <v>894170.3600000001</v>
      </c>
      <c r="N34" s="277">
        <v>0.6</v>
      </c>
      <c r="O34" s="196">
        <v>0</v>
      </c>
      <c r="P34" s="197">
        <v>0</v>
      </c>
      <c r="Q34" s="198">
        <v>0</v>
      </c>
      <c r="R34" s="197">
        <v>0</v>
      </c>
      <c r="S34" s="197">
        <f>L34</f>
        <v>1341255.55</v>
      </c>
      <c r="T34" s="210"/>
      <c r="U34" s="283"/>
      <c r="V34" s="283"/>
      <c r="W34" s="283"/>
      <c r="X34" s="283"/>
      <c r="Y34" s="132" t="b">
        <f t="shared" si="6"/>
        <v>1</v>
      </c>
      <c r="Z34" s="134">
        <f t="shared" si="7"/>
        <v>0.6</v>
      </c>
      <c r="AA34" s="135" t="b">
        <f t="shared" si="8"/>
        <v>1</v>
      </c>
      <c r="AB34" s="135" t="b">
        <f t="shared" si="9"/>
        <v>1</v>
      </c>
    </row>
    <row r="35" spans="1:28" s="19" customFormat="1" ht="38.25">
      <c r="A35" s="186">
        <v>33</v>
      </c>
      <c r="B35" s="159" t="s">
        <v>269</v>
      </c>
      <c r="C35" s="212" t="s">
        <v>123</v>
      </c>
      <c r="D35" s="201" t="s">
        <v>145</v>
      </c>
      <c r="E35" s="186">
        <v>3217011</v>
      </c>
      <c r="F35" s="159" t="s">
        <v>48</v>
      </c>
      <c r="G35" s="238" t="s">
        <v>274</v>
      </c>
      <c r="H35" s="203" t="s">
        <v>120</v>
      </c>
      <c r="I35" s="162">
        <v>0.19400000000000001</v>
      </c>
      <c r="J35" s="215" t="s">
        <v>381</v>
      </c>
      <c r="K35" s="206">
        <v>870813</v>
      </c>
      <c r="L35" s="270">
        <f t="shared" si="12"/>
        <v>522487.8</v>
      </c>
      <c r="M35" s="183">
        <f t="shared" si="13"/>
        <v>348325.2</v>
      </c>
      <c r="N35" s="253">
        <v>0.6</v>
      </c>
      <c r="O35" s="185">
        <v>0</v>
      </c>
      <c r="P35" s="184">
        <v>0</v>
      </c>
      <c r="Q35" s="187">
        <v>0</v>
      </c>
      <c r="R35" s="184">
        <v>0</v>
      </c>
      <c r="S35" s="184">
        <v>400000</v>
      </c>
      <c r="T35" s="206">
        <f>L35-S35</f>
        <v>122487.79999999999</v>
      </c>
      <c r="U35" s="283"/>
      <c r="V35" s="283"/>
      <c r="W35" s="283"/>
      <c r="X35" s="283"/>
      <c r="Y35" s="132" t="b">
        <f t="shared" si="6"/>
        <v>1</v>
      </c>
      <c r="Z35" s="134">
        <f t="shared" si="7"/>
        <v>0.6</v>
      </c>
      <c r="AA35" s="135" t="b">
        <f t="shared" si="8"/>
        <v>1</v>
      </c>
      <c r="AB35" s="135" t="b">
        <f t="shared" si="9"/>
        <v>1</v>
      </c>
    </row>
    <row r="36" spans="1:28" s="195" customFormat="1" ht="38.25">
      <c r="A36" s="262">
        <v>34</v>
      </c>
      <c r="B36" s="159" t="s">
        <v>288</v>
      </c>
      <c r="C36" s="212" t="s">
        <v>123</v>
      </c>
      <c r="D36" s="201" t="s">
        <v>141</v>
      </c>
      <c r="E36" s="186" t="s">
        <v>82</v>
      </c>
      <c r="F36" s="159" t="s">
        <v>103</v>
      </c>
      <c r="G36" s="238" t="s">
        <v>314</v>
      </c>
      <c r="H36" s="160" t="s">
        <v>126</v>
      </c>
      <c r="I36" s="162">
        <v>0.82</v>
      </c>
      <c r="J36" s="215" t="s">
        <v>374</v>
      </c>
      <c r="K36" s="206">
        <v>3002140.04</v>
      </c>
      <c r="L36" s="270">
        <f t="shared" si="12"/>
        <v>1501070.02</v>
      </c>
      <c r="M36" s="183">
        <f t="shared" si="13"/>
        <v>1501070.02</v>
      </c>
      <c r="N36" s="253">
        <v>0.5</v>
      </c>
      <c r="O36" s="185">
        <v>0</v>
      </c>
      <c r="P36" s="184">
        <v>0</v>
      </c>
      <c r="Q36" s="187">
        <v>0</v>
      </c>
      <c r="R36" s="184">
        <v>0</v>
      </c>
      <c r="S36" s="184">
        <v>500000</v>
      </c>
      <c r="T36" s="206">
        <f>L36-S36</f>
        <v>1001070.02</v>
      </c>
      <c r="U36" s="223"/>
      <c r="V36" s="224"/>
      <c r="W36" s="224"/>
      <c r="X36" s="224"/>
      <c r="Y36" s="132" t="b">
        <f t="shared" si="6"/>
        <v>1</v>
      </c>
      <c r="Z36" s="134">
        <f t="shared" si="7"/>
        <v>0.5</v>
      </c>
      <c r="AA36" s="135" t="b">
        <f t="shared" si="8"/>
        <v>1</v>
      </c>
      <c r="AB36" s="135" t="b">
        <f t="shared" si="9"/>
        <v>1</v>
      </c>
    </row>
    <row r="37" spans="1:28" s="195" customFormat="1" ht="38.25">
      <c r="A37" s="262">
        <v>35</v>
      </c>
      <c r="B37" s="159" t="s">
        <v>291</v>
      </c>
      <c r="C37" s="212" t="s">
        <v>123</v>
      </c>
      <c r="D37" s="201" t="s">
        <v>152</v>
      </c>
      <c r="E37" s="186" t="s">
        <v>84</v>
      </c>
      <c r="F37" s="159" t="s">
        <v>53</v>
      </c>
      <c r="G37" s="238" t="s">
        <v>317</v>
      </c>
      <c r="H37" s="203" t="s">
        <v>120</v>
      </c>
      <c r="I37" s="204">
        <v>0.317</v>
      </c>
      <c r="J37" s="215" t="s">
        <v>386</v>
      </c>
      <c r="K37" s="206">
        <v>1697937.9500000002</v>
      </c>
      <c r="L37" s="270">
        <f t="shared" si="12"/>
        <v>848968.98</v>
      </c>
      <c r="M37" s="183">
        <f t="shared" si="13"/>
        <v>848968.9700000002</v>
      </c>
      <c r="N37" s="253">
        <v>0.5</v>
      </c>
      <c r="O37" s="185">
        <v>0</v>
      </c>
      <c r="P37" s="184">
        <v>0</v>
      </c>
      <c r="Q37" s="187">
        <v>0</v>
      </c>
      <c r="R37" s="184">
        <v>0</v>
      </c>
      <c r="S37" s="184">
        <v>530000</v>
      </c>
      <c r="T37" s="223">
        <f>L37-S37</f>
        <v>318968.98</v>
      </c>
      <c r="U37" s="223"/>
      <c r="V37" s="224"/>
      <c r="W37" s="224"/>
      <c r="X37" s="224"/>
      <c r="Y37" s="132" t="b">
        <f t="shared" si="6"/>
        <v>1</v>
      </c>
      <c r="Z37" s="134">
        <f t="shared" si="7"/>
        <v>0.5</v>
      </c>
      <c r="AA37" s="135" t="b">
        <f t="shared" si="8"/>
        <v>1</v>
      </c>
      <c r="AB37" s="135" t="b">
        <f t="shared" si="9"/>
        <v>1</v>
      </c>
    </row>
    <row r="38" spans="1:28" s="199" customFormat="1" ht="51">
      <c r="A38" s="272">
        <v>36</v>
      </c>
      <c r="B38" s="188" t="s">
        <v>361</v>
      </c>
      <c r="C38" s="228" t="s">
        <v>194</v>
      </c>
      <c r="D38" s="200" t="s">
        <v>279</v>
      </c>
      <c r="E38" s="202" t="s">
        <v>76</v>
      </c>
      <c r="F38" s="188" t="s">
        <v>286</v>
      </c>
      <c r="G38" s="237" t="s">
        <v>362</v>
      </c>
      <c r="H38" s="189" t="s">
        <v>120</v>
      </c>
      <c r="I38" s="190">
        <v>0.56899999999999995</v>
      </c>
      <c r="J38" s="251" t="s">
        <v>423</v>
      </c>
      <c r="K38" s="210">
        <v>2042879.19</v>
      </c>
      <c r="L38" s="269">
        <f t="shared" si="12"/>
        <v>1225727.51</v>
      </c>
      <c r="M38" s="194">
        <f t="shared" si="13"/>
        <v>817151.67999999993</v>
      </c>
      <c r="N38" s="277">
        <v>0.6</v>
      </c>
      <c r="O38" s="196">
        <v>0</v>
      </c>
      <c r="P38" s="197">
        <v>0</v>
      </c>
      <c r="Q38" s="198">
        <v>0</v>
      </c>
      <c r="R38" s="197">
        <v>0</v>
      </c>
      <c r="S38" s="197">
        <f t="shared" ref="S38:S43" si="14">L38</f>
        <v>1225727.51</v>
      </c>
      <c r="T38" s="233"/>
      <c r="U38" s="233"/>
      <c r="V38" s="252"/>
      <c r="W38" s="252"/>
      <c r="X38" s="252"/>
      <c r="Y38" s="132" t="b">
        <f t="shared" si="6"/>
        <v>1</v>
      </c>
      <c r="Z38" s="134">
        <f t="shared" si="7"/>
        <v>0.6</v>
      </c>
      <c r="AA38" s="135" t="b">
        <f t="shared" si="8"/>
        <v>1</v>
      </c>
      <c r="AB38" s="135" t="b">
        <f t="shared" si="9"/>
        <v>1</v>
      </c>
    </row>
    <row r="39" spans="1:28" s="199" customFormat="1" ht="25.5">
      <c r="A39" s="202">
        <v>37</v>
      </c>
      <c r="B39" s="188" t="s">
        <v>329</v>
      </c>
      <c r="C39" s="228" t="s">
        <v>194</v>
      </c>
      <c r="D39" s="200" t="s">
        <v>308</v>
      </c>
      <c r="E39" s="202" t="s">
        <v>60</v>
      </c>
      <c r="F39" s="188" t="s">
        <v>49</v>
      </c>
      <c r="G39" s="237" t="s">
        <v>332</v>
      </c>
      <c r="H39" s="207" t="s">
        <v>120</v>
      </c>
      <c r="I39" s="208">
        <v>0.189</v>
      </c>
      <c r="J39" s="251" t="s">
        <v>388</v>
      </c>
      <c r="K39" s="210">
        <v>323678.37</v>
      </c>
      <c r="L39" s="269">
        <f t="shared" si="12"/>
        <v>194207.02</v>
      </c>
      <c r="M39" s="194">
        <f t="shared" si="13"/>
        <v>129471.35</v>
      </c>
      <c r="N39" s="277">
        <v>0.6</v>
      </c>
      <c r="O39" s="196">
        <v>0</v>
      </c>
      <c r="P39" s="197">
        <v>0</v>
      </c>
      <c r="Q39" s="198">
        <v>0</v>
      </c>
      <c r="R39" s="197">
        <v>0</v>
      </c>
      <c r="S39" s="197">
        <f t="shared" si="14"/>
        <v>194207.02</v>
      </c>
      <c r="T39" s="233"/>
      <c r="U39" s="233"/>
      <c r="V39" s="252"/>
      <c r="W39" s="252"/>
      <c r="X39" s="252"/>
      <c r="Y39" s="132" t="b">
        <f t="shared" si="6"/>
        <v>1</v>
      </c>
      <c r="Z39" s="134">
        <f t="shared" si="7"/>
        <v>0.6</v>
      </c>
      <c r="AA39" s="135" t="b">
        <f t="shared" si="8"/>
        <v>1</v>
      </c>
      <c r="AB39" s="135" t="b">
        <f t="shared" si="9"/>
        <v>1</v>
      </c>
    </row>
    <row r="40" spans="1:28" s="199" customFormat="1" ht="25.5">
      <c r="A40" s="202">
        <v>38</v>
      </c>
      <c r="B40" s="188" t="s">
        <v>402</v>
      </c>
      <c r="C40" s="228" t="s">
        <v>194</v>
      </c>
      <c r="D40" s="200" t="s">
        <v>230</v>
      </c>
      <c r="E40" s="202" t="s">
        <v>88</v>
      </c>
      <c r="F40" s="188" t="s">
        <v>286</v>
      </c>
      <c r="G40" s="237" t="s">
        <v>405</v>
      </c>
      <c r="H40" s="207" t="s">
        <v>120</v>
      </c>
      <c r="I40" s="208">
        <v>0.22500000000000001</v>
      </c>
      <c r="J40" s="251" t="s">
        <v>407</v>
      </c>
      <c r="K40" s="210">
        <v>1274028.97</v>
      </c>
      <c r="L40" s="269">
        <f t="shared" si="12"/>
        <v>637014.49</v>
      </c>
      <c r="M40" s="194">
        <f t="shared" si="13"/>
        <v>637014.48</v>
      </c>
      <c r="N40" s="277">
        <v>0.5</v>
      </c>
      <c r="O40" s="196">
        <v>0</v>
      </c>
      <c r="P40" s="197">
        <v>0</v>
      </c>
      <c r="Q40" s="198">
        <v>0</v>
      </c>
      <c r="R40" s="197">
        <v>0</v>
      </c>
      <c r="S40" s="197">
        <f t="shared" si="14"/>
        <v>637014.49</v>
      </c>
      <c r="T40" s="233"/>
      <c r="U40" s="233"/>
      <c r="V40" s="252"/>
      <c r="W40" s="252"/>
      <c r="X40" s="252"/>
      <c r="Y40" s="132" t="b">
        <f t="shared" si="6"/>
        <v>1</v>
      </c>
      <c r="Z40" s="134">
        <f t="shared" si="7"/>
        <v>0.5</v>
      </c>
      <c r="AA40" s="135" t="b">
        <f t="shared" si="8"/>
        <v>1</v>
      </c>
      <c r="AB40" s="135" t="b">
        <f t="shared" si="9"/>
        <v>1</v>
      </c>
    </row>
    <row r="41" spans="1:28" s="199" customFormat="1" ht="25.5">
      <c r="A41" s="272">
        <v>39</v>
      </c>
      <c r="B41" s="188" t="s">
        <v>327</v>
      </c>
      <c r="C41" s="228" t="s">
        <v>194</v>
      </c>
      <c r="D41" s="200" t="s">
        <v>309</v>
      </c>
      <c r="E41" s="202" t="s">
        <v>64</v>
      </c>
      <c r="F41" s="188" t="s">
        <v>50</v>
      </c>
      <c r="G41" s="237" t="s">
        <v>328</v>
      </c>
      <c r="H41" s="207" t="s">
        <v>120</v>
      </c>
      <c r="I41" s="208">
        <v>0.436</v>
      </c>
      <c r="J41" s="251" t="s">
        <v>257</v>
      </c>
      <c r="K41" s="210">
        <v>942388.75</v>
      </c>
      <c r="L41" s="269">
        <f t="shared" si="12"/>
        <v>471194.38</v>
      </c>
      <c r="M41" s="194">
        <f t="shared" si="13"/>
        <v>471194.37</v>
      </c>
      <c r="N41" s="277">
        <v>0.5</v>
      </c>
      <c r="O41" s="196">
        <v>0</v>
      </c>
      <c r="P41" s="197">
        <v>0</v>
      </c>
      <c r="Q41" s="198">
        <v>0</v>
      </c>
      <c r="R41" s="197">
        <v>0</v>
      </c>
      <c r="S41" s="197">
        <f t="shared" si="14"/>
        <v>471194.38</v>
      </c>
      <c r="T41" s="233"/>
      <c r="U41" s="233"/>
      <c r="V41" s="252"/>
      <c r="W41" s="252"/>
      <c r="X41" s="252"/>
      <c r="Y41" s="132" t="b">
        <f t="shared" si="6"/>
        <v>1</v>
      </c>
      <c r="Z41" s="134">
        <f t="shared" si="7"/>
        <v>0.5</v>
      </c>
      <c r="AA41" s="135" t="b">
        <f t="shared" si="8"/>
        <v>1</v>
      </c>
      <c r="AB41" s="135" t="b">
        <f t="shared" si="9"/>
        <v>1</v>
      </c>
    </row>
    <row r="42" spans="1:28" s="19" customFormat="1" ht="25.5">
      <c r="A42" s="202">
        <v>40</v>
      </c>
      <c r="B42" s="188" t="s">
        <v>336</v>
      </c>
      <c r="C42" s="228" t="s">
        <v>194</v>
      </c>
      <c r="D42" s="200" t="s">
        <v>101</v>
      </c>
      <c r="E42" s="202">
        <v>3213062</v>
      </c>
      <c r="F42" s="188" t="s">
        <v>285</v>
      </c>
      <c r="G42" s="237" t="s">
        <v>340</v>
      </c>
      <c r="H42" s="207" t="s">
        <v>238</v>
      </c>
      <c r="I42" s="208">
        <v>1.847</v>
      </c>
      <c r="J42" s="251" t="s">
        <v>391</v>
      </c>
      <c r="K42" s="210">
        <v>2531035.5</v>
      </c>
      <c r="L42" s="269">
        <f t="shared" si="12"/>
        <v>1518621.3</v>
      </c>
      <c r="M42" s="194">
        <f t="shared" si="13"/>
        <v>1012414.2</v>
      </c>
      <c r="N42" s="277">
        <v>0.6</v>
      </c>
      <c r="O42" s="196">
        <v>0</v>
      </c>
      <c r="P42" s="197">
        <v>0</v>
      </c>
      <c r="Q42" s="198">
        <v>0</v>
      </c>
      <c r="R42" s="197">
        <v>0</v>
      </c>
      <c r="S42" s="197">
        <f t="shared" si="14"/>
        <v>1518621.3</v>
      </c>
      <c r="T42" s="233"/>
      <c r="U42" s="233"/>
      <c r="V42" s="252"/>
      <c r="W42" s="252"/>
      <c r="X42" s="252"/>
      <c r="Y42" s="132" t="b">
        <f t="shared" si="6"/>
        <v>1</v>
      </c>
      <c r="Z42" s="134">
        <f t="shared" si="7"/>
        <v>0.6</v>
      </c>
      <c r="AA42" s="135" t="b">
        <f t="shared" si="8"/>
        <v>1</v>
      </c>
      <c r="AB42" s="135" t="b">
        <f t="shared" si="9"/>
        <v>1</v>
      </c>
    </row>
    <row r="43" spans="1:28" s="19" customFormat="1" ht="20.100000000000001" customHeight="1">
      <c r="A43" s="202">
        <v>41</v>
      </c>
      <c r="B43" s="188" t="s">
        <v>399</v>
      </c>
      <c r="C43" s="228" t="s">
        <v>194</v>
      </c>
      <c r="D43" s="200" t="s">
        <v>307</v>
      </c>
      <c r="E43" s="202">
        <v>3210013</v>
      </c>
      <c r="F43" s="188" t="s">
        <v>52</v>
      </c>
      <c r="G43" s="237" t="s">
        <v>400</v>
      </c>
      <c r="H43" s="207" t="s">
        <v>238</v>
      </c>
      <c r="I43" s="208">
        <v>0.23100000000000001</v>
      </c>
      <c r="J43" s="251" t="s">
        <v>401</v>
      </c>
      <c r="K43" s="210">
        <v>489314.34</v>
      </c>
      <c r="L43" s="269">
        <f t="shared" si="12"/>
        <v>293588.59999999998</v>
      </c>
      <c r="M43" s="194">
        <f t="shared" si="13"/>
        <v>195725.74000000005</v>
      </c>
      <c r="N43" s="277">
        <v>0.6</v>
      </c>
      <c r="O43" s="196">
        <v>0</v>
      </c>
      <c r="P43" s="197">
        <v>0</v>
      </c>
      <c r="Q43" s="198">
        <v>0</v>
      </c>
      <c r="R43" s="197">
        <v>0</v>
      </c>
      <c r="S43" s="197">
        <f t="shared" si="14"/>
        <v>293588.59999999998</v>
      </c>
      <c r="T43" s="233"/>
      <c r="U43" s="233"/>
      <c r="V43" s="252"/>
      <c r="W43" s="252"/>
      <c r="X43" s="252"/>
      <c r="Y43" s="132" t="b">
        <f t="shared" si="6"/>
        <v>1</v>
      </c>
      <c r="Z43" s="134">
        <f t="shared" si="7"/>
        <v>0.6</v>
      </c>
      <c r="AA43" s="135" t="b">
        <f t="shared" si="8"/>
        <v>1</v>
      </c>
      <c r="AB43" s="135" t="b">
        <f t="shared" si="9"/>
        <v>1</v>
      </c>
    </row>
    <row r="44" spans="1:28" ht="20.100000000000001" customHeight="1">
      <c r="A44" s="325" t="s">
        <v>45</v>
      </c>
      <c r="B44" s="325"/>
      <c r="C44" s="325"/>
      <c r="D44" s="325"/>
      <c r="E44" s="325"/>
      <c r="F44" s="325"/>
      <c r="G44" s="325"/>
      <c r="H44" s="325"/>
      <c r="I44" s="239">
        <f>SUM(I3:I43)</f>
        <v>22.040000000000003</v>
      </c>
      <c r="J44" s="240" t="s">
        <v>14</v>
      </c>
      <c r="K44" s="241">
        <f>SUM(K3:K43)</f>
        <v>95956389.220000014</v>
      </c>
      <c r="L44" s="268">
        <f>SUM(L3:L43)</f>
        <v>51991739.350000001</v>
      </c>
      <c r="M44" s="241">
        <f>SUM(M3:M43)</f>
        <v>43964649.87000002</v>
      </c>
      <c r="N44" s="242" t="s">
        <v>14</v>
      </c>
      <c r="O44" s="255">
        <f t="shared" ref="O44:X44" si="15">SUM(O3:O43)</f>
        <v>0</v>
      </c>
      <c r="P44" s="255">
        <f t="shared" si="15"/>
        <v>0</v>
      </c>
      <c r="Q44" s="255">
        <f t="shared" si="15"/>
        <v>0</v>
      </c>
      <c r="R44" s="255">
        <f t="shared" si="15"/>
        <v>0</v>
      </c>
      <c r="S44" s="255">
        <f t="shared" si="15"/>
        <v>43258830.719999999</v>
      </c>
      <c r="T44" s="255">
        <f t="shared" si="15"/>
        <v>8732908.6300000008</v>
      </c>
      <c r="U44" s="255">
        <f t="shared" si="15"/>
        <v>0</v>
      </c>
      <c r="V44" s="255">
        <f t="shared" si="15"/>
        <v>0</v>
      </c>
      <c r="W44" s="255">
        <f t="shared" si="15"/>
        <v>0</v>
      </c>
      <c r="X44" s="255">
        <f t="shared" si="15"/>
        <v>0</v>
      </c>
      <c r="Y44" s="132" t="b">
        <f t="shared" ref="Y44:Y46" si="16">L44=SUM(O44:X44)</f>
        <v>1</v>
      </c>
      <c r="Z44" s="148"/>
      <c r="AA44" s="135"/>
      <c r="AB44" s="135" t="b">
        <f t="shared" ref="AB44:AB46" si="17">K44=L44+M44</f>
        <v>1</v>
      </c>
    </row>
    <row r="45" spans="1:28" ht="20.100000000000001" customHeight="1">
      <c r="A45" s="327" t="s">
        <v>40</v>
      </c>
      <c r="B45" s="328"/>
      <c r="C45" s="328"/>
      <c r="D45" s="328"/>
      <c r="E45" s="328"/>
      <c r="F45" s="328"/>
      <c r="G45" s="328"/>
      <c r="H45" s="329"/>
      <c r="I45" s="239">
        <f>SUMIF($C$3:$C$43,"N",I3:I43)</f>
        <v>18.236000000000004</v>
      </c>
      <c r="J45" s="240" t="s">
        <v>14</v>
      </c>
      <c r="K45" s="241">
        <f>SUMIF($C$3:$C$43,"N",K3:K43)</f>
        <v>73250629.589999989</v>
      </c>
      <c r="L45" s="268">
        <f>SUMIF($C$3:$C$43,"N",L3:L43)</f>
        <v>40411620.530000001</v>
      </c>
      <c r="M45" s="241">
        <f>SUMIF($C$3:$C$43,"N",M3:M43)</f>
        <v>32839009.060000006</v>
      </c>
      <c r="N45" s="242" t="s">
        <v>14</v>
      </c>
      <c r="O45" s="255">
        <f t="shared" ref="O45:X45" si="18">SUMIF($C$3:$C$43,"N",O3:O43)</f>
        <v>0</v>
      </c>
      <c r="P45" s="255">
        <f t="shared" si="18"/>
        <v>0</v>
      </c>
      <c r="Q45" s="255">
        <f t="shared" si="18"/>
        <v>0</v>
      </c>
      <c r="R45" s="255">
        <f t="shared" si="18"/>
        <v>0</v>
      </c>
      <c r="S45" s="255">
        <f t="shared" si="18"/>
        <v>40411620.530000001</v>
      </c>
      <c r="T45" s="255">
        <f t="shared" si="18"/>
        <v>0</v>
      </c>
      <c r="U45" s="255">
        <f t="shared" si="18"/>
        <v>0</v>
      </c>
      <c r="V45" s="255">
        <f t="shared" si="18"/>
        <v>0</v>
      </c>
      <c r="W45" s="255">
        <f t="shared" si="18"/>
        <v>0</v>
      </c>
      <c r="X45" s="255">
        <f t="shared" si="18"/>
        <v>0</v>
      </c>
      <c r="Y45" s="132" t="b">
        <f t="shared" si="16"/>
        <v>1</v>
      </c>
      <c r="Z45" s="148"/>
      <c r="AA45" s="135"/>
      <c r="AB45" s="135" t="b">
        <f t="shared" si="17"/>
        <v>1</v>
      </c>
    </row>
    <row r="46" spans="1:28" ht="20.100000000000001" customHeight="1">
      <c r="A46" s="330" t="s">
        <v>40</v>
      </c>
      <c r="B46" s="330"/>
      <c r="C46" s="330"/>
      <c r="D46" s="330"/>
      <c r="E46" s="330"/>
      <c r="F46" s="330"/>
      <c r="G46" s="330"/>
      <c r="H46" s="330"/>
      <c r="I46" s="243">
        <f>SUMIF($C$3:$C$43,"W",I3:I43)</f>
        <v>3.8039999999999998</v>
      </c>
      <c r="J46" s="244" t="s">
        <v>14</v>
      </c>
      <c r="K46" s="223">
        <f>SUMIF($C$3:$C$43,"W",K3:K43)</f>
        <v>22705759.629999999</v>
      </c>
      <c r="L46" s="267">
        <f>SUMIF($C$3:$C$43,"W",L3:L43)</f>
        <v>11580118.82</v>
      </c>
      <c r="M46" s="223">
        <f>SUMIF($C$3:$C$43,"W",M3:M43)</f>
        <v>11125640.810000001</v>
      </c>
      <c r="N46" s="245" t="s">
        <v>14</v>
      </c>
      <c r="O46" s="224">
        <f t="shared" ref="O46:X46" si="19">SUMIF($C$3:$C$43,"W",O3:O43)</f>
        <v>0</v>
      </c>
      <c r="P46" s="224">
        <f t="shared" si="19"/>
        <v>0</v>
      </c>
      <c r="Q46" s="224">
        <f t="shared" si="19"/>
        <v>0</v>
      </c>
      <c r="R46" s="224">
        <f t="shared" si="19"/>
        <v>0</v>
      </c>
      <c r="S46" s="224">
        <f t="shared" si="19"/>
        <v>2847210.19</v>
      </c>
      <c r="T46" s="224">
        <f t="shared" si="19"/>
        <v>8732908.6300000008</v>
      </c>
      <c r="U46" s="224">
        <f t="shared" si="19"/>
        <v>0</v>
      </c>
      <c r="V46" s="224">
        <f t="shared" si="19"/>
        <v>0</v>
      </c>
      <c r="W46" s="224">
        <f t="shared" si="19"/>
        <v>0</v>
      </c>
      <c r="X46" s="224">
        <f t="shared" si="19"/>
        <v>0</v>
      </c>
      <c r="Y46" s="132" t="b">
        <f t="shared" si="16"/>
        <v>1</v>
      </c>
      <c r="Z46" s="148"/>
      <c r="AA46" s="135"/>
      <c r="AB46" s="135" t="b">
        <f t="shared" si="17"/>
        <v>1</v>
      </c>
    </row>
    <row r="47" spans="1:28">
      <c r="A47" s="153"/>
      <c r="B47" s="99"/>
      <c r="C47" s="98"/>
      <c r="D47" s="99"/>
      <c r="E47" s="99"/>
      <c r="F47" s="99"/>
      <c r="G47" s="99"/>
      <c r="H47" s="99"/>
      <c r="I47" s="99"/>
      <c r="J47" s="98"/>
      <c r="K47" s="99"/>
      <c r="L47" s="98"/>
      <c r="M47" s="99"/>
      <c r="N47" s="98"/>
      <c r="O47" s="99"/>
      <c r="P47" s="99"/>
      <c r="Q47" s="99"/>
      <c r="R47" s="99"/>
      <c r="S47" s="99"/>
      <c r="T47" s="99"/>
      <c r="U47" s="99"/>
      <c r="V47" s="99"/>
      <c r="W47" s="99"/>
      <c r="X47" s="99"/>
      <c r="AB47" s="16"/>
    </row>
    <row r="48" spans="1:28">
      <c r="A48" s="154" t="s">
        <v>24</v>
      </c>
      <c r="B48" s="99"/>
      <c r="C48" s="98"/>
      <c r="D48" s="99"/>
      <c r="E48" s="99"/>
      <c r="F48" s="99"/>
      <c r="G48" s="99"/>
      <c r="H48" s="99"/>
      <c r="I48" s="99"/>
      <c r="J48" s="98"/>
      <c r="K48" s="99"/>
      <c r="L48" s="98"/>
      <c r="M48" s="99"/>
      <c r="N48" s="98"/>
      <c r="O48" s="99"/>
      <c r="P48" s="99"/>
      <c r="Q48" s="99"/>
      <c r="R48" s="99"/>
      <c r="S48" s="99"/>
      <c r="T48" s="99"/>
      <c r="U48" s="99"/>
      <c r="V48" s="99"/>
      <c r="W48" s="99"/>
      <c r="X48" s="99"/>
    </row>
    <row r="49" spans="1:24">
      <c r="A49" s="155" t="s">
        <v>25</v>
      </c>
      <c r="B49" s="99"/>
      <c r="C49" s="98"/>
      <c r="D49" s="99"/>
      <c r="E49" s="99"/>
      <c r="F49" s="99"/>
      <c r="G49" s="99"/>
      <c r="H49" s="99"/>
      <c r="I49" s="99"/>
      <c r="J49" s="98"/>
      <c r="K49" s="99"/>
      <c r="L49" s="98"/>
      <c r="M49" s="99"/>
      <c r="N49" s="98"/>
      <c r="O49" s="99"/>
      <c r="P49" s="99"/>
      <c r="Q49" s="99"/>
      <c r="R49" s="99"/>
      <c r="S49" s="99"/>
      <c r="T49" s="99"/>
      <c r="U49" s="99"/>
      <c r="V49" s="99"/>
      <c r="W49" s="99"/>
      <c r="X49" s="99"/>
    </row>
    <row r="50" spans="1:24" ht="12.75" customHeight="1">
      <c r="A50" s="154" t="s">
        <v>36</v>
      </c>
      <c r="B50" s="99"/>
      <c r="C50" s="98"/>
      <c r="D50" s="99"/>
      <c r="E50" s="99"/>
      <c r="F50" s="99"/>
      <c r="G50" s="99"/>
      <c r="H50" s="99"/>
      <c r="I50" s="99"/>
      <c r="J50" s="98"/>
      <c r="K50" s="99"/>
      <c r="L50" s="98"/>
      <c r="M50" s="99"/>
      <c r="N50" s="98"/>
      <c r="O50" s="99"/>
      <c r="P50" s="99"/>
      <c r="Q50" s="99"/>
      <c r="R50" s="99"/>
      <c r="S50" s="99"/>
      <c r="T50" s="99"/>
      <c r="U50" s="99"/>
      <c r="V50" s="99"/>
      <c r="W50" s="99"/>
      <c r="X50" s="99"/>
    </row>
  </sheetData>
  <mergeCells count="18">
    <mergeCell ref="A45:H45"/>
    <mergeCell ref="D1:D2"/>
    <mergeCell ref="A46:H46"/>
    <mergeCell ref="E1:E2"/>
    <mergeCell ref="O1:X1"/>
    <mergeCell ref="M1:M2"/>
    <mergeCell ref="N1:N2"/>
    <mergeCell ref="A44:H44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B47 Y44:AB46">
    <cfRule type="cellIs" dxfId="3" priority="36" operator="equal">
      <formula>FALSE</formula>
    </cfRule>
  </conditionalFormatting>
  <conditionalFormatting sqref="Y44:AA46">
    <cfRule type="containsText" dxfId="2" priority="15" operator="containsText" text="fałsz">
      <formula>NOT(ISERROR(SEARCH("fałsz",Y44)))</formula>
    </cfRule>
  </conditionalFormatting>
  <conditionalFormatting sqref="Y3:AB43">
    <cfRule type="cellIs" dxfId="1" priority="2" operator="equal">
      <formula>FALSE</formula>
    </cfRule>
  </conditionalFormatting>
  <conditionalFormatting sqref="Y3:AA43">
    <cfRule type="containsText" dxfId="0" priority="1" operator="containsText" text="fałsz">
      <formula>NOT(ISERROR(SEARCH("fałsz",Y3)))</formula>
    </cfRule>
  </conditionalFormatting>
  <dataValidations count="1">
    <dataValidation type="list" allowBlank="1" showInputMessage="1" showErrorMessage="1" sqref="C3:C43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&amp;LWojewództwo &amp;K000000Zachodniopomorskie&amp;K01+000-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32 - zachodniopomorskie</vt:lpstr>
      <vt:lpstr>pow podst</vt:lpstr>
      <vt:lpstr>gm podst</vt:lpstr>
      <vt:lpstr>pow rez</vt:lpstr>
      <vt:lpstr>gm rez</vt:lpstr>
      <vt:lpstr>'32 - zachodniopomorskie'!Obszar_wydruku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Chmura Karolina</cp:lastModifiedBy>
  <cp:lastPrinted>2022-12-08T05:55:23Z</cp:lastPrinted>
  <dcterms:created xsi:type="dcterms:W3CDTF">2019-02-25T10:53:14Z</dcterms:created>
  <dcterms:modified xsi:type="dcterms:W3CDTF">2023-01-30T19:47:09Z</dcterms:modified>
</cp:coreProperties>
</file>