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'doch_wyd'!$A$1:$M$118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5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<sst xmlns="http://schemas.openxmlformats.org/spreadsheetml/2006/main" count="263" uniqueCount="116">
  <si>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</si>
  <si>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</si>
  <si>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</si>
  <si>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</si>
  <si>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</si>
  <si>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</si>
  <si>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</si>
  <si>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</si>
  <si>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</si>
  <si>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</si>
  <si>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</si>
  <si>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</si>
  <si>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</si>
  <si>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</si>
  <si>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</si>
  <si>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</si>
  <si>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</si>
  <si>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</si>
  <si>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</si>
  <si>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</si>
  <si>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</si>
  <si>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</si>
  <si>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</si>
  <si>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</si>
  <si>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>dochody z majątku</t>
  </si>
  <si>
    <t xml:space="preserve">pozostałe dochody </t>
  </si>
  <si>
    <t>Struktura</t>
  </si>
  <si>
    <t>Wskaźnik</t>
  </si>
  <si>
    <t xml:space="preserve">podatek od spadków i darowizn       </t>
  </si>
  <si>
    <t>podatek od czynności cywilnoprawnych</t>
  </si>
  <si>
    <t xml:space="preserve">wpływy z opłaty skarbowej        </t>
  </si>
  <si>
    <t>wpływy z opłaty eksploatacyjnej</t>
  </si>
  <si>
    <t>wpływy z opłaty targowej</t>
  </si>
  <si>
    <t>inne cele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</si>
  <si>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</si>
  <si>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</si>
  <si>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</si>
  <si>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</si>
  <si>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</si>
  <si>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</si>
  <si>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r>
      <t xml:space="preserve">Obniżenie górnych stawek podatkowych
</t>
    </r>
    <r>
      <rPr>
        <b/>
        <sz val="10"/>
        <color indexed="8"/>
        <rFont val="Arial"/>
        <family val="2"/>
      </rPr>
      <t>R7</t>
    </r>
  </si>
  <si>
    <r>
      <t xml:space="preserve">Ulgi i zwolnienia
</t>
    </r>
    <r>
      <rPr>
        <b/>
        <sz val="10"/>
        <color indexed="8"/>
        <rFont val="Arial"/>
        <family val="2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</si>
  <si>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</si>
  <si>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</rPr>
      <t>R11R</t>
    </r>
  </si>
  <si>
    <r>
      <t xml:space="preserve">Potrącenia 
</t>
    </r>
    <r>
      <rPr>
        <b/>
        <sz val="10"/>
        <color indexed="8"/>
        <rFont val="Arial"/>
        <family val="2"/>
      </rPr>
      <t>R3</t>
    </r>
  </si>
  <si>
    <t>uzupełnienie subwencji ogólnej</t>
  </si>
  <si>
    <t xml:space="preserve">podatek od dział. gosp. osób fizycznych, opłacany w formie karty podatkowej </t>
  </si>
  <si>
    <t>część równoważąca</t>
  </si>
  <si>
    <t>część rekompensująca</t>
  </si>
  <si>
    <t>część oświatowa</t>
  </si>
  <si>
    <t>część wyrównawcza</t>
  </si>
  <si>
    <t>w tym:   wynagrodzenia osobowe</t>
  </si>
  <si>
    <t>pozostałe wydatki</t>
  </si>
  <si>
    <t>wydatki na obsługę długu</t>
  </si>
  <si>
    <t>dotacje</t>
  </si>
  <si>
    <t>pochodne od wynagrodzeń</t>
  </si>
  <si>
    <t xml:space="preserve">wydatki na wynagrodzenia 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</si>
  <si>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</si>
  <si>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</si>
  <si>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</si>
  <si>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</si>
  <si>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</si>
  <si>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</si>
  <si>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część regionalna</t>
  </si>
  <si>
    <t>#</t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</si>
  <si>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</si>
  <si>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</si>
  <si>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</si>
  <si>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</si>
  <si>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</si>
  <si>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</si>
  <si>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</si>
  <si>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</si>
  <si>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Dotacje ogółem                  z tego:</t>
  </si>
  <si>
    <t>świadczenia na rzecz osób fizycznych</t>
  </si>
  <si>
    <r>
      <t xml:space="preserve">Dotacje </t>
    </r>
    <r>
      <rPr>
        <b/>
        <sz val="10"/>
        <color indexed="8"/>
        <rFont val="Arial"/>
        <family val="0"/>
      </rPr>
      <t>§§ 200 i 620</t>
    </r>
  </si>
  <si>
    <r>
      <t xml:space="preserve">w tym: inwestycyjne </t>
    </r>
    <r>
      <rPr>
        <sz val="8"/>
        <color indexed="8"/>
        <rFont val="Arial"/>
        <family val="0"/>
      </rPr>
      <t>§</t>
    </r>
    <r>
      <rPr>
        <sz val="8"/>
        <color indexed="8"/>
        <rFont val="Arial"/>
        <family val="2"/>
      </rPr>
      <t xml:space="preserve"> 620</t>
    </r>
  </si>
  <si>
    <t>UE</t>
  </si>
  <si>
    <t>WYDATKI OGÓŁEM UE
z tego:</t>
  </si>
  <si>
    <t>majątkowe</t>
  </si>
  <si>
    <t>bieżące</t>
  </si>
  <si>
    <t>wydatki majątkowe</t>
  </si>
  <si>
    <t>wydatki bieżące</t>
  </si>
  <si>
    <t>Dochody bieżące 
minus 
wydatki bieżące</t>
  </si>
  <si>
    <t>w złotych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</si>
  <si>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</si>
  <si>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</si>
  <si>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</si>
  <si>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</si>
  <si>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</si>
  <si>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</si>
  <si>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</si>
  <si>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</si>
  <si>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</si>
  <si>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</si>
  <si>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</si>
  <si>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</si>
  <si>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</si>
  <si>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</si>
  <si>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</si>
  <si>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r>
      <t xml:space="preserve">Dotacje </t>
    </r>
    <r>
      <rPr>
        <b/>
        <sz val="10"/>
        <color indexed="8"/>
        <rFont val="Arial"/>
        <family val="0"/>
      </rPr>
      <t>§§ 205 i 625</t>
    </r>
  </si>
  <si>
    <r>
      <t xml:space="preserve">w tym: inwestycyjne </t>
    </r>
    <r>
      <rPr>
        <sz val="8"/>
        <color indexed="8"/>
        <rFont val="Arial"/>
        <family val="0"/>
      </rPr>
      <t>§</t>
    </r>
    <r>
      <rPr>
        <sz val="8"/>
        <color indexed="8"/>
        <rFont val="Arial"/>
        <family val="2"/>
      </rPr>
      <t xml:space="preserve"> 625</t>
    </r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</si>
  <si>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</si>
  <si>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</si>
  <si>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</si>
  <si>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</si>
  <si>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</si>
  <si>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</si>
  <si>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wolne środki , o których mowa w art. 217 ust.2 pkt 6 ustawy o finansach publicznych</t>
  </si>
  <si>
    <t>spłaty kredytów i pożyczek, wykup papierów wartościowych w tym:</t>
  </si>
  <si>
    <t>wykup papierów wartościowych</t>
  </si>
  <si>
    <t xml:space="preserve"> udzielone pożyczki</t>
  </si>
  <si>
    <t>Kwota planowanych wydatków bieżących ponoszonych na spłatę przejętych zobowiązań samodzielnego publicznego zakładu opieki zdrowotnej przekształconego na zasadach określonych w ustawie o działalności leczniczej</t>
  </si>
  <si>
    <t>Kwota wykonanych wydatków bieżących ponoszonych na spłatę przejętych zobowiązań samodzielnego publicznego zakładu opieki zdrowotnej przekształconego na zasadach określonych w ustawie o działalności leczniczej</t>
  </si>
  <si>
    <t>Stan na koniec okresu sprawozdawczego</t>
  </si>
  <si>
    <t>Informacja z wykonania budżetów jednostek samorządu terytorialnego za III Kwartały 2018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</si>
</sst>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dd/mm/yy\ h:mm;@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22" borderId="0" applyNumberFormat="0" applyBorder="0" applyAlignment="0" applyProtection="0"/>
    <xf numFmtId="0" fontId="18" fillId="6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19" fillId="39" borderId="0" applyNumberFormat="0" applyBorder="0" applyAlignment="0" applyProtection="0"/>
    <xf numFmtId="0" fontId="20" fillId="40" borderId="1" applyNumberFormat="0" applyAlignment="0" applyProtection="0"/>
    <xf numFmtId="0" fontId="21" fillId="41" borderId="2" applyNumberFormat="0" applyAlignment="0" applyProtection="0"/>
    <xf numFmtId="0" fontId="51" fillId="42" borderId="3" applyNumberFormat="0" applyAlignment="0" applyProtection="0"/>
    <xf numFmtId="0" fontId="52" fillId="43" borderId="4" applyNumberFormat="0" applyAlignment="0" applyProtection="0"/>
    <xf numFmtId="0" fontId="53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5" borderId="0" applyNumberFormat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6" borderId="1" applyNumberFormat="0" applyAlignment="0" applyProtection="0"/>
    <xf numFmtId="0" fontId="54" fillId="0" borderId="8" applyNumberFormat="0" applyFill="0" applyAlignment="0" applyProtection="0"/>
    <xf numFmtId="0" fontId="55" fillId="46" borderId="9" applyNumberFormat="0" applyAlignment="0" applyProtection="0"/>
    <xf numFmtId="0" fontId="28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59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0" borderId="0">
      <alignment/>
      <protection/>
    </xf>
    <xf numFmtId="0" fontId="0" fillId="4" borderId="14" applyNumberFormat="0" applyFont="0" applyAlignment="0" applyProtection="0"/>
    <xf numFmtId="0" fontId="0" fillId="4" borderId="14" applyNumberFormat="0" applyFont="0" applyAlignment="0" applyProtection="0"/>
    <xf numFmtId="0" fontId="61" fillId="43" borderId="3" applyNumberFormat="0" applyAlignment="0" applyProtection="0"/>
    <xf numFmtId="0" fontId="2" fillId="0" borderId="0" applyNumberFormat="0" applyFill="0" applyBorder="0" applyAlignment="0" applyProtection="0"/>
    <xf numFmtId="0" fontId="30" fillId="40" borderId="15" applyNumberFormat="0" applyAlignment="0" applyProtection="0"/>
    <xf numFmtId="9" fontId="0" fillId="0" borderId="0" applyFont="0" applyFill="0" applyBorder="0" applyAlignment="0" applyProtection="0"/>
    <xf numFmtId="0" fontId="62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65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6" fillId="49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8" fillId="40" borderId="19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4" fontId="5" fillId="0" borderId="19" xfId="0" applyNumberFormat="1" applyFont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14" fillId="40" borderId="19" xfId="0" applyNumberFormat="1" applyFont="1" applyFill="1" applyBorder="1" applyAlignment="1">
      <alignment horizontal="right" vertical="center"/>
    </xf>
    <xf numFmtId="4" fontId="14" fillId="40" borderId="19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5" fillId="0" borderId="19" xfId="0" applyFont="1" applyBorder="1" applyAlignment="1">
      <alignment horizontal="left" vertical="center" wrapText="1" indent="2"/>
    </xf>
    <xf numFmtId="0" fontId="7" fillId="0" borderId="19" xfId="0" applyFont="1" applyFill="1" applyBorder="1" applyAlignment="1">
      <alignment horizontal="left" vertical="center" wrapText="1" indent="1"/>
    </xf>
    <xf numFmtId="164" fontId="14" fillId="40" borderId="19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horizontal="right" vertical="center"/>
    </xf>
    <xf numFmtId="164" fontId="7" fillId="0" borderId="19" xfId="0" applyNumberFormat="1" applyFont="1" applyFill="1" applyBorder="1" applyAlignment="1">
      <alignment horizontal="right" vertical="center"/>
    </xf>
    <xf numFmtId="164" fontId="12" fillId="40" borderId="19" xfId="0" applyNumberFormat="1" applyFont="1" applyFill="1" applyBorder="1" applyAlignment="1">
      <alignment horizontal="right" vertical="center"/>
    </xf>
    <xf numFmtId="164" fontId="7" fillId="0" borderId="19" xfId="0" applyNumberFormat="1" applyFont="1" applyBorder="1" applyAlignment="1">
      <alignment horizontal="right" vertical="center"/>
    </xf>
    <xf numFmtId="0" fontId="7" fillId="50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11" fillId="40" borderId="19" xfId="0" applyFont="1" applyFill="1" applyBorder="1" applyAlignment="1">
      <alignment horizontal="left" vertical="center" wrapText="1"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164" fontId="12" fillId="40" borderId="19" xfId="72" applyNumberFormat="1" applyFont="1" applyFill="1" applyBorder="1" applyAlignment="1">
      <alignment horizontal="right" vertic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4" fontId="12" fillId="40" borderId="20" xfId="0" applyNumberFormat="1" applyFont="1" applyFill="1" applyBorder="1" applyAlignment="1">
      <alignment horizontal="right" vertical="center"/>
    </xf>
    <xf numFmtId="4" fontId="12" fillId="40" borderId="21" xfId="0" applyNumberFormat="1" applyFont="1" applyFill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right" vertical="center"/>
    </xf>
    <xf numFmtId="4" fontId="7" fillId="40" borderId="21" xfId="0" applyNumberFormat="1" applyFont="1" applyFill="1" applyBorder="1" applyAlignment="1">
      <alignment horizontal="right" vertical="center"/>
    </xf>
    <xf numFmtId="4" fontId="7" fillId="50" borderId="21" xfId="0" applyNumberFormat="1" applyFont="1" applyFill="1" applyBorder="1" applyAlignment="1">
      <alignment horizontal="right" vertical="center"/>
    </xf>
    <xf numFmtId="0" fontId="67" fillId="0" borderId="19" xfId="91" applyFont="1" applyBorder="1" applyAlignment="1">
      <alignment horizontal="left" vertical="center" wrapText="1"/>
      <protection/>
    </xf>
    <xf numFmtId="4" fontId="7" fillId="40" borderId="20" xfId="0" applyNumberFormat="1" applyFont="1" applyFill="1" applyBorder="1" applyAlignment="1">
      <alignment horizontal="right" vertical="center"/>
    </xf>
    <xf numFmtId="4" fontId="7" fillId="51" borderId="21" xfId="0" applyNumberFormat="1" applyFont="1" applyFill="1" applyBorder="1" applyAlignment="1">
      <alignment horizontal="right" vertical="center"/>
    </xf>
    <xf numFmtId="4" fontId="7" fillId="51" borderId="20" xfId="0" applyNumberFormat="1" applyFont="1" applyFill="1" applyBorder="1" applyAlignment="1">
      <alignment horizontal="right" vertical="center"/>
    </xf>
    <xf numFmtId="4" fontId="12" fillId="52" borderId="20" xfId="0" applyNumberFormat="1" applyFont="1" applyFill="1" applyBorder="1" applyAlignment="1">
      <alignment horizontal="right" vertical="center"/>
    </xf>
    <xf numFmtId="4" fontId="12" fillId="52" borderId="21" xfId="0" applyNumberFormat="1" applyFont="1" applyFill="1" applyBorder="1" applyAlignment="1">
      <alignment horizontal="right" vertical="center"/>
    </xf>
    <xf numFmtId="0" fontId="67" fillId="52" borderId="19" xfId="91" applyFont="1" applyFill="1" applyBorder="1" applyAlignment="1">
      <alignment horizontal="left" vertical="center" wrapText="1"/>
      <protection/>
    </xf>
    <xf numFmtId="164" fontId="12" fillId="51" borderId="19" xfId="72" applyNumberFormat="1" applyFont="1" applyFill="1" applyBorder="1" applyAlignment="1">
      <alignment horizontal="right" vertical="center"/>
    </xf>
    <xf numFmtId="164" fontId="12" fillId="51" borderId="19" xfId="0" applyNumberFormat="1" applyFont="1" applyFill="1" applyBorder="1" applyAlignment="1">
      <alignment horizontal="right" vertical="center"/>
    </xf>
    <xf numFmtId="164" fontId="12" fillId="52" borderId="19" xfId="0" applyNumberFormat="1" applyFont="1" applyFill="1" applyBorder="1" applyAlignment="1">
      <alignment horizontal="right" vertical="center"/>
    </xf>
    <xf numFmtId="0" fontId="11" fillId="40" borderId="19" xfId="0" applyFont="1" applyFill="1" applyBorder="1" applyAlignment="1">
      <alignment horizontal="center" vertical="center" wrapText="1"/>
    </xf>
    <xf numFmtId="4" fontId="12" fillId="40" borderId="19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/>
    </xf>
    <xf numFmtId="0" fontId="11" fillId="0" borderId="22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/>
    </xf>
    <xf numFmtId="0" fontId="8" fillId="52" borderId="19" xfId="0" applyFont="1" applyFill="1" applyBorder="1" applyAlignment="1">
      <alignment horizontal="left" vertical="center" wrapText="1"/>
    </xf>
    <xf numFmtId="4" fontId="14" fillId="52" borderId="19" xfId="0" applyNumberFormat="1" applyFont="1" applyFill="1" applyBorder="1" applyAlignment="1">
      <alignment horizontal="right" vertical="center"/>
    </xf>
    <xf numFmtId="164" fontId="14" fillId="52" borderId="19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1"/>
    </xf>
    <xf numFmtId="4" fontId="5" fillId="52" borderId="19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2"/>
    </xf>
    <xf numFmtId="0" fontId="11" fillId="52" borderId="19" xfId="0" applyFont="1" applyFill="1" applyBorder="1" applyAlignment="1">
      <alignment horizontal="left" vertical="center" wrapText="1"/>
    </xf>
    <xf numFmtId="4" fontId="12" fillId="52" borderId="19" xfId="0" applyNumberFormat="1" applyFont="1" applyFill="1" applyBorder="1" applyAlignment="1">
      <alignment horizontal="right" vertical="center"/>
    </xf>
    <xf numFmtId="164" fontId="7" fillId="52" borderId="19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 wrapText="1"/>
    </xf>
    <xf numFmtId="164" fontId="12" fillId="0" borderId="19" xfId="0" applyNumberFormat="1" applyFont="1" applyFill="1" applyBorder="1" applyAlignment="1">
      <alignment horizontal="right" vertical="center"/>
    </xf>
    <xf numFmtId="0" fontId="11" fillId="52" borderId="23" xfId="0" applyFont="1" applyFill="1" applyBorder="1" applyAlignment="1">
      <alignment horizontal="left" vertical="center" wrapText="1"/>
    </xf>
    <xf numFmtId="4" fontId="7" fillId="0" borderId="20" xfId="0" applyNumberFormat="1" applyFont="1" applyFill="1" applyBorder="1" applyAlignment="1">
      <alignment horizontal="right" vertical="center"/>
    </xf>
    <xf numFmtId="4" fontId="7" fillId="0" borderId="21" xfId="0" applyNumberFormat="1" applyFont="1" applyFill="1" applyBorder="1" applyAlignment="1">
      <alignment horizontal="right" vertical="center"/>
    </xf>
    <xf numFmtId="164" fontId="12" fillId="0" borderId="19" xfId="72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center" wrapText="1"/>
    </xf>
    <xf numFmtId="0" fontId="67" fillId="0" borderId="19" xfId="91" applyFont="1" applyFill="1" applyBorder="1" applyAlignment="1">
      <alignment horizontal="left" vertical="center" wrapText="1"/>
      <protection/>
    </xf>
    <xf numFmtId="4" fontId="7" fillId="40" borderId="2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2" borderId="20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2" borderId="2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4" fontId="12" fillId="40" borderId="20" xfId="0" applyNumberFormat="1" applyFont="1" applyFill="1" applyBorder="1" applyAlignment="1">
      <alignment vertical="center" wrapText="1"/>
    </xf>
    <xf numFmtId="4" fontId="12" fillId="40" borderId="21" xfId="0" applyNumberFormat="1" applyFont="1" applyFill="1" applyBorder="1" applyAlignment="1">
      <alignment vertical="center" wrapText="1"/>
    </xf>
    <xf numFmtId="0" fontId="5" fillId="2" borderId="19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4" fontId="5" fillId="0" borderId="19" xfId="0" applyNumberFormat="1" applyFont="1" applyBorder="1" applyAlignment="1">
      <alignment horizontal="right" vertical="center"/>
    </xf>
    <xf numFmtId="4" fontId="5" fillId="29" borderId="19" xfId="0" applyNumberFormat="1" applyFont="1" applyFill="1" applyBorder="1" applyAlignment="1">
      <alignment horizontal="right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4" fontId="12" fillId="52" borderId="19" xfId="0" applyNumberFormat="1" applyFont="1" applyFill="1" applyBorder="1" applyAlignment="1">
      <alignment horizontal="right" vertical="center"/>
    </xf>
    <xf numFmtId="4" fontId="14" fillId="40" borderId="19" xfId="0" applyNumberFormat="1" applyFont="1" applyFill="1" applyBorder="1" applyAlignment="1">
      <alignment horizontal="right" vertical="center" wrapText="1"/>
    </xf>
    <xf numFmtId="4" fontId="14" fillId="29" borderId="19" xfId="0" applyNumberFormat="1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 wrapText="1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Dziesiętny 3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Komórka połączona" xfId="81"/>
    <cellStyle name="Komórka zaznaczona" xfId="82"/>
    <cellStyle name="Linked Cell" xfId="83"/>
    <cellStyle name="Nagłówek 1" xfId="84"/>
    <cellStyle name="Nagłówek 2" xfId="85"/>
    <cellStyle name="Nagłówek 3" xfId="86"/>
    <cellStyle name="Nagłówek 4" xfId="87"/>
    <cellStyle name="Neutral" xfId="88"/>
    <cellStyle name="Neutralny" xfId="89"/>
    <cellStyle name="Normalny 2" xfId="90"/>
    <cellStyle name="Normalny 2 2" xfId="91"/>
    <cellStyle name="Note" xfId="92"/>
    <cellStyle name="Note 2" xfId="93"/>
    <cellStyle name="Obliczenia" xfId="94"/>
    <cellStyle name="Followed Hyperlink" xfId="95"/>
    <cellStyle name="Output" xfId="96"/>
    <cellStyle name="Percent" xfId="97"/>
    <cellStyle name="Suma" xfId="98"/>
    <cellStyle name="Tekst objaśnienia" xfId="99"/>
    <cellStyle name="Tekst ostrzeżenia" xfId="100"/>
    <cellStyle name="Title" xfId="101"/>
    <cellStyle name="Total" xfId="102"/>
    <cellStyle name="Tytuł" xfId="103"/>
    <cellStyle name="Uwaga" xfId="104"/>
    <cellStyle name="Currency" xfId="105"/>
    <cellStyle name="Currency [0]" xfId="106"/>
    <cellStyle name="Warning Text" xfId="107"/>
    <cellStyle name="Zły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17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0.37109375" style="1" customWidth="1"/>
    <col min="2" max="2" width="22.875" style="1" customWidth="1"/>
    <col min="3" max="5" width="14.625" style="1" customWidth="1"/>
    <col min="6" max="6" width="13.875" style="1" customWidth="1"/>
    <col min="7" max="8" width="13.00390625" style="1" customWidth="1"/>
    <col min="9" max="9" width="12.00390625" style="1" customWidth="1"/>
    <col min="10" max="10" width="13.00390625" style="1" customWidth="1"/>
    <col min="11" max="11" width="7.375" style="1" customWidth="1"/>
    <col min="12" max="12" width="7.25390625" style="1" customWidth="1"/>
    <col min="13" max="13" width="8.125" style="1" customWidth="1"/>
    <col min="14" max="16384" width="9.125" style="1" customWidth="1"/>
  </cols>
  <sheetData>
    <row r="1" spans="2:13" ht="62.25" customHeight="1">
      <c r="B1" s="102" t="s">
        <v>115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12.75"/>
    <row r="3" spans="2:13" ht="66.75" customHeight="1">
      <c r="B3" s="104" t="s">
        <v>0</v>
      </c>
      <c r="C3" s="15" t="s">
        <v>37</v>
      </c>
      <c r="D3" s="15" t="s">
        <v>38</v>
      </c>
      <c r="E3" s="15" t="s">
        <v>39</v>
      </c>
      <c r="F3" s="15" t="s">
        <v>40</v>
      </c>
      <c r="G3" s="15" t="s">
        <v>41</v>
      </c>
      <c r="H3" s="15" t="s">
        <v>42</v>
      </c>
      <c r="I3" s="15" t="s">
        <v>43</v>
      </c>
      <c r="J3" s="15" t="s">
        <v>44</v>
      </c>
      <c r="K3" s="17" t="s">
        <v>2</v>
      </c>
      <c r="L3" s="15" t="s">
        <v>18</v>
      </c>
      <c r="M3" s="15" t="s">
        <v>3</v>
      </c>
    </row>
    <row r="4" spans="2:13" ht="12.75">
      <c r="B4" s="104"/>
      <c r="C4" s="101" t="s">
        <v>84</v>
      </c>
      <c r="D4" s="101"/>
      <c r="E4" s="101"/>
      <c r="F4" s="101"/>
      <c r="G4" s="101"/>
      <c r="H4" s="101"/>
      <c r="I4" s="101"/>
      <c r="J4" s="101"/>
      <c r="K4" s="101" t="s">
        <v>4</v>
      </c>
      <c r="L4" s="101"/>
      <c r="M4" s="101"/>
    </row>
    <row r="5" spans="2:13" ht="12.75">
      <c r="B5" s="17">
        <v>1</v>
      </c>
      <c r="C5" s="19">
        <v>2</v>
      </c>
      <c r="D5" s="19">
        <v>3</v>
      </c>
      <c r="E5" s="19">
        <v>4</v>
      </c>
      <c r="F5" s="17">
        <v>5</v>
      </c>
      <c r="G5" s="19">
        <v>6</v>
      </c>
      <c r="H5" s="17">
        <v>7</v>
      </c>
      <c r="I5" s="19">
        <v>8</v>
      </c>
      <c r="J5" s="17">
        <v>9</v>
      </c>
      <c r="K5" s="19">
        <v>10</v>
      </c>
      <c r="L5" s="17">
        <v>11</v>
      </c>
      <c r="M5" s="19">
        <v>12</v>
      </c>
    </row>
    <row r="6" spans="2:13" ht="25.5" customHeight="1">
      <c r="B6" s="68" t="s">
        <v>5</v>
      </c>
      <c r="C6" s="69">
        <f>256796354285.93</f>
        <v>256796354285.93</v>
      </c>
      <c r="D6" s="69">
        <f>187615656987.89</f>
        <v>187615656987.89</v>
      </c>
      <c r="E6" s="69">
        <f>180681559310.16</f>
        <v>180681559310.16</v>
      </c>
      <c r="F6" s="69">
        <f>2431345559.59</f>
        <v>2431345559.59</v>
      </c>
      <c r="G6" s="69">
        <f>593499251.24</f>
        <v>593499251.24</v>
      </c>
      <c r="H6" s="69">
        <f>78295817.27</f>
        <v>78295817.27</v>
      </c>
      <c r="I6" s="69">
        <f>184749458.11</f>
        <v>184749458.11</v>
      </c>
      <c r="J6" s="69">
        <f>2778915.5</f>
        <v>2778915.5</v>
      </c>
      <c r="K6" s="70">
        <f aca="true" t="shared" si="0" ref="K6:K46">IF($D$6=0,"",100*$D6/$D$6)</f>
        <v>99.99999999999999</v>
      </c>
      <c r="L6" s="70">
        <f aca="true" t="shared" si="1" ref="L6:L50">IF(C6=0,"",100*D6/C6)</f>
        <v>73.06009367212016</v>
      </c>
      <c r="M6" s="70"/>
    </row>
    <row r="7" spans="2:13" ht="38.25" customHeight="1">
      <c r="B7" s="20" t="s">
        <v>65</v>
      </c>
      <c r="C7" s="25">
        <f>C6-C22-C40</f>
        <v>121221889812.84999</v>
      </c>
      <c r="D7" s="25">
        <f>D6-D22-D40</f>
        <v>91032775524.11002</v>
      </c>
      <c r="E7" s="25">
        <f>E6-E22-E40</f>
        <v>87506572593.42</v>
      </c>
      <c r="F7" s="25">
        <f>F6</f>
        <v>2431345559.59</v>
      </c>
      <c r="G7" s="25">
        <f>G6</f>
        <v>593499251.24</v>
      </c>
      <c r="H7" s="25">
        <f>H6</f>
        <v>78295817.27</v>
      </c>
      <c r="I7" s="25">
        <f>I6</f>
        <v>184749458.11</v>
      </c>
      <c r="J7" s="25">
        <f>J6</f>
        <v>2778915.5</v>
      </c>
      <c r="K7" s="31">
        <f t="shared" si="0"/>
        <v>48.520884123218934</v>
      </c>
      <c r="L7" s="31">
        <f t="shared" si="1"/>
        <v>75.0959877499453</v>
      </c>
      <c r="M7" s="31">
        <f aca="true" t="shared" si="2" ref="M7:M21">IF($D$7=0,"",100*$D7/$D$7)</f>
        <v>100</v>
      </c>
    </row>
    <row r="8" spans="2:13" ht="32.25" customHeight="1">
      <c r="B8" s="21" t="s">
        <v>35</v>
      </c>
      <c r="C8" s="23">
        <f>8867618635.63</f>
        <v>8867618635.63</v>
      </c>
      <c r="D8" s="23">
        <f>7227184345.6</f>
        <v>7227184345.6</v>
      </c>
      <c r="E8" s="23">
        <f>7278244967.98</f>
        <v>7278244967.98</v>
      </c>
      <c r="F8" s="23">
        <f>0</f>
        <v>0</v>
      </c>
      <c r="G8" s="23">
        <f>0</f>
        <v>0</v>
      </c>
      <c r="H8" s="23">
        <f>0</f>
        <v>0</v>
      </c>
      <c r="I8" s="23">
        <f>0</f>
        <v>0</v>
      </c>
      <c r="J8" s="24">
        <f>0</f>
        <v>0</v>
      </c>
      <c r="K8" s="32">
        <f t="shared" si="0"/>
        <v>3.8521221851257814</v>
      </c>
      <c r="L8" s="32">
        <f t="shared" si="1"/>
        <v>81.50084755067441</v>
      </c>
      <c r="M8" s="32">
        <f t="shared" si="2"/>
        <v>7.93910138847286</v>
      </c>
    </row>
    <row r="9" spans="2:13" ht="32.25" customHeight="1">
      <c r="B9" s="21" t="s">
        <v>19</v>
      </c>
      <c r="C9" s="23">
        <f>48008218752.92</f>
        <v>48008218752.92</v>
      </c>
      <c r="D9" s="23">
        <f>35922299844</f>
        <v>35922299844</v>
      </c>
      <c r="E9" s="23">
        <f>32401495520.37</f>
        <v>32401495520.37</v>
      </c>
      <c r="F9" s="23">
        <f>0</f>
        <v>0</v>
      </c>
      <c r="G9" s="23">
        <f>0</f>
        <v>0</v>
      </c>
      <c r="H9" s="23">
        <f>0</f>
        <v>0</v>
      </c>
      <c r="I9" s="23">
        <f>0</f>
        <v>0</v>
      </c>
      <c r="J9" s="24">
        <f>0</f>
        <v>0</v>
      </c>
      <c r="K9" s="32">
        <f t="shared" si="0"/>
        <v>19.146749488140358</v>
      </c>
      <c r="L9" s="32">
        <f t="shared" si="1"/>
        <v>74.82531278420969</v>
      </c>
      <c r="M9" s="32">
        <f t="shared" si="2"/>
        <v>39.46084213864926</v>
      </c>
    </row>
    <row r="10" spans="2:13" ht="32.25" customHeight="1">
      <c r="B10" s="21" t="s">
        <v>20</v>
      </c>
      <c r="C10" s="23">
        <f>1528349113.19</f>
        <v>1528349113.19</v>
      </c>
      <c r="D10" s="23">
        <f>1150247868.14</f>
        <v>1150247868.14</v>
      </c>
      <c r="E10" s="23">
        <f>1148161975</f>
        <v>1148161975</v>
      </c>
      <c r="F10" s="23">
        <f>84758523.68</f>
        <v>84758523.68</v>
      </c>
      <c r="G10" s="23">
        <f>1036451.7</f>
        <v>1036451.7</v>
      </c>
      <c r="H10" s="23">
        <f>3738132.96</f>
        <v>3738132.96</v>
      </c>
      <c r="I10" s="23">
        <f>3103087.77</f>
        <v>3103087.77</v>
      </c>
      <c r="J10" s="24">
        <f>2668.66</f>
        <v>2668.66</v>
      </c>
      <c r="K10" s="32">
        <f t="shared" si="0"/>
        <v>0.6130873545453858</v>
      </c>
      <c r="L10" s="32">
        <f t="shared" si="1"/>
        <v>75.26080646189406</v>
      </c>
      <c r="M10" s="32">
        <f t="shared" si="2"/>
        <v>1.2635535514737295</v>
      </c>
    </row>
    <row r="11" spans="2:13" ht="32.25" customHeight="1">
      <c r="B11" s="21" t="s">
        <v>21</v>
      </c>
      <c r="C11" s="23">
        <f>22405474174.48</f>
        <v>22405474174.48</v>
      </c>
      <c r="D11" s="23">
        <f>17197521717.81</f>
        <v>17197521717.81</v>
      </c>
      <c r="E11" s="23">
        <f>17183579325.53</f>
        <v>17183579325.53</v>
      </c>
      <c r="F11" s="23">
        <f>1637767949.25</f>
        <v>1637767949.25</v>
      </c>
      <c r="G11" s="23">
        <f>586179623.83</f>
        <v>586179623.83</v>
      </c>
      <c r="H11" s="23">
        <f>54430105.73</f>
        <v>54430105.73</v>
      </c>
      <c r="I11" s="23">
        <f>148702501.89</f>
        <v>148702501.89</v>
      </c>
      <c r="J11" s="24">
        <f>2382951</f>
        <v>2382951</v>
      </c>
      <c r="K11" s="32">
        <f t="shared" si="0"/>
        <v>9.16635743194932</v>
      </c>
      <c r="L11" s="32">
        <f t="shared" si="1"/>
        <v>76.75589270678371</v>
      </c>
      <c r="M11" s="32">
        <f t="shared" si="2"/>
        <v>18.89157132559936</v>
      </c>
    </row>
    <row r="12" spans="2:13" ht="32.25" customHeight="1">
      <c r="B12" s="21" t="s">
        <v>22</v>
      </c>
      <c r="C12" s="23">
        <f>298197031.43</f>
        <v>298197031.43</v>
      </c>
      <c r="D12" s="23">
        <f>235440396.51</f>
        <v>235440396.51</v>
      </c>
      <c r="E12" s="23">
        <f>235055345.58</f>
        <v>235055345.58</v>
      </c>
      <c r="F12" s="23">
        <f>2264500.33</f>
        <v>2264500.33</v>
      </c>
      <c r="G12" s="23">
        <f>783839.52</f>
        <v>783839.52</v>
      </c>
      <c r="H12" s="23">
        <f>127412.93</f>
        <v>127412.93</v>
      </c>
      <c r="I12" s="23">
        <f>17065.24</f>
        <v>17065.24</v>
      </c>
      <c r="J12" s="24">
        <f>141.31</f>
        <v>141.31</v>
      </c>
      <c r="K12" s="32">
        <f t="shared" si="0"/>
        <v>0.12549080406716637</v>
      </c>
      <c r="L12" s="32">
        <f t="shared" si="1"/>
        <v>78.95464129235245</v>
      </c>
      <c r="M12" s="32">
        <f t="shared" si="2"/>
        <v>0.2586325586081286</v>
      </c>
    </row>
    <row r="13" spans="2:13" ht="32.25" customHeight="1">
      <c r="B13" s="21" t="s">
        <v>23</v>
      </c>
      <c r="C13" s="23">
        <f>1125306817.9</f>
        <v>1125306817.9</v>
      </c>
      <c r="D13" s="23">
        <f>991557999.99</f>
        <v>991557999.99</v>
      </c>
      <c r="E13" s="23">
        <f>991119569.8</f>
        <v>991119569.8</v>
      </c>
      <c r="F13" s="23">
        <f>692978882.74</f>
        <v>692978882.74</v>
      </c>
      <c r="G13" s="23">
        <f>2815446.23</f>
        <v>2815446.23</v>
      </c>
      <c r="H13" s="23">
        <f>2500846.05</f>
        <v>2500846.05</v>
      </c>
      <c r="I13" s="23">
        <f>7525292.79</f>
        <v>7525292.79</v>
      </c>
      <c r="J13" s="24">
        <f>21154.59</f>
        <v>21154.59</v>
      </c>
      <c r="K13" s="32">
        <f t="shared" si="0"/>
        <v>0.5285049317893559</v>
      </c>
      <c r="L13" s="32">
        <f t="shared" si="1"/>
        <v>88.11445769433828</v>
      </c>
      <c r="M13" s="32">
        <f t="shared" si="2"/>
        <v>1.0892318665241465</v>
      </c>
    </row>
    <row r="14" spans="2:13" ht="43.5" customHeight="1">
      <c r="B14" s="21" t="s">
        <v>46</v>
      </c>
      <c r="C14" s="23">
        <f>70581739.94</f>
        <v>70581739.94</v>
      </c>
      <c r="D14" s="23">
        <f>47536014.09</f>
        <v>47536014.09</v>
      </c>
      <c r="E14" s="23">
        <f>48047935.75</f>
        <v>48047935.75</v>
      </c>
      <c r="F14" s="23">
        <f>0</f>
        <v>0</v>
      </c>
      <c r="G14" s="23">
        <f>0</f>
        <v>0</v>
      </c>
      <c r="H14" s="23">
        <f>30752.54</f>
        <v>30752.54</v>
      </c>
      <c r="I14" s="23">
        <f>386425.46</f>
        <v>386425.46</v>
      </c>
      <c r="J14" s="24">
        <f>0</f>
        <v>0</v>
      </c>
      <c r="K14" s="32">
        <f t="shared" si="0"/>
        <v>0.025336912096344016</v>
      </c>
      <c r="L14" s="32">
        <f t="shared" si="1"/>
        <v>67.34888390454717</v>
      </c>
      <c r="M14" s="32">
        <f t="shared" si="2"/>
        <v>0.052218570527282335</v>
      </c>
    </row>
    <row r="15" spans="2:13" ht="32.25" customHeight="1">
      <c r="B15" s="21" t="s">
        <v>28</v>
      </c>
      <c r="C15" s="23">
        <f>269130572.04</f>
        <v>269130572.04</v>
      </c>
      <c r="D15" s="23">
        <f>221078746.7</f>
        <v>221078746.7</v>
      </c>
      <c r="E15" s="23">
        <f>220836219.71</f>
        <v>220836219.71</v>
      </c>
      <c r="F15" s="23">
        <f>0</f>
        <v>0</v>
      </c>
      <c r="G15" s="23">
        <f>8061</f>
        <v>8061</v>
      </c>
      <c r="H15" s="23">
        <f>4637523.91</f>
        <v>4637523.91</v>
      </c>
      <c r="I15" s="23">
        <f>8886499.31</f>
        <v>8886499.31</v>
      </c>
      <c r="J15" s="24">
        <f>0</f>
        <v>0</v>
      </c>
      <c r="K15" s="32">
        <f t="shared" si="0"/>
        <v>0.11783597928304561</v>
      </c>
      <c r="L15" s="32">
        <f t="shared" si="1"/>
        <v>82.14553442376727</v>
      </c>
      <c r="M15" s="32">
        <f t="shared" si="2"/>
        <v>0.24285620802745636</v>
      </c>
    </row>
    <row r="16" spans="2:13" ht="32.25" customHeight="1">
      <c r="B16" s="21" t="s">
        <v>29</v>
      </c>
      <c r="C16" s="23">
        <f>2180618904.75</f>
        <v>2180618904.75</v>
      </c>
      <c r="D16" s="23">
        <f>2022322028.15</f>
        <v>2022322028.15</v>
      </c>
      <c r="E16" s="23">
        <f>2012284871.52</f>
        <v>2012284871.52</v>
      </c>
      <c r="F16" s="23">
        <f>0</f>
        <v>0</v>
      </c>
      <c r="G16" s="23">
        <f>0</f>
        <v>0</v>
      </c>
      <c r="H16" s="23">
        <f>114564.54</f>
        <v>114564.54</v>
      </c>
      <c r="I16" s="23">
        <f>774922.08</f>
        <v>774922.08</v>
      </c>
      <c r="J16" s="24">
        <f>0.1</f>
        <v>0.1</v>
      </c>
      <c r="K16" s="32">
        <f t="shared" si="0"/>
        <v>1.0779068552261255</v>
      </c>
      <c r="L16" s="32">
        <f t="shared" si="1"/>
        <v>92.74073629944301</v>
      </c>
      <c r="M16" s="32">
        <f t="shared" si="2"/>
        <v>2.221531768647863</v>
      </c>
    </row>
    <row r="17" spans="2:13" ht="32.25" customHeight="1">
      <c r="B17" s="21" t="s">
        <v>30</v>
      </c>
      <c r="C17" s="23">
        <f>453694375.3</f>
        <v>453694375.3</v>
      </c>
      <c r="D17" s="23">
        <f>359007799.59</f>
        <v>359007799.59</v>
      </c>
      <c r="E17" s="23">
        <f>358856448.93</f>
        <v>358856448.93</v>
      </c>
      <c r="F17" s="23">
        <f>0</f>
        <v>0</v>
      </c>
      <c r="G17" s="23">
        <f>0</f>
        <v>0</v>
      </c>
      <c r="H17" s="23">
        <f>75562.6</f>
        <v>75562.6</v>
      </c>
      <c r="I17" s="23">
        <f>20967.4</f>
        <v>20967.4</v>
      </c>
      <c r="J17" s="24">
        <f>0</f>
        <v>0</v>
      </c>
      <c r="K17" s="32">
        <f t="shared" si="0"/>
        <v>0.19135279291385196</v>
      </c>
      <c r="L17" s="32">
        <f t="shared" si="1"/>
        <v>79.12987666038627</v>
      </c>
      <c r="M17" s="32">
        <f t="shared" si="2"/>
        <v>0.3943720242770329</v>
      </c>
    </row>
    <row r="18" spans="2:13" ht="32.25" customHeight="1">
      <c r="B18" s="21" t="s">
        <v>31</v>
      </c>
      <c r="C18" s="23">
        <f>440329500.48</f>
        <v>440329500.48</v>
      </c>
      <c r="D18" s="23">
        <f>423647653.06</f>
        <v>423647653.06</v>
      </c>
      <c r="E18" s="23">
        <f>423354907.26</f>
        <v>423354907.26</v>
      </c>
      <c r="F18" s="23">
        <f>0</f>
        <v>0</v>
      </c>
      <c r="G18" s="23">
        <f>0</f>
        <v>0</v>
      </c>
      <c r="H18" s="23">
        <f>0</f>
        <v>0</v>
      </c>
      <c r="I18" s="23">
        <f>270905.8</f>
        <v>270905.8</v>
      </c>
      <c r="J18" s="24">
        <f>4.79</f>
        <v>4.79</v>
      </c>
      <c r="K18" s="32">
        <f t="shared" si="0"/>
        <v>0.2258061293292516</v>
      </c>
      <c r="L18" s="32">
        <f t="shared" si="1"/>
        <v>96.21150810885592</v>
      </c>
      <c r="M18" s="32">
        <f t="shared" si="2"/>
        <v>0.4653792555713046</v>
      </c>
    </row>
    <row r="19" spans="2:13" ht="32.25" customHeight="1">
      <c r="B19" s="21" t="s">
        <v>32</v>
      </c>
      <c r="C19" s="23">
        <f>149402527.44</f>
        <v>149402527.44</v>
      </c>
      <c r="D19" s="23">
        <f>104152308.64</f>
        <v>104152308.64</v>
      </c>
      <c r="E19" s="23">
        <f>104073663.19</f>
        <v>104073663.19</v>
      </c>
      <c r="F19" s="23">
        <f>2173412.68</f>
        <v>2173412.68</v>
      </c>
      <c r="G19" s="23">
        <f>44877.92</f>
        <v>44877.92</v>
      </c>
      <c r="H19" s="23">
        <f>24214.39</f>
        <v>24214.39</v>
      </c>
      <c r="I19" s="23">
        <f>21856.8</f>
        <v>21856.8</v>
      </c>
      <c r="J19" s="24">
        <f>0</f>
        <v>0</v>
      </c>
      <c r="K19" s="32">
        <f t="shared" si="0"/>
        <v>0.05551365504997416</v>
      </c>
      <c r="L19" s="32">
        <f t="shared" si="1"/>
        <v>69.71254799007836</v>
      </c>
      <c r="M19" s="32">
        <f t="shared" si="2"/>
        <v>0.1144118786232276</v>
      </c>
    </row>
    <row r="20" spans="2:13" ht="32.25" customHeight="1">
      <c r="B20" s="21" t="s">
        <v>24</v>
      </c>
      <c r="C20" s="23">
        <f>8968592016.74</f>
        <v>8968592016.74</v>
      </c>
      <c r="D20" s="23">
        <f>5390334302.82</f>
        <v>5390334302.82</v>
      </c>
      <c r="E20" s="23">
        <f>5378750324.97</f>
        <v>5378750324.97</v>
      </c>
      <c r="F20" s="23">
        <f>0</f>
        <v>0</v>
      </c>
      <c r="G20" s="23">
        <f>0</f>
        <v>0</v>
      </c>
      <c r="H20" s="23">
        <f>0</f>
        <v>0</v>
      </c>
      <c r="I20" s="23">
        <f>156011.8</f>
        <v>156011.8</v>
      </c>
      <c r="J20" s="24">
        <f>80110</f>
        <v>80110</v>
      </c>
      <c r="K20" s="32">
        <f t="shared" si="0"/>
        <v>2.8730727431601983</v>
      </c>
      <c r="L20" s="32">
        <f t="shared" si="1"/>
        <v>60.10234708813677</v>
      </c>
      <c r="M20" s="32">
        <f t="shared" si="2"/>
        <v>5.921311606490973</v>
      </c>
    </row>
    <row r="21" spans="2:13" ht="32.25" customHeight="1">
      <c r="B21" s="21" t="s">
        <v>25</v>
      </c>
      <c r="C21" s="23">
        <f>C7-C8-C9-C10-C11-C12-C13-C14-C15-C16-C17-C18-C19-C20</f>
        <v>26456375650.609978</v>
      </c>
      <c r="D21" s="23">
        <f aca="true" t="shared" si="3" ref="D21:J21">D7-D8-D9-D10-D11-D12-D13-D14-D15-D16-D17-D18-D19-D20</f>
        <v>19740444499.010006</v>
      </c>
      <c r="E21" s="23">
        <f t="shared" si="3"/>
        <v>19722711517.83001</v>
      </c>
      <c r="F21" s="23">
        <f t="shared" si="3"/>
        <v>11402290.910000272</v>
      </c>
      <c r="G21" s="23">
        <f t="shared" si="3"/>
        <v>2630951.0399999195</v>
      </c>
      <c r="H21" s="23">
        <f t="shared" si="3"/>
        <v>12616701.620000007</v>
      </c>
      <c r="I21" s="23">
        <f t="shared" si="3"/>
        <v>14883921.770000016</v>
      </c>
      <c r="J21" s="24">
        <f t="shared" si="3"/>
        <v>291885.0499999999</v>
      </c>
      <c r="K21" s="32">
        <f t="shared" si="0"/>
        <v>10.521746860542768</v>
      </c>
      <c r="L21" s="32">
        <f t="shared" si="1"/>
        <v>74.61507486780363</v>
      </c>
      <c r="M21" s="32">
        <f t="shared" si="2"/>
        <v>21.684985858507357</v>
      </c>
    </row>
    <row r="22" spans="2:13" ht="36.75" customHeight="1">
      <c r="B22" s="68" t="s">
        <v>73</v>
      </c>
      <c r="C22" s="69">
        <f>C23+C36+C38</f>
        <v>79490802594.19</v>
      </c>
      <c r="D22" s="69">
        <f>D23+D36+D38</f>
        <v>50294775308.77999</v>
      </c>
      <c r="E22" s="69">
        <f>E23+E36+E38</f>
        <v>50079489330.23</v>
      </c>
      <c r="F22" s="72" t="s">
        <v>64</v>
      </c>
      <c r="G22" s="72" t="s">
        <v>64</v>
      </c>
      <c r="H22" s="72" t="s">
        <v>64</v>
      </c>
      <c r="I22" s="72" t="s">
        <v>64</v>
      </c>
      <c r="J22" s="72" t="s">
        <v>64</v>
      </c>
      <c r="K22" s="70">
        <f t="shared" si="0"/>
        <v>26.807344395583335</v>
      </c>
      <c r="L22" s="70">
        <f t="shared" si="1"/>
        <v>63.27118819713118</v>
      </c>
      <c r="M22" s="73"/>
    </row>
    <row r="23" spans="2:13" ht="36.75" customHeight="1">
      <c r="B23" s="68" t="s">
        <v>66</v>
      </c>
      <c r="C23" s="69">
        <f>C24+C26+C28+C30+C32+C34</f>
        <v>53940453637.66</v>
      </c>
      <c r="D23" s="69">
        <f>D24+D26+D28+D30+D32+D34</f>
        <v>40355027721.969986</v>
      </c>
      <c r="E23" s="69">
        <f>E24+E26+E28+E30+E32+E34</f>
        <v>40230390662.100006</v>
      </c>
      <c r="F23" s="72" t="s">
        <v>64</v>
      </c>
      <c r="G23" s="72" t="s">
        <v>64</v>
      </c>
      <c r="H23" s="72" t="s">
        <v>64</v>
      </c>
      <c r="I23" s="72" t="s">
        <v>64</v>
      </c>
      <c r="J23" s="72" t="s">
        <v>64</v>
      </c>
      <c r="K23" s="70">
        <f t="shared" si="0"/>
        <v>21.509413643752968</v>
      </c>
      <c r="L23" s="70">
        <f t="shared" si="1"/>
        <v>74.81403102957039</v>
      </c>
      <c r="M23" s="73"/>
    </row>
    <row r="24" spans="2:13" ht="33.75" customHeight="1">
      <c r="B24" s="71" t="s">
        <v>9</v>
      </c>
      <c r="C24" s="24">
        <f>42047409057.93</f>
        <v>42047409057.93</v>
      </c>
      <c r="D24" s="24">
        <f>33682974730.21</f>
        <v>33682974730.21</v>
      </c>
      <c r="E24" s="24">
        <f>33569622881.45</f>
        <v>33569622881.45</v>
      </c>
      <c r="F24" s="24" t="s">
        <v>64</v>
      </c>
      <c r="G24" s="24" t="s">
        <v>64</v>
      </c>
      <c r="H24" s="24" t="s">
        <v>64</v>
      </c>
      <c r="I24" s="24" t="s">
        <v>64</v>
      </c>
      <c r="J24" s="24" t="s">
        <v>64</v>
      </c>
      <c r="K24" s="32">
        <f t="shared" si="0"/>
        <v>17.953178999545933</v>
      </c>
      <c r="L24" s="32">
        <f t="shared" si="1"/>
        <v>80.10713498138242</v>
      </c>
      <c r="M24" s="28"/>
    </row>
    <row r="25" spans="2:13" ht="21" customHeight="1">
      <c r="B25" s="74" t="s">
        <v>6</v>
      </c>
      <c r="C25" s="24">
        <f>113713022.04</f>
        <v>113713022.04</v>
      </c>
      <c r="D25" s="24">
        <f>24960318.78</f>
        <v>24960318.78</v>
      </c>
      <c r="E25" s="24">
        <f>24955236.33</f>
        <v>24955236.33</v>
      </c>
      <c r="F25" s="24" t="s">
        <v>64</v>
      </c>
      <c r="G25" s="24" t="s">
        <v>64</v>
      </c>
      <c r="H25" s="24" t="s">
        <v>64</v>
      </c>
      <c r="I25" s="24" t="s">
        <v>64</v>
      </c>
      <c r="J25" s="24" t="s">
        <v>64</v>
      </c>
      <c r="K25" s="32">
        <f t="shared" si="0"/>
        <v>0.01330396363540763</v>
      </c>
      <c r="L25" s="32">
        <f t="shared" si="1"/>
        <v>21.950273004986087</v>
      </c>
      <c r="M25" s="28"/>
    </row>
    <row r="26" spans="2:13" ht="33.75" customHeight="1">
      <c r="B26" s="71" t="s">
        <v>7</v>
      </c>
      <c r="C26" s="24">
        <f>8072020784.64</f>
        <v>8072020784.64</v>
      </c>
      <c r="D26" s="24">
        <f>4647644925.88</f>
        <v>4647644925.88</v>
      </c>
      <c r="E26" s="24">
        <f>4637442125.68</f>
        <v>4637442125.68</v>
      </c>
      <c r="F26" s="24" t="s">
        <v>64</v>
      </c>
      <c r="G26" s="24" t="s">
        <v>64</v>
      </c>
      <c r="H26" s="24" t="s">
        <v>64</v>
      </c>
      <c r="I26" s="24" t="s">
        <v>64</v>
      </c>
      <c r="J26" s="24" t="s">
        <v>64</v>
      </c>
      <c r="K26" s="32">
        <f t="shared" si="0"/>
        <v>2.4772159213663016</v>
      </c>
      <c r="L26" s="32">
        <f t="shared" si="1"/>
        <v>57.57721703001385</v>
      </c>
      <c r="M26" s="28"/>
    </row>
    <row r="27" spans="2:13" ht="21" customHeight="1">
      <c r="B27" s="74" t="s">
        <v>6</v>
      </c>
      <c r="C27" s="24">
        <f>2391357867.77</f>
        <v>2391357867.77</v>
      </c>
      <c r="D27" s="24">
        <f>425773800.37</f>
        <v>425773800.37</v>
      </c>
      <c r="E27" s="24">
        <f>425921335.28</f>
        <v>425921335.28</v>
      </c>
      <c r="F27" s="24" t="s">
        <v>64</v>
      </c>
      <c r="G27" s="24" t="s">
        <v>64</v>
      </c>
      <c r="H27" s="24" t="s">
        <v>64</v>
      </c>
      <c r="I27" s="24" t="s">
        <v>64</v>
      </c>
      <c r="J27" s="24" t="s">
        <v>64</v>
      </c>
      <c r="K27" s="32">
        <f t="shared" si="0"/>
        <v>0.2269393755327586</v>
      </c>
      <c r="L27" s="32">
        <f t="shared" si="1"/>
        <v>17.804687709374278</v>
      </c>
      <c r="M27" s="28"/>
    </row>
    <row r="28" spans="2:13" ht="39.75" customHeight="1">
      <c r="B28" s="71" t="s">
        <v>10</v>
      </c>
      <c r="C28" s="24">
        <f>100172168.37</f>
        <v>100172168.37</v>
      </c>
      <c r="D28" s="24">
        <f>78840056.89</f>
        <v>78840056.89</v>
      </c>
      <c r="E28" s="24">
        <f>78497461.11</f>
        <v>78497461.11</v>
      </c>
      <c r="F28" s="24" t="s">
        <v>64</v>
      </c>
      <c r="G28" s="24" t="s">
        <v>64</v>
      </c>
      <c r="H28" s="24" t="s">
        <v>64</v>
      </c>
      <c r="I28" s="24" t="s">
        <v>64</v>
      </c>
      <c r="J28" s="24" t="s">
        <v>64</v>
      </c>
      <c r="K28" s="32">
        <f t="shared" si="0"/>
        <v>0.0420221095380589</v>
      </c>
      <c r="L28" s="32">
        <f t="shared" si="1"/>
        <v>78.70455254476788</v>
      </c>
      <c r="M28" s="28"/>
    </row>
    <row r="29" spans="2:13" ht="21" customHeight="1">
      <c r="B29" s="74" t="s">
        <v>6</v>
      </c>
      <c r="C29" s="24">
        <f>12761903.3</f>
        <v>12761903.3</v>
      </c>
      <c r="D29" s="24">
        <f>2137793.65</f>
        <v>2137793.65</v>
      </c>
      <c r="E29" s="24">
        <f>2132323.65</f>
        <v>2132323.65</v>
      </c>
      <c r="F29" s="24" t="s">
        <v>64</v>
      </c>
      <c r="G29" s="24" t="s">
        <v>64</v>
      </c>
      <c r="H29" s="24" t="s">
        <v>64</v>
      </c>
      <c r="I29" s="24" t="s">
        <v>64</v>
      </c>
      <c r="J29" s="24" t="s">
        <v>64</v>
      </c>
      <c r="K29" s="32">
        <f t="shared" si="0"/>
        <v>0.0011394537557907483</v>
      </c>
      <c r="L29" s="32">
        <f t="shared" si="1"/>
        <v>16.75137007189202</v>
      </c>
      <c r="M29" s="28"/>
    </row>
    <row r="30" spans="2:13" ht="39.75" customHeight="1">
      <c r="B30" s="71" t="s">
        <v>11</v>
      </c>
      <c r="C30" s="24">
        <f>1506662048.3</f>
        <v>1506662048.3</v>
      </c>
      <c r="D30" s="24">
        <f>904087380.7</f>
        <v>904087380.7</v>
      </c>
      <c r="E30" s="24">
        <f>903644544.71</f>
        <v>903644544.71</v>
      </c>
      <c r="F30" s="24" t="s">
        <v>64</v>
      </c>
      <c r="G30" s="24" t="s">
        <v>64</v>
      </c>
      <c r="H30" s="24" t="s">
        <v>64</v>
      </c>
      <c r="I30" s="24" t="s">
        <v>64</v>
      </c>
      <c r="J30" s="24" t="s">
        <v>64</v>
      </c>
      <c r="K30" s="32">
        <f t="shared" si="0"/>
        <v>0.4818826931690226</v>
      </c>
      <c r="L30" s="32">
        <f t="shared" si="1"/>
        <v>60.00598353958021</v>
      </c>
      <c r="M30" s="28"/>
    </row>
    <row r="31" spans="2:13" ht="21" customHeight="1">
      <c r="B31" s="74" t="s">
        <v>6</v>
      </c>
      <c r="C31" s="24">
        <f>491600879.36</f>
        <v>491600879.36</v>
      </c>
      <c r="D31" s="24">
        <f>167030399.33</f>
        <v>167030399.33</v>
      </c>
      <c r="E31" s="24">
        <f>166980065</f>
        <v>166980065</v>
      </c>
      <c r="F31" s="24" t="s">
        <v>64</v>
      </c>
      <c r="G31" s="24" t="s">
        <v>64</v>
      </c>
      <c r="H31" s="24" t="s">
        <v>64</v>
      </c>
      <c r="I31" s="24" t="s">
        <v>64</v>
      </c>
      <c r="J31" s="24" t="s">
        <v>64</v>
      </c>
      <c r="K31" s="32">
        <f t="shared" si="0"/>
        <v>0.08902796387658696</v>
      </c>
      <c r="L31" s="32">
        <f t="shared" si="1"/>
        <v>33.97683086886495</v>
      </c>
      <c r="M31" s="28"/>
    </row>
    <row r="32" spans="2:13" ht="39.75" customHeight="1">
      <c r="B32" s="71" t="s">
        <v>85</v>
      </c>
      <c r="C32" s="24">
        <f>1556172700.84</f>
        <v>1556172700.84</v>
      </c>
      <c r="D32" s="24">
        <f>769301101.27</f>
        <v>769301101.27</v>
      </c>
      <c r="E32" s="24">
        <f>769249057.44</f>
        <v>769249057.44</v>
      </c>
      <c r="F32" s="24" t="s">
        <v>64</v>
      </c>
      <c r="G32" s="24" t="s">
        <v>64</v>
      </c>
      <c r="H32" s="24" t="s">
        <v>64</v>
      </c>
      <c r="I32" s="24" t="s">
        <v>64</v>
      </c>
      <c r="J32" s="24" t="s">
        <v>64</v>
      </c>
      <c r="K32" s="32">
        <f t="shared" si="0"/>
        <v>0.41004099211168493</v>
      </c>
      <c r="L32" s="32">
        <f t="shared" si="1"/>
        <v>49.43545795750961</v>
      </c>
      <c r="M32" s="28"/>
    </row>
    <row r="33" spans="2:13" ht="24" customHeight="1">
      <c r="B33" s="74" t="s">
        <v>6</v>
      </c>
      <c r="C33" s="24">
        <f>1357339032.88</f>
        <v>1357339032.88</v>
      </c>
      <c r="D33" s="24">
        <f>639188955.76</f>
        <v>639188955.76</v>
      </c>
      <c r="E33" s="24">
        <f>639197993.13</f>
        <v>639197993.13</v>
      </c>
      <c r="F33" s="24" t="s">
        <v>64</v>
      </c>
      <c r="G33" s="24" t="s">
        <v>64</v>
      </c>
      <c r="H33" s="24" t="s">
        <v>64</v>
      </c>
      <c r="I33" s="24" t="s">
        <v>64</v>
      </c>
      <c r="J33" s="24" t="s">
        <v>64</v>
      </c>
      <c r="K33" s="32">
        <f t="shared" si="0"/>
        <v>0.34069062573027026</v>
      </c>
      <c r="L33" s="32">
        <f t="shared" si="1"/>
        <v>47.09132650549139</v>
      </c>
      <c r="M33" s="28"/>
    </row>
    <row r="34" spans="2:13" ht="22.5" customHeight="1">
      <c r="B34" s="71" t="s">
        <v>8</v>
      </c>
      <c r="C34" s="24">
        <f>658016877.58</f>
        <v>658016877.58</v>
      </c>
      <c r="D34" s="24">
        <f>272179527.02</f>
        <v>272179527.02</v>
      </c>
      <c r="E34" s="24">
        <f>271934591.71</f>
        <v>271934591.71</v>
      </c>
      <c r="F34" s="24" t="s">
        <v>64</v>
      </c>
      <c r="G34" s="24" t="s">
        <v>64</v>
      </c>
      <c r="H34" s="24" t="s">
        <v>64</v>
      </c>
      <c r="I34" s="24" t="s">
        <v>64</v>
      </c>
      <c r="J34" s="24" t="s">
        <v>64</v>
      </c>
      <c r="K34" s="32">
        <f t="shared" si="0"/>
        <v>0.1450729280219765</v>
      </c>
      <c r="L34" s="32">
        <f t="shared" si="1"/>
        <v>41.363608790856446</v>
      </c>
      <c r="M34" s="28"/>
    </row>
    <row r="35" spans="2:13" ht="21" customHeight="1">
      <c r="B35" s="74" t="s">
        <v>6</v>
      </c>
      <c r="C35" s="24">
        <f>494541456.76</f>
        <v>494541456.76</v>
      </c>
      <c r="D35" s="24">
        <f>146461419.06</f>
        <v>146461419.06</v>
      </c>
      <c r="E35" s="24">
        <f>146489439.06</f>
        <v>146489439.06</v>
      </c>
      <c r="F35" s="24" t="s">
        <v>64</v>
      </c>
      <c r="G35" s="24" t="s">
        <v>64</v>
      </c>
      <c r="H35" s="24" t="s">
        <v>64</v>
      </c>
      <c r="I35" s="24" t="s">
        <v>64</v>
      </c>
      <c r="J35" s="24" t="s">
        <v>64</v>
      </c>
      <c r="K35" s="32">
        <f t="shared" si="0"/>
        <v>0.07806460367508326</v>
      </c>
      <c r="L35" s="32">
        <f t="shared" si="1"/>
        <v>29.615599877014443</v>
      </c>
      <c r="M35" s="28"/>
    </row>
    <row r="36" spans="2:13" ht="25.5" customHeight="1">
      <c r="B36" s="68" t="s">
        <v>75</v>
      </c>
      <c r="C36" s="69">
        <f>3727756010.94</f>
        <v>3727756010.94</v>
      </c>
      <c r="D36" s="69">
        <f>1406982187.41</f>
        <v>1406982187.41</v>
      </c>
      <c r="E36" s="69">
        <f>1376866116.31</f>
        <v>1376866116.31</v>
      </c>
      <c r="F36" s="72" t="s">
        <v>64</v>
      </c>
      <c r="G36" s="72" t="s">
        <v>64</v>
      </c>
      <c r="H36" s="72" t="s">
        <v>64</v>
      </c>
      <c r="I36" s="72" t="s">
        <v>64</v>
      </c>
      <c r="J36" s="72" t="s">
        <v>64</v>
      </c>
      <c r="K36" s="70">
        <f t="shared" si="0"/>
        <v>0.7499279164642513</v>
      </c>
      <c r="L36" s="70">
        <f t="shared" si="1"/>
        <v>37.743408723126485</v>
      </c>
      <c r="M36" s="28"/>
    </row>
    <row r="37" spans="2:13" ht="19.5" customHeight="1">
      <c r="B37" s="29" t="s">
        <v>76</v>
      </c>
      <c r="C37" s="23">
        <f>2651059680.89</f>
        <v>2651059680.89</v>
      </c>
      <c r="D37" s="23">
        <f>690790072.92</f>
        <v>690790072.92</v>
      </c>
      <c r="E37" s="23">
        <f>667225457.11</f>
        <v>667225457.11</v>
      </c>
      <c r="F37" s="23" t="s">
        <v>64</v>
      </c>
      <c r="G37" s="23" t="s">
        <v>64</v>
      </c>
      <c r="H37" s="23" t="s">
        <v>64</v>
      </c>
      <c r="I37" s="23" t="s">
        <v>64</v>
      </c>
      <c r="J37" s="23" t="s">
        <v>64</v>
      </c>
      <c r="K37" s="32">
        <f t="shared" si="0"/>
        <v>0.3681942562845852</v>
      </c>
      <c r="L37" s="32">
        <f t="shared" si="1"/>
        <v>26.05713020719668</v>
      </c>
      <c r="M37" s="28"/>
    </row>
    <row r="38" spans="2:13" ht="25.5" customHeight="1">
      <c r="B38" s="68" t="s">
        <v>100</v>
      </c>
      <c r="C38" s="69">
        <f>21822592945.59</f>
        <v>21822592945.59</v>
      </c>
      <c r="D38" s="69">
        <f>8532765399.4</f>
        <v>8532765399.4</v>
      </c>
      <c r="E38" s="69">
        <f>8472232551.82</f>
        <v>8472232551.82</v>
      </c>
      <c r="F38" s="72" t="s">
        <v>64</v>
      </c>
      <c r="G38" s="72" t="s">
        <v>64</v>
      </c>
      <c r="H38" s="72" t="s">
        <v>64</v>
      </c>
      <c r="I38" s="72" t="s">
        <v>64</v>
      </c>
      <c r="J38" s="72" t="s">
        <v>64</v>
      </c>
      <c r="K38" s="70">
        <f t="shared" si="0"/>
        <v>4.5480028353661135</v>
      </c>
      <c r="L38" s="70">
        <f t="shared" si="1"/>
        <v>39.10060285079155</v>
      </c>
      <c r="M38" s="28"/>
    </row>
    <row r="39" spans="2:13" ht="21" customHeight="1">
      <c r="B39" s="29" t="s">
        <v>101</v>
      </c>
      <c r="C39" s="23">
        <f>18368011980.58</f>
        <v>18368011980.58</v>
      </c>
      <c r="D39" s="23">
        <f>6443149601.28</f>
        <v>6443149601.28</v>
      </c>
      <c r="E39" s="23">
        <f>6400308903.37</f>
        <v>6400308903.37</v>
      </c>
      <c r="F39" s="23" t="s">
        <v>64</v>
      </c>
      <c r="G39" s="23" t="s">
        <v>64</v>
      </c>
      <c r="H39" s="23" t="s">
        <v>64</v>
      </c>
      <c r="I39" s="23" t="s">
        <v>64</v>
      </c>
      <c r="J39" s="23" t="s">
        <v>64</v>
      </c>
      <c r="K39" s="32">
        <f t="shared" si="0"/>
        <v>3.4342280941381587</v>
      </c>
      <c r="L39" s="32">
        <f t="shared" si="1"/>
        <v>35.07809994947829</v>
      </c>
      <c r="M39" s="28"/>
    </row>
    <row r="40" spans="2:13" ht="35.25" customHeight="1">
      <c r="B40" s="68" t="s">
        <v>67</v>
      </c>
      <c r="C40" s="69">
        <f>C41+C42+C43+C44+C45+C46</f>
        <v>56083661878.89</v>
      </c>
      <c r="D40" s="69">
        <f>D41+D42+D43+D44+D45+D46</f>
        <v>46288106155</v>
      </c>
      <c r="E40" s="69">
        <f>E41+E42+E43+E44+E45+E46</f>
        <v>43095497386.509995</v>
      </c>
      <c r="F40" s="72" t="s">
        <v>64</v>
      </c>
      <c r="G40" s="72" t="s">
        <v>64</v>
      </c>
      <c r="H40" s="72" t="s">
        <v>64</v>
      </c>
      <c r="I40" s="72" t="s">
        <v>64</v>
      </c>
      <c r="J40" s="72" t="s">
        <v>64</v>
      </c>
      <c r="K40" s="70">
        <f t="shared" si="0"/>
        <v>24.671771481197727</v>
      </c>
      <c r="L40" s="70">
        <f t="shared" si="1"/>
        <v>82.53402970540148</v>
      </c>
      <c r="M40" s="28"/>
    </row>
    <row r="41" spans="2:13" ht="26.25" customHeight="1">
      <c r="B41" s="21" t="s">
        <v>50</v>
      </c>
      <c r="C41" s="23">
        <f>10708286206</f>
        <v>10708286206</v>
      </c>
      <c r="D41" s="23">
        <f>8031267243</f>
        <v>8031267243</v>
      </c>
      <c r="E41" s="23">
        <f>8031267243</f>
        <v>8031267243</v>
      </c>
      <c r="F41" s="23" t="s">
        <v>64</v>
      </c>
      <c r="G41" s="23" t="s">
        <v>64</v>
      </c>
      <c r="H41" s="23" t="s">
        <v>64</v>
      </c>
      <c r="I41" s="23" t="s">
        <v>64</v>
      </c>
      <c r="J41" s="23" t="s">
        <v>64</v>
      </c>
      <c r="K41" s="32">
        <f t="shared" si="0"/>
        <v>4.280702033049615</v>
      </c>
      <c r="L41" s="32">
        <f t="shared" si="1"/>
        <v>75.00049110099401</v>
      </c>
      <c r="M41" s="28"/>
    </row>
    <row r="42" spans="2:13" ht="26.25" customHeight="1">
      <c r="B42" s="21" t="s">
        <v>49</v>
      </c>
      <c r="C42" s="23">
        <f>42970050978.89</f>
        <v>42970050978.89</v>
      </c>
      <c r="D42" s="23">
        <f>36376079525</f>
        <v>36376079525</v>
      </c>
      <c r="E42" s="23">
        <f>33183470756.51</f>
        <v>33183470756.51</v>
      </c>
      <c r="F42" s="23" t="s">
        <v>64</v>
      </c>
      <c r="G42" s="23" t="s">
        <v>64</v>
      </c>
      <c r="H42" s="23" t="s">
        <v>64</v>
      </c>
      <c r="I42" s="23" t="s">
        <v>64</v>
      </c>
      <c r="J42" s="23" t="s">
        <v>64</v>
      </c>
      <c r="K42" s="32">
        <f t="shared" si="0"/>
        <v>19.38861612565094</v>
      </c>
      <c r="L42" s="32">
        <f t="shared" si="1"/>
        <v>84.6544946918275</v>
      </c>
      <c r="M42" s="28"/>
    </row>
    <row r="43" spans="2:13" ht="26.25" customHeight="1">
      <c r="B43" s="21" t="s">
        <v>48</v>
      </c>
      <c r="C43" s="23">
        <f>1563829</f>
        <v>1563829</v>
      </c>
      <c r="D43" s="23">
        <f>0</f>
        <v>0</v>
      </c>
      <c r="E43" s="23">
        <f>0</f>
        <v>0</v>
      </c>
      <c r="F43" s="23" t="s">
        <v>64</v>
      </c>
      <c r="G43" s="23" t="s">
        <v>64</v>
      </c>
      <c r="H43" s="23" t="s">
        <v>64</v>
      </c>
      <c r="I43" s="23" t="s">
        <v>64</v>
      </c>
      <c r="J43" s="23" t="s">
        <v>64</v>
      </c>
      <c r="K43" s="32">
        <f t="shared" si="0"/>
        <v>0</v>
      </c>
      <c r="L43" s="32">
        <f t="shared" si="1"/>
        <v>0</v>
      </c>
      <c r="M43" s="28"/>
    </row>
    <row r="44" spans="2:13" ht="26.25" customHeight="1">
      <c r="B44" s="21" t="s">
        <v>47</v>
      </c>
      <c r="C44" s="23">
        <f>1720955599</f>
        <v>1720955599</v>
      </c>
      <c r="D44" s="23">
        <f>1290722139</f>
        <v>1290722139</v>
      </c>
      <c r="E44" s="23">
        <f>1290722139</f>
        <v>1290722139</v>
      </c>
      <c r="F44" s="23" t="s">
        <v>64</v>
      </c>
      <c r="G44" s="23" t="s">
        <v>64</v>
      </c>
      <c r="H44" s="23" t="s">
        <v>64</v>
      </c>
      <c r="I44" s="23" t="s">
        <v>64</v>
      </c>
      <c r="J44" s="23" t="s">
        <v>64</v>
      </c>
      <c r="K44" s="32">
        <f t="shared" si="0"/>
        <v>0.6879607809508734</v>
      </c>
      <c r="L44" s="32">
        <f t="shared" si="1"/>
        <v>75.00031608892195</v>
      </c>
      <c r="M44" s="28"/>
    </row>
    <row r="45" spans="2:13" ht="26.25" customHeight="1">
      <c r="B45" s="21" t="s">
        <v>63</v>
      </c>
      <c r="C45" s="23">
        <f>347075971</f>
        <v>347075971</v>
      </c>
      <c r="D45" s="23">
        <f>254038248</f>
        <v>254038248</v>
      </c>
      <c r="E45" s="23">
        <f>254038248</f>
        <v>254038248</v>
      </c>
      <c r="F45" s="23" t="s">
        <v>64</v>
      </c>
      <c r="G45" s="23" t="s">
        <v>64</v>
      </c>
      <c r="H45" s="23" t="s">
        <v>64</v>
      </c>
      <c r="I45" s="23" t="s">
        <v>64</v>
      </c>
      <c r="J45" s="23" t="s">
        <v>64</v>
      </c>
      <c r="K45" s="32">
        <f t="shared" si="0"/>
        <v>0.13540354364795756</v>
      </c>
      <c r="L45" s="32">
        <f t="shared" si="1"/>
        <v>73.19384492912648</v>
      </c>
      <c r="M45" s="28"/>
    </row>
    <row r="46" spans="2:13" ht="26.25" customHeight="1">
      <c r="B46" s="21" t="s">
        <v>45</v>
      </c>
      <c r="C46" s="23">
        <f>335729295</f>
        <v>335729295</v>
      </c>
      <c r="D46" s="23">
        <f>335999000</f>
        <v>335999000</v>
      </c>
      <c r="E46" s="23">
        <f>335999000</f>
        <v>335999000</v>
      </c>
      <c r="F46" s="23" t="s">
        <v>64</v>
      </c>
      <c r="G46" s="23" t="s">
        <v>64</v>
      </c>
      <c r="H46" s="23" t="s">
        <v>64</v>
      </c>
      <c r="I46" s="23" t="s">
        <v>64</v>
      </c>
      <c r="J46" s="23" t="s">
        <v>64</v>
      </c>
      <c r="K46" s="32">
        <f t="shared" si="0"/>
        <v>0.17908899789834046</v>
      </c>
      <c r="L46" s="32">
        <f t="shared" si="1"/>
        <v>100.08033406795793</v>
      </c>
      <c r="M46" s="28"/>
    </row>
    <row r="47" spans="1:13" s="6" customFormat="1" ht="13.5" customHeight="1">
      <c r="A47" s="3"/>
      <c r="B47" s="22"/>
      <c r="C47" s="8"/>
      <c r="D47" s="9"/>
      <c r="E47" s="9"/>
      <c r="F47" s="16"/>
      <c r="G47" s="16"/>
      <c r="H47" s="16"/>
      <c r="I47" s="16"/>
      <c r="J47" s="16"/>
      <c r="K47" s="10"/>
      <c r="L47" s="10"/>
      <c r="M47" s="4"/>
    </row>
    <row r="48" spans="1:13" s="6" customFormat="1" ht="18.75" customHeight="1">
      <c r="A48" s="3"/>
      <c r="B48" s="75" t="s">
        <v>5</v>
      </c>
      <c r="C48" s="76">
        <f aca="true" t="shared" si="4" ref="C48:J48">+C6</f>
        <v>256796354285.93</v>
      </c>
      <c r="D48" s="76">
        <f t="shared" si="4"/>
        <v>187615656987.89</v>
      </c>
      <c r="E48" s="76">
        <f t="shared" si="4"/>
        <v>180681559310.16</v>
      </c>
      <c r="F48" s="76">
        <f t="shared" si="4"/>
        <v>2431345559.59</v>
      </c>
      <c r="G48" s="76">
        <f t="shared" si="4"/>
        <v>593499251.24</v>
      </c>
      <c r="H48" s="76">
        <f t="shared" si="4"/>
        <v>78295817.27</v>
      </c>
      <c r="I48" s="76">
        <f t="shared" si="4"/>
        <v>184749458.11</v>
      </c>
      <c r="J48" s="76">
        <f t="shared" si="4"/>
        <v>2778915.5</v>
      </c>
      <c r="K48" s="77">
        <f>IF($D$48=0,"",100*$D48/$D$48)</f>
        <v>99.99999999999999</v>
      </c>
      <c r="L48" s="77">
        <f t="shared" si="1"/>
        <v>73.06009367212016</v>
      </c>
      <c r="M48" s="4"/>
    </row>
    <row r="49" spans="1:13" s="6" customFormat="1" ht="24.75" customHeight="1">
      <c r="A49" s="3"/>
      <c r="B49" s="66" t="s">
        <v>79</v>
      </c>
      <c r="C49" s="67">
        <f>33507662160.98</f>
        <v>33507662160.98</v>
      </c>
      <c r="D49" s="67">
        <f>12340404450.45</f>
        <v>12340404450.45</v>
      </c>
      <c r="E49" s="67">
        <f>12260492775.49</f>
        <v>12260492775.49</v>
      </c>
      <c r="F49" s="67">
        <f>0</f>
        <v>0</v>
      </c>
      <c r="G49" s="67">
        <f>0</f>
        <v>0</v>
      </c>
      <c r="H49" s="67">
        <f>0</f>
        <v>0</v>
      </c>
      <c r="I49" s="67">
        <f>156011.8</f>
        <v>156011.8</v>
      </c>
      <c r="J49" s="67">
        <f>80110</f>
        <v>80110</v>
      </c>
      <c r="K49" s="33">
        <f>IF($D$48=0,"",100*$D49/$D$48)</f>
        <v>6.577491798164016</v>
      </c>
      <c r="L49" s="33">
        <f t="shared" si="1"/>
        <v>36.82860472677357</v>
      </c>
      <c r="M49" s="4"/>
    </row>
    <row r="50" spans="1:13" s="6" customFormat="1" ht="24.75" customHeight="1">
      <c r="A50" s="3"/>
      <c r="B50" s="66" t="s">
        <v>80</v>
      </c>
      <c r="C50" s="67">
        <f>+C48-C49</f>
        <v>223288692124.94998</v>
      </c>
      <c r="D50" s="67">
        <f aca="true" t="shared" si="5" ref="D50:J50">+D48-D49</f>
        <v>175275252537.44</v>
      </c>
      <c r="E50" s="67">
        <f t="shared" si="5"/>
        <v>168421066534.67</v>
      </c>
      <c r="F50" s="67">
        <f t="shared" si="5"/>
        <v>2431345559.59</v>
      </c>
      <c r="G50" s="67">
        <f t="shared" si="5"/>
        <v>593499251.24</v>
      </c>
      <c r="H50" s="67">
        <f t="shared" si="5"/>
        <v>78295817.27</v>
      </c>
      <c r="I50" s="67">
        <f t="shared" si="5"/>
        <v>184593446.31</v>
      </c>
      <c r="J50" s="67">
        <f t="shared" si="5"/>
        <v>2698805.5</v>
      </c>
      <c r="K50" s="33">
        <f>IF($D$48=0,"",100*$D50/$D$48)</f>
        <v>93.42250820183598</v>
      </c>
      <c r="L50" s="33">
        <f t="shared" si="1"/>
        <v>78.49714684134467</v>
      </c>
      <c r="M50" s="4"/>
    </row>
    <row r="51" spans="1:13" s="6" customFormat="1" ht="13.5" customHeight="1">
      <c r="A51" s="3"/>
      <c r="B51" s="22"/>
      <c r="C51" s="8"/>
      <c r="D51" s="9"/>
      <c r="E51" s="9"/>
      <c r="F51" s="16"/>
      <c r="G51" s="16"/>
      <c r="H51" s="16"/>
      <c r="I51" s="16"/>
      <c r="J51" s="16"/>
      <c r="K51" s="10"/>
      <c r="L51" s="10"/>
      <c r="M51" s="4"/>
    </row>
    <row r="52" spans="2:13" ht="58.5" customHeight="1">
      <c r="B52" s="102" t="s">
        <v>115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</row>
    <row r="53" spans="2:13" s="6" customFormat="1" ht="13.5" customHeight="1">
      <c r="B53" s="7"/>
      <c r="C53" s="8"/>
      <c r="D53" s="9"/>
      <c r="E53" s="9"/>
      <c r="F53" s="5"/>
      <c r="G53" s="5"/>
      <c r="H53" s="5"/>
      <c r="I53" s="5"/>
      <c r="J53" s="5"/>
      <c r="K53" s="10"/>
      <c r="L53" s="10"/>
      <c r="M53" s="4"/>
    </row>
    <row r="54" spans="2:27" ht="29.25" customHeight="1">
      <c r="B54" s="104" t="s">
        <v>0</v>
      </c>
      <c r="C54" s="103" t="s">
        <v>59</v>
      </c>
      <c r="D54" s="103" t="s">
        <v>60</v>
      </c>
      <c r="E54" s="103" t="s">
        <v>61</v>
      </c>
      <c r="F54" s="103" t="s">
        <v>12</v>
      </c>
      <c r="G54" s="103"/>
      <c r="H54" s="103"/>
      <c r="I54" s="103" t="s">
        <v>102</v>
      </c>
      <c r="J54" s="103"/>
      <c r="K54" s="103" t="s">
        <v>2</v>
      </c>
      <c r="L54" s="109" t="s">
        <v>36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2:27" ht="18" customHeight="1">
      <c r="B55" s="104"/>
      <c r="C55" s="103"/>
      <c r="D55" s="107"/>
      <c r="E55" s="103"/>
      <c r="F55" s="94" t="s">
        <v>62</v>
      </c>
      <c r="G55" s="108" t="s">
        <v>34</v>
      </c>
      <c r="H55" s="107"/>
      <c r="I55" s="103"/>
      <c r="J55" s="103"/>
      <c r="K55" s="103"/>
      <c r="L55" s="109"/>
      <c r="M55" s="12"/>
      <c r="N55" s="13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2:27" ht="36" customHeight="1">
      <c r="B56" s="104"/>
      <c r="C56" s="103"/>
      <c r="D56" s="107"/>
      <c r="E56" s="103"/>
      <c r="F56" s="107"/>
      <c r="G56" s="18" t="s">
        <v>57</v>
      </c>
      <c r="H56" s="18" t="s">
        <v>58</v>
      </c>
      <c r="I56" s="103"/>
      <c r="J56" s="103"/>
      <c r="K56" s="103"/>
      <c r="L56" s="109"/>
      <c r="M56" s="12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2:27" ht="13.5" customHeight="1">
      <c r="B57" s="104"/>
      <c r="C57" s="101" t="s">
        <v>84</v>
      </c>
      <c r="D57" s="101"/>
      <c r="E57" s="101"/>
      <c r="F57" s="101"/>
      <c r="G57" s="101"/>
      <c r="H57" s="101"/>
      <c r="I57" s="101"/>
      <c r="J57" s="101"/>
      <c r="K57" s="101" t="s">
        <v>4</v>
      </c>
      <c r="L57" s="10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2:27" ht="11.25" customHeight="1">
      <c r="B58" s="17">
        <v>1</v>
      </c>
      <c r="C58" s="19">
        <v>2</v>
      </c>
      <c r="D58" s="19">
        <v>3</v>
      </c>
      <c r="E58" s="19">
        <v>4</v>
      </c>
      <c r="F58" s="17">
        <v>5</v>
      </c>
      <c r="G58" s="17">
        <v>6</v>
      </c>
      <c r="H58" s="19">
        <v>7</v>
      </c>
      <c r="I58" s="107">
        <v>8</v>
      </c>
      <c r="J58" s="107"/>
      <c r="K58" s="17">
        <v>9</v>
      </c>
      <c r="L58" s="19">
        <v>10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12" ht="44.25" customHeight="1">
      <c r="B59" s="68" t="s">
        <v>68</v>
      </c>
      <c r="C59" s="76">
        <f>282240895236.61</f>
        <v>282240895236.61</v>
      </c>
      <c r="D59" s="76">
        <f>233503025916.67</f>
        <v>233503025916.67</v>
      </c>
      <c r="E59" s="76">
        <f>176255580031.05</f>
        <v>176255580031.05</v>
      </c>
      <c r="F59" s="76">
        <f>7653840465.2</f>
        <v>7653840465.2</v>
      </c>
      <c r="G59" s="76">
        <f>21192578.87</f>
        <v>21192578.87</v>
      </c>
      <c r="H59" s="76">
        <f>44246307.25</f>
        <v>44246307.25</v>
      </c>
      <c r="I59" s="110">
        <f>0</f>
        <v>0</v>
      </c>
      <c r="J59" s="110"/>
      <c r="K59" s="60">
        <f aca="true" t="shared" si="6" ref="K59:K70">IF($E$59=0,"",100*$E59/$E$59)</f>
        <v>100</v>
      </c>
      <c r="L59" s="60">
        <f aca="true" t="shared" si="7" ref="L59:L70">IF(C59=0,"",100*E59/C59)</f>
        <v>62.44863271259479</v>
      </c>
    </row>
    <row r="60" spans="2:12" ht="24" customHeight="1">
      <c r="B60" s="20" t="s">
        <v>14</v>
      </c>
      <c r="C60" s="26">
        <f>71040579460.03</f>
        <v>71040579460.03</v>
      </c>
      <c r="D60" s="26">
        <f>49734508159.09</f>
        <v>49734508159.09</v>
      </c>
      <c r="E60" s="26">
        <f>26347789649.55</f>
        <v>26347789649.55</v>
      </c>
      <c r="F60" s="26">
        <f>3310876174.87</f>
        <v>3310876174.87</v>
      </c>
      <c r="G60" s="26">
        <f>2028016.75</f>
        <v>2028016.75</v>
      </c>
      <c r="H60" s="26">
        <f>12747864.16</f>
        <v>12747864.16</v>
      </c>
      <c r="I60" s="111">
        <f>0</f>
        <v>0</v>
      </c>
      <c r="J60" s="112"/>
      <c r="K60" s="34">
        <f t="shared" si="6"/>
        <v>14.948627240572158</v>
      </c>
      <c r="L60" s="34">
        <f t="shared" si="7"/>
        <v>37.088365339663675</v>
      </c>
    </row>
    <row r="61" spans="2:12" ht="22.5" customHeight="1">
      <c r="B61" s="21" t="s">
        <v>13</v>
      </c>
      <c r="C61" s="23">
        <f>69273183750.19</f>
        <v>69273183750.19</v>
      </c>
      <c r="D61" s="23">
        <f>48358589773.26</f>
        <v>48358589773.26</v>
      </c>
      <c r="E61" s="23">
        <f>25082197857.51</f>
        <v>25082197857.51</v>
      </c>
      <c r="F61" s="23">
        <f>3171807800.17</f>
        <v>3171807800.17</v>
      </c>
      <c r="G61" s="23">
        <f>2028016.75</f>
        <v>2028016.75</v>
      </c>
      <c r="H61" s="23">
        <f>12747864.16</f>
        <v>12747864.16</v>
      </c>
      <c r="I61" s="105">
        <f>0</f>
        <v>0</v>
      </c>
      <c r="J61" s="106"/>
      <c r="K61" s="35">
        <f t="shared" si="6"/>
        <v>14.230583708664092</v>
      </c>
      <c r="L61" s="35">
        <f t="shared" si="7"/>
        <v>36.20765857674501</v>
      </c>
    </row>
    <row r="62" spans="2:12" ht="44.25" customHeight="1">
      <c r="B62" s="68" t="s">
        <v>69</v>
      </c>
      <c r="C62" s="76">
        <f aca="true" t="shared" si="8" ref="C62:I62">C59-C60</f>
        <v>211200315776.58</v>
      </c>
      <c r="D62" s="76">
        <f t="shared" si="8"/>
        <v>183768517757.58002</v>
      </c>
      <c r="E62" s="76">
        <f t="shared" si="8"/>
        <v>149907790381.5</v>
      </c>
      <c r="F62" s="76">
        <f t="shared" si="8"/>
        <v>4342964290.33</v>
      </c>
      <c r="G62" s="76">
        <f t="shared" si="8"/>
        <v>19164562.12</v>
      </c>
      <c r="H62" s="76">
        <f t="shared" si="8"/>
        <v>31498443.09</v>
      </c>
      <c r="I62" s="110">
        <f t="shared" si="8"/>
        <v>0</v>
      </c>
      <c r="J62" s="110"/>
      <c r="K62" s="60">
        <f t="shared" si="6"/>
        <v>85.05137275942785</v>
      </c>
      <c r="L62" s="60">
        <f t="shared" si="7"/>
        <v>70.97896129098652</v>
      </c>
    </row>
    <row r="63" spans="2:12" ht="22.5" customHeight="1">
      <c r="B63" s="21" t="s">
        <v>56</v>
      </c>
      <c r="C63" s="23">
        <f>69532949693.8</f>
        <v>69532949693.8</v>
      </c>
      <c r="D63" s="23">
        <f>65141641101.84</f>
        <v>65141641101.84</v>
      </c>
      <c r="E63" s="23">
        <f>51743515379.9</f>
        <v>51743515379.9</v>
      </c>
      <c r="F63" s="23">
        <f>1185869874.97</f>
        <v>1185869874.97</v>
      </c>
      <c r="G63" s="23">
        <f>419783.71</f>
        <v>419783.71</v>
      </c>
      <c r="H63" s="23">
        <f>4202273.46</f>
        <v>4202273.46</v>
      </c>
      <c r="I63" s="105">
        <f>0</f>
        <v>0</v>
      </c>
      <c r="J63" s="106"/>
      <c r="K63" s="35">
        <f t="shared" si="6"/>
        <v>29.357093472322763</v>
      </c>
      <c r="L63" s="35">
        <f t="shared" si="7"/>
        <v>74.41582099962858</v>
      </c>
    </row>
    <row r="64" spans="2:12" ht="22.5" customHeight="1">
      <c r="B64" s="21" t="s">
        <v>51</v>
      </c>
      <c r="C64" s="23">
        <f>62922158565.9</f>
        <v>62922158565.9</v>
      </c>
      <c r="D64" s="23">
        <f>59133893992.64</f>
        <v>59133893992.64</v>
      </c>
      <c r="E64" s="23">
        <f>46027580602.76</f>
        <v>46027580602.76</v>
      </c>
      <c r="F64" s="23">
        <f>1155031320.88</f>
        <v>1155031320.88</v>
      </c>
      <c r="G64" s="23">
        <f>416905.62</f>
        <v>416905.62</v>
      </c>
      <c r="H64" s="23">
        <f>3944577.17</f>
        <v>3944577.17</v>
      </c>
      <c r="I64" s="105">
        <f>0</f>
        <v>0</v>
      </c>
      <c r="J64" s="106"/>
      <c r="K64" s="35">
        <f t="shared" si="6"/>
        <v>26.11411258279118</v>
      </c>
      <c r="L64" s="35">
        <f t="shared" si="7"/>
        <v>73.1500343468893</v>
      </c>
    </row>
    <row r="65" spans="2:12" ht="22.5" customHeight="1">
      <c r="B65" s="21" t="s">
        <v>55</v>
      </c>
      <c r="C65" s="23">
        <f>13206496475.5</f>
        <v>13206496475.5</v>
      </c>
      <c r="D65" s="23">
        <f>12329353190.17</f>
        <v>12329353190.17</v>
      </c>
      <c r="E65" s="23">
        <f>9283605774.81</f>
        <v>9283605774.81</v>
      </c>
      <c r="F65" s="23">
        <f>654041359.89</f>
        <v>654041359.89</v>
      </c>
      <c r="G65" s="23">
        <f>81245.24</f>
        <v>81245.24</v>
      </c>
      <c r="H65" s="23">
        <f>1973016.52</f>
        <v>1973016.52</v>
      </c>
      <c r="I65" s="105">
        <f>0</f>
        <v>0</v>
      </c>
      <c r="J65" s="106"/>
      <c r="K65" s="35">
        <f t="shared" si="6"/>
        <v>5.267127300692867</v>
      </c>
      <c r="L65" s="35">
        <f t="shared" si="7"/>
        <v>70.29575021681534</v>
      </c>
    </row>
    <row r="66" spans="2:12" ht="22.5" customHeight="1">
      <c r="B66" s="21" t="s">
        <v>54</v>
      </c>
      <c r="C66" s="23">
        <f>21686300438.28</f>
        <v>21686300438.28</v>
      </c>
      <c r="D66" s="23">
        <f>18936414534.77</f>
        <v>18936414534.77</v>
      </c>
      <c r="E66" s="23">
        <f>16096425367.42</f>
        <v>16096425367.42</v>
      </c>
      <c r="F66" s="23">
        <f>15838721.77</f>
        <v>15838721.77</v>
      </c>
      <c r="G66" s="23">
        <f>56593.57</f>
        <v>56593.57</v>
      </c>
      <c r="H66" s="23">
        <f>843537.65</f>
        <v>843537.65</v>
      </c>
      <c r="I66" s="105">
        <f>0</f>
        <v>0</v>
      </c>
      <c r="J66" s="106"/>
      <c r="K66" s="35">
        <f t="shared" si="6"/>
        <v>9.132434482122143</v>
      </c>
      <c r="L66" s="35">
        <f t="shared" si="7"/>
        <v>74.22393419860161</v>
      </c>
    </row>
    <row r="67" spans="2:12" ht="22.5" customHeight="1">
      <c r="B67" s="21" t="s">
        <v>53</v>
      </c>
      <c r="C67" s="23">
        <f>2332805529.9</f>
        <v>2332805529.9</v>
      </c>
      <c r="D67" s="23">
        <f>1610613472.8</f>
        <v>1610613472.8</v>
      </c>
      <c r="E67" s="23">
        <f>1265862743.17</f>
        <v>1265862743.17</v>
      </c>
      <c r="F67" s="23">
        <f>49788739.16</f>
        <v>49788739.16</v>
      </c>
      <c r="G67" s="23">
        <f>7452205.15</f>
        <v>7452205.15</v>
      </c>
      <c r="H67" s="23">
        <f>626547.34</f>
        <v>626547.34</v>
      </c>
      <c r="I67" s="105">
        <f>0</f>
        <v>0</v>
      </c>
      <c r="J67" s="106"/>
      <c r="K67" s="35">
        <f t="shared" si="6"/>
        <v>0.7181972581787197</v>
      </c>
      <c r="L67" s="35">
        <f t="shared" si="7"/>
        <v>54.263534913013665</v>
      </c>
    </row>
    <row r="68" spans="2:12" ht="33.75" customHeight="1">
      <c r="B68" s="21" t="s">
        <v>72</v>
      </c>
      <c r="C68" s="23">
        <f>298926117.35</f>
        <v>298926117.35</v>
      </c>
      <c r="D68" s="23">
        <f>47494346.91</f>
        <v>47494346.91</v>
      </c>
      <c r="E68" s="23">
        <f>19577199.9</f>
        <v>19577199.9</v>
      </c>
      <c r="F68" s="23">
        <f>295590.87</f>
        <v>295590.87</v>
      </c>
      <c r="G68" s="23">
        <f>0</f>
        <v>0</v>
      </c>
      <c r="H68" s="23">
        <f>0</f>
        <v>0</v>
      </c>
      <c r="I68" s="105">
        <f>0</f>
        <v>0</v>
      </c>
      <c r="J68" s="106"/>
      <c r="K68" s="35">
        <f t="shared" si="6"/>
        <v>0.01110727949523708</v>
      </c>
      <c r="L68" s="35">
        <f t="shared" si="7"/>
        <v>6.549176791092455</v>
      </c>
    </row>
    <row r="69" spans="2:12" ht="30" customHeight="1">
      <c r="B69" s="21" t="s">
        <v>74</v>
      </c>
      <c r="C69" s="23">
        <f>41006427181.39</f>
        <v>41006427181.39</v>
      </c>
      <c r="D69" s="23">
        <f>35856644937.32</f>
        <v>35856644937.32</v>
      </c>
      <c r="E69" s="23">
        <f>31731372272.99</f>
        <v>31731372272.99</v>
      </c>
      <c r="F69" s="23">
        <f>291915701.72</f>
        <v>291915701.72</v>
      </c>
      <c r="G69" s="23">
        <f>114769.54</f>
        <v>114769.54</v>
      </c>
      <c r="H69" s="23">
        <f>623177.93</f>
        <v>623177.93</v>
      </c>
      <c r="I69" s="105">
        <f>0</f>
        <v>0</v>
      </c>
      <c r="J69" s="106"/>
      <c r="K69" s="35">
        <f t="shared" si="6"/>
        <v>18.003045502105554</v>
      </c>
      <c r="L69" s="35">
        <f t="shared" si="7"/>
        <v>77.38146055160516</v>
      </c>
    </row>
    <row r="70" spans="2:12" ht="22.5" customHeight="1">
      <c r="B70" s="21" t="s">
        <v>52</v>
      </c>
      <c r="C70" s="23">
        <f aca="true" t="shared" si="9" ref="C70:I70">C62-C63-C65-C66-C67-C68-C69</f>
        <v>63136410340.35997</v>
      </c>
      <c r="D70" s="23">
        <f t="shared" si="9"/>
        <v>49846356173.77001</v>
      </c>
      <c r="E70" s="23">
        <f t="shared" si="9"/>
        <v>39767431643.31001</v>
      </c>
      <c r="F70" s="23">
        <f t="shared" si="9"/>
        <v>2145214301.95</v>
      </c>
      <c r="G70" s="23">
        <f t="shared" si="9"/>
        <v>11039964.910000002</v>
      </c>
      <c r="H70" s="23">
        <f t="shared" si="9"/>
        <v>23229890.19</v>
      </c>
      <c r="I70" s="105">
        <f t="shared" si="9"/>
        <v>0</v>
      </c>
      <c r="J70" s="106"/>
      <c r="K70" s="35">
        <f t="shared" si="6"/>
        <v>22.562367464510572</v>
      </c>
      <c r="L70" s="35">
        <f t="shared" si="7"/>
        <v>62.98652620402252</v>
      </c>
    </row>
    <row r="71" spans="2:13" ht="24" customHeight="1">
      <c r="B71" s="20" t="s">
        <v>15</v>
      </c>
      <c r="C71" s="26">
        <f>C6-C59</f>
        <v>-25444540950.679993</v>
      </c>
      <c r="D71" s="26"/>
      <c r="E71" s="26">
        <f>D6-E59</f>
        <v>11360076956.840027</v>
      </c>
      <c r="F71" s="26"/>
      <c r="G71" s="26"/>
      <c r="H71" s="26"/>
      <c r="I71" s="111"/>
      <c r="J71" s="111"/>
      <c r="K71" s="27"/>
      <c r="L71" s="27"/>
      <c r="M71" s="14"/>
    </row>
    <row r="72" spans="2:13" ht="38.25">
      <c r="B72" s="61" t="s">
        <v>83</v>
      </c>
      <c r="C72" s="62">
        <f>+C50-C62</f>
        <v>12088376348.369995</v>
      </c>
      <c r="D72" s="62"/>
      <c r="E72" s="62">
        <f>+D50-E62</f>
        <v>25367462155.940002</v>
      </c>
      <c r="F72" s="62"/>
      <c r="G72" s="62"/>
      <c r="H72" s="62"/>
      <c r="I72" s="99"/>
      <c r="J72" s="100"/>
      <c r="K72" s="27"/>
      <c r="L72" s="27"/>
      <c r="M72" s="14"/>
    </row>
    <row r="73" spans="2:13" ht="12" customHeight="1" thickBot="1">
      <c r="B73" s="63"/>
      <c r="C73" s="64"/>
      <c r="D73" s="64"/>
      <c r="E73" s="64"/>
      <c r="F73" s="2"/>
      <c r="G73" s="2"/>
      <c r="H73" s="2"/>
      <c r="I73" s="2"/>
      <c r="L73" s="11"/>
      <c r="M73" s="11"/>
    </row>
    <row r="74" spans="2:13" ht="12" customHeight="1" thickBot="1">
      <c r="B74" s="65" t="s">
        <v>77</v>
      </c>
      <c r="C74" s="64"/>
      <c r="D74" s="64"/>
      <c r="E74" s="64"/>
      <c r="F74" s="2"/>
      <c r="G74" s="2"/>
      <c r="H74" s="2"/>
      <c r="I74" s="2"/>
      <c r="L74" s="11"/>
      <c r="M74" s="11"/>
    </row>
    <row r="75" spans="2:13" ht="35.25" customHeight="1">
      <c r="B75" s="81" t="s">
        <v>78</v>
      </c>
      <c r="C75" s="76">
        <f>37086893998.05</f>
        <v>37086893998.05</v>
      </c>
      <c r="D75" s="76">
        <f>25884823340.89</f>
        <v>25884823340.89</v>
      </c>
      <c r="E75" s="76">
        <f>14728107631.52</f>
        <v>14728107631.52</v>
      </c>
      <c r="F75" s="76">
        <f>1178017881.76</f>
        <v>1178017881.76</v>
      </c>
      <c r="G75" s="76">
        <f>1311026.68</f>
        <v>1311026.68</v>
      </c>
      <c r="H75" s="76">
        <f>8805983.98</f>
        <v>8805983.98</v>
      </c>
      <c r="I75" s="110">
        <f>0</f>
        <v>0</v>
      </c>
      <c r="J75" s="110"/>
      <c r="K75" s="60">
        <f>IF($E$75=0,"",100*$E75/$E$75)</f>
        <v>100</v>
      </c>
      <c r="L75" s="60">
        <f>IF(C75=0,"",100*E75/C75)</f>
        <v>39.71243219314724</v>
      </c>
      <c r="M75" s="11"/>
    </row>
    <row r="76" spans="2:13" ht="21.75" customHeight="1">
      <c r="B76" s="78" t="s">
        <v>81</v>
      </c>
      <c r="C76" s="79">
        <f>31661485084.24</f>
        <v>31661485084.24</v>
      </c>
      <c r="D76" s="79">
        <f>22219065287.63</f>
        <v>22219065287.63</v>
      </c>
      <c r="E76" s="79">
        <f>11961231850.21</f>
        <v>11961231850.21</v>
      </c>
      <c r="F76" s="79">
        <f>1134621925.05</f>
        <v>1134621925.05</v>
      </c>
      <c r="G76" s="79">
        <f>1311026.68</f>
        <v>1311026.68</v>
      </c>
      <c r="H76" s="79">
        <f>7865602.34</f>
        <v>7865602.34</v>
      </c>
      <c r="I76" s="113">
        <f>0</f>
        <v>0</v>
      </c>
      <c r="J76" s="113"/>
      <c r="K76" s="80">
        <f>IF($E$75=0,"",100*$E76/$E$75)</f>
        <v>81.21363687356182</v>
      </c>
      <c r="L76" s="80">
        <f>IF(C76=0,"",100*E76/C76)</f>
        <v>37.77849275984811</v>
      </c>
      <c r="M76" s="11"/>
    </row>
    <row r="77" spans="2:12" ht="24" customHeight="1">
      <c r="B77" s="78" t="s">
        <v>82</v>
      </c>
      <c r="C77" s="79">
        <f aca="true" t="shared" si="10" ref="C77:I77">C75-C76</f>
        <v>5425408913.810001</v>
      </c>
      <c r="D77" s="79">
        <f t="shared" si="10"/>
        <v>3665758053.2599983</v>
      </c>
      <c r="E77" s="79">
        <f t="shared" si="10"/>
        <v>2766875781.3100014</v>
      </c>
      <c r="F77" s="79">
        <f t="shared" si="10"/>
        <v>43395956.71000004</v>
      </c>
      <c r="G77" s="79">
        <f t="shared" si="10"/>
        <v>0</v>
      </c>
      <c r="H77" s="79">
        <f t="shared" si="10"/>
        <v>940381.6400000006</v>
      </c>
      <c r="I77" s="113">
        <f t="shared" si="10"/>
        <v>0</v>
      </c>
      <c r="J77" s="113"/>
      <c r="K77" s="80">
        <f>IF($E$75=0,"",100*$E77/$E$75)</f>
        <v>18.786363126438182</v>
      </c>
      <c r="L77" s="80">
        <f>IF(C77=0,"",100*E77/C77)</f>
        <v>50.998474497785985</v>
      </c>
    </row>
    <row r="78" spans="2:13" ht="20.25">
      <c r="B78" s="102" t="s">
        <v>115</v>
      </c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</row>
    <row r="79" spans="2:8" ht="12.75">
      <c r="B79" s="41" t="s">
        <v>16</v>
      </c>
      <c r="C79" s="93" t="s">
        <v>17</v>
      </c>
      <c r="D79" s="89"/>
      <c r="E79" s="93" t="s">
        <v>1</v>
      </c>
      <c r="F79" s="89"/>
      <c r="G79" s="19" t="s">
        <v>26</v>
      </c>
      <c r="H79" s="19" t="s">
        <v>27</v>
      </c>
    </row>
    <row r="80" spans="2:8" ht="12.75">
      <c r="B80" s="41"/>
      <c r="C80" s="94" t="s">
        <v>84</v>
      </c>
      <c r="D80" s="95"/>
      <c r="E80" s="95"/>
      <c r="F80" s="96"/>
      <c r="G80" s="97" t="s">
        <v>4</v>
      </c>
      <c r="H80" s="98"/>
    </row>
    <row r="81" spans="2:8" ht="12.75">
      <c r="B81" s="39">
        <v>1</v>
      </c>
      <c r="C81" s="43">
        <v>2</v>
      </c>
      <c r="D81" s="44"/>
      <c r="E81" s="43">
        <v>3</v>
      </c>
      <c r="F81" s="44"/>
      <c r="G81" s="40">
        <v>4</v>
      </c>
      <c r="H81" s="40">
        <v>5</v>
      </c>
    </row>
    <row r="82" spans="2:8" ht="25.5">
      <c r="B82" s="38" t="s">
        <v>70</v>
      </c>
      <c r="C82" s="45">
        <f>35228969378.28</f>
        <v>35228969378.28</v>
      </c>
      <c r="D82" s="46"/>
      <c r="E82" s="45">
        <f>27752475964.08</f>
        <v>27752475964.08</v>
      </c>
      <c r="F82" s="46"/>
      <c r="G82" s="42">
        <f>IF($E$82=0,"",100*$E82/$E$82)</f>
        <v>100</v>
      </c>
      <c r="H82" s="34">
        <f>IF(C82=0,"",100*E82/C82)</f>
        <v>78.77742793460901</v>
      </c>
    </row>
    <row r="83" spans="2:8" ht="33.75">
      <c r="B83" s="37" t="s">
        <v>103</v>
      </c>
      <c r="C83" s="47">
        <f>20862365802.63</f>
        <v>20862365802.63</v>
      </c>
      <c r="D83" s="48"/>
      <c r="E83" s="47">
        <f>5023737065.9</f>
        <v>5023737065.9</v>
      </c>
      <c r="F83" s="48"/>
      <c r="G83" s="58">
        <f aca="true" t="shared" si="11" ref="G83:G89">IF($E$82=0,"",100*$E83/$E$82)</f>
        <v>18.101941867825474</v>
      </c>
      <c r="H83" s="59">
        <f aca="true" t="shared" si="12" ref="H83:H94">IF(C83=0,"",100*E83/C83)</f>
        <v>24.080380496763627</v>
      </c>
    </row>
    <row r="84" spans="2:8" ht="22.5">
      <c r="B84" s="30" t="s">
        <v>104</v>
      </c>
      <c r="C84" s="82">
        <f>564108260.7</f>
        <v>564108260.7</v>
      </c>
      <c r="D84" s="83"/>
      <c r="E84" s="82">
        <f>91496000</f>
        <v>91496000</v>
      </c>
      <c r="F84" s="83"/>
      <c r="G84" s="84">
        <f t="shared" si="11"/>
        <v>0.32968589944343407</v>
      </c>
      <c r="H84" s="80">
        <f t="shared" si="12"/>
        <v>16.219581660878873</v>
      </c>
    </row>
    <row r="85" spans="2:8" ht="12.75">
      <c r="B85" s="85" t="s">
        <v>105</v>
      </c>
      <c r="C85" s="82">
        <f>166328510.27</f>
        <v>166328510.27</v>
      </c>
      <c r="D85" s="83"/>
      <c r="E85" s="82">
        <f>59911321.84</f>
        <v>59911321.84</v>
      </c>
      <c r="F85" s="83"/>
      <c r="G85" s="84">
        <f t="shared" si="11"/>
        <v>0.21587739384962681</v>
      </c>
      <c r="H85" s="80">
        <f t="shared" si="12"/>
        <v>36.019875211258935</v>
      </c>
    </row>
    <row r="86" spans="2:8" ht="12.75">
      <c r="B86" s="85" t="s">
        <v>106</v>
      </c>
      <c r="C86" s="82">
        <f>2416398841.88</f>
        <v>2416398841.88</v>
      </c>
      <c r="D86" s="83"/>
      <c r="E86" s="82">
        <f>3171877373.16</f>
        <v>3171877373.16</v>
      </c>
      <c r="F86" s="83"/>
      <c r="G86" s="84">
        <f t="shared" si="11"/>
        <v>11.429168976726103</v>
      </c>
      <c r="H86" s="80">
        <f t="shared" si="12"/>
        <v>131.2646454793127</v>
      </c>
    </row>
    <row r="87" spans="2:8" ht="12.75">
      <c r="B87" s="85" t="s">
        <v>107</v>
      </c>
      <c r="C87" s="82">
        <f>0</f>
        <v>0</v>
      </c>
      <c r="D87" s="83"/>
      <c r="E87" s="82">
        <f>0.53</f>
        <v>0.53</v>
      </c>
      <c r="F87" s="83"/>
      <c r="G87" s="84">
        <f t="shared" si="11"/>
        <v>1.9097395154435174E-09</v>
      </c>
      <c r="H87" s="80">
        <f t="shared" si="12"/>
      </c>
    </row>
    <row r="88" spans="2:8" ht="33.75">
      <c r="B88" s="85" t="s">
        <v>108</v>
      </c>
      <c r="C88" s="82">
        <f>11404153459.77</f>
        <v>11404153459.77</v>
      </c>
      <c r="D88" s="83"/>
      <c r="E88" s="82">
        <f>19239406992.36</f>
        <v>19239406992.36</v>
      </c>
      <c r="F88" s="83"/>
      <c r="G88" s="84">
        <f t="shared" si="11"/>
        <v>69.32501091888717</v>
      </c>
      <c r="H88" s="80">
        <f t="shared" si="12"/>
        <v>168.70526216812257</v>
      </c>
    </row>
    <row r="89" spans="2:8" ht="12.75">
      <c r="B89" s="85" t="s">
        <v>86</v>
      </c>
      <c r="C89" s="82">
        <f>379722763.73</f>
        <v>379722763.73</v>
      </c>
      <c r="D89" s="83"/>
      <c r="E89" s="82">
        <f>257543210.29</f>
        <v>257543210.29</v>
      </c>
      <c r="F89" s="83"/>
      <c r="G89" s="84">
        <f t="shared" si="11"/>
        <v>0.9280008408018725</v>
      </c>
      <c r="H89" s="80">
        <f t="shared" si="12"/>
        <v>67.82401132872951</v>
      </c>
    </row>
    <row r="90" spans="2:8" ht="25.5">
      <c r="B90" s="38" t="s">
        <v>71</v>
      </c>
      <c r="C90" s="55">
        <f>9758945456.14</f>
        <v>9758945456.14</v>
      </c>
      <c r="D90" s="56"/>
      <c r="E90" s="55">
        <f>6650257289.43</f>
        <v>6650257289.43</v>
      </c>
      <c r="F90" s="56"/>
      <c r="G90" s="42">
        <f>IF($E$90=0,"",100*$E90/$E$90)</f>
        <v>100</v>
      </c>
      <c r="H90" s="34">
        <f t="shared" si="12"/>
        <v>68.14524498900526</v>
      </c>
    </row>
    <row r="91" spans="2:8" ht="33.75">
      <c r="B91" s="37" t="s">
        <v>109</v>
      </c>
      <c r="C91" s="47">
        <f>8650072602.73</f>
        <v>8650072602.73</v>
      </c>
      <c r="D91" s="53"/>
      <c r="E91" s="54">
        <f>5470293964.01</f>
        <v>5470293964.01</v>
      </c>
      <c r="F91" s="53"/>
      <c r="G91" s="58">
        <f>IF($E$90=0,"",100*$E91/$E$90)</f>
        <v>82.25687707909515</v>
      </c>
      <c r="H91" s="59">
        <f t="shared" si="12"/>
        <v>63.239861851373966</v>
      </c>
    </row>
    <row r="92" spans="2:8" ht="22.5">
      <c r="B92" s="30" t="s">
        <v>110</v>
      </c>
      <c r="C92" s="82">
        <f>553552303</f>
        <v>553552303</v>
      </c>
      <c r="D92" s="83"/>
      <c r="E92" s="82">
        <f>334830499</f>
        <v>334830499</v>
      </c>
      <c r="F92" s="83"/>
      <c r="G92" s="84">
        <f>IF($E$90=0,"",100*$E92/$E$90)</f>
        <v>5.034850298682183</v>
      </c>
      <c r="H92" s="80">
        <f t="shared" si="12"/>
        <v>60.48759930820846</v>
      </c>
    </row>
    <row r="93" spans="2:8" ht="12.75">
      <c r="B93" s="85" t="s">
        <v>111</v>
      </c>
      <c r="C93" s="82">
        <f>239857138.39</f>
        <v>239857138.39</v>
      </c>
      <c r="D93" s="83"/>
      <c r="E93" s="82">
        <f>173505790.12</f>
        <v>173505790.12</v>
      </c>
      <c r="F93" s="83"/>
      <c r="G93" s="84">
        <f>IF($E$90=0,"",100*$E93/$E$90)</f>
        <v>2.6090086829538492</v>
      </c>
      <c r="H93" s="80">
        <f t="shared" si="12"/>
        <v>72.33713838355112</v>
      </c>
    </row>
    <row r="94" spans="2:8" ht="12.75">
      <c r="B94" s="36" t="s">
        <v>33</v>
      </c>
      <c r="C94" s="47">
        <f>869015715.02</f>
        <v>869015715.02</v>
      </c>
      <c r="D94" s="50"/>
      <c r="E94" s="47">
        <f>1006457535.3</f>
        <v>1006457535.3</v>
      </c>
      <c r="F94" s="50"/>
      <c r="G94" s="58">
        <f>IF($E$90=0,"",100*$E94/$E$90)</f>
        <v>15.134114237951001</v>
      </c>
      <c r="H94" s="59">
        <f t="shared" si="12"/>
        <v>115.81580377713156</v>
      </c>
    </row>
    <row r="96" spans="2:8" ht="12.75">
      <c r="B96" s="41" t="s">
        <v>16</v>
      </c>
      <c r="C96" s="93" t="s">
        <v>17</v>
      </c>
      <c r="D96" s="89"/>
      <c r="E96" s="93" t="s">
        <v>1</v>
      </c>
      <c r="F96" s="89"/>
      <c r="G96" s="19" t="s">
        <v>26</v>
      </c>
      <c r="H96" s="19" t="s">
        <v>27</v>
      </c>
    </row>
    <row r="97" spans="2:8" ht="12.75">
      <c r="B97" s="41"/>
      <c r="C97" s="94" t="s">
        <v>84</v>
      </c>
      <c r="D97" s="95"/>
      <c r="E97" s="95"/>
      <c r="F97" s="96"/>
      <c r="G97" s="97" t="s">
        <v>4</v>
      </c>
      <c r="H97" s="98"/>
    </row>
    <row r="98" spans="2:8" ht="12.75">
      <c r="B98" s="39">
        <v>1</v>
      </c>
      <c r="C98" s="43">
        <v>2</v>
      </c>
      <c r="D98" s="44"/>
      <c r="E98" s="43">
        <v>3</v>
      </c>
      <c r="F98" s="44"/>
      <c r="G98" s="40">
        <v>4</v>
      </c>
      <c r="H98" s="40">
        <v>5</v>
      </c>
    </row>
    <row r="99" spans="2:8" ht="22.5">
      <c r="B99" s="57" t="s">
        <v>87</v>
      </c>
      <c r="C99" s="52">
        <f>25673359706.67</f>
        <v>25673359706.67</v>
      </c>
      <c r="D99" s="49"/>
      <c r="E99" s="52">
        <f>0</f>
        <v>0</v>
      </c>
      <c r="F99" s="46"/>
      <c r="G99" s="42"/>
      <c r="H99" s="34"/>
    </row>
    <row r="100" spans="2:8" ht="56.25">
      <c r="B100" s="51" t="s">
        <v>88</v>
      </c>
      <c r="C100" s="54">
        <f>370407844.16</f>
        <v>370407844.16</v>
      </c>
      <c r="D100" s="53"/>
      <c r="E100" s="54">
        <f>0</f>
        <v>0</v>
      </c>
      <c r="F100" s="53"/>
      <c r="G100" s="58"/>
      <c r="H100" s="59"/>
    </row>
    <row r="101" spans="2:8" ht="12.75">
      <c r="B101" s="51" t="s">
        <v>89</v>
      </c>
      <c r="C101" s="54">
        <f>15345717894.87</f>
        <v>15345717894.87</v>
      </c>
      <c r="D101" s="53"/>
      <c r="E101" s="54">
        <f>0</f>
        <v>0</v>
      </c>
      <c r="F101" s="53"/>
      <c r="G101" s="58"/>
      <c r="H101" s="59"/>
    </row>
    <row r="102" spans="2:8" ht="33.75">
      <c r="B102" s="51" t="s">
        <v>90</v>
      </c>
      <c r="C102" s="54">
        <f>0</f>
        <v>0</v>
      </c>
      <c r="D102" s="53"/>
      <c r="E102" s="54">
        <f>0</f>
        <v>0</v>
      </c>
      <c r="F102" s="53"/>
      <c r="G102" s="58"/>
      <c r="H102" s="59"/>
    </row>
    <row r="103" spans="2:8" ht="33.75">
      <c r="B103" s="51" t="s">
        <v>91</v>
      </c>
      <c r="C103" s="54">
        <f>1742867709.96</f>
        <v>1742867709.96</v>
      </c>
      <c r="D103" s="53"/>
      <c r="E103" s="54">
        <f>0</f>
        <v>0</v>
      </c>
      <c r="F103" s="53"/>
      <c r="G103" s="58"/>
      <c r="H103" s="59"/>
    </row>
    <row r="104" spans="2:8" ht="101.25">
      <c r="B104" s="51" t="s">
        <v>92</v>
      </c>
      <c r="C104" s="54">
        <f>8214366257.68</f>
        <v>8214366257.68</v>
      </c>
      <c r="D104" s="53"/>
      <c r="E104" s="54">
        <f>0</f>
        <v>0</v>
      </c>
      <c r="F104" s="53"/>
      <c r="G104" s="58"/>
      <c r="H104" s="59"/>
    </row>
    <row r="106" spans="2:6" ht="12.75">
      <c r="B106" s="41" t="s">
        <v>16</v>
      </c>
      <c r="C106" s="93" t="s">
        <v>114</v>
      </c>
      <c r="D106" s="88"/>
      <c r="E106" s="88"/>
      <c r="F106" s="89"/>
    </row>
    <row r="107" spans="2:6" ht="12.75">
      <c r="B107" s="41"/>
      <c r="C107" s="94" t="s">
        <v>84</v>
      </c>
      <c r="D107" s="95"/>
      <c r="E107" s="95"/>
      <c r="F107" s="96"/>
    </row>
    <row r="108" spans="2:6" ht="12.75">
      <c r="B108" s="39">
        <v>1</v>
      </c>
      <c r="C108" s="90">
        <v>2</v>
      </c>
      <c r="D108" s="91"/>
      <c r="E108" s="91"/>
      <c r="F108" s="92"/>
    </row>
    <row r="109" spans="2:6" ht="56.25">
      <c r="B109" s="57" t="s">
        <v>93</v>
      </c>
      <c r="C109" s="87">
        <f>697316347.91</f>
        <v>697316347.91</v>
      </c>
      <c r="D109" s="88"/>
      <c r="E109" s="88"/>
      <c r="F109" s="89"/>
    </row>
    <row r="110" spans="2:6" ht="45">
      <c r="B110" s="86" t="s">
        <v>94</v>
      </c>
      <c r="C110" s="87">
        <f>400622185.19</f>
        <v>400622185.19</v>
      </c>
      <c r="D110" s="88"/>
      <c r="E110" s="88"/>
      <c r="F110" s="89"/>
    </row>
    <row r="111" spans="2:6" ht="45">
      <c r="B111" s="86" t="s">
        <v>95</v>
      </c>
      <c r="C111" s="87">
        <f>136164287.73</f>
        <v>136164287.73</v>
      </c>
      <c r="D111" s="88"/>
      <c r="E111" s="88"/>
      <c r="F111" s="89"/>
    </row>
    <row r="112" spans="2:6" ht="78.75">
      <c r="B112" s="86" t="s">
        <v>96</v>
      </c>
      <c r="C112" s="87">
        <f>6498923</f>
        <v>6498923</v>
      </c>
      <c r="D112" s="88"/>
      <c r="E112" s="88"/>
      <c r="F112" s="89"/>
    </row>
    <row r="113" spans="2:6" ht="56.25">
      <c r="B113" s="86" t="s">
        <v>97</v>
      </c>
      <c r="C113" s="87">
        <f>130249620</f>
        <v>130249620</v>
      </c>
      <c r="D113" s="88"/>
      <c r="E113" s="88"/>
      <c r="F113" s="89"/>
    </row>
    <row r="114" spans="2:6" ht="56.25">
      <c r="B114" s="86" t="s">
        <v>98</v>
      </c>
      <c r="C114" s="87">
        <f>6151432.29</f>
        <v>6151432.29</v>
      </c>
      <c r="D114" s="88"/>
      <c r="E114" s="88"/>
      <c r="F114" s="89"/>
    </row>
    <row r="115" spans="2:6" ht="56.25">
      <c r="B115" s="86" t="s">
        <v>99</v>
      </c>
      <c r="C115" s="87">
        <f>0</f>
        <v>0</v>
      </c>
      <c r="D115" s="88"/>
      <c r="E115" s="88"/>
      <c r="F115" s="89"/>
    </row>
    <row r="116" spans="2:6" ht="112.5">
      <c r="B116" s="86" t="s">
        <v>112</v>
      </c>
      <c r="C116" s="87">
        <f>9059769.77</f>
        <v>9059769.77</v>
      </c>
      <c r="D116" s="88"/>
      <c r="E116" s="88"/>
      <c r="F116" s="89"/>
    </row>
    <row r="117" spans="2:6" ht="112.5">
      <c r="B117" s="86" t="s">
        <v>113</v>
      </c>
      <c r="C117" s="87">
        <f>6080159.25</f>
        <v>6080159.25</v>
      </c>
      <c r="D117" s="88"/>
      <c r="E117" s="88"/>
      <c r="F117" s="89"/>
    </row>
  </sheetData>
  <sheetProtection/>
  <mergeCells count="56">
    <mergeCell ref="I58:J58"/>
    <mergeCell ref="I77:J77"/>
    <mergeCell ref="I69:J69"/>
    <mergeCell ref="I67:J67"/>
    <mergeCell ref="I68:J68"/>
    <mergeCell ref="I70:J70"/>
    <mergeCell ref="I71:J71"/>
    <mergeCell ref="I75:J75"/>
    <mergeCell ref="I76:J76"/>
    <mergeCell ref="I63:J63"/>
    <mergeCell ref="I65:J65"/>
    <mergeCell ref="I66:J66"/>
    <mergeCell ref="I59:J59"/>
    <mergeCell ref="I60:J60"/>
    <mergeCell ref="I61:J61"/>
    <mergeCell ref="I62:J62"/>
    <mergeCell ref="B1:M1"/>
    <mergeCell ref="B78:M78"/>
    <mergeCell ref="I54:J56"/>
    <mergeCell ref="D54:D56"/>
    <mergeCell ref="E54:E56"/>
    <mergeCell ref="F55:F56"/>
    <mergeCell ref="F54:H54"/>
    <mergeCell ref="G55:H55"/>
    <mergeCell ref="L54:L56"/>
    <mergeCell ref="B3:B4"/>
    <mergeCell ref="I72:J72"/>
    <mergeCell ref="K4:M4"/>
    <mergeCell ref="C4:J4"/>
    <mergeCell ref="B52:M52"/>
    <mergeCell ref="C57:J57"/>
    <mergeCell ref="C54:C56"/>
    <mergeCell ref="B54:B57"/>
    <mergeCell ref="K54:K56"/>
    <mergeCell ref="K57:L57"/>
    <mergeCell ref="I64:J64"/>
    <mergeCell ref="G80:H80"/>
    <mergeCell ref="C107:F107"/>
    <mergeCell ref="C96:D96"/>
    <mergeCell ref="E96:F96"/>
    <mergeCell ref="C97:F97"/>
    <mergeCell ref="G97:H97"/>
    <mergeCell ref="C106:F106"/>
    <mergeCell ref="C108:F108"/>
    <mergeCell ref="C109:F109"/>
    <mergeCell ref="C79:D79"/>
    <mergeCell ref="E79:F79"/>
    <mergeCell ref="C80:F80"/>
    <mergeCell ref="C114:F114"/>
    <mergeCell ref="C115:F115"/>
    <mergeCell ref="C116:F116"/>
    <mergeCell ref="C117:F117"/>
    <mergeCell ref="C113:F113"/>
    <mergeCell ref="C110:F110"/>
    <mergeCell ref="C111:F111"/>
    <mergeCell ref="C112:F112"/>
  </mergeCells>
  <printOptions/>
  <pageMargins left="0.1968503937007874" right="0.1968503937007874" top="0.5511811023622047" bottom="0.3937007874015748" header="0.31496062992125984" footer="0.1968503937007874"/>
  <pageSetup firstPageNumber="1" useFirstPageNumber="1" horizontalDpi="600" verticalDpi="600" orientation="landscape" paperSize="9" scale="55" r:id="rId3"/>
  <headerFooter alignWithMargins="0">
    <oddFooter>&amp;RStrona &amp;P z &amp;N</oddFooter>
  </headerFooter>
  <rowBreaks count="4" manualBreakCount="4">
    <brk id="21" max="255" man="1"/>
    <brk id="51" max="255" man="1"/>
    <brk id="77" max="12" man="1"/>
    <brk id="105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2018-03-19T09:12:59Z</cp:lastPrinted>
  <dcterms:created xsi:type="dcterms:W3CDTF">2001-05-17T08:58:03Z</dcterms:created>
  <dcterms:modified xsi:type="dcterms:W3CDTF">2018-11-19T09:27:10Z</dcterms:modified>
  <cp:category/>
  <cp:version/>
  <cp:contentType/>
  <cp:contentStatus/>
</cp:coreProperties>
</file>