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doch_wyd" sheetId="4" r:id="rId1"/>
  </sheets>
  <definedNames>
    <definedName name="_xlnm.Print_Area" localSheetId="0">doch_wyd!$A$1:$L$94</definedName>
  </definedNames>
  <calcPr calcId="152511"/>
</workbook>
</file>

<file path=xl/calcChain.xml><?xml version="1.0" encoding="utf-8"?>
<calcChain xmlns="http://schemas.openxmlformats.org/spreadsheetml/2006/main">
  <c r="C94" i="4" l="1"/>
  <c r="C93" i="4"/>
  <c r="C92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78" i="4"/>
  <c r="C78" i="4"/>
  <c r="D77" i="4"/>
  <c r="C77" i="4"/>
  <c r="D76" i="4"/>
  <c r="C76" i="4"/>
  <c r="D75" i="4"/>
  <c r="C75" i="4"/>
  <c r="D74" i="4"/>
  <c r="J78" i="4" s="1"/>
  <c r="C74" i="4"/>
  <c r="D73" i="4"/>
  <c r="C73" i="4"/>
  <c r="K73" i="4" s="1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H52" i="4" s="1"/>
  <c r="H58" i="4" s="1"/>
  <c r="G50" i="4"/>
  <c r="F50" i="4"/>
  <c r="E50" i="4"/>
  <c r="D50" i="4"/>
  <c r="D52" i="4" s="1"/>
  <c r="C50" i="4"/>
  <c r="I49" i="4"/>
  <c r="H49" i="4"/>
  <c r="G49" i="4"/>
  <c r="F49" i="4"/>
  <c r="E49" i="4"/>
  <c r="D49" i="4"/>
  <c r="C49" i="4"/>
  <c r="D39" i="4"/>
  <c r="C39" i="4"/>
  <c r="D36" i="4"/>
  <c r="C36" i="4"/>
  <c r="K36" i="4" s="1"/>
  <c r="D35" i="4"/>
  <c r="J35" i="4" s="1"/>
  <c r="C35" i="4"/>
  <c r="D34" i="4"/>
  <c r="K34" i="4" s="1"/>
  <c r="C34" i="4"/>
  <c r="D33" i="4"/>
  <c r="C33" i="4"/>
  <c r="D32" i="4"/>
  <c r="C32" i="4"/>
  <c r="D31" i="4"/>
  <c r="C31" i="4"/>
  <c r="D30" i="4"/>
  <c r="J30" i="4" s="1"/>
  <c r="C30" i="4"/>
  <c r="D29" i="4"/>
  <c r="C29" i="4"/>
  <c r="D28" i="4"/>
  <c r="C28" i="4"/>
  <c r="D27" i="4"/>
  <c r="J27" i="4" s="1"/>
  <c r="C27" i="4"/>
  <c r="D26" i="4"/>
  <c r="J26" i="4" s="1"/>
  <c r="C26" i="4"/>
  <c r="D25" i="4"/>
  <c r="C25" i="4"/>
  <c r="C14" i="4" s="1"/>
  <c r="C13" i="4" s="1"/>
  <c r="D24" i="4"/>
  <c r="C24" i="4"/>
  <c r="D23" i="4"/>
  <c r="C23" i="4"/>
  <c r="D22" i="4"/>
  <c r="C22" i="4"/>
  <c r="D21" i="4"/>
  <c r="C21" i="4"/>
  <c r="D20" i="4"/>
  <c r="C20" i="4"/>
  <c r="D19" i="4"/>
  <c r="D14" i="4" s="1"/>
  <c r="D13" i="4" s="1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C59" i="4" s="1"/>
  <c r="D92" i="4"/>
  <c r="J17" i="4"/>
  <c r="J29" i="4"/>
  <c r="J33" i="4"/>
  <c r="J6" i="4"/>
  <c r="J18" i="4"/>
  <c r="J9" i="4"/>
  <c r="J34" i="4"/>
  <c r="J19" i="4"/>
  <c r="J24" i="4"/>
  <c r="J15" i="4"/>
  <c r="J36" i="4"/>
  <c r="J31" i="4"/>
  <c r="J11" i="4"/>
  <c r="J28" i="4"/>
  <c r="J23" i="4"/>
  <c r="D38" i="4"/>
  <c r="J38" i="4" s="1"/>
  <c r="J20" i="4"/>
  <c r="D59" i="4"/>
  <c r="J8" i="4"/>
  <c r="J16" i="4"/>
  <c r="J10" i="4"/>
  <c r="J25" i="4"/>
  <c r="J32" i="4"/>
  <c r="J21" i="4"/>
  <c r="J22" i="4"/>
  <c r="J49" i="4"/>
  <c r="J53" i="4"/>
  <c r="J50" i="4"/>
  <c r="J56" i="4"/>
  <c r="J55" i="4"/>
  <c r="J51" i="4"/>
  <c r="J57" i="4"/>
  <c r="J54" i="4"/>
  <c r="F52" i="4"/>
  <c r="F58" i="4" s="1"/>
  <c r="K53" i="4"/>
  <c r="K55" i="4"/>
  <c r="K57" i="4"/>
  <c r="J66" i="4"/>
  <c r="J70" i="4"/>
  <c r="J73" i="4"/>
  <c r="J69" i="4"/>
  <c r="J68" i="4"/>
  <c r="J72" i="4"/>
  <c r="J67" i="4"/>
  <c r="J65" i="4"/>
  <c r="J71" i="4"/>
  <c r="J76" i="4"/>
  <c r="J77" i="4"/>
  <c r="K6" i="4"/>
  <c r="K8" i="4"/>
  <c r="K9" i="4"/>
  <c r="K10" i="4"/>
  <c r="K11" i="4"/>
  <c r="K15" i="4"/>
  <c r="K16" i="4"/>
  <c r="K17" i="4"/>
  <c r="K18" i="4"/>
  <c r="K19" i="4"/>
  <c r="K20" i="4"/>
  <c r="K21" i="4"/>
  <c r="K22" i="4"/>
  <c r="K23" i="4"/>
  <c r="K24" i="4"/>
  <c r="K26" i="4"/>
  <c r="K27" i="4"/>
  <c r="K28" i="4"/>
  <c r="K29" i="4"/>
  <c r="K30" i="4"/>
  <c r="K31" i="4"/>
  <c r="K32" i="4"/>
  <c r="K35" i="4"/>
  <c r="K39" i="4"/>
  <c r="K49" i="4"/>
  <c r="C52" i="4"/>
  <c r="E52" i="4"/>
  <c r="G52" i="4"/>
  <c r="I52" i="4"/>
  <c r="I58" i="4"/>
  <c r="K51" i="4"/>
  <c r="K54" i="4"/>
  <c r="K56" i="4"/>
  <c r="K65" i="4"/>
  <c r="K66" i="4"/>
  <c r="K67" i="4"/>
  <c r="K68" i="4"/>
  <c r="K69" i="4"/>
  <c r="K70" i="4"/>
  <c r="K71" i="4"/>
  <c r="K72" i="4"/>
  <c r="K74" i="4"/>
  <c r="K75" i="4"/>
  <c r="K76" i="4"/>
  <c r="K77" i="4"/>
  <c r="K78" i="4"/>
  <c r="C58" i="4"/>
  <c r="D40" i="4" l="1"/>
  <c r="J40" i="4" s="1"/>
  <c r="J74" i="4"/>
  <c r="J75" i="4"/>
  <c r="G58" i="4"/>
  <c r="E58" i="4"/>
  <c r="J52" i="4"/>
  <c r="K52" i="4"/>
  <c r="D58" i="4"/>
  <c r="J58" i="4" s="1"/>
  <c r="K50" i="4"/>
  <c r="J39" i="4"/>
  <c r="K33" i="4"/>
  <c r="K25" i="4"/>
  <c r="K13" i="4"/>
  <c r="K14" i="4"/>
  <c r="J13" i="4"/>
  <c r="D7" i="4"/>
  <c r="D12" i="4" s="1"/>
  <c r="J14" i="4"/>
  <c r="C38" i="4"/>
  <c r="C7" i="4"/>
  <c r="K58" i="4" l="1"/>
  <c r="L10" i="4"/>
  <c r="L7" i="4"/>
  <c r="L9" i="4"/>
  <c r="J7" i="4"/>
  <c r="L11" i="4"/>
  <c r="L8" i="4"/>
  <c r="J12" i="4"/>
  <c r="L12" i="4"/>
  <c r="C12" i="4"/>
  <c r="K12" i="4" s="1"/>
  <c r="K7" i="4"/>
  <c r="C40" i="4"/>
  <c r="K40" i="4" s="1"/>
  <c r="K38" i="4"/>
</calcChain>
</file>

<file path=xl/sharedStrings.xml><?xml version="1.0" encoding="utf-8"?>
<sst xmlns="http://schemas.openxmlformats.org/spreadsheetml/2006/main" count="356" uniqueCount="94">
  <si>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</si>
  <si>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</si>
  <si>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</si>
  <si>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</si>
  <si>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</si>
  <si>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</si>
  <si>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</si>
  <si>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</si>
  <si>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</si>
  <si>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</si>
  <si>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</si>
  <si>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</si>
  <si>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</si>
  <si>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</si>
  <si>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</si>
  <si>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</si>
  <si>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</si>
  <si>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</si>
  <si>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</si>
  <si>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</si>
  <si>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</si>
  <si>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</si>
  <si>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</si>
  <si>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</si>
  <si>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</si>
  <si>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</si>
  <si>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</si>
  <si>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</si>
  <si>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</si>
  <si>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</si>
  <si>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</si>
  <si>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</si>
  <si>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</si>
  <si>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</si>
  <si>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</si>
  <si>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</si>
  <si>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</si>
  <si>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</si>
  <si>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</si>
  <si>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</si>
  <si>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</si>
  <si>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</si>
  <si>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</si>
  <si>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</si>
  <si>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</si>
  <si>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</si>
  <si>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</si>
  <si>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</si>
  <si>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</si>
  <si>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</si>
  <si>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</si>
  <si>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</si>
  <si>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</si>
  <si>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</si>
  <si>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</si>
  <si>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</si>
  <si>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</si>
  <si>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</si>
  <si>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</si>
  <si>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</si>
  <si>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</si>
  <si>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</si>
  <si>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</si>
  <si>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</si>
  <si>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</si>
  <si>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</si>
  <si>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</si>
  <si>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</si>
  <si>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</si>
  <si>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</si>
  <si>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</si>
  <si>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</si>
  <si>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</si>
  <si>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</si>
  <si>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</si>
  <si>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</si>
  <si>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</si>
  <si>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</si>
  <si>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</si>
  <si>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</si>
  <si>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</si>
  <si>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</si>
  <si>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FINANSOWANIE DEFICYTU (E1+E2+E3+E4+E5+E6+E7)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</si>
  <si>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</si>
  <si>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</si>
  <si>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</si>
  <si>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</si>
  <si>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</si>
  <si>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</si>
  <si>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</si>
  <si>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</si>
  <si>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</si>
  <si>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=""</t>
  </si>
  <si>
    <t>Informacja z wykonania budżetów związków jednostek samorządu terytorialnego za III Kwartały 2022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</si>
</sst>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4" fontId="10" fillId="20" borderId="10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 vertical="center"/>
    </xf>
    <xf numFmtId="164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4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4" fontId="9" fillId="21" borderId="10" xfId="28" applyNumberFormat="1" applyFont="1" applyFill="1" applyBorder="1" applyAlignment="1">
      <alignment horizontal="right" vertical="center"/>
    </xf>
    <xf numFmtId="164" fontId="9" fillId="21" borderId="10" xfId="0" applyNumberFormat="1" applyFont="1" applyFill="1" applyBorder="1" applyAlignment="1">
      <alignment horizontal="right" vertical="center"/>
    </xf>
    <xf numFmtId="164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4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4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4" fontId="9" fillId="0" borderId="10" xfId="28" applyNumberFormat="1" applyFont="1" applyFill="1" applyBorder="1" applyAlignment="1">
      <alignment horizontal="right" vertical="center"/>
    </xf>
    <xf numFmtId="164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6" fillId="0" borderId="0" xfId="0" applyFont="1"/>
    <xf numFmtId="49" fontId="2" fillId="0" borderId="0" xfId="0" applyNumberFormat="1" applyFont="1"/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ny" xfId="0" builtinId="0"/>
    <cellStyle name="Normalny 2" xfId="39"/>
    <cellStyle name="Normalny 2 2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95"/>
  <sheetViews>
    <sheetView tabSelected="1" topLeftCell="B1" zoomScaleNormal="100" workbookViewId="0">
      <selection activeCell="B3" sqref="B3:B4"/>
    </sheetView>
  </sheetViews>
  <sheetFormatPr defaultColWidth="9.1796875" defaultRowHeight="12.5" outlineLevelRow="1" outlineLevelCol="1" x14ac:dyDescent="0.25"/>
  <cols>
    <col min="1" max="1" width="5.7265625" style="1" hidden="1" customWidth="1"/>
    <col min="2" max="2" width="30.7265625" style="1" customWidth="1"/>
    <col min="3" max="4" width="15.7265625" style="1" customWidth="1"/>
    <col min="5" max="9" width="15.7265625" style="1" customWidth="1" outlineLevel="1"/>
    <col min="10" max="10" width="13" style="1" customWidth="1"/>
    <col min="11" max="11" width="9.7265625" style="1" customWidth="1"/>
    <col min="12" max="12" width="10.1796875" style="1" customWidth="1"/>
    <col min="13" max="13" width="8.1796875" style="1" customWidth="1"/>
    <col min="14" max="16384" width="9.1796875" style="1"/>
  </cols>
  <sheetData>
    <row r="1" spans="2:12" ht="18" customHeight="1" x14ac:dyDescent="0.25">
      <c r="B1" s="112" t="s">
        <v>93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5"/>
    <row r="3" spans="2:12" ht="66.75" customHeight="1" x14ac:dyDescent="0.25">
      <c r="B3" s="119" t="s">
        <v>0</v>
      </c>
      <c r="C3" s="39" t="s">
        <v>59</v>
      </c>
      <c r="D3" s="39" t="s">
        <v>60</v>
      </c>
      <c r="E3" s="11" t="s">
        <v>83</v>
      </c>
      <c r="F3" s="11" t="s">
        <v>84</v>
      </c>
      <c r="G3" s="11" t="s">
        <v>85</v>
      </c>
      <c r="H3" s="11" t="s">
        <v>86</v>
      </c>
      <c r="I3" s="11" t="s">
        <v>87</v>
      </c>
      <c r="J3" s="41" t="s">
        <v>2</v>
      </c>
      <c r="K3" s="39" t="s">
        <v>18</v>
      </c>
      <c r="L3" s="39" t="s">
        <v>3</v>
      </c>
    </row>
    <row r="4" spans="2:12" x14ac:dyDescent="0.25">
      <c r="B4" s="119"/>
      <c r="C4" s="125" t="s">
        <v>41</v>
      </c>
      <c r="D4" s="127"/>
      <c r="E4" s="128" t="s">
        <v>81</v>
      </c>
      <c r="F4" s="129"/>
      <c r="G4" s="129"/>
      <c r="H4" s="129"/>
      <c r="I4" s="130"/>
      <c r="J4" s="125" t="s">
        <v>4</v>
      </c>
      <c r="K4" s="126"/>
      <c r="L4" s="127"/>
    </row>
    <row r="5" spans="2:12" x14ac:dyDescent="0.25">
      <c r="B5" s="41">
        <v>1</v>
      </c>
      <c r="C5" s="40">
        <v>2</v>
      </c>
      <c r="D5" s="40">
        <v>3</v>
      </c>
      <c r="E5" s="131"/>
      <c r="F5" s="132"/>
      <c r="G5" s="132"/>
      <c r="H5" s="132"/>
      <c r="I5" s="133"/>
      <c r="J5" s="40">
        <v>4</v>
      </c>
      <c r="K5" s="40">
        <v>5</v>
      </c>
      <c r="L5" s="40">
        <v>6</v>
      </c>
    </row>
    <row r="6" spans="2:12" ht="14.15" customHeight="1" x14ac:dyDescent="0.25">
      <c r="B6" s="92" t="s">
        <v>5</v>
      </c>
      <c r="C6" s="51">
        <f>3407016666.69</f>
        <v>3407016666.6900001</v>
      </c>
      <c r="D6" s="51">
        <f>2406282991.31</f>
        <v>2406282991.3099999</v>
      </c>
      <c r="E6" s="86" t="s">
        <v>81</v>
      </c>
      <c r="F6" s="86" t="s">
        <v>81</v>
      </c>
      <c r="G6" s="86" t="s">
        <v>81</v>
      </c>
      <c r="H6" s="86" t="s">
        <v>81</v>
      </c>
      <c r="I6" s="86" t="s">
        <v>81</v>
      </c>
      <c r="J6" s="52">
        <f t="shared" ref="J6:J40" si="0">IF($D$6=0,"",100*$D6/$D$6)</f>
        <v>100</v>
      </c>
      <c r="K6" s="52">
        <f t="shared" ref="K6:K40" si="1">IF(C6=0,"",100*D6/C6)</f>
        <v>70.627273850343755</v>
      </c>
      <c r="L6" s="52"/>
    </row>
    <row r="7" spans="2:12" ht="27" customHeight="1" x14ac:dyDescent="0.25">
      <c r="B7" s="94" t="s">
        <v>28</v>
      </c>
      <c r="C7" s="15">
        <f>C6-C13</f>
        <v>3060132460.9900002</v>
      </c>
      <c r="D7" s="15">
        <f>D6-D13</f>
        <v>2262681928.79</v>
      </c>
      <c r="E7" s="86" t="s">
        <v>81</v>
      </c>
      <c r="F7" s="86" t="s">
        <v>81</v>
      </c>
      <c r="G7" s="86" t="s">
        <v>81</v>
      </c>
      <c r="H7" s="86" t="s">
        <v>81</v>
      </c>
      <c r="I7" s="86" t="s">
        <v>81</v>
      </c>
      <c r="J7" s="19">
        <f t="shared" si="0"/>
        <v>94.03224545747122</v>
      </c>
      <c r="K7" s="19">
        <f t="shared" si="1"/>
        <v>73.940653146040205</v>
      </c>
      <c r="L7" s="19">
        <f t="shared" ref="L7:L12" si="2">IF($D$7=0,"",100*$D7/$D$7)</f>
        <v>100</v>
      </c>
    </row>
    <row r="8" spans="2:12" ht="20" outlineLevel="1" x14ac:dyDescent="0.25">
      <c r="B8" s="18" t="s">
        <v>71</v>
      </c>
      <c r="C8" s="53">
        <f>346893600</f>
        <v>346893600</v>
      </c>
      <c r="D8" s="54">
        <f>260170200</f>
        <v>260170200</v>
      </c>
      <c r="E8" s="87" t="s">
        <v>81</v>
      </c>
      <c r="F8" s="87" t="s">
        <v>81</v>
      </c>
      <c r="G8" s="87" t="s">
        <v>81</v>
      </c>
      <c r="H8" s="87" t="s">
        <v>81</v>
      </c>
      <c r="I8" s="87" t="s">
        <v>81</v>
      </c>
      <c r="J8" s="20">
        <f t="shared" si="0"/>
        <v>10.812119810494993</v>
      </c>
      <c r="K8" s="20">
        <f t="shared" si="1"/>
        <v>75</v>
      </c>
      <c r="L8" s="20">
        <f t="shared" si="2"/>
        <v>11.498310774026006</v>
      </c>
    </row>
    <row r="9" spans="2:12" ht="20" outlineLevel="1" x14ac:dyDescent="0.25">
      <c r="B9" s="56" t="s">
        <v>70</v>
      </c>
      <c r="C9" s="53">
        <f>881290013.98</f>
        <v>881290013.98000002</v>
      </c>
      <c r="D9" s="54">
        <f>622975173.43</f>
        <v>622975173.42999995</v>
      </c>
      <c r="E9" s="87" t="s">
        <v>81</v>
      </c>
      <c r="F9" s="87" t="s">
        <v>81</v>
      </c>
      <c r="G9" s="87" t="s">
        <v>81</v>
      </c>
      <c r="H9" s="87" t="s">
        <v>81</v>
      </c>
      <c r="I9" s="87" t="s">
        <v>81</v>
      </c>
      <c r="J9" s="20">
        <f t="shared" si="0"/>
        <v>25.889522374541958</v>
      </c>
      <c r="K9" s="20">
        <f t="shared" si="1"/>
        <v>70.689008561049889</v>
      </c>
      <c r="L9" s="20">
        <f t="shared" si="2"/>
        <v>27.532600384674677</v>
      </c>
    </row>
    <row r="10" spans="2:12" ht="30" outlineLevel="1" x14ac:dyDescent="0.25">
      <c r="B10" s="56" t="s">
        <v>88</v>
      </c>
      <c r="C10" s="53">
        <f>806058851.82</f>
        <v>806058851.82000005</v>
      </c>
      <c r="D10" s="54">
        <f>615156973.72</f>
        <v>615156973.72000003</v>
      </c>
      <c r="E10" s="87" t="s">
        <v>81</v>
      </c>
      <c r="F10" s="87" t="s">
        <v>81</v>
      </c>
      <c r="G10" s="87" t="s">
        <v>81</v>
      </c>
      <c r="H10" s="87" t="s">
        <v>81</v>
      </c>
      <c r="I10" s="87" t="s">
        <v>81</v>
      </c>
      <c r="J10" s="20">
        <f t="shared" si="0"/>
        <v>25.564614633505911</v>
      </c>
      <c r="K10" s="20">
        <f t="shared" si="1"/>
        <v>76.316632753431989</v>
      </c>
      <c r="L10" s="20">
        <f t="shared" si="2"/>
        <v>27.187072380472124</v>
      </c>
    </row>
    <row r="11" spans="2:12" ht="12.75" customHeight="1" outlineLevel="1" x14ac:dyDescent="0.25">
      <c r="B11" s="56" t="s">
        <v>19</v>
      </c>
      <c r="C11" s="53">
        <f>81955314.9</f>
        <v>81955314.900000006</v>
      </c>
      <c r="D11" s="54">
        <f>61983318.83</f>
        <v>61983318.829999998</v>
      </c>
      <c r="E11" s="87" t="s">
        <v>81</v>
      </c>
      <c r="F11" s="87" t="s">
        <v>81</v>
      </c>
      <c r="G11" s="87" t="s">
        <v>81</v>
      </c>
      <c r="H11" s="87" t="s">
        <v>81</v>
      </c>
      <c r="I11" s="87" t="s">
        <v>81</v>
      </c>
      <c r="J11" s="20">
        <f t="shared" si="0"/>
        <v>2.5758948159399897</v>
      </c>
      <c r="K11" s="20">
        <f t="shared" si="1"/>
        <v>75.630627379847937</v>
      </c>
      <c r="L11" s="20">
        <f t="shared" si="2"/>
        <v>2.7393739279628413</v>
      </c>
    </row>
    <row r="12" spans="2:12" ht="12.75" customHeight="1" outlineLevel="1" x14ac:dyDescent="0.25">
      <c r="B12" s="56" t="s">
        <v>20</v>
      </c>
      <c r="C12" s="53">
        <f>C7-SUM(C8:C11)</f>
        <v>943934680.28999996</v>
      </c>
      <c r="D12" s="53">
        <f>D7-SUM(D8:D11)</f>
        <v>702396262.80999994</v>
      </c>
      <c r="E12" s="87" t="s">
        <v>81</v>
      </c>
      <c r="F12" s="87" t="s">
        <v>81</v>
      </c>
      <c r="G12" s="87" t="s">
        <v>81</v>
      </c>
      <c r="H12" s="87" t="s">
        <v>81</v>
      </c>
      <c r="I12" s="87" t="s">
        <v>81</v>
      </c>
      <c r="J12" s="20">
        <f t="shared" si="0"/>
        <v>29.190093822988366</v>
      </c>
      <c r="K12" s="20">
        <f t="shared" si="1"/>
        <v>74.411532649081877</v>
      </c>
      <c r="L12" s="20">
        <f t="shared" si="2"/>
        <v>31.042642532864352</v>
      </c>
    </row>
    <row r="13" spans="2:12" ht="27" customHeight="1" x14ac:dyDescent="0.25">
      <c r="B13" s="95" t="s">
        <v>61</v>
      </c>
      <c r="C13" s="51">
        <f>C14+C33+C35</f>
        <v>346884205.69999999</v>
      </c>
      <c r="D13" s="51">
        <f>D14+D33+D35</f>
        <v>143601062.51999998</v>
      </c>
      <c r="E13" s="86" t="s">
        <v>81</v>
      </c>
      <c r="F13" s="86" t="s">
        <v>81</v>
      </c>
      <c r="G13" s="86" t="s">
        <v>81</v>
      </c>
      <c r="H13" s="86" t="s">
        <v>81</v>
      </c>
      <c r="I13" s="86" t="s">
        <v>81</v>
      </c>
      <c r="J13" s="52">
        <f t="shared" si="0"/>
        <v>5.9677545425287821</v>
      </c>
      <c r="K13" s="52">
        <f t="shared" si="1"/>
        <v>41.39740586638073</v>
      </c>
      <c r="L13" s="55"/>
    </row>
    <row r="14" spans="2:12" ht="27" customHeight="1" outlineLevel="1" x14ac:dyDescent="0.25">
      <c r="B14" s="97" t="s">
        <v>29</v>
      </c>
      <c r="C14" s="51">
        <f>C15+C17+C19+C21+C23+C25+C27+C29+C31</f>
        <v>97829260.25</v>
      </c>
      <c r="D14" s="51">
        <f>D15+D17+D19+D21+D23+D25+D27+D29+D31</f>
        <v>25012396.059999999</v>
      </c>
      <c r="E14" s="86" t="s">
        <v>81</v>
      </c>
      <c r="F14" s="86" t="s">
        <v>81</v>
      </c>
      <c r="G14" s="86" t="s">
        <v>81</v>
      </c>
      <c r="H14" s="86" t="s">
        <v>81</v>
      </c>
      <c r="I14" s="86" t="s">
        <v>81</v>
      </c>
      <c r="J14" s="52">
        <f t="shared" si="0"/>
        <v>1.0394619481719001</v>
      </c>
      <c r="K14" s="52">
        <f t="shared" si="1"/>
        <v>25.567397725467316</v>
      </c>
      <c r="L14" s="17"/>
    </row>
    <row r="15" spans="2:12" outlineLevel="1" x14ac:dyDescent="0.25">
      <c r="B15" s="96" t="s">
        <v>9</v>
      </c>
      <c r="C15" s="53">
        <f>0</f>
        <v>0</v>
      </c>
      <c r="D15" s="53">
        <f>0</f>
        <v>0</v>
      </c>
      <c r="E15" s="87" t="s">
        <v>81</v>
      </c>
      <c r="F15" s="87" t="s">
        <v>81</v>
      </c>
      <c r="G15" s="87" t="s">
        <v>81</v>
      </c>
      <c r="H15" s="87" t="s">
        <v>81</v>
      </c>
      <c r="I15" s="87" t="s">
        <v>81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5">
      <c r="B16" s="98" t="s">
        <v>6</v>
      </c>
      <c r="C16" s="53">
        <f>0</f>
        <v>0</v>
      </c>
      <c r="D16" s="53">
        <f>0</f>
        <v>0</v>
      </c>
      <c r="E16" s="87" t="s">
        <v>81</v>
      </c>
      <c r="F16" s="87" t="s">
        <v>81</v>
      </c>
      <c r="G16" s="87" t="s">
        <v>81</v>
      </c>
      <c r="H16" s="87" t="s">
        <v>81</v>
      </c>
      <c r="I16" s="87" t="s">
        <v>81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5">
      <c r="B17" s="96" t="s">
        <v>7</v>
      </c>
      <c r="C17" s="53">
        <f>3420000</f>
        <v>3420000</v>
      </c>
      <c r="D17" s="53">
        <f>0</f>
        <v>0</v>
      </c>
      <c r="E17" s="87" t="s">
        <v>81</v>
      </c>
      <c r="F17" s="87" t="s">
        <v>81</v>
      </c>
      <c r="G17" s="87" t="s">
        <v>81</v>
      </c>
      <c r="H17" s="87" t="s">
        <v>81</v>
      </c>
      <c r="I17" s="87" t="s">
        <v>81</v>
      </c>
      <c r="J17" s="20">
        <f t="shared" si="0"/>
        <v>0</v>
      </c>
      <c r="K17" s="20">
        <f t="shared" si="1"/>
        <v>0</v>
      </c>
      <c r="L17" s="17"/>
    </row>
    <row r="18" spans="2:12" ht="12.75" customHeight="1" outlineLevel="1" x14ac:dyDescent="0.25">
      <c r="B18" s="98" t="s">
        <v>6</v>
      </c>
      <c r="C18" s="53">
        <f>3420000</f>
        <v>3420000</v>
      </c>
      <c r="D18" s="53">
        <f>0</f>
        <v>0</v>
      </c>
      <c r="E18" s="87" t="s">
        <v>81</v>
      </c>
      <c r="F18" s="87" t="s">
        <v>81</v>
      </c>
      <c r="G18" s="87" t="s">
        <v>81</v>
      </c>
      <c r="H18" s="87" t="s">
        <v>81</v>
      </c>
      <c r="I18" s="87" t="s">
        <v>81</v>
      </c>
      <c r="J18" s="20">
        <f t="shared" si="0"/>
        <v>0</v>
      </c>
      <c r="K18" s="20">
        <f t="shared" si="1"/>
        <v>0</v>
      </c>
      <c r="L18" s="17"/>
    </row>
    <row r="19" spans="2:12" ht="20" outlineLevel="1" x14ac:dyDescent="0.25">
      <c r="B19" s="96" t="s">
        <v>10</v>
      </c>
      <c r="C19" s="53">
        <f>0</f>
        <v>0</v>
      </c>
      <c r="D19" s="53">
        <f>0</f>
        <v>0</v>
      </c>
      <c r="E19" s="87" t="s">
        <v>81</v>
      </c>
      <c r="F19" s="87" t="s">
        <v>81</v>
      </c>
      <c r="G19" s="87" t="s">
        <v>81</v>
      </c>
      <c r="H19" s="87" t="s">
        <v>81</v>
      </c>
      <c r="I19" s="87" t="s">
        <v>81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5">
      <c r="B20" s="98" t="s">
        <v>6</v>
      </c>
      <c r="C20" s="53">
        <f>0</f>
        <v>0</v>
      </c>
      <c r="D20" s="53">
        <f>0</f>
        <v>0</v>
      </c>
      <c r="E20" s="87" t="s">
        <v>81</v>
      </c>
      <c r="F20" s="87" t="s">
        <v>81</v>
      </c>
      <c r="G20" s="87" t="s">
        <v>81</v>
      </c>
      <c r="H20" s="87" t="s">
        <v>81</v>
      </c>
      <c r="I20" s="87" t="s">
        <v>81</v>
      </c>
      <c r="J20" s="20">
        <f t="shared" si="0"/>
        <v>0</v>
      </c>
      <c r="K20" s="20" t="str">
        <f t="shared" si="1"/>
        <v/>
      </c>
      <c r="L20" s="17"/>
    </row>
    <row r="21" spans="2:12" ht="20" outlineLevel="1" x14ac:dyDescent="0.25">
      <c r="B21" s="99" t="s">
        <v>11</v>
      </c>
      <c r="C21" s="53">
        <f>19231683.55</f>
        <v>19231683.550000001</v>
      </c>
      <c r="D21" s="53">
        <f>14502396.07</f>
        <v>14502396.07</v>
      </c>
      <c r="E21" s="87" t="s">
        <v>81</v>
      </c>
      <c r="F21" s="87" t="s">
        <v>81</v>
      </c>
      <c r="G21" s="87" t="s">
        <v>81</v>
      </c>
      <c r="H21" s="87" t="s">
        <v>81</v>
      </c>
      <c r="I21" s="87" t="s">
        <v>81</v>
      </c>
      <c r="J21" s="20">
        <f t="shared" si="0"/>
        <v>0.60268871626378318</v>
      </c>
      <c r="K21" s="20">
        <f t="shared" si="1"/>
        <v>75.408874279235945</v>
      </c>
      <c r="L21" s="17"/>
    </row>
    <row r="22" spans="2:12" ht="12.75" customHeight="1" outlineLevel="1" x14ac:dyDescent="0.25">
      <c r="B22" s="98" t="s">
        <v>6</v>
      </c>
      <c r="C22" s="53">
        <f>0</f>
        <v>0</v>
      </c>
      <c r="D22" s="53">
        <f>0</f>
        <v>0</v>
      </c>
      <c r="E22" s="87" t="s">
        <v>81</v>
      </c>
      <c r="F22" s="87" t="s">
        <v>81</v>
      </c>
      <c r="G22" s="87" t="s">
        <v>81</v>
      </c>
      <c r="H22" s="87" t="s">
        <v>81</v>
      </c>
      <c r="I22" s="87" t="s">
        <v>81</v>
      </c>
      <c r="J22" s="20">
        <f t="shared" si="0"/>
        <v>0</v>
      </c>
      <c r="K22" s="20" t="str">
        <f t="shared" si="1"/>
        <v/>
      </c>
      <c r="L22" s="17"/>
    </row>
    <row r="23" spans="2:12" ht="34.5" customHeight="1" outlineLevel="1" x14ac:dyDescent="0.25">
      <c r="B23" s="99" t="s">
        <v>42</v>
      </c>
      <c r="C23" s="53">
        <f>3466692.18</f>
        <v>3466692.18</v>
      </c>
      <c r="D23" s="53">
        <f>2037720.27</f>
        <v>2037720.27</v>
      </c>
      <c r="E23" s="87" t="s">
        <v>81</v>
      </c>
      <c r="F23" s="87" t="s">
        <v>81</v>
      </c>
      <c r="G23" s="87" t="s">
        <v>81</v>
      </c>
      <c r="H23" s="87" t="s">
        <v>81</v>
      </c>
      <c r="I23" s="87" t="s">
        <v>81</v>
      </c>
      <c r="J23" s="20">
        <f t="shared" si="0"/>
        <v>8.4683317687860499E-2</v>
      </c>
      <c r="K23" s="20">
        <f t="shared" si="1"/>
        <v>58.779959805949659</v>
      </c>
      <c r="L23" s="17"/>
    </row>
    <row r="24" spans="2:12" ht="12.75" customHeight="1" outlineLevel="1" x14ac:dyDescent="0.25">
      <c r="B24" s="98" t="s">
        <v>6</v>
      </c>
      <c r="C24" s="53">
        <f>3082100.18</f>
        <v>3082100.18</v>
      </c>
      <c r="D24" s="53">
        <f>1785500</f>
        <v>1785500</v>
      </c>
      <c r="E24" s="87" t="s">
        <v>81</v>
      </c>
      <c r="F24" s="87" t="s">
        <v>81</v>
      </c>
      <c r="G24" s="87" t="s">
        <v>81</v>
      </c>
      <c r="H24" s="87" t="s">
        <v>81</v>
      </c>
      <c r="I24" s="87" t="s">
        <v>81</v>
      </c>
      <c r="J24" s="20">
        <f t="shared" si="0"/>
        <v>7.4201580048901872E-2</v>
      </c>
      <c r="K24" s="20">
        <f t="shared" si="1"/>
        <v>57.931277237068912</v>
      </c>
      <c r="L24" s="17"/>
    </row>
    <row r="25" spans="2:12" ht="12.75" customHeight="1" outlineLevel="1" x14ac:dyDescent="0.25">
      <c r="B25" s="96" t="s">
        <v>8</v>
      </c>
      <c r="C25" s="53">
        <f>467090</f>
        <v>467090</v>
      </c>
      <c r="D25" s="53">
        <f>106720</f>
        <v>106720</v>
      </c>
      <c r="E25" s="87" t="s">
        <v>81</v>
      </c>
      <c r="F25" s="87" t="s">
        <v>81</v>
      </c>
      <c r="G25" s="87" t="s">
        <v>81</v>
      </c>
      <c r="H25" s="87" t="s">
        <v>81</v>
      </c>
      <c r="I25" s="87" t="s">
        <v>81</v>
      </c>
      <c r="J25" s="20">
        <f t="shared" si="0"/>
        <v>4.435056075507593E-3</v>
      </c>
      <c r="K25" s="20">
        <f t="shared" si="1"/>
        <v>22.847845169025241</v>
      </c>
      <c r="L25" s="17"/>
    </row>
    <row r="26" spans="2:12" ht="12.75" customHeight="1" outlineLevel="1" x14ac:dyDescent="0.25">
      <c r="B26" s="98" t="s">
        <v>6</v>
      </c>
      <c r="C26" s="53">
        <f>0</f>
        <v>0</v>
      </c>
      <c r="D26" s="53">
        <f>0</f>
        <v>0</v>
      </c>
      <c r="E26" s="87" t="s">
        <v>81</v>
      </c>
      <c r="F26" s="87" t="s">
        <v>81</v>
      </c>
      <c r="G26" s="87" t="s">
        <v>81</v>
      </c>
      <c r="H26" s="87" t="s">
        <v>81</v>
      </c>
      <c r="I26" s="87" t="s">
        <v>81</v>
      </c>
      <c r="J26" s="20">
        <f t="shared" si="0"/>
        <v>0</v>
      </c>
      <c r="K26" s="20" t="str">
        <f t="shared" si="1"/>
        <v/>
      </c>
      <c r="L26" s="17"/>
    </row>
    <row r="27" spans="2:12" ht="40" outlineLevel="1" x14ac:dyDescent="0.25">
      <c r="B27" s="100" t="s">
        <v>72</v>
      </c>
      <c r="C27" s="53">
        <f>840000</f>
        <v>840000</v>
      </c>
      <c r="D27" s="53">
        <f>0</f>
        <v>0</v>
      </c>
      <c r="E27" s="87" t="s">
        <v>81</v>
      </c>
      <c r="F27" s="87" t="s">
        <v>81</v>
      </c>
      <c r="G27" s="87" t="s">
        <v>81</v>
      </c>
      <c r="H27" s="87" t="s">
        <v>81</v>
      </c>
      <c r="I27" s="87" t="s">
        <v>81</v>
      </c>
      <c r="J27" s="20">
        <f t="shared" si="0"/>
        <v>0</v>
      </c>
      <c r="K27" s="20">
        <f t="shared" si="1"/>
        <v>0</v>
      </c>
      <c r="L27" s="17"/>
    </row>
    <row r="28" spans="2:12" ht="12.75" customHeight="1" outlineLevel="1" x14ac:dyDescent="0.25">
      <c r="B28" s="98" t="s">
        <v>73</v>
      </c>
      <c r="C28" s="53">
        <f>0</f>
        <v>0</v>
      </c>
      <c r="D28" s="53">
        <f>0</f>
        <v>0</v>
      </c>
      <c r="E28" s="87" t="s">
        <v>81</v>
      </c>
      <c r="F28" s="87" t="s">
        <v>81</v>
      </c>
      <c r="G28" s="87" t="s">
        <v>81</v>
      </c>
      <c r="H28" s="87" t="s">
        <v>81</v>
      </c>
      <c r="I28" s="87" t="s">
        <v>81</v>
      </c>
      <c r="J28" s="20">
        <f t="shared" si="0"/>
        <v>0</v>
      </c>
      <c r="K28" s="20" t="str">
        <f t="shared" si="1"/>
        <v/>
      </c>
      <c r="L28" s="17"/>
    </row>
    <row r="29" spans="2:12" ht="40" outlineLevel="1" x14ac:dyDescent="0.25">
      <c r="B29" s="100" t="s">
        <v>69</v>
      </c>
      <c r="C29" s="53">
        <f>66033972.95</f>
        <v>66033972.950000003</v>
      </c>
      <c r="D29" s="53">
        <f>5259046</f>
        <v>5259046</v>
      </c>
      <c r="E29" s="87" t="s">
        <v>81</v>
      </c>
      <c r="F29" s="87" t="s">
        <v>81</v>
      </c>
      <c r="G29" s="87" t="s">
        <v>81</v>
      </c>
      <c r="H29" s="87" t="s">
        <v>81</v>
      </c>
      <c r="I29" s="87" t="s">
        <v>81</v>
      </c>
      <c r="J29" s="66">
        <f t="shared" si="0"/>
        <v>0.21855475931103735</v>
      </c>
      <c r="K29" s="66">
        <f t="shared" si="1"/>
        <v>7.9641520342598131</v>
      </c>
      <c r="L29" s="17"/>
    </row>
    <row r="30" spans="2:12" ht="12.75" customHeight="1" outlineLevel="1" x14ac:dyDescent="0.25">
      <c r="B30" s="98" t="s">
        <v>6</v>
      </c>
      <c r="C30" s="53">
        <f>65883687.95</f>
        <v>65883687.950000003</v>
      </c>
      <c r="D30" s="53">
        <f>5230460</f>
        <v>5230460</v>
      </c>
      <c r="E30" s="87" t="s">
        <v>81</v>
      </c>
      <c r="F30" s="87" t="s">
        <v>81</v>
      </c>
      <c r="G30" s="87" t="s">
        <v>81</v>
      </c>
      <c r="H30" s="87" t="s">
        <v>81</v>
      </c>
      <c r="I30" s="87" t="s">
        <v>81</v>
      </c>
      <c r="J30" s="20">
        <f t="shared" si="0"/>
        <v>0.21736678598856302</v>
      </c>
      <c r="K30" s="20">
        <f t="shared" si="1"/>
        <v>7.9389302007037994</v>
      </c>
      <c r="L30" s="17"/>
    </row>
    <row r="31" spans="2:12" ht="20" outlineLevel="1" x14ac:dyDescent="0.25">
      <c r="B31" s="100" t="s">
        <v>89</v>
      </c>
      <c r="C31" s="53">
        <f>4369821.57</f>
        <v>4369821.57</v>
      </c>
      <c r="D31" s="53">
        <f>3106513.72</f>
        <v>3106513.72</v>
      </c>
      <c r="E31" s="87" t="s">
        <v>81</v>
      </c>
      <c r="F31" s="87" t="s">
        <v>81</v>
      </c>
      <c r="G31" s="87" t="s">
        <v>81</v>
      </c>
      <c r="H31" s="87" t="s">
        <v>81</v>
      </c>
      <c r="I31" s="87" t="s">
        <v>81</v>
      </c>
      <c r="J31" s="20">
        <f t="shared" si="0"/>
        <v>0.12910009883371151</v>
      </c>
      <c r="K31" s="20">
        <f t="shared" si="1"/>
        <v>71.090173139495022</v>
      </c>
      <c r="L31" s="17"/>
    </row>
    <row r="32" spans="2:12" ht="12.75" customHeight="1" outlineLevel="1" x14ac:dyDescent="0.25">
      <c r="B32" s="98" t="s">
        <v>6</v>
      </c>
      <c r="C32" s="53">
        <f>3555929.04</f>
        <v>3555929.04</v>
      </c>
      <c r="D32" s="53">
        <f>2926330.95</f>
        <v>2926330.95</v>
      </c>
      <c r="E32" s="87" t="s">
        <v>81</v>
      </c>
      <c r="F32" s="87" t="s">
        <v>81</v>
      </c>
      <c r="G32" s="87" t="s">
        <v>81</v>
      </c>
      <c r="H32" s="87" t="s">
        <v>81</v>
      </c>
      <c r="I32" s="87" t="s">
        <v>81</v>
      </c>
      <c r="J32" s="20">
        <f t="shared" si="0"/>
        <v>0.12161208638252817</v>
      </c>
      <c r="K32" s="20">
        <f t="shared" si="1"/>
        <v>82.294413557813854</v>
      </c>
      <c r="L32" s="17"/>
    </row>
    <row r="33" spans="1:26" s="5" customFormat="1" ht="13.5" customHeight="1" outlineLevel="1" x14ac:dyDescent="0.25">
      <c r="A33" s="2"/>
      <c r="B33" s="97" t="s">
        <v>40</v>
      </c>
      <c r="C33" s="53">
        <f>4369821.57</f>
        <v>4369821.57</v>
      </c>
      <c r="D33" s="53">
        <f>3106513.72</f>
        <v>3106513.72</v>
      </c>
      <c r="E33" s="86" t="s">
        <v>81</v>
      </c>
      <c r="F33" s="86" t="s">
        <v>81</v>
      </c>
      <c r="G33" s="86" t="s">
        <v>81</v>
      </c>
      <c r="H33" s="86" t="s">
        <v>81</v>
      </c>
      <c r="I33" s="86" t="s">
        <v>81</v>
      </c>
      <c r="J33" s="19">
        <f t="shared" si="0"/>
        <v>0.12910009883371151</v>
      </c>
      <c r="K33" s="19">
        <f t="shared" si="1"/>
        <v>71.090173139495022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5">
      <c r="A34" s="2"/>
      <c r="B34" s="101" t="s">
        <v>39</v>
      </c>
      <c r="C34" s="53">
        <f>3555929.04</f>
        <v>3555929.04</v>
      </c>
      <c r="D34" s="53">
        <f>2926330.95</f>
        <v>2926330.95</v>
      </c>
      <c r="E34" s="87" t="s">
        <v>81</v>
      </c>
      <c r="F34" s="87" t="s">
        <v>81</v>
      </c>
      <c r="G34" s="87" t="s">
        <v>81</v>
      </c>
      <c r="H34" s="87" t="s">
        <v>81</v>
      </c>
      <c r="I34" s="87" t="s">
        <v>81</v>
      </c>
      <c r="J34" s="20">
        <f t="shared" si="0"/>
        <v>0.12161208638252817</v>
      </c>
      <c r="K34" s="20">
        <f t="shared" si="1"/>
        <v>82.294413557813854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5">
      <c r="A35" s="2"/>
      <c r="B35" s="97" t="s">
        <v>48</v>
      </c>
      <c r="C35" s="53">
        <f>244685123.88</f>
        <v>244685123.88</v>
      </c>
      <c r="D35" s="53">
        <f>115482152.74</f>
        <v>115482152.73999999</v>
      </c>
      <c r="E35" s="86" t="s">
        <v>81</v>
      </c>
      <c r="F35" s="86" t="s">
        <v>81</v>
      </c>
      <c r="G35" s="86" t="s">
        <v>81</v>
      </c>
      <c r="H35" s="86" t="s">
        <v>81</v>
      </c>
      <c r="I35" s="86" t="s">
        <v>81</v>
      </c>
      <c r="J35" s="57">
        <f t="shared" si="0"/>
        <v>4.7991924955231715</v>
      </c>
      <c r="K35" s="57">
        <f t="shared" si="1"/>
        <v>47.196229549547716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5">
      <c r="A36" s="2"/>
      <c r="B36" s="101" t="s">
        <v>49</v>
      </c>
      <c r="C36" s="53">
        <f>212254385.84</f>
        <v>212254385.84</v>
      </c>
      <c r="D36" s="53">
        <f>98201370.91</f>
        <v>98201370.909999996</v>
      </c>
      <c r="E36" s="87" t="s">
        <v>81</v>
      </c>
      <c r="F36" s="87" t="s">
        <v>81</v>
      </c>
      <c r="G36" s="87" t="s">
        <v>81</v>
      </c>
      <c r="H36" s="87" t="s">
        <v>81</v>
      </c>
      <c r="I36" s="87" t="s">
        <v>81</v>
      </c>
      <c r="J36" s="20">
        <f t="shared" si="0"/>
        <v>4.0810399801121635</v>
      </c>
      <c r="K36" s="20">
        <f t="shared" si="1"/>
        <v>46.26588540037303</v>
      </c>
      <c r="L36" s="42"/>
      <c r="M36" s="12"/>
      <c r="N36" s="12"/>
      <c r="O36" s="9"/>
      <c r="P36" s="9"/>
      <c r="Q36" s="3"/>
    </row>
    <row r="37" spans="1:26" s="5" customFormat="1" ht="8.25" customHeight="1" x14ac:dyDescent="0.25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5">
      <c r="A38" s="2"/>
      <c r="B38" s="92" t="s">
        <v>5</v>
      </c>
      <c r="C38" s="51">
        <f>+C6</f>
        <v>3407016666.6900001</v>
      </c>
      <c r="D38" s="51">
        <f>+D6</f>
        <v>2406282991.3099999</v>
      </c>
      <c r="E38" s="88" t="s">
        <v>81</v>
      </c>
      <c r="F38" s="88" t="s">
        <v>81</v>
      </c>
      <c r="G38" s="88" t="s">
        <v>81</v>
      </c>
      <c r="H38" s="88" t="s">
        <v>81</v>
      </c>
      <c r="I38" s="88" t="s">
        <v>81</v>
      </c>
      <c r="J38" s="57">
        <f t="shared" si="0"/>
        <v>100</v>
      </c>
      <c r="K38" s="57">
        <f t="shared" si="1"/>
        <v>70.627273850343755</v>
      </c>
      <c r="L38" s="42"/>
      <c r="M38" s="12"/>
      <c r="N38" s="12"/>
      <c r="O38" s="9"/>
      <c r="P38" s="9"/>
      <c r="Q38" s="3"/>
    </row>
    <row r="39" spans="1:26" s="5" customFormat="1" ht="13.5" customHeight="1" x14ac:dyDescent="0.25">
      <c r="A39" s="2"/>
      <c r="B39" s="91" t="s">
        <v>50</v>
      </c>
      <c r="C39" s="14">
        <f>383601253.44</f>
        <v>383601253.44</v>
      </c>
      <c r="D39" s="14">
        <f>152451197.43</f>
        <v>152451197.43000001</v>
      </c>
      <c r="E39" s="89" t="s">
        <v>81</v>
      </c>
      <c r="F39" s="89" t="s">
        <v>81</v>
      </c>
      <c r="G39" s="89" t="s">
        <v>81</v>
      </c>
      <c r="H39" s="89" t="s">
        <v>81</v>
      </c>
      <c r="I39" s="89" t="s">
        <v>81</v>
      </c>
      <c r="J39" s="20">
        <f t="shared" si="0"/>
        <v>6.3355473142834429</v>
      </c>
      <c r="K39" s="20">
        <f t="shared" si="1"/>
        <v>39.742100961055712</v>
      </c>
      <c r="L39" s="42"/>
      <c r="M39" s="12"/>
      <c r="N39" s="12"/>
      <c r="O39" s="9"/>
      <c r="P39" s="9"/>
      <c r="Q39" s="3"/>
    </row>
    <row r="40" spans="1:26" s="5" customFormat="1" ht="13.5" customHeight="1" x14ac:dyDescent="0.25">
      <c r="A40" s="2"/>
      <c r="B40" s="91" t="s">
        <v>51</v>
      </c>
      <c r="C40" s="14">
        <f>C38-C39</f>
        <v>3023415413.25</v>
      </c>
      <c r="D40" s="14">
        <f>D38-D39</f>
        <v>2253831793.8800001</v>
      </c>
      <c r="E40" s="89" t="s">
        <v>81</v>
      </c>
      <c r="F40" s="89" t="s">
        <v>81</v>
      </c>
      <c r="G40" s="89" t="s">
        <v>81</v>
      </c>
      <c r="H40" s="89" t="s">
        <v>81</v>
      </c>
      <c r="I40" s="89" t="s">
        <v>81</v>
      </c>
      <c r="J40" s="20">
        <f t="shared" si="0"/>
        <v>93.664452685716554</v>
      </c>
      <c r="K40" s="20">
        <f t="shared" si="1"/>
        <v>74.54588555719701</v>
      </c>
      <c r="L40" s="42"/>
      <c r="M40" s="12"/>
      <c r="N40" s="12"/>
      <c r="O40" s="9"/>
      <c r="P40" s="9"/>
      <c r="Q40" s="3"/>
    </row>
    <row r="41" spans="1:26" s="5" customFormat="1" x14ac:dyDescent="0.25">
      <c r="A41" s="2"/>
      <c r="B41" s="117" t="s">
        <v>90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5">
      <c r="B42" s="112" t="s">
        <v>93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5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5">
      <c r="B44" s="119" t="s">
        <v>0</v>
      </c>
      <c r="C44" s="135" t="s">
        <v>52</v>
      </c>
      <c r="D44" s="135" t="s">
        <v>54</v>
      </c>
      <c r="E44" s="135" t="s">
        <v>53</v>
      </c>
      <c r="F44" s="135" t="s">
        <v>12</v>
      </c>
      <c r="G44" s="135"/>
      <c r="H44" s="135"/>
      <c r="I44" s="150" t="s">
        <v>55</v>
      </c>
      <c r="J44" s="135" t="s">
        <v>2</v>
      </c>
      <c r="K44" s="149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5">
      <c r="B45" s="119"/>
      <c r="C45" s="135"/>
      <c r="D45" s="135"/>
      <c r="E45" s="121"/>
      <c r="F45" s="120" t="s">
        <v>56</v>
      </c>
      <c r="G45" s="137" t="s">
        <v>24</v>
      </c>
      <c r="H45" s="121"/>
      <c r="I45" s="151"/>
      <c r="J45" s="135"/>
      <c r="K45" s="149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5">
      <c r="B46" s="119"/>
      <c r="C46" s="135"/>
      <c r="D46" s="135"/>
      <c r="E46" s="121"/>
      <c r="F46" s="121"/>
      <c r="G46" s="38" t="s">
        <v>57</v>
      </c>
      <c r="H46" s="38" t="s">
        <v>58</v>
      </c>
      <c r="I46" s="152"/>
      <c r="J46" s="135"/>
      <c r="K46" s="149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5">
      <c r="B47" s="119"/>
      <c r="C47" s="125" t="s">
        <v>41</v>
      </c>
      <c r="D47" s="126"/>
      <c r="E47" s="126"/>
      <c r="F47" s="126"/>
      <c r="G47" s="126"/>
      <c r="H47" s="126"/>
      <c r="I47" s="127"/>
      <c r="J47" s="134" t="s">
        <v>4</v>
      </c>
      <c r="K47" s="134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5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6" ht="27" customHeight="1" x14ac:dyDescent="0.25">
      <c r="B49" s="93" t="s">
        <v>30</v>
      </c>
      <c r="C49" s="58">
        <f>3837703625.74</f>
        <v>3837703625.7399998</v>
      </c>
      <c r="D49" s="68">
        <f>2318835639.52</f>
        <v>2318835639.52</v>
      </c>
      <c r="E49" s="68">
        <f>2857591178.75</f>
        <v>2857591178.75</v>
      </c>
      <c r="F49" s="58">
        <f>193705966.59</f>
        <v>193705966.59</v>
      </c>
      <c r="G49" s="58">
        <f>0</f>
        <v>0</v>
      </c>
      <c r="H49" s="58">
        <f>3837105.03</f>
        <v>3837105.03</v>
      </c>
      <c r="I49" s="77">
        <f>0</f>
        <v>0</v>
      </c>
      <c r="J49" s="34">
        <f>IF($D$49=0,"",100*$D49/$D$49)</f>
        <v>100</v>
      </c>
      <c r="K49" s="34">
        <f>IF(C49=0,"",100*D49/C49)</f>
        <v>60.4224782749573</v>
      </c>
      <c r="L49" s="22"/>
      <c r="M49" s="74"/>
    </row>
    <row r="50" spans="2:16" ht="13" x14ac:dyDescent="0.25">
      <c r="B50" s="94" t="s">
        <v>14</v>
      </c>
      <c r="C50" s="16">
        <f>705538494.4</f>
        <v>705538494.39999998</v>
      </c>
      <c r="D50" s="16">
        <f>263834227.14</f>
        <v>263834227.13999999</v>
      </c>
      <c r="E50" s="16">
        <f>418003612.72</f>
        <v>418003612.72000003</v>
      </c>
      <c r="F50" s="16">
        <f>12226040.78</f>
        <v>12226040.779999999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11.377875285486548</v>
      </c>
      <c r="K50" s="34">
        <f t="shared" ref="K50:K58" si="4">IF(C50=0,"",100*D50/C50)</f>
        <v>37.394731716852448</v>
      </c>
      <c r="L50" s="22"/>
      <c r="M50" s="76"/>
    </row>
    <row r="51" spans="2:16" ht="12.75" customHeight="1" outlineLevel="1" x14ac:dyDescent="0.25">
      <c r="B51" s="56" t="s">
        <v>13</v>
      </c>
      <c r="C51" s="53">
        <f>672948378.51</f>
        <v>672948378.50999999</v>
      </c>
      <c r="D51" s="53">
        <f>258600632.14</f>
        <v>258600632.13999999</v>
      </c>
      <c r="E51" s="53">
        <f>412770017.72</f>
        <v>412770017.72000003</v>
      </c>
      <c r="F51" s="53">
        <f>12226040.78</f>
        <v>12226040.779999999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11.152176020268968</v>
      </c>
      <c r="K51" s="34">
        <f t="shared" si="4"/>
        <v>38.428004345976326</v>
      </c>
      <c r="L51" s="22"/>
      <c r="M51" s="75"/>
    </row>
    <row r="52" spans="2:16" ht="27" customHeight="1" x14ac:dyDescent="0.25">
      <c r="B52" s="95" t="s">
        <v>31</v>
      </c>
      <c r="C52" s="59">
        <f t="shared" ref="C52:I52" si="5">C49-C50</f>
        <v>3132165131.3399997</v>
      </c>
      <c r="D52" s="67">
        <f>D49-D50</f>
        <v>2055001412.3800001</v>
      </c>
      <c r="E52" s="67">
        <f>E49-E50</f>
        <v>2439587566.0299997</v>
      </c>
      <c r="F52" s="59">
        <f t="shared" si="5"/>
        <v>181479925.81</v>
      </c>
      <c r="G52" s="59">
        <f t="shared" si="5"/>
        <v>0</v>
      </c>
      <c r="H52" s="59">
        <f t="shared" si="5"/>
        <v>3837105.03</v>
      </c>
      <c r="I52" s="78">
        <f t="shared" si="5"/>
        <v>0</v>
      </c>
      <c r="J52" s="34">
        <f t="shared" si="3"/>
        <v>88.622124714513447</v>
      </c>
      <c r="K52" s="34">
        <f t="shared" si="4"/>
        <v>65.609612718625456</v>
      </c>
      <c r="L52" s="22"/>
      <c r="M52" s="76"/>
    </row>
    <row r="53" spans="2:16" outlineLevel="1" x14ac:dyDescent="0.25">
      <c r="B53" s="56" t="s">
        <v>74</v>
      </c>
      <c r="C53" s="53">
        <f>235542026.11</f>
        <v>235542026.11000001</v>
      </c>
      <c r="D53" s="53">
        <f>159140377.05</f>
        <v>159140377.05000001</v>
      </c>
      <c r="E53" s="53">
        <f>203776695.09</f>
        <v>203776695.09</v>
      </c>
      <c r="F53" s="53">
        <f>5364517.37</f>
        <v>5364517.37</v>
      </c>
      <c r="G53" s="53">
        <f>0</f>
        <v>0</v>
      </c>
      <c r="H53" s="53">
        <f>0</f>
        <v>0</v>
      </c>
      <c r="I53" s="79">
        <f>0</f>
        <v>0</v>
      </c>
      <c r="J53" s="34">
        <f t="shared" si="3"/>
        <v>6.8629433814870184</v>
      </c>
      <c r="K53" s="34">
        <f t="shared" si="4"/>
        <v>67.56347462837914</v>
      </c>
      <c r="L53" s="22"/>
      <c r="M53" s="75"/>
    </row>
    <row r="54" spans="2:16" ht="12.75" customHeight="1" outlineLevel="1" x14ac:dyDescent="0.25">
      <c r="B54" s="56" t="s">
        <v>27</v>
      </c>
      <c r="C54" s="61">
        <f>39451218.13</f>
        <v>39451218.130000003</v>
      </c>
      <c r="D54" s="61">
        <f>28858997.73</f>
        <v>28858997.73</v>
      </c>
      <c r="E54" s="61">
        <f>34838705.25</f>
        <v>34838705.25</v>
      </c>
      <c r="F54" s="61">
        <f>472013.94</f>
        <v>472013.94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1.2445469285599657</v>
      </c>
      <c r="K54" s="34">
        <f t="shared" si="4"/>
        <v>73.151094181435852</v>
      </c>
      <c r="L54" s="22"/>
      <c r="M54" s="75"/>
    </row>
    <row r="55" spans="2:16" ht="12.75" customHeight="1" outlineLevel="1" x14ac:dyDescent="0.25">
      <c r="B55" s="56" t="s">
        <v>26</v>
      </c>
      <c r="C55" s="53">
        <f>16387747</f>
        <v>16387747</v>
      </c>
      <c r="D55" s="53">
        <f>8505408.53</f>
        <v>8505408.5299999993</v>
      </c>
      <c r="E55" s="53">
        <f>9322004.74</f>
        <v>9322004.7400000002</v>
      </c>
      <c r="F55" s="53">
        <f>34731.97</f>
        <v>34731.97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0.36679652430047271</v>
      </c>
      <c r="K55" s="34">
        <f t="shared" si="4"/>
        <v>51.901024161527502</v>
      </c>
      <c r="L55" s="22"/>
      <c r="M55" s="75"/>
    </row>
    <row r="56" spans="2:16" ht="22.5" customHeight="1" outlineLevel="1" x14ac:dyDescent="0.25">
      <c r="B56" s="56" t="s">
        <v>37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6" outlineLevel="1" x14ac:dyDescent="0.25">
      <c r="B57" s="56" t="s">
        <v>38</v>
      </c>
      <c r="C57" s="61">
        <f>3011355.44</f>
        <v>3011355.44</v>
      </c>
      <c r="D57" s="61">
        <f>1164990.92</f>
        <v>1164990.92</v>
      </c>
      <c r="E57" s="61">
        <f>2004532.58</f>
        <v>2004532.58</v>
      </c>
      <c r="F57" s="61">
        <f>47264.63</f>
        <v>47264.63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5.0240340459885013E-2</v>
      </c>
      <c r="K57" s="34">
        <f t="shared" si="4"/>
        <v>38.686596225917455</v>
      </c>
      <c r="L57" s="22"/>
      <c r="M57" s="75"/>
    </row>
    <row r="58" spans="2:16" ht="12.75" customHeight="1" outlineLevel="1" x14ac:dyDescent="0.25">
      <c r="B58" s="56" t="s">
        <v>25</v>
      </c>
      <c r="C58" s="53">
        <f t="shared" ref="C58:I58" si="6">C52-C53-C54-C55-C56-C57</f>
        <v>2837772784.6599994</v>
      </c>
      <c r="D58" s="53">
        <f>D52-D53-D54-D55-D56-D57</f>
        <v>1857331638.1500001</v>
      </c>
      <c r="E58" s="71">
        <f>E52-E53-E54-E55-E56-E57</f>
        <v>2189645628.3699999</v>
      </c>
      <c r="F58" s="71">
        <f t="shared" si="6"/>
        <v>175561397.90000001</v>
      </c>
      <c r="G58" s="71">
        <f t="shared" si="6"/>
        <v>0</v>
      </c>
      <c r="H58" s="71">
        <f t="shared" si="6"/>
        <v>3837105.03</v>
      </c>
      <c r="I58" s="82">
        <f t="shared" si="6"/>
        <v>0</v>
      </c>
      <c r="J58" s="34">
        <f t="shared" si="3"/>
        <v>80.097597539706115</v>
      </c>
      <c r="K58" s="34">
        <f t="shared" si="4"/>
        <v>65.450329504535418</v>
      </c>
      <c r="L58" s="22"/>
      <c r="M58" s="75"/>
    </row>
    <row r="59" spans="2:16" ht="13" x14ac:dyDescent="0.25">
      <c r="B59" s="93" t="s">
        <v>15</v>
      </c>
      <c r="C59" s="59">
        <f>C6-C49</f>
        <v>-430686959.04999971</v>
      </c>
      <c r="D59" s="67">
        <f>D6-D49</f>
        <v>87447351.789999962</v>
      </c>
      <c r="E59" s="72"/>
      <c r="F59" s="73"/>
      <c r="G59" s="73"/>
      <c r="H59" s="73"/>
      <c r="I59" s="136"/>
      <c r="J59" s="136"/>
      <c r="K59" s="62"/>
      <c r="L59" s="62"/>
      <c r="M59" s="43"/>
    </row>
    <row r="60" spans="2:16" ht="7.5" customHeight="1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6" ht="18" customHeight="1" x14ac:dyDescent="0.25">
      <c r="B61" s="112" t="s">
        <v>93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50"/>
    </row>
    <row r="62" spans="2:16" x14ac:dyDescent="0.25">
      <c r="B62" s="46" t="s">
        <v>16</v>
      </c>
      <c r="C62" s="69" t="s">
        <v>17</v>
      </c>
      <c r="D62" s="69" t="s">
        <v>1</v>
      </c>
      <c r="E62" s="140" t="s">
        <v>81</v>
      </c>
      <c r="F62" s="141"/>
      <c r="G62" s="141"/>
      <c r="H62" s="141"/>
      <c r="I62" s="142"/>
      <c r="J62" s="40" t="s">
        <v>21</v>
      </c>
      <c r="K62" s="40" t="s">
        <v>22</v>
      </c>
      <c r="L62" s="37"/>
      <c r="M62" s="37"/>
      <c r="N62" s="37"/>
      <c r="O62" s="37"/>
      <c r="P62" s="37"/>
    </row>
    <row r="63" spans="2:16" x14ac:dyDescent="0.25">
      <c r="B63" s="46"/>
      <c r="C63" s="120" t="s">
        <v>41</v>
      </c>
      <c r="D63" s="122"/>
      <c r="E63" s="143"/>
      <c r="F63" s="144"/>
      <c r="G63" s="144"/>
      <c r="H63" s="144"/>
      <c r="I63" s="145"/>
      <c r="J63" s="153" t="s">
        <v>4</v>
      </c>
      <c r="K63" s="154"/>
      <c r="L63" s="37"/>
      <c r="M63" s="37"/>
      <c r="N63" s="37"/>
      <c r="O63" s="37"/>
      <c r="P63" s="37"/>
    </row>
    <row r="64" spans="2:16" x14ac:dyDescent="0.25">
      <c r="B64" s="47">
        <v>1</v>
      </c>
      <c r="C64" s="48">
        <v>2</v>
      </c>
      <c r="D64" s="48">
        <v>3</v>
      </c>
      <c r="E64" s="146"/>
      <c r="F64" s="147"/>
      <c r="G64" s="147"/>
      <c r="H64" s="147"/>
      <c r="I64" s="148"/>
      <c r="J64" s="49">
        <v>4</v>
      </c>
      <c r="K64" s="49">
        <v>5</v>
      </c>
      <c r="L64" s="37"/>
      <c r="M64" s="37"/>
      <c r="N64" s="37"/>
      <c r="O64" s="37"/>
      <c r="P64" s="37"/>
    </row>
    <row r="65" spans="2:16" ht="27" customHeight="1" x14ac:dyDescent="0.25">
      <c r="B65" s="106" t="s">
        <v>32</v>
      </c>
      <c r="C65" s="27">
        <f>486751828.72</f>
        <v>486751828.72000003</v>
      </c>
      <c r="D65" s="27">
        <f>1180431997.38</f>
        <v>1180431997.3800001</v>
      </c>
      <c r="E65" s="102" t="s">
        <v>81</v>
      </c>
      <c r="F65" s="102" t="s">
        <v>81</v>
      </c>
      <c r="G65" s="102" t="s">
        <v>81</v>
      </c>
      <c r="H65" s="102" t="s">
        <v>81</v>
      </c>
      <c r="I65" s="102" t="s">
        <v>81</v>
      </c>
      <c r="J65" s="25">
        <f>IF($D$65=0,"",100*$D65/$D$65)</f>
        <v>100</v>
      </c>
      <c r="K65" s="21">
        <f t="shared" ref="K65:K78" si="7">IF(C65=0,"",100*D65/C65)</f>
        <v>242.51208269399928</v>
      </c>
      <c r="L65" s="37"/>
      <c r="M65" s="37"/>
      <c r="N65" s="37"/>
      <c r="O65" s="37"/>
      <c r="P65" s="37"/>
    </row>
    <row r="66" spans="2:16" ht="20" x14ac:dyDescent="0.25">
      <c r="B66" s="108" t="s">
        <v>62</v>
      </c>
      <c r="C66" s="28">
        <f>39344783</f>
        <v>39344783</v>
      </c>
      <c r="D66" s="28">
        <f>37220222.82</f>
        <v>37220222.82</v>
      </c>
      <c r="E66" s="103" t="s">
        <v>81</v>
      </c>
      <c r="F66" s="103" t="s">
        <v>81</v>
      </c>
      <c r="G66" s="103" t="s">
        <v>81</v>
      </c>
      <c r="H66" s="103" t="s">
        <v>81</v>
      </c>
      <c r="I66" s="103" t="s">
        <v>81</v>
      </c>
      <c r="J66" s="32">
        <f t="shared" ref="J66:J73" si="8">IF($D$65=0,"",100*$D66/$D$65)</f>
        <v>3.1531018222660232</v>
      </c>
      <c r="K66" s="33">
        <f t="shared" si="7"/>
        <v>94.600147673962269</v>
      </c>
      <c r="L66" s="37"/>
      <c r="M66" s="37"/>
      <c r="N66" s="37"/>
      <c r="O66" s="37"/>
      <c r="P66" s="37"/>
    </row>
    <row r="67" spans="2:16" x14ac:dyDescent="0.25">
      <c r="B67" s="109" t="s">
        <v>63</v>
      </c>
      <c r="C67" s="64">
        <f>0</f>
        <v>0</v>
      </c>
      <c r="D67" s="64">
        <f>0</f>
        <v>0</v>
      </c>
      <c r="E67" s="103" t="s">
        <v>81</v>
      </c>
      <c r="F67" s="103" t="s">
        <v>81</v>
      </c>
      <c r="G67" s="103" t="s">
        <v>81</v>
      </c>
      <c r="H67" s="103" t="s">
        <v>81</v>
      </c>
      <c r="I67" s="103" t="s">
        <v>81</v>
      </c>
      <c r="J67" s="65">
        <f t="shared" si="8"/>
        <v>0</v>
      </c>
      <c r="K67" s="60" t="str">
        <f t="shared" si="7"/>
        <v/>
      </c>
      <c r="L67" s="37"/>
      <c r="M67" s="37"/>
      <c r="N67" s="37"/>
      <c r="O67" s="37"/>
      <c r="P67" s="37"/>
    </row>
    <row r="68" spans="2:16" ht="12.75" customHeight="1" x14ac:dyDescent="0.25">
      <c r="B68" s="63" t="s">
        <v>64</v>
      </c>
      <c r="C68" s="64">
        <f>150000</f>
        <v>150000</v>
      </c>
      <c r="D68" s="64">
        <f>0</f>
        <v>0</v>
      </c>
      <c r="E68" s="103" t="s">
        <v>81</v>
      </c>
      <c r="F68" s="103" t="s">
        <v>81</v>
      </c>
      <c r="G68" s="103" t="s">
        <v>81</v>
      </c>
      <c r="H68" s="103" t="s">
        <v>81</v>
      </c>
      <c r="I68" s="103" t="s">
        <v>81</v>
      </c>
      <c r="J68" s="65">
        <f t="shared" si="8"/>
        <v>0</v>
      </c>
      <c r="K68" s="60">
        <f t="shared" si="7"/>
        <v>0</v>
      </c>
      <c r="L68" s="37"/>
      <c r="M68" s="37"/>
      <c r="N68" s="37"/>
      <c r="O68" s="37"/>
      <c r="P68" s="37"/>
    </row>
    <row r="69" spans="2:16" ht="60" customHeight="1" x14ac:dyDescent="0.25">
      <c r="B69" s="63" t="s">
        <v>75</v>
      </c>
      <c r="C69" s="64">
        <f>344869447.97</f>
        <v>344869447.97000003</v>
      </c>
      <c r="D69" s="64">
        <f>1011680753.3</f>
        <v>1011680753.3</v>
      </c>
      <c r="E69" s="103" t="s">
        <v>81</v>
      </c>
      <c r="F69" s="103" t="s">
        <v>81</v>
      </c>
      <c r="G69" s="103" t="s">
        <v>81</v>
      </c>
      <c r="H69" s="103" t="s">
        <v>81</v>
      </c>
      <c r="I69" s="103" t="s">
        <v>81</v>
      </c>
      <c r="J69" s="65">
        <f t="shared" si="8"/>
        <v>85.704280767164235</v>
      </c>
      <c r="K69" s="60">
        <f t="shared" si="7"/>
        <v>293.35180580797794</v>
      </c>
      <c r="L69" s="37"/>
      <c r="M69" s="37"/>
      <c r="N69" s="37"/>
      <c r="O69" s="37"/>
      <c r="P69" s="37"/>
    </row>
    <row r="70" spans="2:16" ht="35.25" customHeight="1" x14ac:dyDescent="0.25">
      <c r="B70" s="63" t="s">
        <v>77</v>
      </c>
      <c r="C70" s="64">
        <f>27544336.04</f>
        <v>27544336.039999999</v>
      </c>
      <c r="D70" s="64">
        <f>35376832.9</f>
        <v>35376832.899999999</v>
      </c>
      <c r="E70" s="103" t="s">
        <v>81</v>
      </c>
      <c r="F70" s="103" t="s">
        <v>81</v>
      </c>
      <c r="G70" s="103" t="s">
        <v>81</v>
      </c>
      <c r="H70" s="103" t="s">
        <v>81</v>
      </c>
      <c r="I70" s="103" t="s">
        <v>81</v>
      </c>
      <c r="J70" s="65">
        <f t="shared" si="8"/>
        <v>2.9969395084612933</v>
      </c>
      <c r="K70" s="60">
        <f t="shared" si="7"/>
        <v>128.43596174772779</v>
      </c>
      <c r="L70" s="37"/>
      <c r="M70" s="37"/>
      <c r="N70" s="37"/>
      <c r="O70" s="37"/>
      <c r="P70" s="37"/>
    </row>
    <row r="71" spans="2:16" ht="12.75" customHeight="1" x14ac:dyDescent="0.25">
      <c r="B71" s="63" t="s">
        <v>65</v>
      </c>
      <c r="C71" s="64">
        <f>0</f>
        <v>0</v>
      </c>
      <c r="D71" s="64">
        <f>0</f>
        <v>0</v>
      </c>
      <c r="E71" s="103" t="s">
        <v>81</v>
      </c>
      <c r="F71" s="103" t="s">
        <v>81</v>
      </c>
      <c r="G71" s="103" t="s">
        <v>81</v>
      </c>
      <c r="H71" s="103" t="s">
        <v>81</v>
      </c>
      <c r="I71" s="103" t="s">
        <v>81</v>
      </c>
      <c r="J71" s="65">
        <f t="shared" si="8"/>
        <v>0</v>
      </c>
      <c r="K71" s="60" t="str">
        <f t="shared" si="7"/>
        <v/>
      </c>
      <c r="L71" s="37"/>
      <c r="M71" s="37"/>
      <c r="N71" s="37"/>
      <c r="O71" s="37"/>
      <c r="P71" s="37"/>
    </row>
    <row r="72" spans="2:16" ht="20" x14ac:dyDescent="0.25">
      <c r="B72" s="63" t="s">
        <v>66</v>
      </c>
      <c r="C72" s="64">
        <f>74843261.71</f>
        <v>74843261.709999993</v>
      </c>
      <c r="D72" s="64">
        <f>89071351.96</f>
        <v>89071351.959999993</v>
      </c>
      <c r="E72" s="103" t="s">
        <v>81</v>
      </c>
      <c r="F72" s="103" t="s">
        <v>81</v>
      </c>
      <c r="G72" s="103" t="s">
        <v>81</v>
      </c>
      <c r="H72" s="103" t="s">
        <v>81</v>
      </c>
      <c r="I72" s="103" t="s">
        <v>81</v>
      </c>
      <c r="J72" s="65">
        <f t="shared" si="8"/>
        <v>7.5456571964921491</v>
      </c>
      <c r="K72" s="60">
        <f t="shared" si="7"/>
        <v>119.01051601028628</v>
      </c>
      <c r="L72" s="37"/>
      <c r="M72" s="37"/>
      <c r="N72" s="37"/>
      <c r="O72" s="37"/>
      <c r="P72" s="37"/>
    </row>
    <row r="73" spans="2:16" ht="12.75" customHeight="1" x14ac:dyDescent="0.25">
      <c r="B73" s="63" t="s">
        <v>43</v>
      </c>
      <c r="C73" s="64">
        <f>0</f>
        <v>0</v>
      </c>
      <c r="D73" s="64">
        <f>7082836.4</f>
        <v>7082836.4000000004</v>
      </c>
      <c r="E73" s="103" t="s">
        <v>81</v>
      </c>
      <c r="F73" s="103" t="s">
        <v>81</v>
      </c>
      <c r="G73" s="103" t="s">
        <v>81</v>
      </c>
      <c r="H73" s="103" t="s">
        <v>81</v>
      </c>
      <c r="I73" s="103" t="s">
        <v>81</v>
      </c>
      <c r="J73" s="65">
        <f t="shared" si="8"/>
        <v>0.60002070561629484</v>
      </c>
      <c r="K73" s="60" t="str">
        <f t="shared" si="7"/>
        <v/>
      </c>
      <c r="L73" s="37"/>
      <c r="M73" s="37"/>
      <c r="N73" s="37"/>
      <c r="O73" s="37"/>
      <c r="P73" s="37"/>
    </row>
    <row r="74" spans="2:16" ht="27" customHeight="1" x14ac:dyDescent="0.25">
      <c r="B74" s="106" t="s">
        <v>33</v>
      </c>
      <c r="C74" s="31">
        <f>56064869.67</f>
        <v>56064869.670000002</v>
      </c>
      <c r="D74" s="31">
        <f>59188946.91</f>
        <v>59188946.909999996</v>
      </c>
      <c r="E74" s="104" t="s">
        <v>81</v>
      </c>
      <c r="F74" s="104" t="s">
        <v>81</v>
      </c>
      <c r="G74" s="104" t="s">
        <v>81</v>
      </c>
      <c r="H74" s="104" t="s">
        <v>81</v>
      </c>
      <c r="I74" s="104" t="s">
        <v>81</v>
      </c>
      <c r="J74" s="25">
        <f>IF($D$74=0,"",100*$D74/$D$74)</f>
        <v>100</v>
      </c>
      <c r="K74" s="21">
        <f t="shared" si="7"/>
        <v>105.57225453013346</v>
      </c>
      <c r="L74" s="37"/>
      <c r="M74" s="37"/>
      <c r="N74" s="37"/>
      <c r="O74" s="37"/>
      <c r="P74" s="37"/>
    </row>
    <row r="75" spans="2:16" ht="20" x14ac:dyDescent="0.25">
      <c r="B75" s="108" t="s">
        <v>67</v>
      </c>
      <c r="C75" s="28">
        <f>39202721.81</f>
        <v>39202721.810000002</v>
      </c>
      <c r="D75" s="30">
        <f>32329948.53</f>
        <v>32329948.530000001</v>
      </c>
      <c r="E75" s="105" t="s">
        <v>81</v>
      </c>
      <c r="F75" s="105" t="s">
        <v>81</v>
      </c>
      <c r="G75" s="105" t="s">
        <v>81</v>
      </c>
      <c r="H75" s="105" t="s">
        <v>81</v>
      </c>
      <c r="I75" s="105" t="s">
        <v>81</v>
      </c>
      <c r="J75" s="32">
        <f>IF($D$74=0,"",100*$D75/$D$74)</f>
        <v>54.621597811428273</v>
      </c>
      <c r="K75" s="33">
        <f t="shared" si="7"/>
        <v>82.46863237376833</v>
      </c>
      <c r="L75" s="37"/>
      <c r="M75" s="37"/>
      <c r="N75" s="37"/>
      <c r="O75" s="37"/>
      <c r="P75" s="37"/>
    </row>
    <row r="76" spans="2:16" ht="12.75" customHeight="1" x14ac:dyDescent="0.25">
      <c r="B76" s="109" t="s">
        <v>68</v>
      </c>
      <c r="C76" s="64">
        <f>0</f>
        <v>0</v>
      </c>
      <c r="D76" s="64">
        <f>0</f>
        <v>0</v>
      </c>
      <c r="E76" s="105" t="s">
        <v>81</v>
      </c>
      <c r="F76" s="105" t="s">
        <v>81</v>
      </c>
      <c r="G76" s="105" t="s">
        <v>81</v>
      </c>
      <c r="H76" s="105" t="s">
        <v>81</v>
      </c>
      <c r="I76" s="105" t="s">
        <v>81</v>
      </c>
      <c r="J76" s="65">
        <f>IF($D$74=0,"",100*$D76/$D$74)</f>
        <v>0</v>
      </c>
      <c r="K76" s="60" t="str">
        <f t="shared" si="7"/>
        <v/>
      </c>
      <c r="L76" s="37"/>
      <c r="M76" s="37"/>
      <c r="N76" s="37"/>
      <c r="O76" s="37"/>
      <c r="P76" s="37"/>
    </row>
    <row r="77" spans="2:16" ht="12.75" customHeight="1" x14ac:dyDescent="0.25">
      <c r="B77" s="63" t="s">
        <v>76</v>
      </c>
      <c r="C77" s="64">
        <f>0</f>
        <v>0</v>
      </c>
      <c r="D77" s="64">
        <f>0</f>
        <v>0</v>
      </c>
      <c r="E77" s="105" t="s">
        <v>81</v>
      </c>
      <c r="F77" s="105" t="s">
        <v>81</v>
      </c>
      <c r="G77" s="105" t="s">
        <v>81</v>
      </c>
      <c r="H77" s="105" t="s">
        <v>81</v>
      </c>
      <c r="I77" s="105" t="s">
        <v>81</v>
      </c>
      <c r="J77" s="65">
        <f>IF($D$74=0,"",100*$D77/$D$74)</f>
        <v>0</v>
      </c>
      <c r="K77" s="60" t="str">
        <f t="shared" si="7"/>
        <v/>
      </c>
      <c r="L77" s="37"/>
      <c r="M77" s="37"/>
      <c r="N77" s="37"/>
      <c r="O77" s="37"/>
      <c r="P77" s="37"/>
    </row>
    <row r="78" spans="2:16" ht="12.75" customHeight="1" x14ac:dyDescent="0.25">
      <c r="B78" s="63" t="s">
        <v>23</v>
      </c>
      <c r="C78" s="64">
        <f>16862147.86</f>
        <v>16862147.859999999</v>
      </c>
      <c r="D78" s="64">
        <f>26858998.38</f>
        <v>26858998.379999999</v>
      </c>
      <c r="E78" s="105" t="s">
        <v>81</v>
      </c>
      <c r="F78" s="105" t="s">
        <v>81</v>
      </c>
      <c r="G78" s="105" t="s">
        <v>81</v>
      </c>
      <c r="H78" s="105" t="s">
        <v>81</v>
      </c>
      <c r="I78" s="105" t="s">
        <v>81</v>
      </c>
      <c r="J78" s="65">
        <f>IF($D$74=0,"",100*$D78/$D$74)</f>
        <v>45.378402188571734</v>
      </c>
      <c r="K78" s="60">
        <f t="shared" si="7"/>
        <v>159.28574819174904</v>
      </c>
      <c r="L78" s="37"/>
      <c r="M78" s="37"/>
      <c r="N78" s="37"/>
      <c r="O78" s="37"/>
      <c r="P78" s="37"/>
    </row>
    <row r="79" spans="2:16" x14ac:dyDescent="0.25">
      <c r="B79" s="22"/>
      <c r="C79" s="22"/>
      <c r="D79" s="22"/>
      <c r="E79" s="22"/>
      <c r="F79" s="22"/>
      <c r="G79" s="22"/>
      <c r="H79" s="22"/>
      <c r="I79" s="37"/>
      <c r="J79" s="37"/>
      <c r="K79" s="37"/>
      <c r="L79" s="37"/>
      <c r="M79" s="37"/>
    </row>
    <row r="80" spans="2:16" x14ac:dyDescent="0.25">
      <c r="B80" s="44" t="s">
        <v>16</v>
      </c>
      <c r="C80" s="70" t="s">
        <v>17</v>
      </c>
      <c r="D80" s="13" t="s">
        <v>1</v>
      </c>
      <c r="E80" s="37"/>
      <c r="F80" s="37"/>
      <c r="G80" s="37"/>
      <c r="H80" s="37"/>
      <c r="I80" s="37"/>
    </row>
    <row r="81" spans="2:13" x14ac:dyDescent="0.25">
      <c r="B81" s="44"/>
      <c r="C81" s="123" t="s">
        <v>41</v>
      </c>
      <c r="D81" s="124"/>
      <c r="E81" s="37"/>
      <c r="F81" s="37"/>
      <c r="G81" s="37"/>
      <c r="H81" s="37"/>
      <c r="I81" s="37"/>
    </row>
    <row r="82" spans="2:13" x14ac:dyDescent="0.25">
      <c r="B82" s="23">
        <v>1</v>
      </c>
      <c r="C82" s="26">
        <v>2</v>
      </c>
      <c r="D82" s="24">
        <v>3</v>
      </c>
      <c r="E82" s="37"/>
      <c r="F82" s="37"/>
      <c r="G82" s="37"/>
      <c r="H82" s="37"/>
      <c r="I82" s="37"/>
    </row>
    <row r="83" spans="2:13" ht="36.75" customHeight="1" x14ac:dyDescent="0.25">
      <c r="B83" s="107" t="s">
        <v>82</v>
      </c>
      <c r="C83" s="29">
        <f>445573136.07</f>
        <v>445573136.06999999</v>
      </c>
      <c r="D83" s="85">
        <f>0</f>
        <v>0</v>
      </c>
      <c r="E83" s="37"/>
      <c r="F83" s="37"/>
      <c r="G83" s="37"/>
      <c r="H83" s="37"/>
      <c r="I83" s="37"/>
    </row>
    <row r="84" spans="2:13" ht="36" customHeight="1" x14ac:dyDescent="0.25">
      <c r="B84" s="110" t="s">
        <v>44</v>
      </c>
      <c r="C84" s="30">
        <f>0</f>
        <v>0</v>
      </c>
      <c r="D84" s="84">
        <f>0</f>
        <v>0</v>
      </c>
      <c r="E84" s="37"/>
      <c r="F84" s="37"/>
      <c r="G84" s="37"/>
      <c r="H84" s="37"/>
      <c r="I84" s="37"/>
    </row>
    <row r="85" spans="2:13" ht="12.75" customHeight="1" x14ac:dyDescent="0.25">
      <c r="B85" s="110" t="s">
        <v>45</v>
      </c>
      <c r="C85" s="30">
        <f>30603816.25</f>
        <v>30603816.25</v>
      </c>
      <c r="D85" s="84">
        <f>0</f>
        <v>0</v>
      </c>
      <c r="E85" s="37"/>
      <c r="F85" s="37"/>
      <c r="G85" s="37"/>
      <c r="H85" s="37"/>
      <c r="I85" s="37"/>
    </row>
    <row r="86" spans="2:13" ht="25.5" customHeight="1" x14ac:dyDescent="0.25">
      <c r="B86" s="110" t="s">
        <v>46</v>
      </c>
      <c r="C86" s="30">
        <f>0</f>
        <v>0</v>
      </c>
      <c r="D86" s="84">
        <f>0</f>
        <v>0</v>
      </c>
      <c r="E86" s="37"/>
      <c r="F86" s="37"/>
      <c r="G86" s="37"/>
      <c r="H86" s="37"/>
      <c r="I86" s="37"/>
    </row>
    <row r="87" spans="2:13" ht="57.75" customHeight="1" x14ac:dyDescent="0.25">
      <c r="B87" s="110" t="s">
        <v>78</v>
      </c>
      <c r="C87" s="30">
        <f>342032824.17</f>
        <v>342032824.17000002</v>
      </c>
      <c r="D87" s="84">
        <f>0</f>
        <v>0</v>
      </c>
      <c r="E87" s="37"/>
      <c r="F87" s="37"/>
      <c r="G87" s="37"/>
      <c r="H87" s="37"/>
      <c r="I87" s="37"/>
    </row>
    <row r="88" spans="2:13" ht="84" customHeight="1" x14ac:dyDescent="0.25">
      <c r="B88" s="110" t="s">
        <v>47</v>
      </c>
      <c r="C88" s="30">
        <f>47758299.43</f>
        <v>47758299.43</v>
      </c>
      <c r="D88" s="84">
        <f>0</f>
        <v>0</v>
      </c>
      <c r="E88" s="37"/>
      <c r="F88" s="37"/>
      <c r="G88" s="37"/>
      <c r="H88" s="37"/>
      <c r="I88" s="37"/>
    </row>
    <row r="89" spans="2:13" ht="149.25" customHeight="1" x14ac:dyDescent="0.25">
      <c r="B89" s="110" t="s">
        <v>79</v>
      </c>
      <c r="C89" s="30">
        <f>25028196.22</f>
        <v>25028196.219999999</v>
      </c>
      <c r="D89" s="84">
        <f>0</f>
        <v>0</v>
      </c>
      <c r="E89" s="37"/>
      <c r="F89" s="37"/>
      <c r="G89" s="37"/>
      <c r="H89" s="37"/>
      <c r="I89" s="37"/>
    </row>
    <row r="90" spans="2:13" ht="24" customHeight="1" x14ac:dyDescent="0.25">
      <c r="B90" s="110" t="s">
        <v>80</v>
      </c>
      <c r="C90" s="30">
        <f>150000</f>
        <v>150000</v>
      </c>
      <c r="D90" s="84">
        <f>0</f>
        <v>0</v>
      </c>
      <c r="E90" s="37"/>
      <c r="F90" s="37"/>
      <c r="G90" s="37"/>
      <c r="H90" s="37"/>
      <c r="I90" s="37"/>
    </row>
    <row r="91" spans="2:13" ht="13.5" customHeight="1" x14ac:dyDescent="0.2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</row>
    <row r="92" spans="2:13" x14ac:dyDescent="0.25">
      <c r="B92" s="116" t="s">
        <v>34</v>
      </c>
      <c r="C92" s="114">
        <f>3</f>
        <v>3</v>
      </c>
      <c r="D92" s="114" t="str">
        <f>IF(C92=1,"I Kwartał",IF(C92=2,"II Kwartały",IF(C92=3,"III Kwartały",IF(C92=4,"IV Kwartały",IF(C92="M1","Styczeń",IF(C92="M11","Listopad",IF(C92="M12","Grudzień","-")))))))</f>
        <v>III Kwartały</v>
      </c>
      <c r="E92" s="37"/>
      <c r="F92" s="37"/>
      <c r="G92" s="37"/>
      <c r="H92" s="37"/>
      <c r="I92" s="37"/>
      <c r="J92" s="37"/>
      <c r="K92" s="37"/>
      <c r="L92" s="37"/>
      <c r="M92" s="37"/>
    </row>
    <row r="93" spans="2:13" ht="11.25" customHeight="1" x14ac:dyDescent="0.25">
      <c r="B93" s="116" t="s">
        <v>35</v>
      </c>
      <c r="C93" s="115">
        <f>2022</f>
        <v>2022</v>
      </c>
      <c r="D93" s="36"/>
      <c r="E93" s="37"/>
      <c r="F93" s="37"/>
      <c r="G93" s="37"/>
      <c r="H93" s="37"/>
      <c r="I93" s="37"/>
      <c r="J93" s="37"/>
      <c r="K93" s="37"/>
      <c r="L93" s="37"/>
      <c r="M93" s="37"/>
    </row>
    <row r="94" spans="2:13" ht="10.5" customHeight="1" x14ac:dyDescent="0.25">
      <c r="B94" s="116" t="s">
        <v>36</v>
      </c>
      <c r="C94" s="138" t="str">
        <f>"Nov 18 2022 12:00AM"</f>
        <v>Nov 18 2022 12:00AM</v>
      </c>
      <c r="D94" s="139"/>
      <c r="E94" s="37"/>
      <c r="F94" s="37"/>
      <c r="G94" s="37"/>
      <c r="H94" s="37"/>
      <c r="I94" s="37"/>
      <c r="J94" s="37"/>
      <c r="K94" s="37"/>
      <c r="L94" s="37"/>
      <c r="M94" s="37"/>
    </row>
    <row r="95" spans="2:13" hidden="1" x14ac:dyDescent="0.25">
      <c r="B95" s="1" t="s">
        <v>91</v>
      </c>
      <c r="C95" s="118" t="s">
        <v>92</v>
      </c>
    </row>
  </sheetData>
  <mergeCells count="22">
    <mergeCell ref="C94:D94"/>
    <mergeCell ref="E62:I64"/>
    <mergeCell ref="K44:K46"/>
    <mergeCell ref="B44:B47"/>
    <mergeCell ref="I44:I46"/>
    <mergeCell ref="J44:J46"/>
    <mergeCell ref="D44:D46"/>
    <mergeCell ref="J63:K63"/>
    <mergeCell ref="J4:L4"/>
    <mergeCell ref="J47:K47"/>
    <mergeCell ref="E44:E46"/>
    <mergeCell ref="C44:C46"/>
    <mergeCell ref="I59:J59"/>
    <mergeCell ref="G45:H45"/>
    <mergeCell ref="F44:H44"/>
    <mergeCell ref="B3:B4"/>
    <mergeCell ref="F45:F46"/>
    <mergeCell ref="C63:D63"/>
    <mergeCell ref="C81:D81"/>
    <mergeCell ref="C47:I47"/>
    <mergeCell ref="E4:I5"/>
    <mergeCell ref="C4:D4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2022-11-29T15:19:54Z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2022-11-29T16:19:50.1610412+01:00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GRN-ac77cd3d-2519-4c6c-b2c7-ee85db1afd14</vt:lpwstr>
  </property>
  <property fmtid="{D5CDD505-2E9C-101B-9397-08002B2CF9AE}" pid="7" name="MFHash">
    <vt:lpwstr>FrPFg5aMIW0+RCqwf7EJ7zjs90EgQ8GlSgHXpn2Zbb0=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