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r-win-003\homes_citrix\HHCY.MF\```ST7\Besti@\2022\IV kw 2022\Dane ostateczne\www\MF\Zestawienia zbiorcze\"/>
    </mc:Choice>
  </mc:AlternateContent>
  <bookViews>
    <workbookView xWindow="240" yWindow="120" windowWidth="14220" windowHeight="8835"/>
  </bookViews>
  <sheets>
    <sheet name="zob_nal" sheetId="7" r:id="rId1"/>
  </sheets>
  <calcPr calcId="152511"/>
</workbook>
</file>

<file path=xl/calcChain.xml><?xml version="1.0" encoding="utf-8"?>
<calcChain xmlns="http://schemas.openxmlformats.org/spreadsheetml/2006/main">
  <c r="B96" i="7" l="1"/>
  <c r="B95" i="7"/>
  <c r="B94" i="7"/>
  <c r="I91" i="7"/>
  <c r="G91" i="7"/>
  <c r="I90" i="7"/>
  <c r="G90" i="7"/>
  <c r="I89" i="7"/>
  <c r="G89" i="7"/>
  <c r="L83" i="7"/>
  <c r="K83" i="7"/>
  <c r="J83" i="7"/>
  <c r="I83" i="7"/>
  <c r="H83" i="7"/>
  <c r="G83" i="7"/>
  <c r="F83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4" i="7"/>
  <c r="A86" i="7" s="1"/>
  <c r="A1" i="7" l="1"/>
  <c r="A30" i="7"/>
  <c r="A67" i="7"/>
</calcChain>
</file>

<file path=xl/sharedStrings.xml><?xml version="1.0" encoding="utf-8"?>
<sst xmlns="http://schemas.openxmlformats.org/spreadsheetml/2006/main" count="93" uniqueCount="79">
  <si>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</si>
  <si>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</si>
  <si>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</si>
  <si>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</si>
  <si>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</si>
  <si>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</si>
  <si>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</si>
  <si>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</si>
  <si>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</si>
  <si>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</si>
  <si>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</si>
  <si>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</si>
  <si>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</si>
  <si>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</si>
  <si>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</si>
  <si>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</si>
  <si>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</si>
  <si>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</si>
  <si>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</si>
  <si>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</si>
  <si>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</si>
  <si>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</si>
  <si>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</si>
  <si>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</si>
  <si>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</si>
  <si>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</si>
  <si>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</si>
  <si>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</si>
  <si>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</si>
  <si>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</si>
  <si>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</si>
  <si>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</si>
  <si>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</si>
  <si>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</si>
  <si>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</si>
  <si>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</si>
  <si>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</si>
  <si>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</si>
  <si>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</si>
  <si>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</si>
  <si>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</si>
  <si>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</si>
  <si>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</si>
  <si>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</si>
  <si>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</si>
  <si>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</si>
  <si>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E1.1 krótkotermionowe</t>
  </si>
  <si>
    <t>E1.2 długoterminowe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</si>
  <si>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</si>
  <si>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</si>
  <si>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</si>
  <si>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</si>
  <si>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</si>
  <si>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</si>
  <si>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</si>
  <si>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</si>
  <si>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</si>
  <si>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</si>
  <si>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</si>
  <si>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</si>
  <si>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</si>
  <si>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</si>
  <si>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</si>
  <si>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</si>
  <si>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</si>
  <si>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</si>
  <si>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</si>
  <si>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</si>
  <si>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</si>
  <si>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</si>
  <si>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</si>
  <si>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</si>
  <si>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</si>
  <si>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</si>
  <si>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</si>
  <si>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E1 papiery wartościowe (E1.1+E1.2)</t>
  </si>
  <si>
    <t>E2 kredyty i pożyczki (E2.1+E2.2)</t>
  </si>
  <si>
    <t>E4  wymagalne zobowiązania (E4.1+E4.2)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</si>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</sst>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\ h:mm;@"/>
  </numFmts>
  <fonts count="31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75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19" borderId="10" xfId="37" applyFont="1" applyFill="1" applyBorder="1" applyAlignment="1">
      <alignment horizontal="center" vertical="center" wrapText="1"/>
    </xf>
    <xf numFmtId="0" fontId="2" fillId="0" borderId="10" xfId="37" applyFont="1" applyBorder="1" applyAlignment="1">
      <alignment horizontal="left" vertical="center" wrapText="1"/>
    </xf>
    <xf numFmtId="0" fontId="2" fillId="0" borderId="10" xfId="37" applyFont="1" applyBorder="1" applyAlignment="1">
      <alignment horizontal="left" vertical="top" wrapText="1"/>
    </xf>
    <xf numFmtId="0" fontId="29" fillId="0" borderId="17" xfId="0" applyFont="1" applyFill="1" applyBorder="1" applyAlignment="1">
      <alignment vertical="top" wrapText="1"/>
    </xf>
    <xf numFmtId="0" fontId="8" fillId="20" borderId="10" xfId="37" applyFont="1" applyFill="1" applyBorder="1" applyAlignment="1">
      <alignment horizontal="left" vertical="top" wrapText="1"/>
    </xf>
    <xf numFmtId="0" fontId="2" fillId="20" borderId="10" xfId="37" applyFont="1" applyFill="1" applyBorder="1" applyAlignment="1">
      <alignment horizontal="left" vertical="top" wrapText="1"/>
    </xf>
    <xf numFmtId="4" fontId="7" fillId="20" borderId="10" xfId="37" applyNumberFormat="1" applyFont="1" applyFill="1" applyBorder="1" applyAlignment="1">
      <alignment horizontal="right" vertical="center" wrapText="1"/>
    </xf>
    <xf numFmtId="4" fontId="7" fillId="0" borderId="10" xfId="37" applyNumberFormat="1" applyFont="1" applyBorder="1" applyAlignment="1">
      <alignment horizontal="right" vertical="center" wrapText="1"/>
    </xf>
    <xf numFmtId="4" fontId="7" fillId="2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horizontal="right" vertical="center" wrapText="1"/>
    </xf>
    <xf numFmtId="0" fontId="8" fillId="21" borderId="10" xfId="37" applyFont="1" applyFill="1" applyBorder="1" applyAlignment="1">
      <alignment horizontal="left" vertical="center" wrapText="1"/>
    </xf>
    <xf numFmtId="4" fontId="7" fillId="21" borderId="10" xfId="37" applyNumberFormat="1" applyFont="1" applyFill="1" applyBorder="1" applyAlignment="1">
      <alignment horizontal="right" vertical="center" wrapText="1"/>
    </xf>
    <xf numFmtId="0" fontId="28" fillId="21" borderId="17" xfId="0" applyFont="1" applyFill="1" applyBorder="1" applyAlignment="1">
      <alignment vertical="top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2" fillId="19" borderId="10" xfId="37" applyFont="1" applyFill="1" applyBorder="1" applyAlignment="1">
      <alignment horizontal="center" vertical="center" wrapText="1"/>
    </xf>
    <xf numFmtId="0" fontId="30" fillId="0" borderId="0" xfId="37" applyFont="1" applyAlignment="1">
      <alignment horizontal="center" vertical="center" wrapText="1"/>
    </xf>
    <xf numFmtId="0" fontId="2" fillId="19" borderId="19" xfId="37" applyFont="1" applyFill="1" applyBorder="1" applyAlignment="1">
      <alignment horizontal="center" vertical="center" wrapText="1"/>
    </xf>
    <xf numFmtId="0" fontId="2" fillId="19" borderId="20" xfId="37" applyFont="1" applyFill="1" applyBorder="1" applyAlignment="1">
      <alignment horizontal="center" vertical="center" wrapText="1"/>
    </xf>
    <xf numFmtId="0" fontId="2" fillId="19" borderId="12" xfId="37" applyFont="1" applyFill="1" applyBorder="1" applyAlignment="1">
      <alignment horizontal="center" vertical="center" wrapText="1"/>
    </xf>
    <xf numFmtId="0" fontId="2" fillId="19" borderId="10" xfId="37" applyNumberFormat="1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6" fillId="0" borderId="0" xfId="37" applyFont="1" applyAlignment="1">
      <alignment horizontal="left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0" fontId="5" fillId="19" borderId="14" xfId="37" applyFont="1" applyFill="1" applyBorder="1" applyAlignment="1">
      <alignment horizontal="center" vertical="center" wrapText="1"/>
    </xf>
    <xf numFmtId="3" fontId="7" fillId="0" borderId="15" xfId="37" applyNumberFormat="1" applyFont="1" applyFill="1" applyBorder="1" applyAlignment="1">
      <alignment horizontal="right" vertical="center" wrapText="1"/>
    </xf>
    <xf numFmtId="3" fontId="7" fillId="0" borderId="11" xfId="37" applyNumberFormat="1" applyFont="1" applyFill="1" applyBorder="1" applyAlignment="1">
      <alignment horizontal="right" vertical="center" wrapText="1"/>
    </xf>
    <xf numFmtId="4" fontId="7" fillId="0" borderId="15" xfId="37" applyNumberFormat="1" applyFont="1" applyFill="1" applyBorder="1" applyAlignment="1">
      <alignment horizontal="right" vertical="center" wrapText="1"/>
    </xf>
    <xf numFmtId="4" fontId="7" fillId="0" borderId="11" xfId="37" applyNumberFormat="1" applyFont="1" applyFill="1" applyBorder="1" applyAlignment="1">
      <alignment horizontal="right" vertical="center" wrapText="1"/>
    </xf>
    <xf numFmtId="0" fontId="2" fillId="19" borderId="21" xfId="37" applyFont="1" applyFill="1" applyBorder="1" applyAlignment="1">
      <alignment horizontal="center" vertical="center" wrapText="1"/>
    </xf>
    <xf numFmtId="0" fontId="2" fillId="19" borderId="23" xfId="37" applyFont="1" applyFill="1" applyBorder="1" applyAlignment="1">
      <alignment horizontal="center" vertical="center" wrapText="1"/>
    </xf>
    <xf numFmtId="0" fontId="2" fillId="19" borderId="13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8" fillId="19" borderId="19" xfId="37" applyFont="1" applyFill="1" applyBorder="1" applyAlignment="1">
      <alignment horizontal="center" vertical="center" wrapText="1"/>
    </xf>
    <xf numFmtId="0" fontId="8" fillId="19" borderId="20" xfId="37" applyFont="1" applyFill="1" applyBorder="1" applyAlignment="1">
      <alignment horizontal="center" vertical="center" wrapText="1"/>
    </xf>
    <xf numFmtId="0" fontId="8" fillId="19" borderId="12" xfId="37" applyFont="1" applyFill="1" applyBorder="1" applyAlignment="1">
      <alignment horizontal="center" vertical="center" wrapText="1"/>
    </xf>
    <xf numFmtId="0" fontId="8" fillId="19" borderId="15" xfId="37" applyFont="1" applyFill="1" applyBorder="1" applyAlignment="1">
      <alignment horizontal="center" vertical="center" wrapText="1"/>
    </xf>
    <xf numFmtId="0" fontId="8" fillId="19" borderId="14" xfId="37" applyFont="1" applyFill="1" applyBorder="1" applyAlignment="1">
      <alignment horizontal="center" vertical="center" wrapText="1"/>
    </xf>
    <xf numFmtId="0" fontId="8" fillId="19" borderId="11" xfId="37" applyFont="1" applyFill="1" applyBorder="1" applyAlignment="1">
      <alignment horizontal="center" vertical="center" wrapTex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rmalny_Zeszyt1" xfId="37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96"/>
  <sheetViews>
    <sheetView tabSelected="1" zoomScaleNormal="100" zoomScaleSheetLayoutView="50" workbookViewId="0">
      <selection activeCell="A6" sqref="A6:A11"/>
    </sheetView>
  </sheetViews>
  <sheetFormatPr defaultRowHeight="13.5" customHeight="1" x14ac:dyDescent="0.2"/>
  <cols>
    <col min="1" max="1" width="16.42578125" style="2" customWidth="1"/>
    <col min="2" max="2" width="14.7109375" style="2" customWidth="1"/>
    <col min="3" max="3" width="15.140625" style="2" customWidth="1"/>
    <col min="4" max="4" width="12.5703125" style="2" customWidth="1"/>
    <col min="5" max="5" width="11.42578125" style="2" customWidth="1"/>
    <col min="6" max="7" width="12.5703125" style="2" customWidth="1"/>
    <col min="8" max="8" width="12" style="2" customWidth="1"/>
    <col min="9" max="9" width="11.7109375" style="2" customWidth="1"/>
    <col min="10" max="10" width="13" style="2" customWidth="1"/>
    <col min="11" max="11" width="12.140625" style="2" customWidth="1"/>
    <col min="12" max="12" width="13.28515625" style="2" customWidth="1"/>
    <col min="13" max="13" width="12.85546875" style="2" customWidth="1"/>
    <col min="14" max="14" width="12" style="2" customWidth="1"/>
    <col min="15" max="17" width="11.7109375" style="2" customWidth="1"/>
    <col min="18" max="16384" width="9.140625" style="2"/>
  </cols>
  <sheetData>
    <row r="1" spans="1:17" ht="75" customHeight="1" x14ac:dyDescent="0.2">
      <c r="A1" s="33" t="str">
        <f>CONCATENATE("Informacja z wykonania budżetów jednostek samorządu terytorialnego za ",$C$94," ",$B$95," roku")</f>
        <v>Informacja z wykonania budżetów jednostek samorządu terytorialnego za IV Kwartały 2022 roku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43" t="s">
        <v>60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5" spans="1:17" ht="13.5" customHeight="1" x14ac:dyDescent="0.2">
      <c r="B5" s="11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10"/>
      <c r="O5" s="10"/>
      <c r="P5" s="10"/>
      <c r="Q5" s="10"/>
    </row>
    <row r="6" spans="1:17" ht="13.5" customHeight="1" x14ac:dyDescent="0.2">
      <c r="A6" s="69" t="s">
        <v>0</v>
      </c>
      <c r="B6" s="34" t="s">
        <v>61</v>
      </c>
      <c r="C6" s="29" t="s">
        <v>65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  <c r="O6" s="29" t="s">
        <v>64</v>
      </c>
      <c r="P6" s="30"/>
      <c r="Q6" s="31"/>
    </row>
    <row r="7" spans="1:17" ht="13.5" customHeight="1" x14ac:dyDescent="0.2">
      <c r="A7" s="70"/>
      <c r="B7" s="35"/>
      <c r="C7" s="36" t="s">
        <v>62</v>
      </c>
      <c r="D7" s="36" t="s">
        <v>73</v>
      </c>
      <c r="E7" s="36" t="s">
        <v>66</v>
      </c>
      <c r="F7" s="36" t="s">
        <v>67</v>
      </c>
      <c r="G7" s="36" t="s">
        <v>27</v>
      </c>
      <c r="H7" s="36" t="s">
        <v>28</v>
      </c>
      <c r="I7" s="66" t="s">
        <v>63</v>
      </c>
      <c r="J7" s="36" t="s">
        <v>16</v>
      </c>
      <c r="K7" s="36" t="s">
        <v>17</v>
      </c>
      <c r="L7" s="36" t="s">
        <v>18</v>
      </c>
      <c r="M7" s="36" t="s">
        <v>19</v>
      </c>
      <c r="N7" s="35" t="s">
        <v>20</v>
      </c>
      <c r="O7" s="32" t="s">
        <v>21</v>
      </c>
      <c r="P7" s="32" t="s">
        <v>22</v>
      </c>
      <c r="Q7" s="32" t="s">
        <v>23</v>
      </c>
    </row>
    <row r="8" spans="1:17" ht="13.5" customHeight="1" x14ac:dyDescent="0.2">
      <c r="A8" s="70"/>
      <c r="B8" s="35"/>
      <c r="C8" s="32"/>
      <c r="D8" s="32"/>
      <c r="E8" s="32"/>
      <c r="F8" s="32"/>
      <c r="G8" s="32"/>
      <c r="H8" s="32"/>
      <c r="I8" s="66"/>
      <c r="J8" s="32"/>
      <c r="K8" s="32"/>
      <c r="L8" s="32"/>
      <c r="M8" s="32"/>
      <c r="N8" s="35"/>
      <c r="O8" s="32"/>
      <c r="P8" s="32"/>
      <c r="Q8" s="32"/>
    </row>
    <row r="9" spans="1:17" ht="13.5" customHeight="1" x14ac:dyDescent="0.2">
      <c r="A9" s="70"/>
      <c r="B9" s="35"/>
      <c r="C9" s="32"/>
      <c r="D9" s="32"/>
      <c r="E9" s="32"/>
      <c r="F9" s="32"/>
      <c r="G9" s="32"/>
      <c r="H9" s="32"/>
      <c r="I9" s="66"/>
      <c r="J9" s="32"/>
      <c r="K9" s="32"/>
      <c r="L9" s="32"/>
      <c r="M9" s="32"/>
      <c r="N9" s="35"/>
      <c r="O9" s="32"/>
      <c r="P9" s="32"/>
      <c r="Q9" s="32"/>
    </row>
    <row r="10" spans="1:17" ht="11.25" customHeight="1" x14ac:dyDescent="0.2">
      <c r="A10" s="70"/>
      <c r="B10" s="35"/>
      <c r="C10" s="32"/>
      <c r="D10" s="32"/>
      <c r="E10" s="32"/>
      <c r="F10" s="32"/>
      <c r="G10" s="32"/>
      <c r="H10" s="32"/>
      <c r="I10" s="66"/>
      <c r="J10" s="32"/>
      <c r="K10" s="32"/>
      <c r="L10" s="32"/>
      <c r="M10" s="32"/>
      <c r="N10" s="35"/>
      <c r="O10" s="32"/>
      <c r="P10" s="32"/>
      <c r="Q10" s="32"/>
    </row>
    <row r="11" spans="1:17" ht="27.75" customHeight="1" x14ac:dyDescent="0.2">
      <c r="A11" s="71"/>
      <c r="B11" s="36"/>
      <c r="C11" s="32"/>
      <c r="D11" s="32"/>
      <c r="E11" s="32"/>
      <c r="F11" s="32"/>
      <c r="G11" s="32"/>
      <c r="H11" s="32"/>
      <c r="I11" s="67"/>
      <c r="J11" s="32"/>
      <c r="K11" s="32"/>
      <c r="L11" s="32"/>
      <c r="M11" s="32"/>
      <c r="N11" s="36"/>
      <c r="O11" s="32"/>
      <c r="P11" s="32"/>
      <c r="Q11" s="32"/>
    </row>
    <row r="12" spans="1:17" ht="13.5" customHeight="1" x14ac:dyDescent="0.2">
      <c r="A12" s="12">
        <v>1</v>
      </c>
      <c r="B12" s="12">
        <v>2</v>
      </c>
      <c r="C12" s="12">
        <v>3</v>
      </c>
      <c r="D12" s="12">
        <v>4</v>
      </c>
      <c r="E12" s="12">
        <v>5</v>
      </c>
      <c r="F12" s="12">
        <v>6</v>
      </c>
      <c r="G12" s="12">
        <v>7</v>
      </c>
      <c r="H12" s="12">
        <v>8</v>
      </c>
      <c r="I12" s="12">
        <v>9</v>
      </c>
      <c r="J12" s="12">
        <v>10</v>
      </c>
      <c r="K12" s="12">
        <v>11</v>
      </c>
      <c r="L12" s="12">
        <v>12</v>
      </c>
      <c r="M12" s="12">
        <v>13</v>
      </c>
      <c r="N12" s="12">
        <v>14</v>
      </c>
      <c r="O12" s="12">
        <v>15</v>
      </c>
      <c r="P12" s="12">
        <v>16</v>
      </c>
      <c r="Q12" s="12">
        <v>17</v>
      </c>
    </row>
    <row r="13" spans="1:17" ht="52.5" customHeight="1" x14ac:dyDescent="0.2">
      <c r="A13" s="19" t="s">
        <v>45</v>
      </c>
      <c r="B13" s="21">
        <f>90825609678.5</f>
        <v>90825609678.5</v>
      </c>
      <c r="C13" s="21">
        <f>66674977613.93</f>
        <v>66674977613.93</v>
      </c>
      <c r="D13" s="21">
        <f>3383754382.1</f>
        <v>3383754382.0999999</v>
      </c>
      <c r="E13" s="21">
        <f>604881936.53</f>
        <v>604881936.52999997</v>
      </c>
      <c r="F13" s="21">
        <f>696274198.93</f>
        <v>696274198.92999995</v>
      </c>
      <c r="G13" s="21">
        <f>2082404498.42</f>
        <v>2082404498.4200001</v>
      </c>
      <c r="H13" s="21">
        <f>193748.22</f>
        <v>193748.22</v>
      </c>
      <c r="I13" s="21">
        <f>0</f>
        <v>0</v>
      </c>
      <c r="J13" s="21">
        <f>58481132597.32</f>
        <v>58481132597.32</v>
      </c>
      <c r="K13" s="21">
        <f>2790420895.63</f>
        <v>2790420895.6300001</v>
      </c>
      <c r="L13" s="21">
        <f>1969736395.98</f>
        <v>1969736395.98</v>
      </c>
      <c r="M13" s="21">
        <f>28156026.31</f>
        <v>28156026.309999999</v>
      </c>
      <c r="N13" s="21">
        <f>21777316.59</f>
        <v>21777316.59</v>
      </c>
      <c r="O13" s="21">
        <f>24150632064.57</f>
        <v>24150632064.57</v>
      </c>
      <c r="P13" s="21">
        <f>24128130872.34</f>
        <v>24128130872.34</v>
      </c>
      <c r="Q13" s="21">
        <f>22501192.23</f>
        <v>22501192.23</v>
      </c>
    </row>
    <row r="14" spans="1:17" ht="41.25" customHeight="1" x14ac:dyDescent="0.2">
      <c r="A14" s="19" t="s">
        <v>75</v>
      </c>
      <c r="B14" s="21">
        <f>4399800000</f>
        <v>4399800000</v>
      </c>
      <c r="C14" s="21">
        <f>4399800000</f>
        <v>4399800000</v>
      </c>
      <c r="D14" s="21">
        <f>0</f>
        <v>0</v>
      </c>
      <c r="E14" s="21">
        <f>0</f>
        <v>0</v>
      </c>
      <c r="F14" s="21">
        <f>0</f>
        <v>0</v>
      </c>
      <c r="G14" s="21">
        <f>0</f>
        <v>0</v>
      </c>
      <c r="H14" s="21">
        <f>0</f>
        <v>0</v>
      </c>
      <c r="I14" s="21">
        <f>0</f>
        <v>0</v>
      </c>
      <c r="J14" s="21">
        <f>4195200000</f>
        <v>4195200000</v>
      </c>
      <c r="K14" s="21">
        <f>204600000</f>
        <v>204600000</v>
      </c>
      <c r="L14" s="21">
        <f>0</f>
        <v>0</v>
      </c>
      <c r="M14" s="21">
        <f>0</f>
        <v>0</v>
      </c>
      <c r="N14" s="21">
        <f>0</f>
        <v>0</v>
      </c>
      <c r="O14" s="21">
        <f>0</f>
        <v>0</v>
      </c>
      <c r="P14" s="21">
        <f>0</f>
        <v>0</v>
      </c>
      <c r="Q14" s="21">
        <f>0</f>
        <v>0</v>
      </c>
    </row>
    <row r="15" spans="1:17" ht="22.5" x14ac:dyDescent="0.2">
      <c r="A15" s="16" t="s">
        <v>46</v>
      </c>
      <c r="B15" s="22">
        <f>14100000</f>
        <v>14100000</v>
      </c>
      <c r="C15" s="22">
        <f>14100000</f>
        <v>14100000</v>
      </c>
      <c r="D15" s="22">
        <f>0</f>
        <v>0</v>
      </c>
      <c r="E15" s="22">
        <f>0</f>
        <v>0</v>
      </c>
      <c r="F15" s="22">
        <f>0</f>
        <v>0</v>
      </c>
      <c r="G15" s="22">
        <f>0</f>
        <v>0</v>
      </c>
      <c r="H15" s="22">
        <f>0</f>
        <v>0</v>
      </c>
      <c r="I15" s="22">
        <f>0</f>
        <v>0</v>
      </c>
      <c r="J15" s="22">
        <f>14100000</f>
        <v>14100000</v>
      </c>
      <c r="K15" s="22">
        <f>0</f>
        <v>0</v>
      </c>
      <c r="L15" s="22">
        <f>0</f>
        <v>0</v>
      </c>
      <c r="M15" s="22">
        <f>0</f>
        <v>0</v>
      </c>
      <c r="N15" s="22">
        <f>0</f>
        <v>0</v>
      </c>
      <c r="O15" s="22">
        <f>0</f>
        <v>0</v>
      </c>
      <c r="P15" s="22">
        <f>0</f>
        <v>0</v>
      </c>
      <c r="Q15" s="22">
        <f>0</f>
        <v>0</v>
      </c>
    </row>
    <row r="16" spans="1:17" ht="23.25" customHeight="1" x14ac:dyDescent="0.2">
      <c r="A16" s="16" t="s">
        <v>47</v>
      </c>
      <c r="B16" s="22">
        <f>4385700000</f>
        <v>4385700000</v>
      </c>
      <c r="C16" s="22">
        <f>4385700000</f>
        <v>4385700000</v>
      </c>
      <c r="D16" s="22">
        <f>0</f>
        <v>0</v>
      </c>
      <c r="E16" s="22">
        <f>0</f>
        <v>0</v>
      </c>
      <c r="F16" s="22">
        <f>0</f>
        <v>0</v>
      </c>
      <c r="G16" s="22">
        <f>0</f>
        <v>0</v>
      </c>
      <c r="H16" s="22">
        <f>0</f>
        <v>0</v>
      </c>
      <c r="I16" s="22">
        <f>0</f>
        <v>0</v>
      </c>
      <c r="J16" s="22">
        <f>4181100000</f>
        <v>4181100000</v>
      </c>
      <c r="K16" s="22">
        <f>204600000</f>
        <v>204600000</v>
      </c>
      <c r="L16" s="22">
        <f>0</f>
        <v>0</v>
      </c>
      <c r="M16" s="22">
        <f>0</f>
        <v>0</v>
      </c>
      <c r="N16" s="22">
        <f>0</f>
        <v>0</v>
      </c>
      <c r="O16" s="22">
        <f>0</f>
        <v>0</v>
      </c>
      <c r="P16" s="22">
        <f>0</f>
        <v>0</v>
      </c>
      <c r="Q16" s="22">
        <f>0</f>
        <v>0</v>
      </c>
    </row>
    <row r="17" spans="1:17" ht="33" customHeight="1" x14ac:dyDescent="0.2">
      <c r="A17" s="19" t="s">
        <v>76</v>
      </c>
      <c r="B17" s="21">
        <f>86357406782.81</f>
        <v>86357406782.809998</v>
      </c>
      <c r="C17" s="21">
        <f>62206775910.47</f>
        <v>62206775910.470001</v>
      </c>
      <c r="D17" s="21">
        <f>3362243918.09</f>
        <v>3362243918.0900002</v>
      </c>
      <c r="E17" s="21">
        <f>598379964.66</f>
        <v>598379964.65999997</v>
      </c>
      <c r="F17" s="21">
        <f>695956138.07</f>
        <v>695956138.07000005</v>
      </c>
      <c r="G17" s="21">
        <f>2067866749.42</f>
        <v>2067866749.4200001</v>
      </c>
      <c r="H17" s="21">
        <f>41065.94</f>
        <v>41065.94</v>
      </c>
      <c r="I17" s="21">
        <f>0</f>
        <v>0</v>
      </c>
      <c r="J17" s="21">
        <f>54285556466.84</f>
        <v>54285556466.839996</v>
      </c>
      <c r="K17" s="21">
        <f>2585804626.67</f>
        <v>2585804626.6700001</v>
      </c>
      <c r="L17" s="21">
        <f>1945472661.48</f>
        <v>1945472661.48</v>
      </c>
      <c r="M17" s="21">
        <f>10442153.06</f>
        <v>10442153.060000001</v>
      </c>
      <c r="N17" s="21">
        <f>17256084.33</f>
        <v>17256084.329999998</v>
      </c>
      <c r="O17" s="21">
        <f>24150630872.34</f>
        <v>24150630872.34</v>
      </c>
      <c r="P17" s="21">
        <f>24128130872.34</f>
        <v>24128130872.34</v>
      </c>
      <c r="Q17" s="21">
        <f>22500000</f>
        <v>22500000</v>
      </c>
    </row>
    <row r="18" spans="1:17" ht="22.5" x14ac:dyDescent="0.2">
      <c r="A18" s="16" t="s">
        <v>48</v>
      </c>
      <c r="B18" s="22">
        <f>95955598.46</f>
        <v>95955598.459999993</v>
      </c>
      <c r="C18" s="22">
        <f>95955598.46</f>
        <v>95955598.459999993</v>
      </c>
      <c r="D18" s="22">
        <f>15053749.97</f>
        <v>15053749.970000001</v>
      </c>
      <c r="E18" s="22">
        <f>8710788.68</f>
        <v>8710788.6799999997</v>
      </c>
      <c r="F18" s="22">
        <f>1291406.82</f>
        <v>1291406.82</v>
      </c>
      <c r="G18" s="22">
        <f>5051554.47</f>
        <v>5051554.47</v>
      </c>
      <c r="H18" s="22">
        <f>0</f>
        <v>0</v>
      </c>
      <c r="I18" s="22">
        <f>0</f>
        <v>0</v>
      </c>
      <c r="J18" s="22">
        <f>70600643.96</f>
        <v>70600643.959999993</v>
      </c>
      <c r="K18" s="22">
        <f>7725562.94</f>
        <v>7725562.9400000004</v>
      </c>
      <c r="L18" s="22">
        <f>2470641.59</f>
        <v>2470641.59</v>
      </c>
      <c r="M18" s="22">
        <f>105000</f>
        <v>105000</v>
      </c>
      <c r="N18" s="22">
        <f>0</f>
        <v>0</v>
      </c>
      <c r="O18" s="22">
        <f>0</f>
        <v>0</v>
      </c>
      <c r="P18" s="22">
        <f>0</f>
        <v>0</v>
      </c>
      <c r="Q18" s="22">
        <f>0</f>
        <v>0</v>
      </c>
    </row>
    <row r="19" spans="1:17" ht="24" customHeight="1" x14ac:dyDescent="0.2">
      <c r="A19" s="16" t="s">
        <v>49</v>
      </c>
      <c r="B19" s="22">
        <f>86261451184.35</f>
        <v>86261451184.350006</v>
      </c>
      <c r="C19" s="22">
        <f>62110820312.01</f>
        <v>62110820312.010002</v>
      </c>
      <c r="D19" s="22">
        <f>3347190168.12</f>
        <v>3347190168.1199999</v>
      </c>
      <c r="E19" s="22">
        <f>589669175.98</f>
        <v>589669175.98000002</v>
      </c>
      <c r="F19" s="22">
        <f>694664731.25</f>
        <v>694664731.25</v>
      </c>
      <c r="G19" s="22">
        <f>2062815194.95</f>
        <v>2062815194.95</v>
      </c>
      <c r="H19" s="22">
        <f>41065.94</f>
        <v>41065.94</v>
      </c>
      <c r="I19" s="22">
        <f>0</f>
        <v>0</v>
      </c>
      <c r="J19" s="22">
        <f>54214955822.88</f>
        <v>54214955822.879997</v>
      </c>
      <c r="K19" s="22">
        <f>2578079063.73</f>
        <v>2578079063.73</v>
      </c>
      <c r="L19" s="22">
        <f>1943002019.89</f>
        <v>1943002019.8900001</v>
      </c>
      <c r="M19" s="22">
        <f>10337153.06</f>
        <v>10337153.060000001</v>
      </c>
      <c r="N19" s="22">
        <f>17256084.33</f>
        <v>17256084.329999998</v>
      </c>
      <c r="O19" s="22">
        <f>24150630872.34</f>
        <v>24150630872.34</v>
      </c>
      <c r="P19" s="22">
        <f>24128130872.34</f>
        <v>24128130872.34</v>
      </c>
      <c r="Q19" s="22">
        <f>22500000</f>
        <v>22500000</v>
      </c>
    </row>
    <row r="20" spans="1:17" ht="24.75" customHeight="1" x14ac:dyDescent="0.2">
      <c r="A20" s="26" t="s">
        <v>50</v>
      </c>
      <c r="B20" s="27">
        <f>0</f>
        <v>0</v>
      </c>
      <c r="C20" s="27">
        <f>0</f>
        <v>0</v>
      </c>
      <c r="D20" s="27">
        <f>0</f>
        <v>0</v>
      </c>
      <c r="E20" s="27">
        <f>0</f>
        <v>0</v>
      </c>
      <c r="F20" s="27">
        <f>0</f>
        <v>0</v>
      </c>
      <c r="G20" s="27">
        <f>0</f>
        <v>0</v>
      </c>
      <c r="H20" s="27">
        <f>0</f>
        <v>0</v>
      </c>
      <c r="I20" s="27">
        <f>0</f>
        <v>0</v>
      </c>
      <c r="J20" s="27">
        <f>0</f>
        <v>0</v>
      </c>
      <c r="K20" s="27">
        <f>0</f>
        <v>0</v>
      </c>
      <c r="L20" s="27">
        <f>0</f>
        <v>0</v>
      </c>
      <c r="M20" s="27">
        <f>0</f>
        <v>0</v>
      </c>
      <c r="N20" s="27">
        <f>0</f>
        <v>0</v>
      </c>
      <c r="O20" s="27">
        <f>0</f>
        <v>0</v>
      </c>
      <c r="P20" s="27">
        <f>0</f>
        <v>0</v>
      </c>
      <c r="Q20" s="27">
        <f>0</f>
        <v>0</v>
      </c>
    </row>
    <row r="21" spans="1:17" ht="38.25" customHeight="1" x14ac:dyDescent="0.2">
      <c r="A21" s="20" t="s">
        <v>77</v>
      </c>
      <c r="B21" s="21">
        <f>68402895.69</f>
        <v>68402895.689999998</v>
      </c>
      <c r="C21" s="21">
        <f>68401703.46</f>
        <v>68401703.459999993</v>
      </c>
      <c r="D21" s="21">
        <f>21510464.01</f>
        <v>21510464.010000002</v>
      </c>
      <c r="E21" s="21">
        <f>6501971.87</f>
        <v>6501971.8700000001</v>
      </c>
      <c r="F21" s="21">
        <f>318060.86</f>
        <v>318060.86</v>
      </c>
      <c r="G21" s="21">
        <f>14537749</f>
        <v>14537749</v>
      </c>
      <c r="H21" s="21">
        <f>152682.28</f>
        <v>152682.28</v>
      </c>
      <c r="I21" s="21">
        <f>0</f>
        <v>0</v>
      </c>
      <c r="J21" s="21">
        <f>376130.48</f>
        <v>376130.48</v>
      </c>
      <c r="K21" s="21">
        <f>16268.96</f>
        <v>16268.96</v>
      </c>
      <c r="L21" s="21">
        <f>24263734.5</f>
        <v>24263734.5</v>
      </c>
      <c r="M21" s="21">
        <f>17713873.25</f>
        <v>17713873.25</v>
      </c>
      <c r="N21" s="21">
        <f>4521232.26</f>
        <v>4521232.26</v>
      </c>
      <c r="O21" s="21">
        <f>1192.23</f>
        <v>1192.23</v>
      </c>
      <c r="P21" s="21">
        <f>0</f>
        <v>0</v>
      </c>
      <c r="Q21" s="21">
        <f>1192.23</f>
        <v>1192.23</v>
      </c>
    </row>
    <row r="22" spans="1:17" ht="33" customHeight="1" x14ac:dyDescent="0.2">
      <c r="A22" s="17" t="s">
        <v>51</v>
      </c>
      <c r="B22" s="22">
        <f>34437869.64</f>
        <v>34437869.640000001</v>
      </c>
      <c r="C22" s="22">
        <f>34437869.64</f>
        <v>34437869.640000001</v>
      </c>
      <c r="D22" s="22">
        <f>1980730.97</f>
        <v>1980730.97</v>
      </c>
      <c r="E22" s="22">
        <f>476.48</f>
        <v>476.48</v>
      </c>
      <c r="F22" s="22">
        <f>14515</f>
        <v>14515</v>
      </c>
      <c r="G22" s="22">
        <f>1965739.49</f>
        <v>1965739.49</v>
      </c>
      <c r="H22" s="22">
        <f>0</f>
        <v>0</v>
      </c>
      <c r="I22" s="22">
        <f>0</f>
        <v>0</v>
      </c>
      <c r="J22" s="22">
        <f>0</f>
        <v>0</v>
      </c>
      <c r="K22" s="22">
        <f>218.3</f>
        <v>218.3</v>
      </c>
      <c r="L22" s="22">
        <f>16487181.7</f>
        <v>16487181.699999999</v>
      </c>
      <c r="M22" s="22">
        <f>11903388.25</f>
        <v>11903388.25</v>
      </c>
      <c r="N22" s="22">
        <f>4066350.42</f>
        <v>4066350.42</v>
      </c>
      <c r="O22" s="22">
        <f>0</f>
        <v>0</v>
      </c>
      <c r="P22" s="22">
        <f>0</f>
        <v>0</v>
      </c>
      <c r="Q22" s="22">
        <f>0</f>
        <v>0</v>
      </c>
    </row>
    <row r="23" spans="1:17" ht="23.25" customHeight="1" x14ac:dyDescent="0.2">
      <c r="A23" s="17" t="s">
        <v>52</v>
      </c>
      <c r="B23" s="22">
        <f>33965026.05</f>
        <v>33965026.049999997</v>
      </c>
      <c r="C23" s="22">
        <f>33963833.82</f>
        <v>33963833.82</v>
      </c>
      <c r="D23" s="22">
        <f>19529733.04</f>
        <v>19529733.039999999</v>
      </c>
      <c r="E23" s="22">
        <f>6501495.39</f>
        <v>6501495.3899999997</v>
      </c>
      <c r="F23" s="22">
        <f>303545.86</f>
        <v>303545.86</v>
      </c>
      <c r="G23" s="22">
        <f>12572009.51</f>
        <v>12572009.51</v>
      </c>
      <c r="H23" s="22">
        <f>152682.28</f>
        <v>152682.28</v>
      </c>
      <c r="I23" s="22">
        <f>0</f>
        <v>0</v>
      </c>
      <c r="J23" s="22">
        <f>376130.48</f>
        <v>376130.48</v>
      </c>
      <c r="K23" s="22">
        <f>16050.66</f>
        <v>16050.66</v>
      </c>
      <c r="L23" s="22">
        <f>7776552.8</f>
        <v>7776552.7999999998</v>
      </c>
      <c r="M23" s="22">
        <f>5810485</f>
        <v>5810485</v>
      </c>
      <c r="N23" s="22">
        <f>454881.84</f>
        <v>454881.84</v>
      </c>
      <c r="O23" s="22">
        <f>1192.23</f>
        <v>1192.23</v>
      </c>
      <c r="P23" s="22">
        <f>0</f>
        <v>0</v>
      </c>
      <c r="Q23" s="22">
        <f>1192.23</f>
        <v>1192.23</v>
      </c>
    </row>
    <row r="24" spans="1:17" ht="19.5" customHeight="1" x14ac:dyDescent="0.2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17" ht="19.5" customHeight="1" x14ac:dyDescent="0.2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1:17" ht="19.5" customHeight="1" x14ac:dyDescent="0.2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9.5" customHeight="1" x14ac:dyDescent="0.2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9.5" customHeight="1" x14ac:dyDescent="0.2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9.5" customHeight="1" x14ac:dyDescent="0.2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7" ht="45.75" customHeight="1" x14ac:dyDescent="0.2">
      <c r="A30" s="33" t="str">
        <f>CONCATENATE("Informacja z wykonania budżetów jednostek samorządu terytorialnego za ",$C$94," ",$B$95," roku")</f>
        <v>Informacja z wykonania budżetów jednostek samorządu terytorialnego za IV Kwartały 2022 roku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2" spans="1:17" ht="13.5" customHeight="1" x14ac:dyDescent="0.2">
      <c r="A32" s="43" t="s">
        <v>11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</row>
    <row r="34" spans="1:17" ht="13.5" customHeight="1" x14ac:dyDescent="0.2">
      <c r="A34" s="69" t="s">
        <v>0</v>
      </c>
      <c r="B34" s="34" t="s">
        <v>12</v>
      </c>
      <c r="C34" s="72" t="s">
        <v>14</v>
      </c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4"/>
      <c r="O34" s="72" t="s">
        <v>24</v>
      </c>
      <c r="P34" s="73"/>
      <c r="Q34" s="74"/>
    </row>
    <row r="35" spans="1:17" ht="13.5" customHeight="1" x14ac:dyDescent="0.2">
      <c r="A35" s="70"/>
      <c r="B35" s="35"/>
      <c r="C35" s="35" t="s">
        <v>13</v>
      </c>
      <c r="D35" s="32" t="s">
        <v>15</v>
      </c>
      <c r="E35" s="32" t="s">
        <v>25</v>
      </c>
      <c r="F35" s="32" t="s">
        <v>26</v>
      </c>
      <c r="G35" s="32" t="s">
        <v>70</v>
      </c>
      <c r="H35" s="32" t="s">
        <v>28</v>
      </c>
      <c r="I35" s="32" t="s">
        <v>1</v>
      </c>
      <c r="J35" s="32" t="s">
        <v>16</v>
      </c>
      <c r="K35" s="32" t="s">
        <v>17</v>
      </c>
      <c r="L35" s="32" t="s">
        <v>18</v>
      </c>
      <c r="M35" s="32" t="s">
        <v>19</v>
      </c>
      <c r="N35" s="37" t="s">
        <v>20</v>
      </c>
      <c r="O35" s="32" t="s">
        <v>21</v>
      </c>
      <c r="P35" s="32" t="s">
        <v>22</v>
      </c>
      <c r="Q35" s="34" t="s">
        <v>23</v>
      </c>
    </row>
    <row r="36" spans="1:17" ht="13.5" customHeight="1" x14ac:dyDescent="0.2">
      <c r="A36" s="70"/>
      <c r="B36" s="35"/>
      <c r="C36" s="35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7"/>
      <c r="O36" s="32"/>
      <c r="P36" s="32"/>
      <c r="Q36" s="35"/>
    </row>
    <row r="37" spans="1:17" ht="11.25" customHeight="1" x14ac:dyDescent="0.2">
      <c r="A37" s="70"/>
      <c r="B37" s="35"/>
      <c r="C37" s="35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7"/>
      <c r="O37" s="32"/>
      <c r="P37" s="32"/>
      <c r="Q37" s="35"/>
    </row>
    <row r="38" spans="1:17" ht="32.25" customHeight="1" x14ac:dyDescent="0.2">
      <c r="A38" s="71"/>
      <c r="B38" s="36"/>
      <c r="C38" s="36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7"/>
      <c r="O38" s="32"/>
      <c r="P38" s="32"/>
      <c r="Q38" s="36"/>
    </row>
    <row r="39" spans="1:17" ht="13.5" customHeight="1" x14ac:dyDescent="0.2">
      <c r="A39" s="12">
        <v>1</v>
      </c>
      <c r="B39" s="12">
        <v>2</v>
      </c>
      <c r="C39" s="12">
        <v>3</v>
      </c>
      <c r="D39" s="12">
        <v>4</v>
      </c>
      <c r="E39" s="12">
        <v>5</v>
      </c>
      <c r="F39" s="12">
        <v>6</v>
      </c>
      <c r="G39" s="12">
        <v>7</v>
      </c>
      <c r="H39" s="12">
        <v>8</v>
      </c>
      <c r="I39" s="12">
        <v>9</v>
      </c>
      <c r="J39" s="12">
        <v>10</v>
      </c>
      <c r="K39" s="12">
        <v>11</v>
      </c>
      <c r="L39" s="12">
        <v>12</v>
      </c>
      <c r="M39" s="12">
        <v>13</v>
      </c>
      <c r="N39" s="12">
        <v>14</v>
      </c>
      <c r="O39" s="12">
        <v>15</v>
      </c>
      <c r="P39" s="12">
        <v>16</v>
      </c>
      <c r="Q39" s="12">
        <v>17</v>
      </c>
    </row>
    <row r="40" spans="1:17" ht="35.25" customHeight="1" x14ac:dyDescent="0.2">
      <c r="A40" s="28" t="s">
        <v>40</v>
      </c>
      <c r="B40" s="23">
        <f>4403971.16</f>
        <v>4403971.16</v>
      </c>
      <c r="C40" s="23">
        <f>4403971.16</f>
        <v>4403971.16</v>
      </c>
      <c r="D40" s="23">
        <f>65965</f>
        <v>65965</v>
      </c>
      <c r="E40" s="23">
        <f>50005</f>
        <v>50005</v>
      </c>
      <c r="F40" s="23">
        <f>0</f>
        <v>0</v>
      </c>
      <c r="G40" s="23">
        <f>15960</f>
        <v>15960</v>
      </c>
      <c r="H40" s="23">
        <f>0</f>
        <v>0</v>
      </c>
      <c r="I40" s="23">
        <f>0</f>
        <v>0</v>
      </c>
      <c r="J40" s="23">
        <f>128844.4</f>
        <v>128844.4</v>
      </c>
      <c r="K40" s="23">
        <f>25220</f>
        <v>25220</v>
      </c>
      <c r="L40" s="23">
        <f>383462.86</f>
        <v>383462.86</v>
      </c>
      <c r="M40" s="23">
        <f>3605388.9</f>
        <v>3605388.9</v>
      </c>
      <c r="N40" s="23">
        <f>195090</f>
        <v>195090</v>
      </c>
      <c r="O40" s="23">
        <f>0</f>
        <v>0</v>
      </c>
      <c r="P40" s="23">
        <f>0</f>
        <v>0</v>
      </c>
      <c r="Q40" s="23">
        <f>0</f>
        <v>0</v>
      </c>
    </row>
    <row r="41" spans="1:17" ht="28.5" customHeight="1" x14ac:dyDescent="0.2">
      <c r="A41" s="18" t="s">
        <v>29</v>
      </c>
      <c r="B41" s="24">
        <f>289145.6</f>
        <v>289145.59999999998</v>
      </c>
      <c r="C41" s="24">
        <f>289145.6</f>
        <v>289145.59999999998</v>
      </c>
      <c r="D41" s="24">
        <f>5</f>
        <v>5</v>
      </c>
      <c r="E41" s="24">
        <f>5</f>
        <v>5</v>
      </c>
      <c r="F41" s="24">
        <f>0</f>
        <v>0</v>
      </c>
      <c r="G41" s="24">
        <f>0</f>
        <v>0</v>
      </c>
      <c r="H41" s="24">
        <f>0</f>
        <v>0</v>
      </c>
      <c r="I41" s="24">
        <f>0</f>
        <v>0</v>
      </c>
      <c r="J41" s="24">
        <f>6000</f>
        <v>6000</v>
      </c>
      <c r="K41" s="24">
        <f>0</f>
        <v>0</v>
      </c>
      <c r="L41" s="24">
        <f>0</f>
        <v>0</v>
      </c>
      <c r="M41" s="24">
        <f>108675.6</f>
        <v>108675.6</v>
      </c>
      <c r="N41" s="24">
        <f>174465</f>
        <v>174465</v>
      </c>
      <c r="O41" s="24">
        <f>0</f>
        <v>0</v>
      </c>
      <c r="P41" s="24">
        <f>0</f>
        <v>0</v>
      </c>
      <c r="Q41" s="24">
        <f>0</f>
        <v>0</v>
      </c>
    </row>
    <row r="42" spans="1:17" ht="28.5" customHeight="1" x14ac:dyDescent="0.2">
      <c r="A42" s="18" t="s">
        <v>30</v>
      </c>
      <c r="B42" s="24">
        <f>4114825.56</f>
        <v>4114825.56</v>
      </c>
      <c r="C42" s="24">
        <f>4114825.56</f>
        <v>4114825.56</v>
      </c>
      <c r="D42" s="24">
        <f>65960</f>
        <v>65960</v>
      </c>
      <c r="E42" s="24">
        <f>50000</f>
        <v>50000</v>
      </c>
      <c r="F42" s="24">
        <f>0</f>
        <v>0</v>
      </c>
      <c r="G42" s="24">
        <f>15960</f>
        <v>15960</v>
      </c>
      <c r="H42" s="24">
        <f>0</f>
        <v>0</v>
      </c>
      <c r="I42" s="24">
        <f>0</f>
        <v>0</v>
      </c>
      <c r="J42" s="24">
        <f>122844.4</f>
        <v>122844.4</v>
      </c>
      <c r="K42" s="24">
        <f>25220</f>
        <v>25220</v>
      </c>
      <c r="L42" s="24">
        <f>383462.86</f>
        <v>383462.86</v>
      </c>
      <c r="M42" s="24">
        <f>3496713.3</f>
        <v>3496713.3</v>
      </c>
      <c r="N42" s="24">
        <f>20625</f>
        <v>20625</v>
      </c>
      <c r="O42" s="24">
        <f>0</f>
        <v>0</v>
      </c>
      <c r="P42" s="24">
        <f>0</f>
        <v>0</v>
      </c>
      <c r="Q42" s="24">
        <f>0</f>
        <v>0</v>
      </c>
    </row>
    <row r="43" spans="1:17" ht="28.5" customHeight="1" x14ac:dyDescent="0.2">
      <c r="A43" s="28" t="s">
        <v>41</v>
      </c>
      <c r="B43" s="23">
        <f>1407445698.68</f>
        <v>1407445698.6800001</v>
      </c>
      <c r="C43" s="23">
        <f>1407431815.02</f>
        <v>1407431815.02</v>
      </c>
      <c r="D43" s="23">
        <f>635653534.51</f>
        <v>635653534.50999999</v>
      </c>
      <c r="E43" s="23">
        <f>173971.71</f>
        <v>173971.71</v>
      </c>
      <c r="F43" s="23">
        <f>2124481.92</f>
        <v>2124481.92</v>
      </c>
      <c r="G43" s="23">
        <f>618004853.67</f>
        <v>618004853.66999996</v>
      </c>
      <c r="H43" s="23">
        <f>15350227.21</f>
        <v>15350227.210000001</v>
      </c>
      <c r="I43" s="23">
        <f>0</f>
        <v>0</v>
      </c>
      <c r="J43" s="23">
        <f>111416.44</f>
        <v>111416.44</v>
      </c>
      <c r="K43" s="23">
        <f>4560</f>
        <v>4560</v>
      </c>
      <c r="L43" s="23">
        <f>415128438.91</f>
        <v>415128438.91000003</v>
      </c>
      <c r="M43" s="23">
        <f>312412173.62</f>
        <v>312412173.62</v>
      </c>
      <c r="N43" s="23">
        <f>44121691.54</f>
        <v>44121691.539999999</v>
      </c>
      <c r="O43" s="23">
        <f>13883.66</f>
        <v>13883.66</v>
      </c>
      <c r="P43" s="23">
        <f>13883.66</f>
        <v>13883.66</v>
      </c>
      <c r="Q43" s="23">
        <f>0</f>
        <v>0</v>
      </c>
    </row>
    <row r="44" spans="1:17" ht="32.25" customHeight="1" x14ac:dyDescent="0.2">
      <c r="A44" s="18" t="s">
        <v>31</v>
      </c>
      <c r="B44" s="24">
        <f>127811928.9</f>
        <v>127811928.90000001</v>
      </c>
      <c r="C44" s="24">
        <f>127811928.9</f>
        <v>127811928.90000001</v>
      </c>
      <c r="D44" s="24">
        <f>49307288.64</f>
        <v>49307288.640000001</v>
      </c>
      <c r="E44" s="24">
        <f>779.85</f>
        <v>779.85</v>
      </c>
      <c r="F44" s="24">
        <f>500000</f>
        <v>500000</v>
      </c>
      <c r="G44" s="24">
        <f>48806508.79</f>
        <v>48806508.789999999</v>
      </c>
      <c r="H44" s="24">
        <f>0</f>
        <v>0</v>
      </c>
      <c r="I44" s="24">
        <f>0</f>
        <v>0</v>
      </c>
      <c r="J44" s="24">
        <f>0</f>
        <v>0</v>
      </c>
      <c r="K44" s="24">
        <f>4560</f>
        <v>4560</v>
      </c>
      <c r="L44" s="24">
        <f>45709425.79</f>
        <v>45709425.789999999</v>
      </c>
      <c r="M44" s="24">
        <f>21984005.05</f>
        <v>21984005.050000001</v>
      </c>
      <c r="N44" s="24">
        <f>10806649.42</f>
        <v>10806649.42</v>
      </c>
      <c r="O44" s="24">
        <f>0</f>
        <v>0</v>
      </c>
      <c r="P44" s="24">
        <f>0</f>
        <v>0</v>
      </c>
      <c r="Q44" s="24">
        <f>0</f>
        <v>0</v>
      </c>
    </row>
    <row r="45" spans="1:17" ht="32.25" customHeight="1" x14ac:dyDescent="0.2">
      <c r="A45" s="18" t="s">
        <v>32</v>
      </c>
      <c r="B45" s="24">
        <f>1279633769.78</f>
        <v>1279633769.78</v>
      </c>
      <c r="C45" s="24">
        <f>1279619886.12</f>
        <v>1279619886.1199999</v>
      </c>
      <c r="D45" s="24">
        <f>586346245.87</f>
        <v>586346245.87</v>
      </c>
      <c r="E45" s="24">
        <f>173191.86</f>
        <v>173191.86</v>
      </c>
      <c r="F45" s="24">
        <f>1624481.92</f>
        <v>1624481.92</v>
      </c>
      <c r="G45" s="24">
        <f>569198344.88</f>
        <v>569198344.88</v>
      </c>
      <c r="H45" s="24">
        <f>15350227.21</f>
        <v>15350227.210000001</v>
      </c>
      <c r="I45" s="24">
        <f>0</f>
        <v>0</v>
      </c>
      <c r="J45" s="24">
        <f>111416.44</f>
        <v>111416.44</v>
      </c>
      <c r="K45" s="24">
        <f>0</f>
        <v>0</v>
      </c>
      <c r="L45" s="24">
        <f>369419013.12</f>
        <v>369419013.12</v>
      </c>
      <c r="M45" s="24">
        <f>290428168.57</f>
        <v>290428168.56999999</v>
      </c>
      <c r="N45" s="24">
        <f>33315042.12</f>
        <v>33315042.120000001</v>
      </c>
      <c r="O45" s="24">
        <f>13883.66</f>
        <v>13883.66</v>
      </c>
      <c r="P45" s="24">
        <f>13883.66</f>
        <v>13883.66</v>
      </c>
      <c r="Q45" s="24">
        <f>0</f>
        <v>0</v>
      </c>
    </row>
    <row r="46" spans="1:17" ht="35.25" customHeight="1" x14ac:dyDescent="0.2">
      <c r="A46" s="28" t="s">
        <v>42</v>
      </c>
      <c r="B46" s="23">
        <f>50120313541.34</f>
        <v>50120313541.339996</v>
      </c>
      <c r="C46" s="23">
        <f>50120130126.06</f>
        <v>50120130126.059998</v>
      </c>
      <c r="D46" s="23">
        <f>14010529.82</f>
        <v>14010529.82</v>
      </c>
      <c r="E46" s="23">
        <f>3051658.3</f>
        <v>3051658.3</v>
      </c>
      <c r="F46" s="23">
        <f>53064.1</f>
        <v>53064.1</v>
      </c>
      <c r="G46" s="23">
        <f>10905807.42</f>
        <v>10905807.42</v>
      </c>
      <c r="H46" s="23">
        <f>0</f>
        <v>0</v>
      </c>
      <c r="I46" s="23">
        <f>8265674.03</f>
        <v>8265674.0300000003</v>
      </c>
      <c r="J46" s="23">
        <f>50080985717.09</f>
        <v>50080985717.089996</v>
      </c>
      <c r="K46" s="23">
        <f>458135.47</f>
        <v>458135.47</v>
      </c>
      <c r="L46" s="23">
        <f>16146865.67</f>
        <v>16146865.67</v>
      </c>
      <c r="M46" s="23">
        <f>168920.86</f>
        <v>168920.86</v>
      </c>
      <c r="N46" s="23">
        <f>94283.12</f>
        <v>94283.12</v>
      </c>
      <c r="O46" s="23">
        <f>183415.28</f>
        <v>183415.28</v>
      </c>
      <c r="P46" s="23">
        <f>183415.28</f>
        <v>183415.28</v>
      </c>
      <c r="Q46" s="23">
        <f>0</f>
        <v>0</v>
      </c>
    </row>
    <row r="47" spans="1:17" ht="28.5" customHeight="1" x14ac:dyDescent="0.2">
      <c r="A47" s="18" t="s">
        <v>33</v>
      </c>
      <c r="B47" s="24">
        <f>10762118.35</f>
        <v>10762118.35</v>
      </c>
      <c r="C47" s="24">
        <f>10762118.35</f>
        <v>10762118.35</v>
      </c>
      <c r="D47" s="24">
        <f>10762118.35</f>
        <v>10762118.35</v>
      </c>
      <c r="E47" s="24">
        <f>0</f>
        <v>0</v>
      </c>
      <c r="F47" s="24">
        <f>0</f>
        <v>0</v>
      </c>
      <c r="G47" s="24">
        <f>10762118.35</f>
        <v>10762118.35</v>
      </c>
      <c r="H47" s="24">
        <f>0</f>
        <v>0</v>
      </c>
      <c r="I47" s="24">
        <f>0</f>
        <v>0</v>
      </c>
      <c r="J47" s="24">
        <f>0</f>
        <v>0</v>
      </c>
      <c r="K47" s="24">
        <f>0</f>
        <v>0</v>
      </c>
      <c r="L47" s="24">
        <f>0</f>
        <v>0</v>
      </c>
      <c r="M47" s="24">
        <f>0</f>
        <v>0</v>
      </c>
      <c r="N47" s="24">
        <f>0</f>
        <v>0</v>
      </c>
      <c r="O47" s="24">
        <f>0</f>
        <v>0</v>
      </c>
      <c r="P47" s="24">
        <f>0</f>
        <v>0</v>
      </c>
      <c r="Q47" s="24">
        <f>0</f>
        <v>0</v>
      </c>
    </row>
    <row r="48" spans="1:17" ht="28.5" customHeight="1" x14ac:dyDescent="0.2">
      <c r="A48" s="18" t="s">
        <v>34</v>
      </c>
      <c r="B48" s="24">
        <f>44004533630.15</f>
        <v>44004533630.150002</v>
      </c>
      <c r="C48" s="24">
        <f>44004533630.15</f>
        <v>44004533630.150002</v>
      </c>
      <c r="D48" s="24">
        <f>2452888.32</f>
        <v>2452888.3199999998</v>
      </c>
      <c r="E48" s="24">
        <f>2430194.99</f>
        <v>2430194.9900000002</v>
      </c>
      <c r="F48" s="24">
        <f>7013</f>
        <v>7013</v>
      </c>
      <c r="G48" s="24">
        <f>15680.33</f>
        <v>15680.33</v>
      </c>
      <c r="H48" s="24">
        <f>0</f>
        <v>0</v>
      </c>
      <c r="I48" s="24">
        <f>8213258.03</f>
        <v>8213258.0300000003</v>
      </c>
      <c r="J48" s="24">
        <f>43978902299.72</f>
        <v>43978902299.720001</v>
      </c>
      <c r="K48" s="24">
        <f>448658</f>
        <v>448658</v>
      </c>
      <c r="L48" s="24">
        <f>14412744.33</f>
        <v>14412744.33</v>
      </c>
      <c r="M48" s="24">
        <f>9498.63</f>
        <v>9498.6299999999992</v>
      </c>
      <c r="N48" s="24">
        <f>94283.12</f>
        <v>94283.12</v>
      </c>
      <c r="O48" s="24">
        <f>0</f>
        <v>0</v>
      </c>
      <c r="P48" s="24">
        <f>0</f>
        <v>0</v>
      </c>
      <c r="Q48" s="24">
        <f>0</f>
        <v>0</v>
      </c>
    </row>
    <row r="49" spans="1:17" ht="28.5" customHeight="1" x14ac:dyDescent="0.2">
      <c r="A49" s="18" t="s">
        <v>35</v>
      </c>
      <c r="B49" s="24">
        <f>6105017792.84</f>
        <v>6105017792.8400002</v>
      </c>
      <c r="C49" s="24">
        <f>6104834377.56</f>
        <v>6104834377.5600004</v>
      </c>
      <c r="D49" s="24">
        <f>795523.15</f>
        <v>795523.15</v>
      </c>
      <c r="E49" s="24">
        <f>621463.31</f>
        <v>621463.31000000006</v>
      </c>
      <c r="F49" s="24">
        <f>46051.1</f>
        <v>46051.1</v>
      </c>
      <c r="G49" s="24">
        <f>128008.74</f>
        <v>128008.74</v>
      </c>
      <c r="H49" s="24">
        <f>0</f>
        <v>0</v>
      </c>
      <c r="I49" s="24">
        <f>52416</f>
        <v>52416</v>
      </c>
      <c r="J49" s="24">
        <f>6102083417.37</f>
        <v>6102083417.3699999</v>
      </c>
      <c r="K49" s="24">
        <f>9477.47</f>
        <v>9477.4699999999993</v>
      </c>
      <c r="L49" s="24">
        <f>1734121.34</f>
        <v>1734121.34</v>
      </c>
      <c r="M49" s="24">
        <f>159422.23</f>
        <v>159422.23000000001</v>
      </c>
      <c r="N49" s="24">
        <f>0</f>
        <v>0</v>
      </c>
      <c r="O49" s="24">
        <f>183415.28</f>
        <v>183415.28</v>
      </c>
      <c r="P49" s="24">
        <f>183415.28</f>
        <v>183415.28</v>
      </c>
      <c r="Q49" s="24">
        <f>0</f>
        <v>0</v>
      </c>
    </row>
    <row r="50" spans="1:17" ht="35.25" customHeight="1" x14ac:dyDescent="0.2">
      <c r="A50" s="28" t="s">
        <v>43</v>
      </c>
      <c r="B50" s="23">
        <f>26580203132.49</f>
        <v>26580203132.490002</v>
      </c>
      <c r="C50" s="23">
        <f>26524970749.03</f>
        <v>26524970749.029999</v>
      </c>
      <c r="D50" s="23">
        <f>513759586.69</f>
        <v>513759586.69</v>
      </c>
      <c r="E50" s="23">
        <f>126839525.29</f>
        <v>126839525.29000001</v>
      </c>
      <c r="F50" s="23">
        <f>13767567.5</f>
        <v>13767567.5</v>
      </c>
      <c r="G50" s="23">
        <f>370843196.98</f>
        <v>370843196.98000002</v>
      </c>
      <c r="H50" s="23">
        <f>2309296.92</f>
        <v>2309296.92</v>
      </c>
      <c r="I50" s="23">
        <f>0</f>
        <v>0</v>
      </c>
      <c r="J50" s="23">
        <f>8210145.52</f>
        <v>8210145.5199999996</v>
      </c>
      <c r="K50" s="23">
        <f>29453106.68</f>
        <v>29453106.68</v>
      </c>
      <c r="L50" s="23">
        <f>6768673311.94</f>
        <v>6768673311.9399996</v>
      </c>
      <c r="M50" s="23">
        <f>19030172599.55</f>
        <v>19030172599.549999</v>
      </c>
      <c r="N50" s="23">
        <f>174701998.65</f>
        <v>174701998.65000001</v>
      </c>
      <c r="O50" s="23">
        <f>55232383.46</f>
        <v>55232383.460000001</v>
      </c>
      <c r="P50" s="23">
        <f>34526899.19</f>
        <v>34526899.189999998</v>
      </c>
      <c r="Q50" s="23">
        <f>20705484.27</f>
        <v>20705484.27</v>
      </c>
    </row>
    <row r="51" spans="1:17" ht="28.5" customHeight="1" x14ac:dyDescent="0.2">
      <c r="A51" s="18" t="s">
        <v>36</v>
      </c>
      <c r="B51" s="24">
        <f>6591910857.44</f>
        <v>6591910857.4399996</v>
      </c>
      <c r="C51" s="24">
        <f>6589436962.44</f>
        <v>6589436962.4399996</v>
      </c>
      <c r="D51" s="24">
        <f>75717088.22</f>
        <v>75717088.219999999</v>
      </c>
      <c r="E51" s="24">
        <f>2466511.09</f>
        <v>2466511.09</v>
      </c>
      <c r="F51" s="24">
        <f>2850611.19</f>
        <v>2850611.19</v>
      </c>
      <c r="G51" s="24">
        <f>70274752.87</f>
        <v>70274752.870000005</v>
      </c>
      <c r="H51" s="24">
        <f>125213.07</f>
        <v>125213.07</v>
      </c>
      <c r="I51" s="24">
        <f>0</f>
        <v>0</v>
      </c>
      <c r="J51" s="24">
        <f>327771.9</f>
        <v>327771.90000000002</v>
      </c>
      <c r="K51" s="24">
        <f>1612386.97</f>
        <v>1612386.97</v>
      </c>
      <c r="L51" s="24">
        <f>1043213330.67</f>
        <v>1043213330.67</v>
      </c>
      <c r="M51" s="24">
        <f>5395815721.23</f>
        <v>5395815721.2299995</v>
      </c>
      <c r="N51" s="24">
        <f>72750663.45</f>
        <v>72750663.450000003</v>
      </c>
      <c r="O51" s="24">
        <f>2473895</f>
        <v>2473895</v>
      </c>
      <c r="P51" s="24">
        <f>861614.16</f>
        <v>861614.16</v>
      </c>
      <c r="Q51" s="24">
        <f>1612280.84</f>
        <v>1612280.84</v>
      </c>
    </row>
    <row r="52" spans="1:17" ht="28.5" customHeight="1" x14ac:dyDescent="0.2">
      <c r="A52" s="18" t="s">
        <v>37</v>
      </c>
      <c r="B52" s="24">
        <f>19988292275.05</f>
        <v>19988292275.049999</v>
      </c>
      <c r="C52" s="24">
        <f>19935533786.59</f>
        <v>19935533786.59</v>
      </c>
      <c r="D52" s="24">
        <f>438042498.47</f>
        <v>438042498.47000003</v>
      </c>
      <c r="E52" s="24">
        <f>124373014.2</f>
        <v>124373014.2</v>
      </c>
      <c r="F52" s="24">
        <f>10916956.31</f>
        <v>10916956.310000001</v>
      </c>
      <c r="G52" s="24">
        <f>300568444.11</f>
        <v>300568444.11000001</v>
      </c>
      <c r="H52" s="24">
        <f>2184083.85</f>
        <v>2184083.85</v>
      </c>
      <c r="I52" s="24">
        <f>0</f>
        <v>0</v>
      </c>
      <c r="J52" s="24">
        <f>7882373.62</f>
        <v>7882373.6200000001</v>
      </c>
      <c r="K52" s="24">
        <f>27840719.71</f>
        <v>27840719.710000001</v>
      </c>
      <c r="L52" s="24">
        <f>5725459981.27</f>
        <v>5725459981.2700005</v>
      </c>
      <c r="M52" s="24">
        <f>13634356878.32</f>
        <v>13634356878.32</v>
      </c>
      <c r="N52" s="24">
        <f>101951335.2</f>
        <v>101951335.2</v>
      </c>
      <c r="O52" s="24">
        <f>52758488.46</f>
        <v>52758488.460000001</v>
      </c>
      <c r="P52" s="24">
        <f>33665285.03</f>
        <v>33665285.030000001</v>
      </c>
      <c r="Q52" s="24">
        <f>19093203.43</f>
        <v>19093203.43</v>
      </c>
    </row>
    <row r="53" spans="1:17" ht="35.25" customHeight="1" x14ac:dyDescent="0.2">
      <c r="A53" s="28" t="s">
        <v>44</v>
      </c>
      <c r="B53" s="23">
        <f>7908543297.81</f>
        <v>7908543297.8100004</v>
      </c>
      <c r="C53" s="23">
        <f>7884966846.98</f>
        <v>7884966846.9799995</v>
      </c>
      <c r="D53" s="23">
        <f>1441797365.25</f>
        <v>1441797365.25</v>
      </c>
      <c r="E53" s="23">
        <f>768534785.78</f>
        <v>768534785.77999997</v>
      </c>
      <c r="F53" s="23">
        <f>17773546.43</f>
        <v>17773546.43</v>
      </c>
      <c r="G53" s="23">
        <f>637533856.44</f>
        <v>637533856.44000006</v>
      </c>
      <c r="H53" s="23">
        <f>17955176.6</f>
        <v>17955176.600000001</v>
      </c>
      <c r="I53" s="23">
        <f>56565.72</f>
        <v>56565.72</v>
      </c>
      <c r="J53" s="23">
        <f>4383081.62</f>
        <v>4383081.62</v>
      </c>
      <c r="K53" s="23">
        <f>17725811.93</f>
        <v>17725811.93</v>
      </c>
      <c r="L53" s="23">
        <f>3938446308.03</f>
        <v>3938446308.0300002</v>
      </c>
      <c r="M53" s="23">
        <f>2195468816.72</f>
        <v>2195468816.7199998</v>
      </c>
      <c r="N53" s="23">
        <f>287088897.71</f>
        <v>287088897.70999998</v>
      </c>
      <c r="O53" s="23">
        <f>23576450.83</f>
        <v>23576450.829999998</v>
      </c>
      <c r="P53" s="23">
        <f>15685063.53</f>
        <v>15685063.529999999</v>
      </c>
      <c r="Q53" s="23">
        <f>7891387.3</f>
        <v>7891387.2999999998</v>
      </c>
    </row>
    <row r="54" spans="1:17" ht="28.5" customHeight="1" x14ac:dyDescent="0.2">
      <c r="A54" s="18" t="s">
        <v>38</v>
      </c>
      <c r="B54" s="24">
        <f>1264681797.67</f>
        <v>1264681797.6700001</v>
      </c>
      <c r="C54" s="24">
        <f>1263651712.35</f>
        <v>1263651712.3499999</v>
      </c>
      <c r="D54" s="24">
        <f>82265990.21</f>
        <v>82265990.209999993</v>
      </c>
      <c r="E54" s="24">
        <f>10819699.56</f>
        <v>10819699.560000001</v>
      </c>
      <c r="F54" s="24">
        <f>2619632.66</f>
        <v>2619632.66</v>
      </c>
      <c r="G54" s="24">
        <f>65510894.38</f>
        <v>65510894.380000003</v>
      </c>
      <c r="H54" s="24">
        <f>3315763.61</f>
        <v>3315763.61</v>
      </c>
      <c r="I54" s="24">
        <f>0</f>
        <v>0</v>
      </c>
      <c r="J54" s="24">
        <f>536484.85</f>
        <v>536484.85</v>
      </c>
      <c r="K54" s="24">
        <f>2724452.37</f>
        <v>2724452.37</v>
      </c>
      <c r="L54" s="24">
        <f>556592145.04</f>
        <v>556592145.03999996</v>
      </c>
      <c r="M54" s="24">
        <f>606340897.86</f>
        <v>606340897.86000001</v>
      </c>
      <c r="N54" s="24">
        <f>15191742.02</f>
        <v>15191742.02</v>
      </c>
      <c r="O54" s="24">
        <f>1030085.32</f>
        <v>1030085.32</v>
      </c>
      <c r="P54" s="24">
        <f>136689.7</f>
        <v>136689.70000000001</v>
      </c>
      <c r="Q54" s="24">
        <f>893395.62</f>
        <v>893395.62</v>
      </c>
    </row>
    <row r="55" spans="1:17" ht="47.25" customHeight="1" x14ac:dyDescent="0.2">
      <c r="A55" s="18" t="s">
        <v>78</v>
      </c>
      <c r="B55" s="24">
        <f>553310690.7</f>
        <v>553310690.70000005</v>
      </c>
      <c r="C55" s="24">
        <f>553305312.7</f>
        <v>553305312.70000005</v>
      </c>
      <c r="D55" s="24">
        <f>133566063.34</f>
        <v>133566063.34</v>
      </c>
      <c r="E55" s="24">
        <f>106824509.91</f>
        <v>106824509.91</v>
      </c>
      <c r="F55" s="24">
        <f>3719965.83</f>
        <v>3719965.83</v>
      </c>
      <c r="G55" s="24">
        <f>19245176.19</f>
        <v>19245176.190000001</v>
      </c>
      <c r="H55" s="24">
        <f>3776411.41</f>
        <v>3776411.41</v>
      </c>
      <c r="I55" s="24">
        <f>1580.77</f>
        <v>1580.77</v>
      </c>
      <c r="J55" s="24">
        <f>31244.91</f>
        <v>31244.91</v>
      </c>
      <c r="K55" s="24">
        <f>595864.8</f>
        <v>595864.80000000005</v>
      </c>
      <c r="L55" s="24">
        <f>266479702.94</f>
        <v>266479702.94</v>
      </c>
      <c r="M55" s="24">
        <f>150379295.84</f>
        <v>150379295.84</v>
      </c>
      <c r="N55" s="24">
        <f>2251560.1</f>
        <v>2251560.1</v>
      </c>
      <c r="O55" s="24">
        <f>5378</f>
        <v>5378</v>
      </c>
      <c r="P55" s="24">
        <f>4317</f>
        <v>4317</v>
      </c>
      <c r="Q55" s="24">
        <f>1061</f>
        <v>1061</v>
      </c>
    </row>
    <row r="56" spans="1:17" ht="35.25" customHeight="1" x14ac:dyDescent="0.2">
      <c r="A56" s="18" t="s">
        <v>39</v>
      </c>
      <c r="B56" s="24">
        <f>6090550809.44</f>
        <v>6090550809.4399996</v>
      </c>
      <c r="C56" s="24">
        <f>6068009821.93</f>
        <v>6068009821.9300003</v>
      </c>
      <c r="D56" s="24">
        <f>1225965311.7</f>
        <v>1225965311.7</v>
      </c>
      <c r="E56" s="24">
        <f>650890576.31</f>
        <v>650890576.30999994</v>
      </c>
      <c r="F56" s="24">
        <f>11433947.94</f>
        <v>11433947.939999999</v>
      </c>
      <c r="G56" s="24">
        <f>552777785.87</f>
        <v>552777785.87</v>
      </c>
      <c r="H56" s="24">
        <f>10863001.58</f>
        <v>10863001.58</v>
      </c>
      <c r="I56" s="24">
        <f>54984.95</f>
        <v>54984.95</v>
      </c>
      <c r="J56" s="24">
        <f>3815351.86</f>
        <v>3815351.86</v>
      </c>
      <c r="K56" s="24">
        <f>14405494.76</f>
        <v>14405494.76</v>
      </c>
      <c r="L56" s="24">
        <f>3115374460.05</f>
        <v>3115374460.0500002</v>
      </c>
      <c r="M56" s="24">
        <f>1438748623.02</f>
        <v>1438748623.02</v>
      </c>
      <c r="N56" s="24">
        <f>269645595.59</f>
        <v>269645595.58999997</v>
      </c>
      <c r="O56" s="24">
        <f>22540987.51</f>
        <v>22540987.510000002</v>
      </c>
      <c r="P56" s="24">
        <f>15544056.83</f>
        <v>15544056.83</v>
      </c>
      <c r="Q56" s="24">
        <f>6996930.68</f>
        <v>6996930.6799999997</v>
      </c>
    </row>
    <row r="67" spans="1:13" ht="75" customHeight="1" x14ac:dyDescent="0.2">
      <c r="A67" s="33" t="str">
        <f>CONCATENATE("Informacja z wykonania budżetów jednostek samorządu terytorialnego za ",$C$94," ",$B$95," roku")</f>
        <v>Informacja z wykonania budżetów jednostek samorządu terytorialnego za IV Kwartały 2022 roku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</row>
    <row r="68" spans="1:13" ht="13.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3.5" customHeight="1" x14ac:dyDescent="0.2">
      <c r="B69" s="43" t="s">
        <v>2</v>
      </c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</row>
    <row r="71" spans="1:13" ht="13.5" customHeight="1" x14ac:dyDescent="0.2">
      <c r="B71" s="46" t="s">
        <v>0</v>
      </c>
      <c r="C71" s="47"/>
      <c r="D71" s="47"/>
      <c r="E71" s="48"/>
      <c r="F71" s="65" t="s">
        <v>68</v>
      </c>
      <c r="G71" s="29" t="s">
        <v>74</v>
      </c>
      <c r="H71" s="30"/>
      <c r="I71" s="30"/>
      <c r="J71" s="30"/>
      <c r="K71" s="30"/>
      <c r="L71" s="31"/>
    </row>
    <row r="72" spans="1:13" ht="13.5" customHeight="1" x14ac:dyDescent="0.2">
      <c r="B72" s="49"/>
      <c r="C72" s="50"/>
      <c r="D72" s="50"/>
      <c r="E72" s="51"/>
      <c r="F72" s="66"/>
      <c r="G72" s="32" t="s">
        <v>69</v>
      </c>
      <c r="H72" s="32" t="s">
        <v>66</v>
      </c>
      <c r="I72" s="32" t="s">
        <v>67</v>
      </c>
      <c r="J72" s="32" t="s">
        <v>70</v>
      </c>
      <c r="K72" s="32" t="s">
        <v>71</v>
      </c>
      <c r="L72" s="37" t="s">
        <v>72</v>
      </c>
    </row>
    <row r="73" spans="1:13" ht="13.5" customHeight="1" x14ac:dyDescent="0.2">
      <c r="B73" s="49"/>
      <c r="C73" s="50"/>
      <c r="D73" s="50"/>
      <c r="E73" s="51"/>
      <c r="F73" s="66"/>
      <c r="G73" s="32"/>
      <c r="H73" s="32"/>
      <c r="I73" s="32"/>
      <c r="J73" s="32"/>
      <c r="K73" s="32"/>
      <c r="L73" s="37"/>
    </row>
    <row r="74" spans="1:13" ht="11.25" customHeight="1" x14ac:dyDescent="0.2">
      <c r="B74" s="49"/>
      <c r="C74" s="50"/>
      <c r="D74" s="50"/>
      <c r="E74" s="51"/>
      <c r="F74" s="66"/>
      <c r="G74" s="32"/>
      <c r="H74" s="32"/>
      <c r="I74" s="32"/>
      <c r="J74" s="32"/>
      <c r="K74" s="32"/>
      <c r="L74" s="37"/>
    </row>
    <row r="75" spans="1:13" ht="20.25" customHeight="1" x14ac:dyDescent="0.2">
      <c r="B75" s="52"/>
      <c r="C75" s="53"/>
      <c r="D75" s="53"/>
      <c r="E75" s="54"/>
      <c r="F75" s="67"/>
      <c r="G75" s="32"/>
      <c r="H75" s="32"/>
      <c r="I75" s="32"/>
      <c r="J75" s="32"/>
      <c r="K75" s="32"/>
      <c r="L75" s="37"/>
    </row>
    <row r="76" spans="1:13" ht="13.5" customHeight="1" x14ac:dyDescent="0.2">
      <c r="B76" s="32">
        <v>1</v>
      </c>
      <c r="C76" s="32"/>
      <c r="D76" s="32"/>
      <c r="E76" s="32"/>
      <c r="F76" s="15">
        <v>2</v>
      </c>
      <c r="G76" s="15">
        <v>3</v>
      </c>
      <c r="H76" s="15">
        <v>4</v>
      </c>
      <c r="I76" s="15">
        <v>5</v>
      </c>
      <c r="J76" s="15">
        <v>6</v>
      </c>
      <c r="K76" s="15">
        <v>7</v>
      </c>
      <c r="L76" s="15">
        <v>8</v>
      </c>
    </row>
    <row r="77" spans="1:13" ht="33.75" customHeight="1" x14ac:dyDescent="0.2">
      <c r="B77" s="55" t="s">
        <v>53</v>
      </c>
      <c r="C77" s="56"/>
      <c r="D77" s="56"/>
      <c r="E77" s="57"/>
      <c r="F77" s="22">
        <f>4587885498.07</f>
        <v>4587885498.0699997</v>
      </c>
      <c r="G77" s="22">
        <f>1088659193.6</f>
        <v>1088659193.5999999</v>
      </c>
      <c r="H77" s="22">
        <f>58467723.17</f>
        <v>58467723.170000002</v>
      </c>
      <c r="I77" s="22">
        <f>264908868.57</f>
        <v>264908868.56999999</v>
      </c>
      <c r="J77" s="22">
        <f>752024873.89</f>
        <v>752024873.88999999</v>
      </c>
      <c r="K77" s="22">
        <f>13257727.97</f>
        <v>13257727.970000001</v>
      </c>
      <c r="L77" s="22">
        <f>3499226304.47</f>
        <v>3499226304.4699998</v>
      </c>
    </row>
    <row r="78" spans="1:13" ht="33.75" customHeight="1" x14ac:dyDescent="0.2">
      <c r="B78" s="38" t="s">
        <v>54</v>
      </c>
      <c r="C78" s="39"/>
      <c r="D78" s="39"/>
      <c r="E78" s="40"/>
      <c r="F78" s="25">
        <f>3028803.67</f>
        <v>3028803.67</v>
      </c>
      <c r="G78" s="25">
        <f>2743485.07</f>
        <v>2743485.07</v>
      </c>
      <c r="H78" s="25">
        <f>0</f>
        <v>0</v>
      </c>
      <c r="I78" s="25">
        <f>0</f>
        <v>0</v>
      </c>
      <c r="J78" s="25">
        <f>1566485.07</f>
        <v>1566485.07</v>
      </c>
      <c r="K78" s="25">
        <f>1177000</f>
        <v>1177000</v>
      </c>
      <c r="L78" s="25">
        <f>285318.6</f>
        <v>285318.59999999998</v>
      </c>
    </row>
    <row r="79" spans="1:13" ht="33.75" customHeight="1" x14ac:dyDescent="0.2">
      <c r="B79" s="38" t="s">
        <v>55</v>
      </c>
      <c r="C79" s="39"/>
      <c r="D79" s="39"/>
      <c r="E79" s="40"/>
      <c r="F79" s="25">
        <f>305679214</f>
        <v>305679214</v>
      </c>
      <c r="G79" s="25">
        <f>43224503.57</f>
        <v>43224503.57</v>
      </c>
      <c r="H79" s="25">
        <f>1666851</f>
        <v>1666851</v>
      </c>
      <c r="I79" s="25">
        <f>5000000</f>
        <v>5000000</v>
      </c>
      <c r="J79" s="25">
        <f>30948066.53</f>
        <v>30948066.530000001</v>
      </c>
      <c r="K79" s="25">
        <f>5609586.04</f>
        <v>5609586.04</v>
      </c>
      <c r="L79" s="25">
        <f>262454710.43</f>
        <v>262454710.43000001</v>
      </c>
    </row>
    <row r="80" spans="1:13" ht="22.5" customHeight="1" x14ac:dyDescent="0.2">
      <c r="B80" s="38" t="s">
        <v>56</v>
      </c>
      <c r="C80" s="39"/>
      <c r="D80" s="39"/>
      <c r="E80" s="40"/>
      <c r="F80" s="25">
        <f>92553091.03</f>
        <v>92553091.030000001</v>
      </c>
      <c r="G80" s="25">
        <f>28753722.39</f>
        <v>28753722.390000001</v>
      </c>
      <c r="H80" s="25">
        <f>0</f>
        <v>0</v>
      </c>
      <c r="I80" s="25">
        <f>0</f>
        <v>0</v>
      </c>
      <c r="J80" s="25">
        <f>28753722.39</f>
        <v>28753722.390000001</v>
      </c>
      <c r="K80" s="25">
        <f>0</f>
        <v>0</v>
      </c>
      <c r="L80" s="25">
        <f>63799368.64</f>
        <v>63799368.640000001</v>
      </c>
    </row>
    <row r="81" spans="1:13" ht="33.75" customHeight="1" x14ac:dyDescent="0.2">
      <c r="B81" s="38" t="s">
        <v>57</v>
      </c>
      <c r="C81" s="39"/>
      <c r="D81" s="39"/>
      <c r="E81" s="40"/>
      <c r="F81" s="25">
        <f>16817052.03</f>
        <v>16817052.030000001</v>
      </c>
      <c r="G81" s="25">
        <f>10536092.05</f>
        <v>10536092.050000001</v>
      </c>
      <c r="H81" s="25">
        <f>0</f>
        <v>0</v>
      </c>
      <c r="I81" s="25">
        <f>0</f>
        <v>0</v>
      </c>
      <c r="J81" s="25">
        <f>10536092.05</f>
        <v>10536092.050000001</v>
      </c>
      <c r="K81" s="25">
        <f>0</f>
        <v>0</v>
      </c>
      <c r="L81" s="25">
        <f>6280959.98</f>
        <v>6280959.9800000004</v>
      </c>
    </row>
    <row r="82" spans="1:13" ht="33.75" customHeight="1" x14ac:dyDescent="0.2">
      <c r="B82" s="38" t="s">
        <v>58</v>
      </c>
      <c r="C82" s="39"/>
      <c r="D82" s="39"/>
      <c r="E82" s="40"/>
      <c r="F82" s="25">
        <f>44161323.43</f>
        <v>44161323.43</v>
      </c>
      <c r="G82" s="25">
        <f>15021856.68</f>
        <v>15021856.68</v>
      </c>
      <c r="H82" s="25">
        <f>0</f>
        <v>0</v>
      </c>
      <c r="I82" s="25">
        <f>0</f>
        <v>0</v>
      </c>
      <c r="J82" s="25">
        <f>15021856.68</f>
        <v>15021856.68</v>
      </c>
      <c r="K82" s="25">
        <f>0</f>
        <v>0</v>
      </c>
      <c r="L82" s="25">
        <f>29139466.75</f>
        <v>29139466.75</v>
      </c>
    </row>
    <row r="83" spans="1:13" ht="33" customHeight="1" x14ac:dyDescent="0.2">
      <c r="B83" s="55" t="s">
        <v>59</v>
      </c>
      <c r="C83" s="56"/>
      <c r="D83" s="56"/>
      <c r="E83" s="57"/>
      <c r="F83" s="22">
        <f>1384880</f>
        <v>1384880</v>
      </c>
      <c r="G83" s="22">
        <f>1189380</f>
        <v>1189380</v>
      </c>
      <c r="H83" s="22">
        <f>0</f>
        <v>0</v>
      </c>
      <c r="I83" s="22">
        <f>0</f>
        <v>0</v>
      </c>
      <c r="J83" s="22">
        <f>1189380</f>
        <v>1189380</v>
      </c>
      <c r="K83" s="22">
        <f>0</f>
        <v>0</v>
      </c>
      <c r="L83" s="22">
        <f>195500</f>
        <v>195500</v>
      </c>
    </row>
    <row r="86" spans="1:13" ht="75" customHeight="1" x14ac:dyDescent="0.2">
      <c r="A86" s="33" t="str">
        <f>CONCATENATE("Informacja z wykonania budżetów jednostek samorządu terytorialnego za ",$C$94," ",$B$95," roku")</f>
        <v>Informacja z wykonania budżetów jednostek samorządu terytorialnego za IV Kwartały 2022 roku</v>
      </c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</row>
    <row r="87" spans="1:13" ht="13.5" customHeight="1" x14ac:dyDescent="0.2">
      <c r="B87" s="3"/>
    </row>
    <row r="88" spans="1:13" ht="13.5" customHeight="1" x14ac:dyDescent="0.2">
      <c r="B88" s="4"/>
      <c r="C88" s="44"/>
      <c r="D88" s="60"/>
      <c r="E88" s="60"/>
      <c r="F88" s="45"/>
      <c r="G88" s="44" t="s">
        <v>3</v>
      </c>
      <c r="H88" s="45"/>
      <c r="I88" s="44" t="s">
        <v>4</v>
      </c>
      <c r="J88" s="45"/>
      <c r="K88" s="4"/>
    </row>
    <row r="89" spans="1:13" ht="13.5" customHeight="1" x14ac:dyDescent="0.2">
      <c r="B89" s="5"/>
      <c r="C89" s="55" t="s">
        <v>5</v>
      </c>
      <c r="D89" s="56"/>
      <c r="E89" s="56"/>
      <c r="F89" s="57"/>
      <c r="G89" s="58">
        <f>1275</f>
        <v>1275</v>
      </c>
      <c r="H89" s="59"/>
      <c r="I89" s="41">
        <f>5315103722.65</f>
        <v>5315103722.6499996</v>
      </c>
      <c r="J89" s="42"/>
      <c r="K89" s="6"/>
    </row>
    <row r="90" spans="1:13" ht="13.5" customHeight="1" x14ac:dyDescent="0.2">
      <c r="B90" s="5"/>
      <c r="C90" s="38" t="s">
        <v>6</v>
      </c>
      <c r="D90" s="39"/>
      <c r="E90" s="39"/>
      <c r="F90" s="40"/>
      <c r="G90" s="61">
        <f>1532</f>
        <v>1532</v>
      </c>
      <c r="H90" s="62"/>
      <c r="I90" s="63">
        <f>-13494916153.14</f>
        <v>-13494916153.139999</v>
      </c>
      <c r="J90" s="64"/>
      <c r="K90" s="6"/>
    </row>
    <row r="91" spans="1:13" ht="13.5" customHeight="1" x14ac:dyDescent="0.2">
      <c r="B91" s="5"/>
      <c r="C91" s="55" t="s">
        <v>7</v>
      </c>
      <c r="D91" s="56"/>
      <c r="E91" s="56"/>
      <c r="F91" s="57"/>
      <c r="G91" s="58">
        <f>0</f>
        <v>0</v>
      </c>
      <c r="H91" s="59"/>
      <c r="I91" s="41">
        <f>0</f>
        <v>0</v>
      </c>
      <c r="J91" s="42"/>
      <c r="K91" s="6"/>
    </row>
    <row r="94" spans="1:13" ht="13.5" customHeight="1" x14ac:dyDescent="0.2">
      <c r="A94" s="7" t="s">
        <v>8</v>
      </c>
      <c r="B94" s="7">
        <f>4</f>
        <v>4</v>
      </c>
      <c r="C94" s="7" t="str">
        <f>IF(B94=1,"I Kwartał",IF(B94=2,"II Kwartały",IF(B94=3,"III Kwartały",IF(B94=4,"IV Kwartały","-"))))</f>
        <v>IV Kwartały</v>
      </c>
    </row>
    <row r="95" spans="1:13" ht="13.5" customHeight="1" x14ac:dyDescent="0.2">
      <c r="A95" s="7" t="s">
        <v>9</v>
      </c>
      <c r="B95" s="7">
        <f>2022</f>
        <v>2022</v>
      </c>
      <c r="C95" s="8"/>
    </row>
    <row r="96" spans="1:13" ht="13.5" customHeight="1" x14ac:dyDescent="0.2">
      <c r="A96" s="7" t="s">
        <v>10</v>
      </c>
      <c r="B96" s="9" t="str">
        <f>"Mar 23 2023 12:00AM"</f>
        <v>Mar 23 2023 12:00AM</v>
      </c>
      <c r="C96" s="8"/>
    </row>
  </sheetData>
  <mergeCells count="75">
    <mergeCell ref="K72:K75"/>
    <mergeCell ref="G35:G38"/>
    <mergeCell ref="Q7:Q11"/>
    <mergeCell ref="C34:N34"/>
    <mergeCell ref="L7:L11"/>
    <mergeCell ref="M7:M11"/>
    <mergeCell ref="N7:N11"/>
    <mergeCell ref="P7:P11"/>
    <mergeCell ref="G7:G11"/>
    <mergeCell ref="F7:F11"/>
    <mergeCell ref="I7:I11"/>
    <mergeCell ref="J7:J11"/>
    <mergeCell ref="H35:H38"/>
    <mergeCell ref="K35:K38"/>
    <mergeCell ref="I35:I38"/>
    <mergeCell ref="J35:J38"/>
    <mergeCell ref="E35:E38"/>
    <mergeCell ref="H72:H75"/>
    <mergeCell ref="I72:I75"/>
    <mergeCell ref="J72:J75"/>
    <mergeCell ref="A1:M1"/>
    <mergeCell ref="C5:M5"/>
    <mergeCell ref="A3:M3"/>
    <mergeCell ref="K7:K11"/>
    <mergeCell ref="C7:C11"/>
    <mergeCell ref="B6:B11"/>
    <mergeCell ref="A6:A11"/>
    <mergeCell ref="C6:N6"/>
    <mergeCell ref="D7:D11"/>
    <mergeCell ref="E7:E11"/>
    <mergeCell ref="L72:L75"/>
    <mergeCell ref="F35:F38"/>
    <mergeCell ref="A30:M30"/>
    <mergeCell ref="G91:H91"/>
    <mergeCell ref="I91:J91"/>
    <mergeCell ref="C88:F88"/>
    <mergeCell ref="C89:F89"/>
    <mergeCell ref="C90:F90"/>
    <mergeCell ref="C91:F91"/>
    <mergeCell ref="G89:H89"/>
    <mergeCell ref="G88:H88"/>
    <mergeCell ref="G90:H90"/>
    <mergeCell ref="I90:J90"/>
    <mergeCell ref="B82:E82"/>
    <mergeCell ref="I89:J89"/>
    <mergeCell ref="B69:M69"/>
    <mergeCell ref="I88:J88"/>
    <mergeCell ref="B76:E76"/>
    <mergeCell ref="B71:E75"/>
    <mergeCell ref="B83:E83"/>
    <mergeCell ref="A86:M86"/>
    <mergeCell ref="B79:E79"/>
    <mergeCell ref="B80:E80"/>
    <mergeCell ref="B81:E81"/>
    <mergeCell ref="B78:E78"/>
    <mergeCell ref="B77:E77"/>
    <mergeCell ref="F71:F75"/>
    <mergeCell ref="G72:G75"/>
    <mergeCell ref="G71:L71"/>
    <mergeCell ref="O6:Q6"/>
    <mergeCell ref="O7:O11"/>
    <mergeCell ref="A67:M67"/>
    <mergeCell ref="L35:L38"/>
    <mergeCell ref="P35:P38"/>
    <mergeCell ref="Q35:Q38"/>
    <mergeCell ref="N35:N38"/>
    <mergeCell ref="O35:O38"/>
    <mergeCell ref="D35:D38"/>
    <mergeCell ref="H7:H11"/>
    <mergeCell ref="M35:M38"/>
    <mergeCell ref="O34:Q34"/>
    <mergeCell ref="A32:M32"/>
    <mergeCell ref="B34:B38"/>
    <mergeCell ref="A34:A38"/>
    <mergeCell ref="C35:C38"/>
  </mergeCells>
  <phoneticPr fontId="4" type="noConversion"/>
  <pageMargins left="0" right="0" top="0.19685039370078741" bottom="0.19685039370078741" header="0" footer="0"/>
  <pageSetup paperSize="9" scale="67" orientation="landscape" useFirstPageNumber="1" horizontalDpi="300" verticalDpi="300" r:id="rId1"/>
  <headerFooter alignWithMargins="0">
    <oddFooter>&amp;L&amp;D&amp;Rstrona &amp;P z 3</oddFooter>
  </headerFooter>
  <rowBreaks count="2" manualBreakCount="2">
    <brk id="29" max="16383" man="1"/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2016-08-26T11:29:32Z</cp:lastPrinted>
  <dcterms:created xsi:type="dcterms:W3CDTF">2001-05-17T08:58:03Z</dcterms:created>
  <dcterms:modified xsi:type="dcterms:W3CDTF">2023-03-29T10:48:16Z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2023-03-29T12:48:14.3514920+02:00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GRN-338af01c-f42e-4d7c-a9f5-e859ba1c39e6</vt:lpwstr>
  </property>
  <property fmtid="{D5CDD505-2E9C-101B-9397-08002B2CF9AE}" pid="7" name="MFHash">
    <vt:lpwstr>k7FwbGuu7Jx7VUclyE5mirJZ/sSIp+h7b76grwSyqRI=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