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I kwartał\2024.08.14 Ostateczne wygenerował Piotr\II KWARTAŁ\Zbiorówki_2024_k2_20230814\MF\"/>
    </mc:Choice>
  </mc:AlternateContent>
  <xr:revisionPtr revIDLastSave="0" documentId="8_{7FD32136-2B89-40EF-A4BC-1819E8D4BD43}" xr6:coauthVersionLast="47" xr6:coauthVersionMax="47" xr10:uidLastSave="{00000000-0000-0000-0000-000000000000}"/>
  <bookViews>
    <workbookView xWindow="-120" yWindow="-120" windowWidth="29040" windowHeight="15720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/>
  <c r="A85" i="7"/>
  <c r="A1" i="7"/>
  <c r="A30" i="7"/>
  <c r="A66" i="7"/>
</calcChain>
</file>

<file path=xl/sharedStrings.xml><?xml version="1.0" encoding="utf-8"?>
<sst xmlns="http://schemas.openxmlformats.org/spreadsheetml/2006/main" count="97" uniqueCount="81">
  <si>
    <t>Wyszczególnienie</t>
  </si>
  <si>
    <t>sektora finansów publicznych (kol.5+7+8)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</si>
  <si>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</si>
  <si>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</si>
  <si>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</si>
  <si>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</si>
  <si>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</si>
  <si>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</si>
  <si>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</si>
  <si>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</si>
  <si>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</si>
  <si>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</si>
  <si>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</si>
  <si>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</si>
  <si>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</si>
  <si>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</si>
  <si>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</si>
  <si>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</si>
  <si>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</si>
  <si>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</si>
  <si>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</si>
  <si>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</si>
  <si>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</si>
  <si>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</si>
  <si>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</si>
  <si>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</si>
  <si>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</si>
  <si>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</si>
  <si>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</si>
  <si>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</si>
  <si>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</si>
  <si>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</si>
  <si>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</si>
  <si>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</si>
  <si>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</si>
  <si>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</si>
  <si>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</si>
  <si>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</si>
  <si>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</si>
  <si>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</si>
  <si>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</si>
  <si>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</si>
  <si>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</si>
  <si>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</si>
  <si>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</si>
  <si>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</si>
  <si>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</si>
  <si>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</si>
  <si>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</si>
  <si>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</si>
  <si>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</si>
  <si>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</si>
  <si>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</si>
  <si>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</si>
  <si>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</si>
  <si>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</si>
  <si>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</si>
  <si>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</si>
  <si>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</si>
  <si>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</si>
  <si>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</si>
  <si>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</si>
  <si>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</si>
  <si>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</si>
  <si>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</si>
  <si>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</si>
  <si>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</si>
  <si>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</si>
  <si>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</si>
  <si>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</si>
  <si>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</si>
  <si>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</si>
  <si>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wierzyciele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</si>
  <si>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</si>
  <si>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</si>
  <si>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</si>
  <si>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</si>
  <si>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</si>
  <si>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tytul</t>
  </si>
  <si>
    <t>w złotych</t>
  </si>
  <si>
    <t>E4  wymagalne zobowiązania (E4.1+E4.2)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</si>
</sst>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71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7" xfId="0" applyFont="1" applyFill="1" applyBorder="1" applyAlignment="1">
      <alignment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7" fillId="19" borderId="23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4" width="12.42578125" style="2" customWidth="1"/>
    <col min="5" max="6" width="11.42578125" style="2" customWidth="1"/>
    <col min="7" max="7" width="12.7109375" style="2" customWidth="1"/>
    <col min="8" max="8" width="9.7109375" style="2" customWidth="1"/>
    <col min="9" max="9" width="10.7109375" style="2" customWidth="1"/>
    <col min="10" max="10" width="14" style="2" customWidth="1"/>
    <col min="11" max="11" width="12.140625" style="2" customWidth="1"/>
    <col min="12" max="12" width="11.42578125" style="2" customWidth="1"/>
    <col min="13" max="13" width="12" style="2" customWidth="1"/>
    <col min="14" max="14" width="11.7109375" style="2" customWidth="1"/>
    <col min="15" max="15" width="11.140625" style="2" customWidth="1"/>
    <col min="16" max="16" width="12.5703125" style="2" customWidth="1"/>
    <col min="17" max="16384" width="9.140625" style="2"/>
  </cols>
  <sheetData>
    <row r="1" spans="1:17" ht="75" customHeight="1" x14ac:dyDescent="0.2">
      <c r="A1" s="36" t="str">
        <f>CONCATENATE("Informacja z wykonania budżetów miast na prawach powiatu za  ",$C$93," ",$B$94," roku     ",$B$96,"")</f>
        <v xml:space="preserve">Informacja z wykonania budżetów miast na prawach powiatu za  II Kwartały 2024 roku     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7" t="s">
        <v>64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7" ht="13.5" customHeight="1" x14ac:dyDescent="0.2">
      <c r="B5" s="12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11"/>
      <c r="O5" s="11"/>
      <c r="P5" s="11"/>
      <c r="Q5" s="11"/>
    </row>
    <row r="6" spans="1:17" ht="13.5" customHeight="1" x14ac:dyDescent="0.2">
      <c r="A6" s="26" t="s">
        <v>0</v>
      </c>
      <c r="B6" s="38" t="s">
        <v>65</v>
      </c>
      <c r="C6" s="50" t="s">
        <v>69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2"/>
      <c r="O6" s="50" t="s">
        <v>68</v>
      </c>
      <c r="P6" s="51"/>
      <c r="Q6" s="52"/>
    </row>
    <row r="7" spans="1:17" ht="13.5" customHeight="1" x14ac:dyDescent="0.2">
      <c r="A7" s="27"/>
      <c r="B7" s="29"/>
      <c r="C7" s="30" t="s">
        <v>66</v>
      </c>
      <c r="D7" s="30" t="s">
        <v>1</v>
      </c>
      <c r="E7" s="30" t="s">
        <v>70</v>
      </c>
      <c r="F7" s="30" t="s">
        <v>71</v>
      </c>
      <c r="G7" s="30" t="s">
        <v>28</v>
      </c>
      <c r="H7" s="30" t="s">
        <v>29</v>
      </c>
      <c r="I7" s="44" t="s">
        <v>67</v>
      </c>
      <c r="J7" s="30" t="s">
        <v>17</v>
      </c>
      <c r="K7" s="30" t="s">
        <v>18</v>
      </c>
      <c r="L7" s="30" t="s">
        <v>19</v>
      </c>
      <c r="M7" s="30" t="s">
        <v>20</v>
      </c>
      <c r="N7" s="29" t="s">
        <v>21</v>
      </c>
      <c r="O7" s="31" t="s">
        <v>22</v>
      </c>
      <c r="P7" s="31" t="s">
        <v>23</v>
      </c>
      <c r="Q7" s="31" t="s">
        <v>24</v>
      </c>
    </row>
    <row r="8" spans="1:17" ht="13.5" customHeight="1" x14ac:dyDescent="0.2">
      <c r="A8" s="27"/>
      <c r="B8" s="29"/>
      <c r="C8" s="31"/>
      <c r="D8" s="31"/>
      <c r="E8" s="31"/>
      <c r="F8" s="31"/>
      <c r="G8" s="31"/>
      <c r="H8" s="31"/>
      <c r="I8" s="44"/>
      <c r="J8" s="31"/>
      <c r="K8" s="31"/>
      <c r="L8" s="31"/>
      <c r="M8" s="31"/>
      <c r="N8" s="29"/>
      <c r="O8" s="31"/>
      <c r="P8" s="31"/>
      <c r="Q8" s="31"/>
    </row>
    <row r="9" spans="1:17" ht="11.25" customHeight="1" x14ac:dyDescent="0.2">
      <c r="A9" s="27"/>
      <c r="B9" s="29"/>
      <c r="C9" s="31"/>
      <c r="D9" s="31"/>
      <c r="E9" s="31"/>
      <c r="F9" s="31"/>
      <c r="G9" s="31"/>
      <c r="H9" s="31"/>
      <c r="I9" s="44"/>
      <c r="J9" s="31"/>
      <c r="K9" s="31"/>
      <c r="L9" s="31"/>
      <c r="M9" s="31"/>
      <c r="N9" s="29"/>
      <c r="O9" s="31"/>
      <c r="P9" s="31"/>
      <c r="Q9" s="31"/>
    </row>
    <row r="10" spans="1:17" ht="11.25" customHeight="1" x14ac:dyDescent="0.2">
      <c r="A10" s="28"/>
      <c r="B10" s="30"/>
      <c r="C10" s="31"/>
      <c r="D10" s="31"/>
      <c r="E10" s="31"/>
      <c r="F10" s="31"/>
      <c r="G10" s="31"/>
      <c r="H10" s="31"/>
      <c r="I10" s="45"/>
      <c r="J10" s="31"/>
      <c r="K10" s="31"/>
      <c r="L10" s="31"/>
      <c r="M10" s="31"/>
      <c r="N10" s="30"/>
      <c r="O10" s="31"/>
      <c r="P10" s="31"/>
      <c r="Q10" s="31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77" t="s">
        <v>79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</row>
    <row r="13" spans="1:17" ht="38.25" customHeight="1" x14ac:dyDescent="0.2">
      <c r="A13" s="20" t="s">
        <v>47</v>
      </c>
      <c r="B13" s="21">
        <f>50931048877.98</f>
        <v>50931048877.980003</v>
      </c>
      <c r="C13" s="21">
        <f>27949877409.85</f>
        <v>27949877409.849998</v>
      </c>
      <c r="D13" s="21">
        <f>348203079.07</f>
        <v>348203079.06999999</v>
      </c>
      <c r="E13" s="21">
        <f>3955.48</f>
        <v>3955.48</v>
      </c>
      <c r="F13" s="21">
        <f>190000798.05</f>
        <v>190000798.05000001</v>
      </c>
      <c r="G13" s="21">
        <f>158186325.54</f>
        <v>158186325.53999999</v>
      </c>
      <c r="H13" s="21">
        <f>12000</f>
        <v>12000</v>
      </c>
      <c r="I13" s="21">
        <f>0</f>
        <v>0</v>
      </c>
      <c r="J13" s="21">
        <f>25474256652.75</f>
        <v>25474256652.75</v>
      </c>
      <c r="K13" s="21">
        <f>1185370061.51</f>
        <v>1185370061.51</v>
      </c>
      <c r="L13" s="21">
        <f>924100202.41</f>
        <v>924100202.40999997</v>
      </c>
      <c r="M13" s="21">
        <f>14757560.52</f>
        <v>14757560.52</v>
      </c>
      <c r="N13" s="21">
        <f>3189853.59</f>
        <v>3189853.59</v>
      </c>
      <c r="O13" s="21">
        <f>22981171468.13</f>
        <v>22981171468.130001</v>
      </c>
      <c r="P13" s="21">
        <f>22391961171.66</f>
        <v>22391961171.66</v>
      </c>
      <c r="Q13" s="21">
        <f>589210296.47</f>
        <v>589210296.47000003</v>
      </c>
    </row>
    <row r="14" spans="1:17" ht="38.25" customHeight="1" x14ac:dyDescent="0.2">
      <c r="A14" s="20" t="s">
        <v>48</v>
      </c>
      <c r="B14" s="21">
        <f>5983409000</f>
        <v>5983409000</v>
      </c>
      <c r="C14" s="21">
        <f>5983409000</f>
        <v>5983409000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5821909000</f>
        <v>5821909000</v>
      </c>
      <c r="K14" s="21">
        <f>161500000</f>
        <v>161500000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38.25" customHeight="1" x14ac:dyDescent="0.2">
      <c r="A15" s="18" t="s">
        <v>49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38.25" customHeight="1" x14ac:dyDescent="0.2">
      <c r="A16" s="18" t="s">
        <v>50</v>
      </c>
      <c r="B16" s="22">
        <f>5983409000</f>
        <v>5983409000</v>
      </c>
      <c r="C16" s="22">
        <f>5983409000</f>
        <v>5983409000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5821909000</f>
        <v>5821909000</v>
      </c>
      <c r="K16" s="22">
        <f>161500000</f>
        <v>161500000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8.25" customHeight="1" x14ac:dyDescent="0.2">
      <c r="A17" s="20" t="s">
        <v>51</v>
      </c>
      <c r="B17" s="21">
        <f>44915076007.66</f>
        <v>44915076007.660004</v>
      </c>
      <c r="C17" s="21">
        <f>21933904539.53</f>
        <v>21933904539.529999</v>
      </c>
      <c r="D17" s="21">
        <f>343810150.26</f>
        <v>343810150.25999999</v>
      </c>
      <c r="E17" s="21">
        <f>0</f>
        <v>0</v>
      </c>
      <c r="F17" s="21">
        <f>190000498.05</f>
        <v>190000498.05000001</v>
      </c>
      <c r="G17" s="21">
        <f>153809652.21</f>
        <v>153809652.21000001</v>
      </c>
      <c r="H17" s="21">
        <f>0</f>
        <v>0</v>
      </c>
      <c r="I17" s="21">
        <f>0</f>
        <v>0</v>
      </c>
      <c r="J17" s="21">
        <f>19652277390.38</f>
        <v>19652277390.380001</v>
      </c>
      <c r="K17" s="21">
        <f>1023869617.3</f>
        <v>1023869617.3</v>
      </c>
      <c r="L17" s="21">
        <f>913947381.59</f>
        <v>913947381.59000003</v>
      </c>
      <c r="M17" s="21">
        <f>0</f>
        <v>0</v>
      </c>
      <c r="N17" s="21">
        <f>0</f>
        <v>0</v>
      </c>
      <c r="O17" s="21">
        <f>22981171468.13</f>
        <v>22981171468.130001</v>
      </c>
      <c r="P17" s="21">
        <f>22391961171.66</f>
        <v>22391961171.66</v>
      </c>
      <c r="Q17" s="21">
        <f>589210296.47</f>
        <v>589210296.47000003</v>
      </c>
    </row>
    <row r="18" spans="1:17" ht="38.25" customHeight="1" x14ac:dyDescent="0.2">
      <c r="A18" s="18" t="s">
        <v>52</v>
      </c>
      <c r="B18" s="22">
        <f>430549626.51</f>
        <v>430549626.50999999</v>
      </c>
      <c r="C18" s="22">
        <f>430549626.51</f>
        <v>430549626.50999999</v>
      </c>
      <c r="D18" s="22">
        <f>0</f>
        <v>0</v>
      </c>
      <c r="E18" s="22">
        <f>0</f>
        <v>0</v>
      </c>
      <c r="F18" s="22">
        <f>0</f>
        <v>0</v>
      </c>
      <c r="G18" s="22">
        <f>0</f>
        <v>0</v>
      </c>
      <c r="H18" s="22">
        <f>0</f>
        <v>0</v>
      </c>
      <c r="I18" s="22">
        <f>0</f>
        <v>0</v>
      </c>
      <c r="J18" s="22">
        <f>355549626.51</f>
        <v>355549626.50999999</v>
      </c>
      <c r="K18" s="22">
        <f>75000000</f>
        <v>75000000</v>
      </c>
      <c r="L18" s="22">
        <f>0</f>
        <v>0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38.25" customHeight="1" x14ac:dyDescent="0.2">
      <c r="A19" s="18" t="s">
        <v>53</v>
      </c>
      <c r="B19" s="22">
        <f>44484526381.15</f>
        <v>44484526381.150002</v>
      </c>
      <c r="C19" s="22">
        <f>21503354913.02</f>
        <v>21503354913.02</v>
      </c>
      <c r="D19" s="22">
        <f>343810150.26</f>
        <v>343810150.25999999</v>
      </c>
      <c r="E19" s="22">
        <f>0</f>
        <v>0</v>
      </c>
      <c r="F19" s="22">
        <f>190000498.05</f>
        <v>190000498.05000001</v>
      </c>
      <c r="G19" s="22">
        <f>153809652.21</f>
        <v>153809652.21000001</v>
      </c>
      <c r="H19" s="22">
        <f>0</f>
        <v>0</v>
      </c>
      <c r="I19" s="22">
        <f>0</f>
        <v>0</v>
      </c>
      <c r="J19" s="22">
        <f>19296727763.87</f>
        <v>19296727763.869999</v>
      </c>
      <c r="K19" s="22">
        <f>948869617.3</f>
        <v>948869617.29999995</v>
      </c>
      <c r="L19" s="22">
        <f>913947381.59</f>
        <v>913947381.59000003</v>
      </c>
      <c r="M19" s="22">
        <f>0</f>
        <v>0</v>
      </c>
      <c r="N19" s="22">
        <f>0</f>
        <v>0</v>
      </c>
      <c r="O19" s="22">
        <f>22981171468.13</f>
        <v>22981171468.130001</v>
      </c>
      <c r="P19" s="22">
        <f>22391961171.66</f>
        <v>22391961171.66</v>
      </c>
      <c r="Q19" s="22">
        <f>589210296.47</f>
        <v>589210296.47000003</v>
      </c>
    </row>
    <row r="20" spans="1:17" ht="38.25" customHeight="1" x14ac:dyDescent="0.2">
      <c r="A20" s="20" t="s">
        <v>54</v>
      </c>
      <c r="B20" s="21">
        <f>0</f>
        <v>0</v>
      </c>
      <c r="C20" s="21">
        <f>0</f>
        <v>0</v>
      </c>
      <c r="D20" s="21">
        <f>0</f>
        <v>0</v>
      </c>
      <c r="E20" s="21">
        <f>0</f>
        <v>0</v>
      </c>
      <c r="F20" s="21">
        <f>0</f>
        <v>0</v>
      </c>
      <c r="G20" s="21">
        <f>0</f>
        <v>0</v>
      </c>
      <c r="H20" s="21">
        <f>0</f>
        <v>0</v>
      </c>
      <c r="I20" s="21">
        <f>0</f>
        <v>0</v>
      </c>
      <c r="J20" s="21">
        <f>0</f>
        <v>0</v>
      </c>
      <c r="K20" s="21">
        <f>0</f>
        <v>0</v>
      </c>
      <c r="L20" s="21">
        <f>0</f>
        <v>0</v>
      </c>
      <c r="M20" s="21">
        <f>0</f>
        <v>0</v>
      </c>
      <c r="N20" s="21">
        <f>0</f>
        <v>0</v>
      </c>
      <c r="O20" s="21">
        <f>0</f>
        <v>0</v>
      </c>
      <c r="P20" s="21">
        <f>0</f>
        <v>0</v>
      </c>
      <c r="Q20" s="21">
        <f>0</f>
        <v>0</v>
      </c>
    </row>
    <row r="21" spans="1:17" ht="38.25" customHeight="1" x14ac:dyDescent="0.2">
      <c r="A21" s="20" t="s">
        <v>80</v>
      </c>
      <c r="B21" s="21">
        <f>32563870.32</f>
        <v>32563870.32</v>
      </c>
      <c r="C21" s="21">
        <f>32563870.32</f>
        <v>32563870.32</v>
      </c>
      <c r="D21" s="21">
        <f>4392928.81</f>
        <v>4392928.8099999996</v>
      </c>
      <c r="E21" s="21">
        <f>3955.48</f>
        <v>3955.48</v>
      </c>
      <c r="F21" s="21">
        <f>300</f>
        <v>300</v>
      </c>
      <c r="G21" s="21">
        <f>4376673.33</f>
        <v>4376673.33</v>
      </c>
      <c r="H21" s="21">
        <f>12000</f>
        <v>12000</v>
      </c>
      <c r="I21" s="21">
        <f>0</f>
        <v>0</v>
      </c>
      <c r="J21" s="21">
        <f>70262.37</f>
        <v>70262.37</v>
      </c>
      <c r="K21" s="21">
        <f>444.21</f>
        <v>444.21</v>
      </c>
      <c r="L21" s="21">
        <f>10152820.82</f>
        <v>10152820.82</v>
      </c>
      <c r="M21" s="21">
        <f>14757560.52</f>
        <v>14757560.52</v>
      </c>
      <c r="N21" s="21">
        <f>3189853.59</f>
        <v>3189853.59</v>
      </c>
      <c r="O21" s="21">
        <f>0</f>
        <v>0</v>
      </c>
      <c r="P21" s="21">
        <f>0</f>
        <v>0</v>
      </c>
      <c r="Q21" s="21">
        <f>0</f>
        <v>0</v>
      </c>
    </row>
    <row r="22" spans="1:17" ht="38.25" customHeight="1" x14ac:dyDescent="0.2">
      <c r="A22" s="18" t="s">
        <v>55</v>
      </c>
      <c r="B22" s="22">
        <f>24060861.34</f>
        <v>24060861.34</v>
      </c>
      <c r="C22" s="22">
        <f>24060861.34</f>
        <v>24060861.34</v>
      </c>
      <c r="D22" s="22">
        <f>58437.37</f>
        <v>58437.37</v>
      </c>
      <c r="E22" s="22">
        <f>155.48</f>
        <v>155.47999999999999</v>
      </c>
      <c r="F22" s="22">
        <f>0</f>
        <v>0</v>
      </c>
      <c r="G22" s="22">
        <f>58281.89</f>
        <v>58281.89</v>
      </c>
      <c r="H22" s="22">
        <f>0</f>
        <v>0</v>
      </c>
      <c r="I22" s="22">
        <f>0</f>
        <v>0</v>
      </c>
      <c r="J22" s="22">
        <f>0</f>
        <v>0</v>
      </c>
      <c r="K22" s="22">
        <f>0</f>
        <v>0</v>
      </c>
      <c r="L22" s="22">
        <f>7560260.11</f>
        <v>7560260.1100000003</v>
      </c>
      <c r="M22" s="22">
        <f>13252693.31</f>
        <v>13252693.310000001</v>
      </c>
      <c r="N22" s="22">
        <f>3189470.55</f>
        <v>3189470.55</v>
      </c>
      <c r="O22" s="22">
        <f>0</f>
        <v>0</v>
      </c>
      <c r="P22" s="22">
        <f>0</f>
        <v>0</v>
      </c>
      <c r="Q22" s="22">
        <f>0</f>
        <v>0</v>
      </c>
    </row>
    <row r="23" spans="1:17" ht="38.25" customHeight="1" x14ac:dyDescent="0.2">
      <c r="A23" s="18" t="s">
        <v>56</v>
      </c>
      <c r="B23" s="22">
        <f>8503008.98</f>
        <v>8503008.9800000004</v>
      </c>
      <c r="C23" s="22">
        <f>8503008.98</f>
        <v>8503008.9800000004</v>
      </c>
      <c r="D23" s="22">
        <f>4334491.44</f>
        <v>4334491.4400000004</v>
      </c>
      <c r="E23" s="22">
        <f>3800</f>
        <v>3800</v>
      </c>
      <c r="F23" s="22">
        <f>300</f>
        <v>300</v>
      </c>
      <c r="G23" s="22">
        <f>4318391.44</f>
        <v>4318391.4400000004</v>
      </c>
      <c r="H23" s="22">
        <f>12000</f>
        <v>12000</v>
      </c>
      <c r="I23" s="22">
        <f>0</f>
        <v>0</v>
      </c>
      <c r="J23" s="22">
        <f>70262.37</f>
        <v>70262.37</v>
      </c>
      <c r="K23" s="22">
        <f>444.21</f>
        <v>444.21</v>
      </c>
      <c r="L23" s="22">
        <f>2592560.71</f>
        <v>2592560.71</v>
      </c>
      <c r="M23" s="22">
        <f>1504867.21</f>
        <v>1504867.21</v>
      </c>
      <c r="N23" s="22">
        <f>383.04</f>
        <v>383.04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9.5" customHeight="1" x14ac:dyDescent="0.2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ht="45.75" customHeight="1" x14ac:dyDescent="0.2">
      <c r="A30" s="36" t="str">
        <f>CONCATENATE("Informacja z wykonania budżetów miast na prawach powiatu za  ",$C$93," ",$B$94," roku     ",$B$96,"")</f>
        <v xml:space="preserve">Informacja z wykonania budżetów miast na prawach powiatu za  II Kwartały 2024 roku     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2" spans="1:17" ht="13.5" customHeight="1" x14ac:dyDescent="0.2">
      <c r="A32" s="37" t="s">
        <v>12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4" spans="1:17" ht="13.5" customHeight="1" x14ac:dyDescent="0.2">
      <c r="A34" s="26" t="s">
        <v>0</v>
      </c>
      <c r="B34" s="38" t="s">
        <v>13</v>
      </c>
      <c r="C34" s="33" t="s">
        <v>15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5"/>
      <c r="O34" s="33" t="s">
        <v>25</v>
      </c>
      <c r="P34" s="34"/>
      <c r="Q34" s="35"/>
    </row>
    <row r="35" spans="1:17" ht="13.5" customHeight="1" x14ac:dyDescent="0.2">
      <c r="A35" s="27"/>
      <c r="B35" s="29"/>
      <c r="C35" s="29" t="s">
        <v>14</v>
      </c>
      <c r="D35" s="31" t="s">
        <v>16</v>
      </c>
      <c r="E35" s="31" t="s">
        <v>26</v>
      </c>
      <c r="F35" s="31" t="s">
        <v>27</v>
      </c>
      <c r="G35" s="31" t="s">
        <v>75</v>
      </c>
      <c r="H35" s="31" t="s">
        <v>29</v>
      </c>
      <c r="I35" s="31" t="s">
        <v>2</v>
      </c>
      <c r="J35" s="31" t="s">
        <v>17</v>
      </c>
      <c r="K35" s="31" t="s">
        <v>18</v>
      </c>
      <c r="L35" s="31" t="s">
        <v>19</v>
      </c>
      <c r="M35" s="31" t="s">
        <v>20</v>
      </c>
      <c r="N35" s="75" t="s">
        <v>21</v>
      </c>
      <c r="O35" s="31" t="s">
        <v>22</v>
      </c>
      <c r="P35" s="31" t="s">
        <v>23</v>
      </c>
      <c r="Q35" s="38" t="s">
        <v>24</v>
      </c>
    </row>
    <row r="36" spans="1:17" ht="11.25" customHeight="1" x14ac:dyDescent="0.2">
      <c r="A36" s="27"/>
      <c r="B36" s="29"/>
      <c r="C36" s="29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5"/>
      <c r="O36" s="31"/>
      <c r="P36" s="31"/>
      <c r="Q36" s="29"/>
    </row>
    <row r="37" spans="1:17" ht="24.75" customHeight="1" x14ac:dyDescent="0.2">
      <c r="A37" s="28"/>
      <c r="B37" s="30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5"/>
      <c r="O37" s="31"/>
      <c r="P37" s="31"/>
      <c r="Q37" s="30"/>
    </row>
    <row r="38" spans="1:17" ht="13.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2.75" customHeight="1" x14ac:dyDescent="0.2">
      <c r="A39" s="13"/>
      <c r="B39" s="61" t="s">
        <v>79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62"/>
    </row>
    <row r="40" spans="1:17" ht="26.25" customHeight="1" x14ac:dyDescent="0.2">
      <c r="A40" s="25" t="s">
        <v>42</v>
      </c>
      <c r="B40" s="23">
        <f>150841.24</f>
        <v>150841.24</v>
      </c>
      <c r="C40" s="23">
        <f>150841.24</f>
        <v>150841.24</v>
      </c>
      <c r="D40" s="23">
        <f>0</f>
        <v>0</v>
      </c>
      <c r="E40" s="23">
        <f>0</f>
        <v>0</v>
      </c>
      <c r="F40" s="23">
        <f>0</f>
        <v>0</v>
      </c>
      <c r="G40" s="23">
        <f>0</f>
        <v>0</v>
      </c>
      <c r="H40" s="23">
        <f>0</f>
        <v>0</v>
      </c>
      <c r="I40" s="23">
        <f>0</f>
        <v>0</v>
      </c>
      <c r="J40" s="23">
        <f>0</f>
        <v>0</v>
      </c>
      <c r="K40" s="23">
        <f>0</f>
        <v>0</v>
      </c>
      <c r="L40" s="23">
        <f>150841.24</f>
        <v>150841.24</v>
      </c>
      <c r="M40" s="23">
        <f>0</f>
        <v>0</v>
      </c>
      <c r="N40" s="23">
        <f>0</f>
        <v>0</v>
      </c>
      <c r="O40" s="23">
        <f>0</f>
        <v>0</v>
      </c>
      <c r="P40" s="23">
        <f>0</f>
        <v>0</v>
      </c>
      <c r="Q40" s="23">
        <f>0</f>
        <v>0</v>
      </c>
    </row>
    <row r="41" spans="1:17" ht="26.25" customHeight="1" x14ac:dyDescent="0.2">
      <c r="A41" s="19" t="s">
        <v>30</v>
      </c>
      <c r="B41" s="24">
        <f>0</f>
        <v>0</v>
      </c>
      <c r="C41" s="24">
        <f>0</f>
        <v>0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0</f>
        <v>0</v>
      </c>
      <c r="K41" s="24">
        <f>0</f>
        <v>0</v>
      </c>
      <c r="L41" s="24">
        <f>0</f>
        <v>0</v>
      </c>
      <c r="M41" s="24">
        <f>0</f>
        <v>0</v>
      </c>
      <c r="N41" s="24">
        <f>0</f>
        <v>0</v>
      </c>
      <c r="O41" s="24">
        <f>0</f>
        <v>0</v>
      </c>
      <c r="P41" s="24">
        <f>0</f>
        <v>0</v>
      </c>
      <c r="Q41" s="24">
        <f>0</f>
        <v>0</v>
      </c>
    </row>
    <row r="42" spans="1:17" ht="26.25" customHeight="1" x14ac:dyDescent="0.2">
      <c r="A42" s="19" t="s">
        <v>31</v>
      </c>
      <c r="B42" s="24">
        <f>150841.24</f>
        <v>150841.24</v>
      </c>
      <c r="C42" s="24">
        <f>150841.24</f>
        <v>150841.24</v>
      </c>
      <c r="D42" s="24">
        <f>0</f>
        <v>0</v>
      </c>
      <c r="E42" s="24">
        <f>0</f>
        <v>0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150841.24</f>
        <v>150841.24</v>
      </c>
      <c r="M42" s="24">
        <f>0</f>
        <v>0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6.25" customHeight="1" x14ac:dyDescent="0.2">
      <c r="A43" s="25" t="s">
        <v>43</v>
      </c>
      <c r="B43" s="23">
        <f>334558024.71</f>
        <v>334558024.70999998</v>
      </c>
      <c r="C43" s="23">
        <f>334558024.71</f>
        <v>334558024.70999998</v>
      </c>
      <c r="D43" s="23">
        <f>115878087.84</f>
        <v>115878087.84</v>
      </c>
      <c r="E43" s="23">
        <f>28880</f>
        <v>28880</v>
      </c>
      <c r="F43" s="23">
        <f>0</f>
        <v>0</v>
      </c>
      <c r="G43" s="23">
        <f>115849207.84</f>
        <v>115849207.84</v>
      </c>
      <c r="H43" s="23">
        <f>0</f>
        <v>0</v>
      </c>
      <c r="I43" s="23">
        <f>0</f>
        <v>0</v>
      </c>
      <c r="J43" s="23">
        <f>0</f>
        <v>0</v>
      </c>
      <c r="K43" s="23">
        <f>4560</f>
        <v>4560</v>
      </c>
      <c r="L43" s="23">
        <f>128052023.63</f>
        <v>128052023.63</v>
      </c>
      <c r="M43" s="23">
        <f>74608587.87</f>
        <v>74608587.870000005</v>
      </c>
      <c r="N43" s="23">
        <f>16014765.37</f>
        <v>16014765.369999999</v>
      </c>
      <c r="O43" s="23">
        <f>0</f>
        <v>0</v>
      </c>
      <c r="P43" s="23">
        <f>0</f>
        <v>0</v>
      </c>
      <c r="Q43" s="23">
        <f>0</f>
        <v>0</v>
      </c>
    </row>
    <row r="44" spans="1:17" ht="26.25" customHeight="1" x14ac:dyDescent="0.2">
      <c r="A44" s="19" t="s">
        <v>32</v>
      </c>
      <c r="B44" s="24">
        <f>51605784.78</f>
        <v>51605784.780000001</v>
      </c>
      <c r="C44" s="24">
        <f>51605784.78</f>
        <v>51605784.780000001</v>
      </c>
      <c r="D44" s="24">
        <f>6995849.24</f>
        <v>6995849.2400000002</v>
      </c>
      <c r="E44" s="24">
        <f>28880</f>
        <v>28880</v>
      </c>
      <c r="F44" s="24">
        <f>0</f>
        <v>0</v>
      </c>
      <c r="G44" s="24">
        <f>6966969.24</f>
        <v>6966969.2400000002</v>
      </c>
      <c r="H44" s="24">
        <f>0</f>
        <v>0</v>
      </c>
      <c r="I44" s="24">
        <f>0</f>
        <v>0</v>
      </c>
      <c r="J44" s="24">
        <f>0</f>
        <v>0</v>
      </c>
      <c r="K44" s="24">
        <f>4560</f>
        <v>4560</v>
      </c>
      <c r="L44" s="24">
        <f>23317142.74</f>
        <v>23317142.739999998</v>
      </c>
      <c r="M44" s="24">
        <f>20265821.63</f>
        <v>20265821.629999999</v>
      </c>
      <c r="N44" s="24">
        <f>1022411.17</f>
        <v>1022411.17</v>
      </c>
      <c r="O44" s="24">
        <f>0</f>
        <v>0</v>
      </c>
      <c r="P44" s="24">
        <f>0</f>
        <v>0</v>
      </c>
      <c r="Q44" s="24">
        <f>0</f>
        <v>0</v>
      </c>
    </row>
    <row r="45" spans="1:17" ht="26.25" customHeight="1" x14ac:dyDescent="0.2">
      <c r="A45" s="19" t="s">
        <v>33</v>
      </c>
      <c r="B45" s="24">
        <f>282952239.93</f>
        <v>282952239.93000001</v>
      </c>
      <c r="C45" s="24">
        <f>282952239.93</f>
        <v>282952239.93000001</v>
      </c>
      <c r="D45" s="24">
        <f>108882238.6</f>
        <v>108882238.59999999</v>
      </c>
      <c r="E45" s="24">
        <f>0</f>
        <v>0</v>
      </c>
      <c r="F45" s="24">
        <f>0</f>
        <v>0</v>
      </c>
      <c r="G45" s="24">
        <f>108882238.6</f>
        <v>108882238.59999999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104734880.89</f>
        <v>104734880.89</v>
      </c>
      <c r="M45" s="24">
        <f>54342766.24</f>
        <v>54342766.240000002</v>
      </c>
      <c r="N45" s="24">
        <f>14992354.2</f>
        <v>14992354.199999999</v>
      </c>
      <c r="O45" s="24">
        <f>0</f>
        <v>0</v>
      </c>
      <c r="P45" s="24">
        <f>0</f>
        <v>0</v>
      </c>
      <c r="Q45" s="24">
        <f>0</f>
        <v>0</v>
      </c>
    </row>
    <row r="46" spans="1:17" ht="26.25" customHeight="1" x14ac:dyDescent="0.2">
      <c r="A46" s="25" t="s">
        <v>44</v>
      </c>
      <c r="B46" s="23">
        <f>11752326898.32</f>
        <v>11752326898.32</v>
      </c>
      <c r="C46" s="23">
        <f>11752326898.32</f>
        <v>11752326898.32</v>
      </c>
      <c r="D46" s="23">
        <f>14007227.72</f>
        <v>14007227.720000001</v>
      </c>
      <c r="E46" s="23">
        <f>99183.55</f>
        <v>99183.55</v>
      </c>
      <c r="F46" s="23">
        <f>25779.68</f>
        <v>25779.68</v>
      </c>
      <c r="G46" s="23">
        <f>13882264.49</f>
        <v>13882264.49</v>
      </c>
      <c r="H46" s="23">
        <f>0</f>
        <v>0</v>
      </c>
      <c r="I46" s="23">
        <f>4396044.49</f>
        <v>4396044.49</v>
      </c>
      <c r="J46" s="23">
        <f>11731689870.7</f>
        <v>11731689870.700001</v>
      </c>
      <c r="K46" s="23">
        <f>115679.45</f>
        <v>115679.45</v>
      </c>
      <c r="L46" s="23">
        <f>2078452.05</f>
        <v>2078452.05</v>
      </c>
      <c r="M46" s="23">
        <f>38975</f>
        <v>38975</v>
      </c>
      <c r="N46" s="23">
        <f>648.91</f>
        <v>648.91</v>
      </c>
      <c r="O46" s="23">
        <f>0</f>
        <v>0</v>
      </c>
      <c r="P46" s="23">
        <f>0</f>
        <v>0</v>
      </c>
      <c r="Q46" s="23">
        <f>0</f>
        <v>0</v>
      </c>
    </row>
    <row r="47" spans="1:17" ht="26.25" customHeight="1" x14ac:dyDescent="0.2">
      <c r="A47" s="19" t="s">
        <v>34</v>
      </c>
      <c r="B47" s="24">
        <f>8877554.52</f>
        <v>8877554.5199999996</v>
      </c>
      <c r="C47" s="24">
        <f>8877554.52</f>
        <v>8877554.5199999996</v>
      </c>
      <c r="D47" s="24">
        <f>8877554.52</f>
        <v>8877554.5199999996</v>
      </c>
      <c r="E47" s="24">
        <f>0</f>
        <v>0</v>
      </c>
      <c r="F47" s="24">
        <f>0</f>
        <v>0</v>
      </c>
      <c r="G47" s="24">
        <f>8877554.52</f>
        <v>8877554.5199999996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6.25" customHeight="1" x14ac:dyDescent="0.2">
      <c r="A48" s="19" t="s">
        <v>35</v>
      </c>
      <c r="B48" s="24">
        <f>6047088170.32</f>
        <v>6047088170.3199997</v>
      </c>
      <c r="C48" s="24">
        <f>6047088170.32</f>
        <v>6047088170.3199997</v>
      </c>
      <c r="D48" s="24">
        <f>4886636.37</f>
        <v>4886636.37</v>
      </c>
      <c r="E48" s="24">
        <f>14000</f>
        <v>14000</v>
      </c>
      <c r="F48" s="24">
        <f>0</f>
        <v>0</v>
      </c>
      <c r="G48" s="24">
        <f>4872636.37</f>
        <v>4872636.37</v>
      </c>
      <c r="H48" s="24">
        <f>0</f>
        <v>0</v>
      </c>
      <c r="I48" s="24">
        <f>4312259.96</f>
        <v>4312259.96</v>
      </c>
      <c r="J48" s="24">
        <f>6036990017.1</f>
        <v>6036990017.1000004</v>
      </c>
      <c r="K48" s="24">
        <f>115679.45</f>
        <v>115679.45</v>
      </c>
      <c r="L48" s="24">
        <f>783577.44</f>
        <v>783577.44</v>
      </c>
      <c r="M48" s="24">
        <f>0</f>
        <v>0</v>
      </c>
      <c r="N48" s="24">
        <f>0</f>
        <v>0</v>
      </c>
      <c r="O48" s="24">
        <f>0</f>
        <v>0</v>
      </c>
      <c r="P48" s="24">
        <f>0</f>
        <v>0</v>
      </c>
      <c r="Q48" s="24">
        <f>0</f>
        <v>0</v>
      </c>
    </row>
    <row r="49" spans="1:17" ht="26.25" customHeight="1" x14ac:dyDescent="0.2">
      <c r="A49" s="19" t="s">
        <v>36</v>
      </c>
      <c r="B49" s="24">
        <f>5696361173.48</f>
        <v>5696361173.4799995</v>
      </c>
      <c r="C49" s="24">
        <f>5696361173.48</f>
        <v>5696361173.4799995</v>
      </c>
      <c r="D49" s="24">
        <f>243036.83</f>
        <v>243036.83</v>
      </c>
      <c r="E49" s="24">
        <f>85183.55</f>
        <v>85183.55</v>
      </c>
      <c r="F49" s="24">
        <f>25779.68</f>
        <v>25779.68</v>
      </c>
      <c r="G49" s="24">
        <f>132073.6</f>
        <v>132073.60000000001</v>
      </c>
      <c r="H49" s="24">
        <f>0</f>
        <v>0</v>
      </c>
      <c r="I49" s="24">
        <f>83784.53</f>
        <v>83784.53</v>
      </c>
      <c r="J49" s="24">
        <f>5694699853.6</f>
        <v>5694699853.6000004</v>
      </c>
      <c r="K49" s="24">
        <f>0</f>
        <v>0</v>
      </c>
      <c r="L49" s="24">
        <f>1294874.61</f>
        <v>1294874.6100000001</v>
      </c>
      <c r="M49" s="24">
        <f>38975</f>
        <v>38975</v>
      </c>
      <c r="N49" s="24">
        <f>648.91</f>
        <v>648.91</v>
      </c>
      <c r="O49" s="24">
        <f>0</f>
        <v>0</v>
      </c>
      <c r="P49" s="24">
        <f>0</f>
        <v>0</v>
      </c>
      <c r="Q49" s="24">
        <f>0</f>
        <v>0</v>
      </c>
    </row>
    <row r="50" spans="1:17" ht="26.25" customHeight="1" x14ac:dyDescent="0.2">
      <c r="A50" s="25" t="s">
        <v>45</v>
      </c>
      <c r="B50" s="23">
        <f>12801411683.21</f>
        <v>12801411683.209999</v>
      </c>
      <c r="C50" s="23">
        <f>12749603255.85</f>
        <v>12749603255.85</v>
      </c>
      <c r="D50" s="23">
        <f>315578187.95</f>
        <v>315578187.94999999</v>
      </c>
      <c r="E50" s="23">
        <f>56744542.07</f>
        <v>56744542.07</v>
      </c>
      <c r="F50" s="23">
        <f>8376783.99</f>
        <v>8376783.9900000002</v>
      </c>
      <c r="G50" s="23">
        <f>250258824.6</f>
        <v>250258824.59999999</v>
      </c>
      <c r="H50" s="23">
        <f>198037.29</f>
        <v>198037.29</v>
      </c>
      <c r="I50" s="23">
        <f>0</f>
        <v>0</v>
      </c>
      <c r="J50" s="23">
        <f>294439.14</f>
        <v>294439.14</v>
      </c>
      <c r="K50" s="23">
        <f>6952675.58</f>
        <v>6952675.5800000001</v>
      </c>
      <c r="L50" s="23">
        <f>2716360092.99</f>
        <v>2716360092.9899998</v>
      </c>
      <c r="M50" s="23">
        <f>9616734057.25</f>
        <v>9616734057.25</v>
      </c>
      <c r="N50" s="23">
        <f>93683802.94</f>
        <v>93683802.939999998</v>
      </c>
      <c r="O50" s="23">
        <f>51808427.36</f>
        <v>51808427.359999999</v>
      </c>
      <c r="P50" s="23">
        <f>10842051.01</f>
        <v>10842051.01</v>
      </c>
      <c r="Q50" s="23">
        <f>40966376.35</f>
        <v>40966376.350000001</v>
      </c>
    </row>
    <row r="51" spans="1:17" ht="26.25" customHeight="1" x14ac:dyDescent="0.2">
      <c r="A51" s="19" t="s">
        <v>37</v>
      </c>
      <c r="B51" s="24">
        <f>5210041858.75</f>
        <v>5210041858.75</v>
      </c>
      <c r="C51" s="24">
        <f>5180005254.97</f>
        <v>5180005254.9700003</v>
      </c>
      <c r="D51" s="24">
        <f>69254281.19</f>
        <v>69254281.189999998</v>
      </c>
      <c r="E51" s="24">
        <f>1093534.87</f>
        <v>1093534.8700000001</v>
      </c>
      <c r="F51" s="24">
        <f>3806445.17</f>
        <v>3806445.17</v>
      </c>
      <c r="G51" s="24">
        <f>64353800.28</f>
        <v>64353800.280000001</v>
      </c>
      <c r="H51" s="24">
        <f>500.87</f>
        <v>500.87</v>
      </c>
      <c r="I51" s="24">
        <f>0</f>
        <v>0</v>
      </c>
      <c r="J51" s="24">
        <f>114567.71</f>
        <v>114567.71</v>
      </c>
      <c r="K51" s="24">
        <f>424763.68</f>
        <v>424763.68</v>
      </c>
      <c r="L51" s="24">
        <f>709771724.3</f>
        <v>709771724.29999995</v>
      </c>
      <c r="M51" s="24">
        <f>4348622015.26</f>
        <v>4348622015.2600002</v>
      </c>
      <c r="N51" s="24">
        <f>51817902.83</f>
        <v>51817902.829999998</v>
      </c>
      <c r="O51" s="24">
        <f>30036603.78</f>
        <v>30036603.780000001</v>
      </c>
      <c r="P51" s="24">
        <f>770543.58</f>
        <v>770543.58</v>
      </c>
      <c r="Q51" s="24">
        <f>29266060.2</f>
        <v>29266060.199999999</v>
      </c>
    </row>
    <row r="52" spans="1:17" ht="26.25" customHeight="1" x14ac:dyDescent="0.2">
      <c r="A52" s="19" t="s">
        <v>38</v>
      </c>
      <c r="B52" s="24">
        <f>7591369824.46</f>
        <v>7591369824.46</v>
      </c>
      <c r="C52" s="24">
        <f>7569598000.88</f>
        <v>7569598000.8800001</v>
      </c>
      <c r="D52" s="24">
        <f>246323906.76</f>
        <v>246323906.75999999</v>
      </c>
      <c r="E52" s="24">
        <f>55651007.2</f>
        <v>55651007.200000003</v>
      </c>
      <c r="F52" s="24">
        <f>4570338.82</f>
        <v>4570338.82</v>
      </c>
      <c r="G52" s="24">
        <f>185905024.32</f>
        <v>185905024.31999999</v>
      </c>
      <c r="H52" s="24">
        <f>197536.42</f>
        <v>197536.42</v>
      </c>
      <c r="I52" s="24">
        <f>0</f>
        <v>0</v>
      </c>
      <c r="J52" s="24">
        <f>179871.43</f>
        <v>179871.43</v>
      </c>
      <c r="K52" s="24">
        <f>6527911.9</f>
        <v>6527911.9000000004</v>
      </c>
      <c r="L52" s="24">
        <f>2006588368.69</f>
        <v>2006588368.6900001</v>
      </c>
      <c r="M52" s="24">
        <f>5268112041.99</f>
        <v>5268112041.9899998</v>
      </c>
      <c r="N52" s="24">
        <f>41865900.11</f>
        <v>41865900.109999999</v>
      </c>
      <c r="O52" s="24">
        <f>21771823.58</f>
        <v>21771823.579999998</v>
      </c>
      <c r="P52" s="24">
        <f>10071507.43</f>
        <v>10071507.43</v>
      </c>
      <c r="Q52" s="24">
        <f>11700316.15</f>
        <v>11700316.15</v>
      </c>
    </row>
    <row r="53" spans="1:17" ht="26.25" customHeight="1" x14ac:dyDescent="0.2">
      <c r="A53" s="25" t="s">
        <v>46</v>
      </c>
      <c r="B53" s="23">
        <f>10818949311.04</f>
        <v>10818949311.040001</v>
      </c>
      <c r="C53" s="23">
        <f>10790742364.66</f>
        <v>10790742364.66</v>
      </c>
      <c r="D53" s="23">
        <f>688273689.19</f>
        <v>688273689.19000006</v>
      </c>
      <c r="E53" s="23">
        <f>273220344.53</f>
        <v>273220344.52999997</v>
      </c>
      <c r="F53" s="23">
        <f>78654845.57</f>
        <v>78654845.569999993</v>
      </c>
      <c r="G53" s="23">
        <f>327550631.03</f>
        <v>327550631.02999997</v>
      </c>
      <c r="H53" s="23">
        <f>8847868.06</f>
        <v>8847868.0600000005</v>
      </c>
      <c r="I53" s="23">
        <f>2812734.37</f>
        <v>2812734.37</v>
      </c>
      <c r="J53" s="23">
        <f>19859715.85</f>
        <v>19859715.850000001</v>
      </c>
      <c r="K53" s="23">
        <f>60058537.25</f>
        <v>60058537.25</v>
      </c>
      <c r="L53" s="23">
        <f>7187902959.17</f>
        <v>7187902959.1700001</v>
      </c>
      <c r="M53" s="23">
        <f>2577308238.74</f>
        <v>2577308238.7399998</v>
      </c>
      <c r="N53" s="23">
        <f>254526490.09</f>
        <v>254526490.09</v>
      </c>
      <c r="O53" s="23">
        <f>28206946.38</f>
        <v>28206946.379999999</v>
      </c>
      <c r="P53" s="23">
        <f>19099493.67</f>
        <v>19099493.670000002</v>
      </c>
      <c r="Q53" s="23">
        <f>9107452.71</f>
        <v>9107452.7100000009</v>
      </c>
    </row>
    <row r="54" spans="1:17" ht="26.25" customHeight="1" x14ac:dyDescent="0.2">
      <c r="A54" s="19" t="s">
        <v>39</v>
      </c>
      <c r="B54" s="24">
        <f>703975686.86</f>
        <v>703975686.86000001</v>
      </c>
      <c r="C54" s="24">
        <f>703315507.13</f>
        <v>703315507.13</v>
      </c>
      <c r="D54" s="24">
        <f>54523942.27</f>
        <v>54523942.270000003</v>
      </c>
      <c r="E54" s="24">
        <f>6507775.85</f>
        <v>6507775.8499999996</v>
      </c>
      <c r="F54" s="24">
        <f>712497.14</f>
        <v>712497.14</v>
      </c>
      <c r="G54" s="24">
        <f>45743571.53</f>
        <v>45743571.530000001</v>
      </c>
      <c r="H54" s="24">
        <f>1560097.75</f>
        <v>1560097.75</v>
      </c>
      <c r="I54" s="24">
        <f>0</f>
        <v>0</v>
      </c>
      <c r="J54" s="24">
        <f>459335.94</f>
        <v>459335.94</v>
      </c>
      <c r="K54" s="24">
        <f>456945.56</f>
        <v>456945.56</v>
      </c>
      <c r="L54" s="24">
        <f>291400254.88</f>
        <v>291400254.88</v>
      </c>
      <c r="M54" s="24">
        <f>347552206.13</f>
        <v>347552206.13</v>
      </c>
      <c r="N54" s="24">
        <f>8922822.35</f>
        <v>8922822.3499999996</v>
      </c>
      <c r="O54" s="24">
        <f>660179.73</f>
        <v>660179.73</v>
      </c>
      <c r="P54" s="24">
        <f>94925.86</f>
        <v>94925.86</v>
      </c>
      <c r="Q54" s="24">
        <f>565253.87</f>
        <v>565253.87</v>
      </c>
    </row>
    <row r="55" spans="1:17" ht="36.75" customHeight="1" x14ac:dyDescent="0.2">
      <c r="A55" s="19" t="s">
        <v>40</v>
      </c>
      <c r="B55" s="24">
        <f>6629437127.22</f>
        <v>6629437127.2200003</v>
      </c>
      <c r="C55" s="24">
        <f>6609716240.98</f>
        <v>6609716240.9799995</v>
      </c>
      <c r="D55" s="24">
        <f>303077007.88</f>
        <v>303077007.88</v>
      </c>
      <c r="E55" s="24">
        <f>104697068.03</f>
        <v>104697068.03</v>
      </c>
      <c r="F55" s="24">
        <f>61124238.13</f>
        <v>61124238.130000003</v>
      </c>
      <c r="G55" s="24">
        <f>133278030.71</f>
        <v>133278030.70999999</v>
      </c>
      <c r="H55" s="24">
        <f>3977671.01</f>
        <v>3977671.01</v>
      </c>
      <c r="I55" s="24">
        <f>2699722.94</f>
        <v>2699722.94</v>
      </c>
      <c r="J55" s="24">
        <f>17643020.25</f>
        <v>17643020.25</v>
      </c>
      <c r="K55" s="24">
        <f>39498022.74</f>
        <v>39498022.740000002</v>
      </c>
      <c r="L55" s="24">
        <f>5182909699.66</f>
        <v>5182909699.6599998</v>
      </c>
      <c r="M55" s="24">
        <f>1018673960.23</f>
        <v>1018673960.23</v>
      </c>
      <c r="N55" s="24">
        <f>45214807.28</f>
        <v>45214807.280000001</v>
      </c>
      <c r="O55" s="24">
        <f>19720886.24</f>
        <v>19720886.239999998</v>
      </c>
      <c r="P55" s="24">
        <f>17858567.51</f>
        <v>17858567.510000002</v>
      </c>
      <c r="Q55" s="24">
        <f>1862318.73</f>
        <v>1862318.73</v>
      </c>
    </row>
    <row r="56" spans="1:17" ht="26.25" customHeight="1" x14ac:dyDescent="0.2">
      <c r="A56" s="19" t="s">
        <v>41</v>
      </c>
      <c r="B56" s="24">
        <f>3485536496.96</f>
        <v>3485536496.96</v>
      </c>
      <c r="C56" s="24">
        <f>3477710616.55</f>
        <v>3477710616.5500002</v>
      </c>
      <c r="D56" s="24">
        <f>330672739.04</f>
        <v>330672739.04000002</v>
      </c>
      <c r="E56" s="24">
        <f>162015500.65</f>
        <v>162015500.65000001</v>
      </c>
      <c r="F56" s="24">
        <f>16818110.3</f>
        <v>16818110.300000001</v>
      </c>
      <c r="G56" s="24">
        <f>148529028.79</f>
        <v>148529028.78999999</v>
      </c>
      <c r="H56" s="24">
        <f>3310099.3</f>
        <v>3310099.3</v>
      </c>
      <c r="I56" s="24">
        <f>113011.43</f>
        <v>113011.43</v>
      </c>
      <c r="J56" s="24">
        <f>1757359.66</f>
        <v>1757359.66</v>
      </c>
      <c r="K56" s="24">
        <f>20103568.95</f>
        <v>20103568.949999999</v>
      </c>
      <c r="L56" s="24">
        <f>1713593004.63</f>
        <v>1713593004.6300001</v>
      </c>
      <c r="M56" s="24">
        <f>1211082072.38</f>
        <v>1211082072.3800001</v>
      </c>
      <c r="N56" s="24">
        <f>200388860.46</f>
        <v>200388860.46000001</v>
      </c>
      <c r="O56" s="24">
        <f>7825880.41</f>
        <v>7825880.4100000001</v>
      </c>
      <c r="P56" s="24">
        <f>1146000.3</f>
        <v>1146000.3</v>
      </c>
      <c r="Q56" s="24">
        <f>6679880.11</f>
        <v>6679880.1100000003</v>
      </c>
    </row>
    <row r="66" spans="1:13" ht="75" customHeight="1" x14ac:dyDescent="0.2">
      <c r="A66" s="36" t="str">
        <f>CONCATENATE("Informacja z wykonania budżetów miast na prawach powiatu za  ",$C$93," ",$B$94," roku     ",$B$96,"")</f>
        <v xml:space="preserve">Informacja z wykonania budżetów miast na prawach powiatu za  II Kwartały 2024 roku     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1:13" ht="13.5" customHeight="1" x14ac:dyDescent="0.2">
      <c r="B67" s="37" t="s">
        <v>3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</row>
    <row r="69" spans="1:13" ht="13.5" customHeight="1" x14ac:dyDescent="0.2">
      <c r="B69" s="65" t="s">
        <v>0</v>
      </c>
      <c r="C69" s="66"/>
      <c r="D69" s="66"/>
      <c r="E69" s="67"/>
      <c r="F69" s="40" t="s">
        <v>73</v>
      </c>
      <c r="G69" s="61" t="s">
        <v>72</v>
      </c>
      <c r="H69" s="74"/>
      <c r="I69" s="74"/>
      <c r="J69" s="74"/>
      <c r="K69" s="74"/>
      <c r="L69" s="62"/>
    </row>
    <row r="70" spans="1:13" ht="13.5" customHeight="1" x14ac:dyDescent="0.2">
      <c r="B70" s="68"/>
      <c r="C70" s="69"/>
      <c r="D70" s="69"/>
      <c r="E70" s="70"/>
      <c r="F70" s="41"/>
      <c r="G70" s="43" t="s">
        <v>74</v>
      </c>
      <c r="H70" s="32" t="s">
        <v>70</v>
      </c>
      <c r="I70" s="32" t="s">
        <v>71</v>
      </c>
      <c r="J70" s="32" t="s">
        <v>75</v>
      </c>
      <c r="K70" s="32" t="s">
        <v>76</v>
      </c>
      <c r="L70" s="80" t="s">
        <v>77</v>
      </c>
    </row>
    <row r="71" spans="1:13" ht="13.5" customHeight="1" x14ac:dyDescent="0.2">
      <c r="B71" s="68"/>
      <c r="C71" s="69"/>
      <c r="D71" s="69"/>
      <c r="E71" s="70"/>
      <c r="F71" s="41"/>
      <c r="G71" s="43"/>
      <c r="H71" s="32"/>
      <c r="I71" s="32"/>
      <c r="J71" s="32"/>
      <c r="K71" s="32"/>
      <c r="L71" s="80"/>
    </row>
    <row r="72" spans="1:13" ht="11.25" customHeight="1" x14ac:dyDescent="0.2">
      <c r="B72" s="68"/>
      <c r="C72" s="69"/>
      <c r="D72" s="69"/>
      <c r="E72" s="70"/>
      <c r="F72" s="41"/>
      <c r="G72" s="43"/>
      <c r="H72" s="32"/>
      <c r="I72" s="32"/>
      <c r="J72" s="32"/>
      <c r="K72" s="32"/>
      <c r="L72" s="80"/>
    </row>
    <row r="73" spans="1:13" ht="11.25" customHeight="1" x14ac:dyDescent="0.2">
      <c r="B73" s="71"/>
      <c r="C73" s="72"/>
      <c r="D73" s="72"/>
      <c r="E73" s="73"/>
      <c r="F73" s="42"/>
      <c r="G73" s="43"/>
      <c r="H73" s="32"/>
      <c r="I73" s="32"/>
      <c r="J73" s="32"/>
      <c r="K73" s="32"/>
      <c r="L73" s="80"/>
    </row>
    <row r="74" spans="1:13" ht="11.25" customHeight="1" x14ac:dyDescent="0.2">
      <c r="B74" s="32">
        <v>1</v>
      </c>
      <c r="C74" s="32"/>
      <c r="D74" s="32"/>
      <c r="E74" s="32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13">
        <v>8</v>
      </c>
    </row>
    <row r="75" spans="1:13" ht="11.25" customHeight="1" x14ac:dyDescent="0.2">
      <c r="B75" s="76"/>
      <c r="C75" s="76"/>
      <c r="D75" s="76"/>
      <c r="E75" s="76"/>
      <c r="F75" s="32" t="s">
        <v>79</v>
      </c>
      <c r="G75" s="32"/>
      <c r="H75" s="32"/>
      <c r="I75" s="32"/>
      <c r="J75" s="32"/>
      <c r="K75" s="32"/>
      <c r="L75" s="32"/>
    </row>
    <row r="76" spans="1:13" ht="47.25" customHeight="1" x14ac:dyDescent="0.2">
      <c r="B76" s="53" t="s">
        <v>57</v>
      </c>
      <c r="C76" s="54"/>
      <c r="D76" s="54"/>
      <c r="E76" s="55"/>
      <c r="F76" s="22">
        <f>1572866124.56</f>
        <v>1572866124.5599999</v>
      </c>
      <c r="G76" s="22">
        <f>206833146.8</f>
        <v>206833146.80000001</v>
      </c>
      <c r="H76" s="22">
        <f>18876661</f>
        <v>18876661</v>
      </c>
      <c r="I76" s="22">
        <f>67839251</f>
        <v>67839251</v>
      </c>
      <c r="J76" s="22">
        <f>120117234.8</f>
        <v>120117234.8</v>
      </c>
      <c r="K76" s="22">
        <f>0</f>
        <v>0</v>
      </c>
      <c r="L76" s="22">
        <f>1366032977.76</f>
        <v>1366032977.76</v>
      </c>
    </row>
    <row r="77" spans="1:13" ht="47.25" customHeight="1" x14ac:dyDescent="0.2">
      <c r="B77" s="53" t="s">
        <v>58</v>
      </c>
      <c r="C77" s="54"/>
      <c r="D77" s="54"/>
      <c r="E77" s="55"/>
      <c r="F77" s="22">
        <f>0</f>
        <v>0</v>
      </c>
      <c r="G77" s="22">
        <f>0</f>
        <v>0</v>
      </c>
      <c r="H77" s="22">
        <f>0</f>
        <v>0</v>
      </c>
      <c r="I77" s="22">
        <f>0</f>
        <v>0</v>
      </c>
      <c r="J77" s="22">
        <f>0</f>
        <v>0</v>
      </c>
      <c r="K77" s="22">
        <f>0</f>
        <v>0</v>
      </c>
      <c r="L77" s="22">
        <f>0</f>
        <v>0</v>
      </c>
    </row>
    <row r="78" spans="1:13" ht="47.25" customHeight="1" x14ac:dyDescent="0.2">
      <c r="B78" s="53" t="s">
        <v>59</v>
      </c>
      <c r="C78" s="54"/>
      <c r="D78" s="54"/>
      <c r="E78" s="55"/>
      <c r="F78" s="22">
        <f>34977326</f>
        <v>34977326</v>
      </c>
      <c r="G78" s="22">
        <f>4622026</f>
        <v>4622026</v>
      </c>
      <c r="H78" s="22">
        <f>0</f>
        <v>0</v>
      </c>
      <c r="I78" s="22">
        <f>0</f>
        <v>0</v>
      </c>
      <c r="J78" s="22">
        <f>4622026</f>
        <v>4622026</v>
      </c>
      <c r="K78" s="22">
        <f>0</f>
        <v>0</v>
      </c>
      <c r="L78" s="22">
        <f>30355300</f>
        <v>30355300</v>
      </c>
    </row>
    <row r="79" spans="1:13" ht="47.25" customHeight="1" x14ac:dyDescent="0.2">
      <c r="B79" s="53" t="s">
        <v>60</v>
      </c>
      <c r="C79" s="54"/>
      <c r="D79" s="54"/>
      <c r="E79" s="55"/>
      <c r="F79" s="22">
        <f>28018263.4</f>
        <v>28018263.399999999</v>
      </c>
      <c r="G79" s="22">
        <f>26000017.98</f>
        <v>26000017.98</v>
      </c>
      <c r="H79" s="22">
        <f>0</f>
        <v>0</v>
      </c>
      <c r="I79" s="22">
        <f>0</f>
        <v>0</v>
      </c>
      <c r="J79" s="22">
        <f>26000017.98</f>
        <v>26000017.98</v>
      </c>
      <c r="K79" s="22">
        <f>0</f>
        <v>0</v>
      </c>
      <c r="L79" s="22">
        <f>2018245.42</f>
        <v>2018245.42</v>
      </c>
    </row>
    <row r="80" spans="1:13" ht="47.25" customHeight="1" x14ac:dyDescent="0.2">
      <c r="B80" s="53" t="s">
        <v>61</v>
      </c>
      <c r="C80" s="54"/>
      <c r="D80" s="54"/>
      <c r="E80" s="55"/>
      <c r="F80" s="22">
        <f>7038886.2</f>
        <v>7038886.2000000002</v>
      </c>
      <c r="G80" s="22">
        <f>7018312.57</f>
        <v>7018312.5700000003</v>
      </c>
      <c r="H80" s="22">
        <f>0</f>
        <v>0</v>
      </c>
      <c r="I80" s="22">
        <f>0</f>
        <v>0</v>
      </c>
      <c r="J80" s="22">
        <f>7018312.57</f>
        <v>7018312.5700000003</v>
      </c>
      <c r="K80" s="22">
        <f>0</f>
        <v>0</v>
      </c>
      <c r="L80" s="22">
        <f>20573.63</f>
        <v>20573.63</v>
      </c>
    </row>
    <row r="81" spans="1:13" ht="47.25" customHeight="1" x14ac:dyDescent="0.2">
      <c r="B81" s="53" t="s">
        <v>62</v>
      </c>
      <c r="C81" s="54"/>
      <c r="D81" s="54"/>
      <c r="E81" s="55"/>
      <c r="F81" s="22">
        <f>9628074.52</f>
        <v>9628074.5199999996</v>
      </c>
      <c r="G81" s="22">
        <f>8609829.1</f>
        <v>8609829.0999999996</v>
      </c>
      <c r="H81" s="22">
        <f>0</f>
        <v>0</v>
      </c>
      <c r="I81" s="22">
        <f>0</f>
        <v>0</v>
      </c>
      <c r="J81" s="22">
        <f>8609829.1</f>
        <v>8609829.0999999996</v>
      </c>
      <c r="K81" s="22">
        <f>0</f>
        <v>0</v>
      </c>
      <c r="L81" s="22">
        <f>1018245.42</f>
        <v>1018245.42</v>
      </c>
    </row>
    <row r="82" spans="1:13" ht="47.25" customHeight="1" x14ac:dyDescent="0.2">
      <c r="B82" s="53" t="s">
        <v>63</v>
      </c>
      <c r="C82" s="54"/>
      <c r="D82" s="54"/>
      <c r="E82" s="55"/>
      <c r="F82" s="22">
        <f>0</f>
        <v>0</v>
      </c>
      <c r="G82" s="22">
        <f>0</f>
        <v>0</v>
      </c>
      <c r="H82" s="22">
        <f>0</f>
        <v>0</v>
      </c>
      <c r="I82" s="22">
        <f>0</f>
        <v>0</v>
      </c>
      <c r="J82" s="22">
        <f>0</f>
        <v>0</v>
      </c>
      <c r="K82" s="22">
        <f>0</f>
        <v>0</v>
      </c>
      <c r="L82" s="22">
        <f>0</f>
        <v>0</v>
      </c>
    </row>
    <row r="85" spans="1:13" ht="75" customHeight="1" x14ac:dyDescent="0.2">
      <c r="A85" s="36" t="str">
        <f>CONCATENATE("Informacja z wykonania budżetów miast na prawach powiatu za  ",$C$93," ",$B$94," roku     ",$B$96,"")</f>
        <v xml:space="preserve">Informacja z wykonania budżetów miast na prawach powiatu za  II Kwartały 2024 roku     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</row>
    <row r="86" spans="1:13" ht="13.5" customHeight="1" x14ac:dyDescent="0.2">
      <c r="B86" s="4"/>
    </row>
    <row r="87" spans="1:13" ht="13.5" customHeight="1" x14ac:dyDescent="0.2">
      <c r="B87" s="5"/>
      <c r="C87" s="61"/>
      <c r="D87" s="74"/>
      <c r="E87" s="74"/>
      <c r="F87" s="62"/>
      <c r="G87" s="61" t="s">
        <v>4</v>
      </c>
      <c r="H87" s="62"/>
      <c r="I87" s="61" t="s">
        <v>5</v>
      </c>
      <c r="J87" s="62"/>
      <c r="K87" s="5"/>
    </row>
    <row r="88" spans="1:13" ht="13.5" customHeight="1" x14ac:dyDescent="0.2">
      <c r="B88" s="6"/>
      <c r="C88" s="53" t="s">
        <v>6</v>
      </c>
      <c r="D88" s="54"/>
      <c r="E88" s="54"/>
      <c r="F88" s="55"/>
      <c r="G88" s="59">
        <f>57</f>
        <v>57</v>
      </c>
      <c r="H88" s="60"/>
      <c r="I88" s="46">
        <f>6583405753.63</f>
        <v>6583405753.6300001</v>
      </c>
      <c r="J88" s="47"/>
      <c r="K88" s="7"/>
    </row>
    <row r="89" spans="1:13" ht="13.5" customHeight="1" x14ac:dyDescent="0.2">
      <c r="B89" s="6"/>
      <c r="C89" s="56" t="s">
        <v>7</v>
      </c>
      <c r="D89" s="57"/>
      <c r="E89" s="57"/>
      <c r="F89" s="58"/>
      <c r="G89" s="63">
        <f>9</f>
        <v>9</v>
      </c>
      <c r="H89" s="64"/>
      <c r="I89" s="48">
        <f>-322452783.29</f>
        <v>-322452783.29000002</v>
      </c>
      <c r="J89" s="49"/>
      <c r="K89" s="7"/>
    </row>
    <row r="90" spans="1:13" ht="13.5" customHeight="1" x14ac:dyDescent="0.2">
      <c r="B90" s="6"/>
      <c r="C90" s="53" t="s">
        <v>8</v>
      </c>
      <c r="D90" s="54"/>
      <c r="E90" s="54"/>
      <c r="F90" s="55"/>
      <c r="G90" s="59">
        <f>0</f>
        <v>0</v>
      </c>
      <c r="H90" s="60"/>
      <c r="I90" s="46">
        <f>0</f>
        <v>0</v>
      </c>
      <c r="J90" s="47"/>
      <c r="K90" s="7"/>
    </row>
    <row r="93" spans="1:13" ht="13.5" customHeight="1" x14ac:dyDescent="0.2">
      <c r="A93" s="8" t="s">
        <v>9</v>
      </c>
      <c r="B93" s="8">
        <f>2</f>
        <v>2</v>
      </c>
      <c r="C93" s="8" t="str">
        <f>IF(B93=1,"I Kwartał",IF(B93=2,"II Kwartały",IF(B93=3,"III Kwartały",IF(B93=4,"IV Kwartały","-"))))</f>
        <v>II Kwartały</v>
      </c>
    </row>
    <row r="94" spans="1:13" ht="13.5" customHeight="1" x14ac:dyDescent="0.2">
      <c r="A94" s="8" t="s">
        <v>10</v>
      </c>
      <c r="B94" s="8">
        <f>2024</f>
        <v>2024</v>
      </c>
      <c r="C94" s="9"/>
    </row>
    <row r="95" spans="1:13" ht="13.5" customHeight="1" x14ac:dyDescent="0.2">
      <c r="A95" s="8" t="s">
        <v>11</v>
      </c>
      <c r="B95" s="10" t="str">
        <f>"Aug 14 2024 12:00AM"</f>
        <v>Aug 14 2024 12:00AM</v>
      </c>
      <c r="C95" s="9"/>
    </row>
    <row r="96" spans="1:13" ht="13.5" customHeight="1" x14ac:dyDescent="0.2">
      <c r="A96" s="15" t="s">
        <v>78</v>
      </c>
      <c r="B96" s="10" t="str">
        <f>""</f>
        <v/>
      </c>
    </row>
  </sheetData>
  <mergeCells count="79">
    <mergeCell ref="B75:E75"/>
    <mergeCell ref="F75:L75"/>
    <mergeCell ref="B12:Q12"/>
    <mergeCell ref="B39:Q39"/>
    <mergeCell ref="L70:L73"/>
    <mergeCell ref="O6:Q6"/>
    <mergeCell ref="O7:O10"/>
    <mergeCell ref="A66:M66"/>
    <mergeCell ref="L35:L37"/>
    <mergeCell ref="P35:P37"/>
    <mergeCell ref="Q35:Q37"/>
    <mergeCell ref="N35:N37"/>
    <mergeCell ref="O35:O37"/>
    <mergeCell ref="D35:D37"/>
    <mergeCell ref="H7:H10"/>
    <mergeCell ref="B81:E81"/>
    <mergeCell ref="G69:L69"/>
    <mergeCell ref="H70:H73"/>
    <mergeCell ref="I70:I73"/>
    <mergeCell ref="J70:J73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C87:F87"/>
    <mergeCell ref="C88:F88"/>
    <mergeCell ref="C89:F89"/>
    <mergeCell ref="C90:F90"/>
    <mergeCell ref="G88:H88"/>
    <mergeCell ref="G87:H87"/>
    <mergeCell ref="G89:H89"/>
    <mergeCell ref="G90:H90"/>
    <mergeCell ref="I90:J90"/>
    <mergeCell ref="I89:J89"/>
    <mergeCell ref="A6:A10"/>
    <mergeCell ref="C6:N6"/>
    <mergeCell ref="D7:D10"/>
    <mergeCell ref="E7:E10"/>
    <mergeCell ref="B80:E80"/>
    <mergeCell ref="B77:E77"/>
    <mergeCell ref="M35:M37"/>
    <mergeCell ref="B76:E76"/>
    <mergeCell ref="F69:F73"/>
    <mergeCell ref="G70:G73"/>
    <mergeCell ref="G7:G10"/>
    <mergeCell ref="F7:F10"/>
    <mergeCell ref="I7:I10"/>
    <mergeCell ref="J7:J10"/>
    <mergeCell ref="A1:M1"/>
    <mergeCell ref="C5:M5"/>
    <mergeCell ref="A3:M3"/>
    <mergeCell ref="K7:K10"/>
    <mergeCell ref="C7:C10"/>
    <mergeCell ref="B6:B10"/>
    <mergeCell ref="Q7:Q10"/>
    <mergeCell ref="C34:N34"/>
    <mergeCell ref="L7:L10"/>
    <mergeCell ref="M7:M10"/>
    <mergeCell ref="N7:N10"/>
    <mergeCell ref="P7:P10"/>
    <mergeCell ref="A30:M30"/>
    <mergeCell ref="O34:Q34"/>
    <mergeCell ref="A32:M32"/>
    <mergeCell ref="B34:B37"/>
    <mergeCell ref="A34:A37"/>
    <mergeCell ref="C35:C37"/>
    <mergeCell ref="E35:E37"/>
    <mergeCell ref="K70:K73"/>
    <mergeCell ref="F35:F37"/>
    <mergeCell ref="G35:G37"/>
    <mergeCell ref="H35:H37"/>
    <mergeCell ref="K35:K37"/>
    <mergeCell ref="I35:I37"/>
    <mergeCell ref="J35:J37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2016-08-26T11:41:03Z</cp:lastPrinted>
  <dcterms:created xsi:type="dcterms:W3CDTF">2001-05-17T08:58:03Z</dcterms:created>
  <dcterms:modified xsi:type="dcterms:W3CDTF">2024-08-26T09:37:19Z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2024-08-26T11:37:03.4748163+02:00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GRN-09961b08-2687-4811-92c4-5ee45a508599</vt:lpwstr>
  </property>
  <property fmtid="{D5CDD505-2E9C-101B-9397-08002B2CF9AE}" pid="7" name="MFHash">
    <vt:lpwstr>BlKJB4DDmJWMd5AtkATNOmr+zY9q0oUKDxnSoKfQG3A=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