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D5A4900B-2188-41BB-8E88-F9925FBDF3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63" i="7" l="1"/>
  <c r="A82" i="7"/>
  <c r="A27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<sst xmlns="http://schemas.openxmlformats.org/spreadsheetml/2006/main" count="97" uniqueCount="81">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</sst>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activeCell="M2" sqref="M2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IV Kwartały 2023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6947009143.73</f>
        <v>6947009143.7299995</v>
      </c>
      <c r="C13" s="21">
        <f>6947009143.73</f>
        <v>6947009143.7299995</v>
      </c>
      <c r="D13" s="21">
        <f>251196196.28</f>
        <v>251196196.28</v>
      </c>
      <c r="E13" s="21">
        <f>207034491.83</f>
        <v>207034491.83000001</v>
      </c>
      <c r="F13" s="21">
        <f>8567538.43</f>
        <v>8567538.4299999997</v>
      </c>
      <c r="G13" s="21">
        <f>35594166.02</f>
        <v>35594166.020000003</v>
      </c>
      <c r="H13" s="21">
        <f>0</f>
        <v>0</v>
      </c>
      <c r="I13" s="21">
        <f>0</f>
        <v>0</v>
      </c>
      <c r="J13" s="21">
        <f>6329648277.77</f>
        <v>6329648277.7700005</v>
      </c>
      <c r="K13" s="21">
        <f>359499391.58</f>
        <v>359499391.57999998</v>
      </c>
      <c r="L13" s="21">
        <f>3644248.92</f>
        <v>3644248.92</v>
      </c>
      <c r="M13" s="21">
        <f>168175.5</f>
        <v>168175.5</v>
      </c>
      <c r="N13" s="21">
        <f>2852853.68</f>
        <v>2852853.68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96145000</f>
        <v>96145000</v>
      </c>
      <c r="C14" s="21">
        <f>96145000</f>
        <v>96145000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96145000</f>
        <v>96145000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96145000</f>
        <v>96145000</v>
      </c>
      <c r="C16" s="22">
        <f>96145000</f>
        <v>96145000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96145000</f>
        <v>96145000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6842271738.35</f>
        <v>6842271738.3500004</v>
      </c>
      <c r="C17" s="21">
        <f>6842271738.35</f>
        <v>6842271738.3500004</v>
      </c>
      <c r="D17" s="21">
        <f>243087069.37</f>
        <v>243087069.37</v>
      </c>
      <c r="E17" s="21">
        <f>200020070.31</f>
        <v>200020070.31</v>
      </c>
      <c r="F17" s="21">
        <f>8567538.43</f>
        <v>8567538.4299999997</v>
      </c>
      <c r="G17" s="21">
        <f>34499460.63</f>
        <v>34499460.630000003</v>
      </c>
      <c r="H17" s="21">
        <f>0</f>
        <v>0</v>
      </c>
      <c r="I17" s="21">
        <f>0</f>
        <v>0</v>
      </c>
      <c r="J17" s="21">
        <f>6233503277.77</f>
        <v>6233503277.7700005</v>
      </c>
      <c r="K17" s="21">
        <f>359499391.58</f>
        <v>359499391.57999998</v>
      </c>
      <c r="L17" s="21">
        <f>3384164.23</f>
        <v>3384164.23</v>
      </c>
      <c r="M17" s="21">
        <f>0</f>
        <v>0</v>
      </c>
      <c r="N17" s="21">
        <f>2797835.4</f>
        <v>2797835.4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3755608.88</f>
        <v>3755608.88</v>
      </c>
      <c r="C18" s="22">
        <f>3755608.88</f>
        <v>3755608.88</v>
      </c>
      <c r="D18" s="22">
        <f>221184</f>
        <v>221184</v>
      </c>
      <c r="E18" s="22">
        <f>0</f>
        <v>0</v>
      </c>
      <c r="F18" s="22">
        <f>221184</f>
        <v>221184</v>
      </c>
      <c r="G18" s="22">
        <f>0</f>
        <v>0</v>
      </c>
      <c r="H18" s="22">
        <f>0</f>
        <v>0</v>
      </c>
      <c r="I18" s="22">
        <f>0</f>
        <v>0</v>
      </c>
      <c r="J18" s="22">
        <f>3010000</f>
        <v>3010000</v>
      </c>
      <c r="K18" s="22">
        <f>524424.88</f>
        <v>524424.88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6838516129.47</f>
        <v>6838516129.4700003</v>
      </c>
      <c r="C19" s="22">
        <f>6838516129.47</f>
        <v>6838516129.4700003</v>
      </c>
      <c r="D19" s="22">
        <f>242865885.37</f>
        <v>242865885.37</v>
      </c>
      <c r="E19" s="22">
        <f>200020070.31</f>
        <v>200020070.31</v>
      </c>
      <c r="F19" s="22">
        <f>8346354.43</f>
        <v>8346354.4299999997</v>
      </c>
      <c r="G19" s="22">
        <f>34499460.63</f>
        <v>34499460.630000003</v>
      </c>
      <c r="H19" s="22">
        <f>0</f>
        <v>0</v>
      </c>
      <c r="I19" s="22">
        <f>0</f>
        <v>0</v>
      </c>
      <c r="J19" s="22">
        <f>6230493277.77</f>
        <v>6230493277.7700005</v>
      </c>
      <c r="K19" s="22">
        <f>358974966.7</f>
        <v>358974966.69999999</v>
      </c>
      <c r="L19" s="22">
        <f>3384164.23</f>
        <v>3384164.23</v>
      </c>
      <c r="M19" s="22">
        <f>0</f>
        <v>0</v>
      </c>
      <c r="N19" s="22">
        <f>2797835.4</f>
        <v>2797835.4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8592405.38</f>
        <v>8592405.3800000008</v>
      </c>
      <c r="C21" s="21">
        <f>8592405.38</f>
        <v>8592405.3800000008</v>
      </c>
      <c r="D21" s="21">
        <f>8109126.91</f>
        <v>8109126.9100000001</v>
      </c>
      <c r="E21" s="21">
        <f>7014421.52</f>
        <v>7014421.5199999996</v>
      </c>
      <c r="F21" s="21">
        <f>0</f>
        <v>0</v>
      </c>
      <c r="G21" s="21">
        <f>1094705.39</f>
        <v>1094705.3899999999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260084.69</f>
        <v>260084.69</v>
      </c>
      <c r="M21" s="21">
        <f>168175.5</f>
        <v>168175.5</v>
      </c>
      <c r="N21" s="21">
        <f>55018.28</f>
        <v>55018.28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821752.77</f>
        <v>821752.77</v>
      </c>
      <c r="C22" s="22">
        <f>821752.77</f>
        <v>821752.77</v>
      </c>
      <c r="D22" s="22">
        <f>608825.13</f>
        <v>608825.13</v>
      </c>
      <c r="E22" s="22">
        <f>0</f>
        <v>0</v>
      </c>
      <c r="F22" s="22">
        <f>0</f>
        <v>0</v>
      </c>
      <c r="G22" s="22">
        <f>608825.13</f>
        <v>608825.13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141693.9</f>
        <v>141693.9</v>
      </c>
      <c r="M22" s="22">
        <f>16215.46</f>
        <v>16215.46</v>
      </c>
      <c r="N22" s="22">
        <f>55018.28</f>
        <v>55018.28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7770652.61</f>
        <v>7770652.6100000003</v>
      </c>
      <c r="C23" s="22">
        <f>7770652.61</f>
        <v>7770652.6100000003</v>
      </c>
      <c r="D23" s="22">
        <f>7500301.78</f>
        <v>7500301.7800000003</v>
      </c>
      <c r="E23" s="22">
        <f>7014421.52</f>
        <v>7014421.5199999996</v>
      </c>
      <c r="F23" s="22">
        <f>0</f>
        <v>0</v>
      </c>
      <c r="G23" s="22">
        <f>485880.26</f>
        <v>485880.26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118390.79</f>
        <v>118390.79</v>
      </c>
      <c r="M23" s="22">
        <f>151960.04</f>
        <v>151960.04</v>
      </c>
      <c r="N23" s="22">
        <f>0</f>
        <v>0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IV Kwartały 2023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241282.84</f>
        <v>241282.84</v>
      </c>
      <c r="C38" s="23">
        <f>241282.84</f>
        <v>241282.84</v>
      </c>
      <c r="D38" s="23">
        <f>50000</f>
        <v>50000</v>
      </c>
      <c r="E38" s="23">
        <f>50000</f>
        <v>50000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32532.5</f>
        <v>32532.5</v>
      </c>
      <c r="M38" s="23">
        <f>158750.34</f>
        <v>158750.34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0</f>
        <v>0</v>
      </c>
      <c r="C39" s="24">
        <f>0</f>
        <v>0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0</f>
        <v>0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241282.84</f>
        <v>241282.84</v>
      </c>
      <c r="C40" s="24">
        <f>241282.84</f>
        <v>241282.84</v>
      </c>
      <c r="D40" s="24">
        <f>50000</f>
        <v>50000</v>
      </c>
      <c r="E40" s="24">
        <f>50000</f>
        <v>50000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32532.5</f>
        <v>32532.5</v>
      </c>
      <c r="M40" s="24">
        <f>158750.34</f>
        <v>158750.34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171407837.79</f>
        <v>171407837.78999999</v>
      </c>
      <c r="C41" s="23">
        <f>171407837.79</f>
        <v>171407837.78999999</v>
      </c>
      <c r="D41" s="23">
        <f>117724194.42</f>
        <v>117724194.42</v>
      </c>
      <c r="E41" s="23">
        <f>63452.61</f>
        <v>63452.61</v>
      </c>
      <c r="F41" s="23">
        <f>2242537.6</f>
        <v>2242537.6</v>
      </c>
      <c r="G41" s="23">
        <f>115418204.21</f>
        <v>115418204.20999999</v>
      </c>
      <c r="H41" s="23">
        <f>0</f>
        <v>0</v>
      </c>
      <c r="I41" s="23">
        <f>0</f>
        <v>0</v>
      </c>
      <c r="J41" s="23">
        <f>1083504</f>
        <v>1083504</v>
      </c>
      <c r="K41" s="23">
        <f>0</f>
        <v>0</v>
      </c>
      <c r="L41" s="23">
        <f>39144064.19</f>
        <v>39144064.189999998</v>
      </c>
      <c r="M41" s="23">
        <f>12403279.05</f>
        <v>12403279.050000001</v>
      </c>
      <c r="N41" s="23">
        <f>1052796.13</f>
        <v>1052796.1299999999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20384605.83</f>
        <v>20384605.829999998</v>
      </c>
      <c r="C42" s="24">
        <f>20384605.83</f>
        <v>20384605.829999998</v>
      </c>
      <c r="D42" s="24">
        <f>13226967.98</f>
        <v>13226967.98</v>
      </c>
      <c r="E42" s="24">
        <f>0</f>
        <v>0</v>
      </c>
      <c r="F42" s="24">
        <f>740000</f>
        <v>740000</v>
      </c>
      <c r="G42" s="24">
        <f>12486967.98</f>
        <v>12486967.98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5581355.77</f>
        <v>5581355.7699999996</v>
      </c>
      <c r="M42" s="24">
        <f>1441336.08</f>
        <v>1441336.08</v>
      </c>
      <c r="N42" s="24">
        <f>134946</f>
        <v>134946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151023231.96</f>
        <v>151023231.96000001</v>
      </c>
      <c r="C43" s="24">
        <f>151023231.96</f>
        <v>151023231.96000001</v>
      </c>
      <c r="D43" s="24">
        <f>104497226.44</f>
        <v>104497226.44</v>
      </c>
      <c r="E43" s="24">
        <f>63452.61</f>
        <v>63452.61</v>
      </c>
      <c r="F43" s="24">
        <f>1502537.6</f>
        <v>1502537.6</v>
      </c>
      <c r="G43" s="24">
        <f>102931236.23</f>
        <v>102931236.23</v>
      </c>
      <c r="H43" s="24">
        <f>0</f>
        <v>0</v>
      </c>
      <c r="I43" s="24">
        <f>0</f>
        <v>0</v>
      </c>
      <c r="J43" s="24">
        <f>1083504</f>
        <v>1083504</v>
      </c>
      <c r="K43" s="24">
        <f>0</f>
        <v>0</v>
      </c>
      <c r="L43" s="24">
        <f>33562708.42</f>
        <v>33562708.420000002</v>
      </c>
      <c r="M43" s="24">
        <f>10961942.97</f>
        <v>10961942.970000001</v>
      </c>
      <c r="N43" s="24">
        <f>917850.13</f>
        <v>917850.13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5959147826.96</f>
        <v>5959147826.96</v>
      </c>
      <c r="C44" s="23">
        <f>5959147826.96</f>
        <v>5959147826.96</v>
      </c>
      <c r="D44" s="23">
        <f>173205.84</f>
        <v>173205.84</v>
      </c>
      <c r="E44" s="23">
        <f>22397.36</f>
        <v>22397.360000000001</v>
      </c>
      <c r="F44" s="23">
        <f>2903</f>
        <v>2903</v>
      </c>
      <c r="G44" s="23">
        <f>147905.48</f>
        <v>147905.48000000001</v>
      </c>
      <c r="H44" s="23">
        <f>0</f>
        <v>0</v>
      </c>
      <c r="I44" s="23">
        <f>3758549.22</f>
        <v>3758549.22</v>
      </c>
      <c r="J44" s="23">
        <f>5955022483.72</f>
        <v>5955022483.7200003</v>
      </c>
      <c r="K44" s="23">
        <f>52383.26</f>
        <v>52383.26</v>
      </c>
      <c r="L44" s="23">
        <f>44921.8</f>
        <v>44921.8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124355.08</f>
        <v>124355.08</v>
      </c>
      <c r="C45" s="24">
        <f>124355.08</f>
        <v>124355.08</v>
      </c>
      <c r="D45" s="24">
        <f>124355.08</f>
        <v>124355.08</v>
      </c>
      <c r="E45" s="24">
        <f>0</f>
        <v>0</v>
      </c>
      <c r="F45" s="24">
        <f>0</f>
        <v>0</v>
      </c>
      <c r="G45" s="24">
        <f>124355.08</f>
        <v>124355.08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5804246275.6</f>
        <v>5804246275.6000004</v>
      </c>
      <c r="C46" s="24">
        <f>5804246275.6</f>
        <v>5804246275.6000004</v>
      </c>
      <c r="D46" s="24">
        <f>22934.36</f>
        <v>22934.36</v>
      </c>
      <c r="E46" s="24">
        <f>558.83</f>
        <v>558.83000000000004</v>
      </c>
      <c r="F46" s="24">
        <f>263</f>
        <v>263</v>
      </c>
      <c r="G46" s="24">
        <f>22112.53</f>
        <v>22112.53</v>
      </c>
      <c r="H46" s="24">
        <f>0</f>
        <v>0</v>
      </c>
      <c r="I46" s="24">
        <f>3758549.22</f>
        <v>3758549.22</v>
      </c>
      <c r="J46" s="24">
        <f>5800312297.91</f>
        <v>5800312297.9099998</v>
      </c>
      <c r="K46" s="24">
        <f>43051.46</f>
        <v>43051.46</v>
      </c>
      <c r="L46" s="24">
        <f>15159.53</f>
        <v>15159.53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154777196.28</f>
        <v>154777196.28</v>
      </c>
      <c r="C47" s="24">
        <f>154777196.28</f>
        <v>154777196.28</v>
      </c>
      <c r="D47" s="24">
        <f>25916.4</f>
        <v>25916.400000000001</v>
      </c>
      <c r="E47" s="24">
        <f>21838.53</f>
        <v>21838.53</v>
      </c>
      <c r="F47" s="24">
        <f>2640</f>
        <v>2640</v>
      </c>
      <c r="G47" s="24">
        <f>1437.87</f>
        <v>1437.87</v>
      </c>
      <c r="H47" s="24">
        <f>0</f>
        <v>0</v>
      </c>
      <c r="I47" s="24">
        <f>0</f>
        <v>0</v>
      </c>
      <c r="J47" s="24">
        <f>154710185.81</f>
        <v>154710185.81</v>
      </c>
      <c r="K47" s="24">
        <f>9331.8</f>
        <v>9331.7999999999993</v>
      </c>
      <c r="L47" s="24">
        <f>29762.27</f>
        <v>29762.27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825839571.86</f>
        <v>825839571.86000001</v>
      </c>
      <c r="C48" s="23">
        <f>824995497.55</f>
        <v>824995497.54999995</v>
      </c>
      <c r="D48" s="23">
        <f>26267909.53</f>
        <v>26267909.530000001</v>
      </c>
      <c r="E48" s="23">
        <f>8425657.77</f>
        <v>8425657.7699999996</v>
      </c>
      <c r="F48" s="23">
        <f>1160507.13</f>
        <v>1160507.1299999999</v>
      </c>
      <c r="G48" s="23">
        <f>16676652.83</f>
        <v>16676652.83</v>
      </c>
      <c r="H48" s="23">
        <f>5091.8</f>
        <v>5091.8</v>
      </c>
      <c r="I48" s="23">
        <f>0</f>
        <v>0</v>
      </c>
      <c r="J48" s="23">
        <f>3008728.03</f>
        <v>3008728.03</v>
      </c>
      <c r="K48" s="23">
        <f>2427304.89</f>
        <v>2427304.89</v>
      </c>
      <c r="L48" s="23">
        <f>234948183.22</f>
        <v>234948183.22</v>
      </c>
      <c r="M48" s="23">
        <f>543098231.12</f>
        <v>543098231.12</v>
      </c>
      <c r="N48" s="23">
        <f>15245140.76</f>
        <v>15245140.76</v>
      </c>
      <c r="O48" s="23">
        <f>844074.31</f>
        <v>844074.31</v>
      </c>
      <c r="P48" s="23">
        <f>269345.5</f>
        <v>269345.5</v>
      </c>
      <c r="Q48" s="23">
        <f>574728.81</f>
        <v>574728.81000000006</v>
      </c>
    </row>
    <row r="49" spans="1:17" ht="25.5" customHeight="1" x14ac:dyDescent="0.2">
      <c r="A49" s="18" t="s">
        <v>36</v>
      </c>
      <c r="B49" s="24">
        <f>144616230.41</f>
        <v>144616230.41</v>
      </c>
      <c r="C49" s="24">
        <f>144590598.61</f>
        <v>144590598.61000001</v>
      </c>
      <c r="D49" s="24">
        <f>2228618.09</f>
        <v>2228618.09</v>
      </c>
      <c r="E49" s="24">
        <f>22772.42</f>
        <v>22772.42</v>
      </c>
      <c r="F49" s="24">
        <f>315575.44</f>
        <v>315575.44</v>
      </c>
      <c r="G49" s="24">
        <f>1887755.73</f>
        <v>1887755.73</v>
      </c>
      <c r="H49" s="24">
        <f>2514.5</f>
        <v>2514.5</v>
      </c>
      <c r="I49" s="24">
        <f>0</f>
        <v>0</v>
      </c>
      <c r="J49" s="24">
        <f>6340</f>
        <v>6340</v>
      </c>
      <c r="K49" s="24">
        <f>99371.49</f>
        <v>99371.49</v>
      </c>
      <c r="L49" s="24">
        <f>46052218.89</f>
        <v>46052218.890000001</v>
      </c>
      <c r="M49" s="24">
        <f>95222028.07</f>
        <v>95222028.069999993</v>
      </c>
      <c r="N49" s="24">
        <f>982022.07</f>
        <v>982022.07</v>
      </c>
      <c r="O49" s="24">
        <f>25631.8</f>
        <v>25631.8</v>
      </c>
      <c r="P49" s="24">
        <f>25631.8</f>
        <v>25631.8</v>
      </c>
      <c r="Q49" s="24">
        <f>0</f>
        <v>0</v>
      </c>
    </row>
    <row r="50" spans="1:17" ht="25.5" customHeight="1" x14ac:dyDescent="0.2">
      <c r="A50" s="18" t="s">
        <v>37</v>
      </c>
      <c r="B50" s="24">
        <f>681223341.45</f>
        <v>681223341.45000005</v>
      </c>
      <c r="C50" s="24">
        <f>680404898.94</f>
        <v>680404898.94000006</v>
      </c>
      <c r="D50" s="24">
        <f>24039291.44</f>
        <v>24039291.440000001</v>
      </c>
      <c r="E50" s="24">
        <f>8402885.35</f>
        <v>8402885.3499999996</v>
      </c>
      <c r="F50" s="24">
        <f>844931.69</f>
        <v>844931.69</v>
      </c>
      <c r="G50" s="24">
        <f>14788897.1</f>
        <v>14788897.1</v>
      </c>
      <c r="H50" s="24">
        <f>2577.3</f>
        <v>2577.3000000000002</v>
      </c>
      <c r="I50" s="24">
        <f>0</f>
        <v>0</v>
      </c>
      <c r="J50" s="24">
        <f>3002388.03</f>
        <v>3002388.03</v>
      </c>
      <c r="K50" s="24">
        <f>2327933.4</f>
        <v>2327933.4</v>
      </c>
      <c r="L50" s="24">
        <f>188895964.33</f>
        <v>188895964.33000001</v>
      </c>
      <c r="M50" s="24">
        <f>447876203.05</f>
        <v>447876203.05000001</v>
      </c>
      <c r="N50" s="24">
        <f>14263118.69</f>
        <v>14263118.689999999</v>
      </c>
      <c r="O50" s="24">
        <f>818442.51</f>
        <v>818442.51</v>
      </c>
      <c r="P50" s="24">
        <f>243713.7</f>
        <v>243713.7</v>
      </c>
      <c r="Q50" s="24">
        <f>574728.81</f>
        <v>574728.81000000006</v>
      </c>
    </row>
    <row r="51" spans="1:17" ht="30" customHeight="1" x14ac:dyDescent="0.2">
      <c r="A51" s="25" t="s">
        <v>44</v>
      </c>
      <c r="B51" s="23">
        <f>679255112.67</f>
        <v>679255112.66999996</v>
      </c>
      <c r="C51" s="23">
        <f>679237673.61</f>
        <v>679237673.61000001</v>
      </c>
      <c r="D51" s="23">
        <f>191782592.44</f>
        <v>191782592.44</v>
      </c>
      <c r="E51" s="23">
        <f>17401973.57</f>
        <v>17401973.57</v>
      </c>
      <c r="F51" s="23">
        <f>4121841.53</f>
        <v>4121841.53</v>
      </c>
      <c r="G51" s="23">
        <f>166168784.96</f>
        <v>166168784.96000001</v>
      </c>
      <c r="H51" s="23">
        <f>4089992.38</f>
        <v>4089992.38</v>
      </c>
      <c r="I51" s="23">
        <f>0</f>
        <v>0</v>
      </c>
      <c r="J51" s="23">
        <f>314987.91</f>
        <v>314987.90999999997</v>
      </c>
      <c r="K51" s="23">
        <f>1808112.01</f>
        <v>1808112.01</v>
      </c>
      <c r="L51" s="23">
        <f>412581239.75</f>
        <v>412581239.75</v>
      </c>
      <c r="M51" s="23">
        <f>68111325.51</f>
        <v>68111325.510000005</v>
      </c>
      <c r="N51" s="23">
        <f>4639415.99</f>
        <v>4639415.99</v>
      </c>
      <c r="O51" s="23">
        <f>17439.06</f>
        <v>17439.060000000001</v>
      </c>
      <c r="P51" s="23">
        <f>16459.06</f>
        <v>16459.060000000001</v>
      </c>
      <c r="Q51" s="23">
        <f>980</f>
        <v>980</v>
      </c>
    </row>
    <row r="52" spans="1:17" ht="31.5" customHeight="1" x14ac:dyDescent="0.2">
      <c r="A52" s="18" t="s">
        <v>38</v>
      </c>
      <c r="B52" s="24">
        <f>54143902.98</f>
        <v>54143902.979999997</v>
      </c>
      <c r="C52" s="24">
        <f>54127443.92</f>
        <v>54127443.920000002</v>
      </c>
      <c r="D52" s="24">
        <f>18565642.41</f>
        <v>18565642.41</v>
      </c>
      <c r="E52" s="24">
        <f>576565.94</f>
        <v>576565.93999999994</v>
      </c>
      <c r="F52" s="24">
        <f>1233949.97</f>
        <v>1233949.97</v>
      </c>
      <c r="G52" s="24">
        <f>15623110.7</f>
        <v>15623110.699999999</v>
      </c>
      <c r="H52" s="24">
        <f>1132015.8</f>
        <v>1132015.8</v>
      </c>
      <c r="I52" s="24">
        <f>0</f>
        <v>0</v>
      </c>
      <c r="J52" s="24">
        <f>90778.68</f>
        <v>90778.68</v>
      </c>
      <c r="K52" s="24">
        <f>543027.12</f>
        <v>543027.12</v>
      </c>
      <c r="L52" s="24">
        <f>20622667.51</f>
        <v>20622667.510000002</v>
      </c>
      <c r="M52" s="24">
        <f>13342538.19</f>
        <v>13342538.189999999</v>
      </c>
      <c r="N52" s="24">
        <f>962790.01</f>
        <v>962790.01</v>
      </c>
      <c r="O52" s="24">
        <f>16459.06</f>
        <v>16459.060000000001</v>
      </c>
      <c r="P52" s="24">
        <f>16459.06</f>
        <v>16459.060000000001</v>
      </c>
      <c r="Q52" s="24">
        <f>0</f>
        <v>0</v>
      </c>
    </row>
    <row r="53" spans="1:17" ht="35.25" customHeight="1" x14ac:dyDescent="0.2">
      <c r="A53" s="18" t="s">
        <v>80</v>
      </c>
      <c r="B53" s="24">
        <f>1411940.24</f>
        <v>1411940.24</v>
      </c>
      <c r="C53" s="24">
        <f>1411940.24</f>
        <v>1411940.24</v>
      </c>
      <c r="D53" s="24">
        <f>1038956.77</f>
        <v>1038956.77</v>
      </c>
      <c r="E53" s="24">
        <f>509385.7</f>
        <v>509385.7</v>
      </c>
      <c r="F53" s="24">
        <f>11814.81</f>
        <v>11814.81</v>
      </c>
      <c r="G53" s="24">
        <f>297079.64</f>
        <v>297079.64</v>
      </c>
      <c r="H53" s="24">
        <f>220676.62</f>
        <v>220676.62</v>
      </c>
      <c r="I53" s="24">
        <f>0</f>
        <v>0</v>
      </c>
      <c r="J53" s="24">
        <f>0.1</f>
        <v>0.1</v>
      </c>
      <c r="K53" s="24">
        <f>0</f>
        <v>0</v>
      </c>
      <c r="L53" s="24">
        <f>2967.89</f>
        <v>2967.89</v>
      </c>
      <c r="M53" s="24">
        <f>368585.57</f>
        <v>368585.57</v>
      </c>
      <c r="N53" s="24">
        <f>1429.91</f>
        <v>1429.91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623699269.45</f>
        <v>623699269.45000005</v>
      </c>
      <c r="C54" s="24">
        <f>623698289.45</f>
        <v>623698289.45000005</v>
      </c>
      <c r="D54" s="24">
        <f>172177993.26</f>
        <v>172177993.25999999</v>
      </c>
      <c r="E54" s="24">
        <f>16316021.93</f>
        <v>16316021.93</v>
      </c>
      <c r="F54" s="24">
        <f>2876076.75</f>
        <v>2876076.75</v>
      </c>
      <c r="G54" s="24">
        <f>150248594.62</f>
        <v>150248594.62</v>
      </c>
      <c r="H54" s="24">
        <f>2737299.96</f>
        <v>2737299.96</v>
      </c>
      <c r="I54" s="24">
        <f>0</f>
        <v>0</v>
      </c>
      <c r="J54" s="24">
        <f>224209.13</f>
        <v>224209.13</v>
      </c>
      <c r="K54" s="24">
        <f>1265084.89</f>
        <v>1265084.8899999999</v>
      </c>
      <c r="L54" s="24">
        <f>391955604.35</f>
        <v>391955604.35000002</v>
      </c>
      <c r="M54" s="24">
        <f>54400201.75</f>
        <v>54400201.75</v>
      </c>
      <c r="N54" s="24">
        <f>3675196.07</f>
        <v>3675196.07</v>
      </c>
      <c r="O54" s="24">
        <f>980</f>
        <v>980</v>
      </c>
      <c r="P54" s="24">
        <f>0</f>
        <v>0</v>
      </c>
      <c r="Q54" s="24">
        <f>980</f>
        <v>980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IV Kwartały 2023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506845310.91</f>
        <v>506845310.91000003</v>
      </c>
      <c r="G73" s="26">
        <f>266378265.27</f>
        <v>266378265.27000001</v>
      </c>
      <c r="H73" s="26">
        <f>32175570</f>
        <v>32175570</v>
      </c>
      <c r="I73" s="26">
        <f>26583926.55</f>
        <v>26583926.550000001</v>
      </c>
      <c r="J73" s="26">
        <f>184456965.91</f>
        <v>184456965.91</v>
      </c>
      <c r="K73" s="26">
        <f>23161802.81</f>
        <v>23161802.809999999</v>
      </c>
      <c r="L73" s="26">
        <f>240467045.64</f>
        <v>240467045.63999999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640000</f>
        <v>640000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640000</f>
        <v>640000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60349237.66</f>
        <v>60349237.659999996</v>
      </c>
      <c r="G75" s="26">
        <f>8432336.09</f>
        <v>8432336.0899999999</v>
      </c>
      <c r="H75" s="26">
        <f>0</f>
        <v>0</v>
      </c>
      <c r="I75" s="26">
        <f>0</f>
        <v>0</v>
      </c>
      <c r="J75" s="26">
        <f>8432336.09</f>
        <v>8432336.0899999999</v>
      </c>
      <c r="K75" s="26">
        <f>0</f>
        <v>0</v>
      </c>
      <c r="L75" s="26">
        <f>51916901.57</f>
        <v>51916901.57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44842399.5</f>
        <v>44842399.5</v>
      </c>
      <c r="G76" s="26">
        <f>14983503.86</f>
        <v>14983503.859999999</v>
      </c>
      <c r="H76" s="26">
        <f>0</f>
        <v>0</v>
      </c>
      <c r="I76" s="26">
        <f>0</f>
        <v>0</v>
      </c>
      <c r="J76" s="26">
        <f>14983503.86</f>
        <v>14983503.859999999</v>
      </c>
      <c r="K76" s="26">
        <f>0</f>
        <v>0</v>
      </c>
      <c r="L76" s="26">
        <f>29858895.64</f>
        <v>29858895.640000001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11310680.36</f>
        <v>11310680.359999999</v>
      </c>
      <c r="G77" s="26">
        <f>11310680.36</f>
        <v>11310680.359999999</v>
      </c>
      <c r="H77" s="26">
        <f>0</f>
        <v>0</v>
      </c>
      <c r="I77" s="26">
        <f>0</f>
        <v>0</v>
      </c>
      <c r="J77" s="26">
        <f>11310680.36</f>
        <v>11310680.359999999</v>
      </c>
      <c r="K77" s="26">
        <f>0</f>
        <v>0</v>
      </c>
      <c r="L77" s="26">
        <f>0</f>
        <v>0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993336.32</f>
        <v>993336.31999999995</v>
      </c>
      <c r="G78" s="26">
        <f>533336.32</f>
        <v>533336.31999999995</v>
      </c>
      <c r="H78" s="26">
        <f>0</f>
        <v>0</v>
      </c>
      <c r="I78" s="26">
        <f>0</f>
        <v>0</v>
      </c>
      <c r="J78" s="26">
        <f>533336.32</f>
        <v>533336.31999999995</v>
      </c>
      <c r="K78" s="26">
        <f>0</f>
        <v>0</v>
      </c>
      <c r="L78" s="26">
        <f>460000</f>
        <v>460000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1210325.47</f>
        <v>1210325.47</v>
      </c>
      <c r="G79" s="26">
        <f>1210325.47</f>
        <v>1210325.47</v>
      </c>
      <c r="H79" s="26">
        <f>0</f>
        <v>0</v>
      </c>
      <c r="I79" s="26">
        <f>0</f>
        <v>0</v>
      </c>
      <c r="J79" s="26">
        <f>1210325.47</f>
        <v>1210325.47</v>
      </c>
      <c r="K79" s="26">
        <f>0</f>
        <v>0</v>
      </c>
      <c r="L79" s="26">
        <f>0</f>
        <v>0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IV Kwartały 2023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86</f>
        <v>86</v>
      </c>
      <c r="H85" s="63"/>
      <c r="I85" s="64">
        <f>423489405.3</f>
        <v>423489405.30000001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228</f>
        <v>228</v>
      </c>
      <c r="H86" s="73"/>
      <c r="I86" s="74">
        <f>-1984185171.83</f>
        <v>-1984185171.8299999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4</f>
        <v>4</v>
      </c>
      <c r="C90" s="8" t="str">
        <f>IF(B90=1,"I Kwartał",IF(B90=2,"II Kwartały",IF(B90=3,"III Kwartały",IF(B90=4,"IV Kwartały","-"))))</f>
        <v>IV Kwartały</v>
      </c>
    </row>
    <row r="91" spans="1:13" ht="13.5" customHeight="1" x14ac:dyDescent="0.2">
      <c r="A91" s="8" t="s">
        <v>9</v>
      </c>
      <c r="B91" s="8">
        <f>2023</f>
        <v>2023</v>
      </c>
      <c r="C91" s="9"/>
    </row>
    <row r="92" spans="1:13" ht="13.5" customHeight="1" x14ac:dyDescent="0.2">
      <c r="A92" s="8" t="s">
        <v>10</v>
      </c>
      <c r="B92" s="10" t="str">
        <f>"Mar 15 2024 12:00AM"</f>
        <v>Mar 15 2024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2024-03-27T08:59:52Z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2024-03-27T09:59:49.8140710+01:00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GRN-a8ab1d78-5ad2-435f-b9c5-d3ce5c9321a5</vt:lpwstr>
  </property>
  <property fmtid="{D5CDD505-2E9C-101B-9397-08002B2CF9AE}" pid="7" name="MFHash">
    <vt:lpwstr>2/7UdPkwDD4MP7G88xDS3Bm33+iQg5MrhPXM4+P2kUI=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