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<sst xmlns="http://schemas.openxmlformats.org/spreadsheetml/2006/main" count="121" uniqueCount="99">
  <si>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</si>
  <si>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</si>
  <si>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</si>
  <si>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</si>
  <si>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</si>
  <si>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</si>
  <si>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</si>
  <si>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</si>
  <si>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</si>
  <si>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</si>
  <si>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</si>
  <si>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</si>
  <si>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</si>
  <si>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</si>
  <si>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</si>
  <si>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</si>
  <si>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</si>
  <si>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</si>
  <si>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</si>
  <si>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</si>
  <si>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</si>
  <si>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</si>
  <si>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</si>
  <si>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</si>
  <si>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</si>
  <si>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</si>
  <si>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</si>
  <si>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</si>
  <si>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</si>
  <si>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</si>
  <si>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</si>
  <si>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</si>
  <si>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</si>
  <si>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</si>
  <si>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</si>
  <si>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</si>
  <si>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</si>
  <si>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</si>
  <si>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</si>
  <si>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</si>
  <si>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</si>
  <si>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</si>
  <si>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</si>
  <si>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</si>
  <si>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</si>
  <si>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</si>
  <si>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</si>
  <si>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</si>
  <si>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</si>
  <si>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</si>
  <si>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</si>
  <si>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</si>
  <si>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</si>
  <si>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</si>
  <si>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</si>
  <si>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</si>
  <si>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</si>
  <si>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</si>
  <si>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</si>
  <si>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</si>
  <si>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</si>
  <si>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</si>
  <si>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</si>
  <si>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</si>
  <si>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</si>
  <si>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</si>
  <si>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</si>
  <si>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</si>
  <si>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</si>
  <si>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</si>
  <si>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</si>
  <si>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</si>
  <si>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</si>
  <si>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</si>
  <si>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</si>
  <si>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</si>
  <si>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</si>
  <si>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</si>
  <si>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</si>
  <si>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</si>
  <si>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</si>
  <si>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</si>
  <si>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</si>
  <si>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</si>
  <si>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</si>
  <si>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</si>
  <si>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</si>
  <si>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</si>
  <si>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</si>
  <si>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</si>
  <si>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</si>
  <si>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</si>
  <si>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</si>
  <si>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</si>
  <si>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</si>
  <si>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</si>
  <si>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</si>
  <si>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</si>
  <si>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Informacja z wykonania budżetów województw za II Kwartały 2018 rok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</si>
</sst>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0" fontId="55" fillId="0" borderId="19" xfId="89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164" fontId="7" fillId="0" borderId="20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2" fillId="51" borderId="19" xfId="0" applyNumberFormat="1" applyFont="1" applyFill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3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15" t="s">
        <v>98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8" ht="60" customHeight="1">
      <c r="B2" s="126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126"/>
      <c r="C3" s="119" t="s">
        <v>62</v>
      </c>
      <c r="D3" s="119"/>
      <c r="E3" s="119"/>
      <c r="F3" s="119" t="s">
        <v>4</v>
      </c>
      <c r="G3" s="119"/>
      <c r="H3" s="119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71" t="s">
        <v>5</v>
      </c>
      <c r="C5" s="72">
        <f>18825964900.6</f>
        <v>18825964900.6</v>
      </c>
      <c r="D5" s="72">
        <f>8370489958.24</f>
        <v>8370489958.24</v>
      </c>
      <c r="E5" s="72">
        <f>8296716244.82</f>
        <v>8296716244.82</v>
      </c>
      <c r="F5" s="73">
        <f aca="true" t="shared" si="0" ref="F5:F33">IF($D$5=0,"",100*$D5/$D$5)</f>
        <v>100</v>
      </c>
      <c r="G5" s="73">
        <f>IF(C5=0,"",100*D5/C5)</f>
        <v>44.462475110496065</v>
      </c>
      <c r="H5" s="73"/>
      <c r="I5" s="34"/>
      <c r="J5" s="34"/>
      <c r="K5" s="34"/>
      <c r="L5" s="34"/>
      <c r="M5" s="34"/>
    </row>
    <row r="6" spans="2:13" ht="25.5" customHeight="1">
      <c r="B6" s="55" t="s">
        <v>47</v>
      </c>
      <c r="C6" s="22">
        <f>C5-C11-C29</f>
        <v>8284840679.029999</v>
      </c>
      <c r="D6" s="22">
        <f>D5-D11-D29</f>
        <v>4647576329.68</v>
      </c>
      <c r="E6" s="22">
        <f>E5-E11-E29</f>
        <v>4655194116.44</v>
      </c>
      <c r="F6" s="30">
        <f t="shared" si="0"/>
        <v>55.52334872709424</v>
      </c>
      <c r="G6" s="30">
        <f aca="true" t="shared" si="1" ref="G6:G36">IF(C6=0,"",100*D6/C6)</f>
        <v>56.09735310231874</v>
      </c>
      <c r="H6" s="30">
        <f>IF($D$6=0,"",100*$D6/$D$6)</f>
        <v>100</v>
      </c>
      <c r="I6" s="34"/>
      <c r="J6" s="34"/>
      <c r="K6" s="34"/>
      <c r="L6" s="34"/>
      <c r="M6" s="34"/>
    </row>
    <row r="7" spans="2:13" ht="22.5" customHeight="1">
      <c r="B7" s="17" t="s">
        <v>26</v>
      </c>
      <c r="C7" s="20">
        <f>5668104205</f>
        <v>5668104205</v>
      </c>
      <c r="D7" s="20">
        <f>3373925520.46</f>
        <v>3373925520.46</v>
      </c>
      <c r="E7" s="20">
        <f>3450723435.95</f>
        <v>3450723435.95</v>
      </c>
      <c r="F7" s="31">
        <f t="shared" si="0"/>
        <v>40.30738388424529</v>
      </c>
      <c r="G7" s="31">
        <f t="shared" si="1"/>
        <v>59.52476169163866</v>
      </c>
      <c r="H7" s="31">
        <f>IF($D$6=0,"",100*$D7/$D$6)</f>
        <v>72.5953761945488</v>
      </c>
      <c r="I7" s="34"/>
      <c r="J7" s="34"/>
      <c r="K7" s="34"/>
      <c r="L7" s="34"/>
      <c r="M7" s="34"/>
    </row>
    <row r="8" spans="2:13" ht="22.5" customHeight="1">
      <c r="B8" s="29" t="s">
        <v>19</v>
      </c>
      <c r="C8" s="21">
        <f>1516438052</f>
        <v>1516438052</v>
      </c>
      <c r="D8" s="21">
        <f>740850641</f>
        <v>740850641</v>
      </c>
      <c r="E8" s="21">
        <f>671699134</f>
        <v>671699134</v>
      </c>
      <c r="F8" s="31">
        <f t="shared" si="0"/>
        <v>8.850744038832502</v>
      </c>
      <c r="G8" s="31">
        <f t="shared" si="1"/>
        <v>48.85465911534644</v>
      </c>
      <c r="H8" s="31">
        <f>IF($D$6=0,"",100*$D8/$D$6)</f>
        <v>15.940580389585765</v>
      </c>
      <c r="I8" s="34"/>
      <c r="J8" s="34"/>
      <c r="K8" s="34"/>
      <c r="L8" s="34"/>
      <c r="M8" s="34"/>
    </row>
    <row r="9" spans="2:13" ht="12.75">
      <c r="B9" s="29" t="s">
        <v>20</v>
      </c>
      <c r="C9" s="21">
        <f>270077776</f>
        <v>270077776</v>
      </c>
      <c r="D9" s="74">
        <f>114853586.32</f>
        <v>114853586.32</v>
      </c>
      <c r="E9" s="21">
        <f>114853586.32</f>
        <v>114853586.32</v>
      </c>
      <c r="F9" s="31">
        <f t="shared" si="0"/>
        <v>1.3721250117137636</v>
      </c>
      <c r="G9" s="31">
        <f t="shared" si="1"/>
        <v>42.52611526244203</v>
      </c>
      <c r="H9" s="31">
        <f>IF($D$6=0,"",100*$D9/$D$6)</f>
        <v>2.4712576657758305</v>
      </c>
      <c r="I9" s="34"/>
      <c r="J9" s="34"/>
      <c r="K9" s="34"/>
      <c r="L9" s="34"/>
      <c r="M9" s="34"/>
    </row>
    <row r="10" spans="2:13" ht="12.75">
      <c r="B10" s="29" t="s">
        <v>21</v>
      </c>
      <c r="C10" s="21">
        <f>C6-C7-C8-C9</f>
        <v>830220646.0299988</v>
      </c>
      <c r="D10" s="21">
        <f>D6-D7-D8-D9</f>
        <v>417946581.9000003</v>
      </c>
      <c r="E10" s="21">
        <f>E6-E7-E8-E9</f>
        <v>417917960.1699998</v>
      </c>
      <c r="F10" s="31">
        <f t="shared" si="0"/>
        <v>4.993095792302686</v>
      </c>
      <c r="G10" s="31">
        <f t="shared" si="1"/>
        <v>50.34162712027983</v>
      </c>
      <c r="H10" s="31">
        <f>IF($D$6=0,"",100*$D10/$D$6)</f>
        <v>8.992785750089599</v>
      </c>
      <c r="I10" s="34"/>
      <c r="J10" s="34"/>
      <c r="K10" s="34"/>
      <c r="L10" s="34"/>
      <c r="M10" s="34"/>
    </row>
    <row r="11" spans="2:13" ht="12.75">
      <c r="B11" s="71" t="s">
        <v>84</v>
      </c>
      <c r="C11" s="72">
        <f>C12+C25+C27</f>
        <v>8401467274.57</v>
      </c>
      <c r="D11" s="72">
        <f>D12+D25+D27</f>
        <v>2603598722.56</v>
      </c>
      <c r="E11" s="72">
        <f>E12+E25+E27</f>
        <v>2567356607.38</v>
      </c>
      <c r="F11" s="73">
        <f t="shared" si="0"/>
        <v>31.104496099382924</v>
      </c>
      <c r="G11" s="73">
        <f t="shared" si="1"/>
        <v>30.98980972574527</v>
      </c>
      <c r="H11" s="75"/>
      <c r="I11" s="34"/>
      <c r="J11" s="34"/>
      <c r="K11" s="34"/>
      <c r="L11" s="34"/>
      <c r="M11" s="34"/>
    </row>
    <row r="12" spans="2:13" ht="12.75">
      <c r="B12" s="71" t="s">
        <v>85</v>
      </c>
      <c r="C12" s="72">
        <f>C13+C15+C17+C19+C21+C23</f>
        <v>1434698177.8899999</v>
      </c>
      <c r="D12" s="72">
        <f>D13+D15+D17+D19+D21+D23</f>
        <v>621174150.5699999</v>
      </c>
      <c r="E12" s="72">
        <f>E13+E15+E17+E19+E21+E23</f>
        <v>620797028.6899999</v>
      </c>
      <c r="F12" s="73">
        <f t="shared" si="0"/>
        <v>7.421001084393028</v>
      </c>
      <c r="G12" s="73">
        <f t="shared" si="1"/>
        <v>43.2965037624538</v>
      </c>
      <c r="H12" s="26"/>
      <c r="I12" s="34"/>
      <c r="J12" s="34"/>
      <c r="K12" s="34"/>
      <c r="L12" s="34"/>
      <c r="M12" s="34"/>
    </row>
    <row r="13" spans="2:13" ht="22.5" customHeight="1">
      <c r="B13" s="29" t="s">
        <v>9</v>
      </c>
      <c r="C13" s="21">
        <f>765154758.67</f>
        <v>765154758.67</v>
      </c>
      <c r="D13" s="21">
        <f>384913760.9</f>
        <v>384913760.9</v>
      </c>
      <c r="E13" s="21">
        <f>384537429.17</f>
        <v>384537429.17</v>
      </c>
      <c r="F13" s="31">
        <f t="shared" si="0"/>
        <v>4.598461533557982</v>
      </c>
      <c r="G13" s="31">
        <f t="shared" si="1"/>
        <v>50.30534758341713</v>
      </c>
      <c r="H13" s="26"/>
      <c r="I13" s="34"/>
      <c r="J13" s="34"/>
      <c r="K13" s="34"/>
      <c r="L13" s="34"/>
      <c r="M13" s="34"/>
    </row>
    <row r="14" spans="2:13" ht="11.25" customHeight="1">
      <c r="B14" s="78" t="s">
        <v>6</v>
      </c>
      <c r="C14" s="21">
        <f>7118400</f>
        <v>7118400</v>
      </c>
      <c r="D14" s="21">
        <f>40000</f>
        <v>40000</v>
      </c>
      <c r="E14" s="21">
        <f>40000</f>
        <v>40000</v>
      </c>
      <c r="F14" s="31">
        <f t="shared" si="0"/>
        <v>0.0004778692788541437</v>
      </c>
      <c r="G14" s="31">
        <f t="shared" si="1"/>
        <v>0.5619240278714318</v>
      </c>
      <c r="H14" s="26"/>
      <c r="I14" s="34"/>
      <c r="J14" s="34"/>
      <c r="K14" s="34"/>
      <c r="L14" s="34"/>
      <c r="M14" s="34"/>
    </row>
    <row r="15" spans="2:13" ht="11.25" customHeight="1">
      <c r="B15" s="29" t="s">
        <v>7</v>
      </c>
      <c r="C15" s="21">
        <f>315691090.52</f>
        <v>315691090.52</v>
      </c>
      <c r="D15" s="21">
        <f>66167435.16</f>
        <v>66167435.16</v>
      </c>
      <c r="E15" s="21">
        <f>66166646.01</f>
        <v>66166646.01</v>
      </c>
      <c r="F15" s="31">
        <f t="shared" si="0"/>
        <v>0.7904846130884378</v>
      </c>
      <c r="G15" s="31">
        <f t="shared" si="1"/>
        <v>20.95955101267202</v>
      </c>
      <c r="H15" s="26"/>
      <c r="I15" s="34"/>
      <c r="J15" s="34"/>
      <c r="K15" s="34"/>
      <c r="L15" s="34"/>
      <c r="M15" s="34"/>
    </row>
    <row r="16" spans="2:13" ht="10.5" customHeight="1">
      <c r="B16" s="78" t="s">
        <v>6</v>
      </c>
      <c r="C16" s="21">
        <f>80263636.52</f>
        <v>80263636.52</v>
      </c>
      <c r="D16" s="21">
        <f>8466813.39</f>
        <v>8466813.39</v>
      </c>
      <c r="E16" s="21">
        <f>8466813.39</f>
        <v>8466813.39</v>
      </c>
      <c r="F16" s="31">
        <f t="shared" si="0"/>
        <v>0.10115075022179769</v>
      </c>
      <c r="G16" s="31">
        <f t="shared" si="1"/>
        <v>10.54875377829442</v>
      </c>
      <c r="H16" s="26"/>
      <c r="I16" s="34"/>
      <c r="J16" s="34"/>
      <c r="K16" s="34"/>
      <c r="L16" s="34"/>
      <c r="M16" s="34"/>
    </row>
    <row r="17" spans="2:13" ht="35.25" customHeight="1">
      <c r="B17" s="29" t="s">
        <v>10</v>
      </c>
      <c r="C17" s="21">
        <f>4597481</f>
        <v>4597481</v>
      </c>
      <c r="D17" s="21">
        <f>454549</f>
        <v>454549</v>
      </c>
      <c r="E17" s="21">
        <f>454549</f>
        <v>454549</v>
      </c>
      <c r="F17" s="31">
        <f t="shared" si="0"/>
        <v>0.0054303750708468036</v>
      </c>
      <c r="G17" s="31">
        <f t="shared" si="1"/>
        <v>9.886914160167274</v>
      </c>
      <c r="H17" s="26"/>
      <c r="I17" s="34"/>
      <c r="J17" s="34"/>
      <c r="K17" s="34"/>
      <c r="L17" s="34"/>
      <c r="M17" s="34"/>
    </row>
    <row r="18" spans="2:13" ht="9.75" customHeight="1">
      <c r="B18" s="78" t="s">
        <v>6</v>
      </c>
      <c r="C18" s="21">
        <f>149167</f>
        <v>149167</v>
      </c>
      <c r="D18" s="21">
        <f>145000</f>
        <v>145000</v>
      </c>
      <c r="E18" s="21">
        <f>145000</f>
        <v>145000</v>
      </c>
      <c r="F18" s="31">
        <f t="shared" si="0"/>
        <v>0.001732276135846271</v>
      </c>
      <c r="G18" s="31">
        <f t="shared" si="1"/>
        <v>97.20648668941521</v>
      </c>
      <c r="H18" s="26"/>
      <c r="I18" s="34"/>
      <c r="J18" s="34"/>
      <c r="K18" s="34"/>
      <c r="L18" s="34"/>
      <c r="M18" s="34"/>
    </row>
    <row r="19" spans="2:13" ht="33.75" customHeight="1">
      <c r="B19" s="29" t="s">
        <v>11</v>
      </c>
      <c r="C19" s="21">
        <f>77729997.81</f>
        <v>77729997.81</v>
      </c>
      <c r="D19" s="21">
        <f>48480033.01</f>
        <v>48480033.01</v>
      </c>
      <c r="E19" s="21">
        <f>48480033.01</f>
        <v>48480033.01</v>
      </c>
      <c r="F19" s="31">
        <f t="shared" si="0"/>
        <v>0.5791779603328445</v>
      </c>
      <c r="G19" s="31">
        <f t="shared" si="1"/>
        <v>62.36978563733218</v>
      </c>
      <c r="H19" s="26"/>
      <c r="I19" s="34"/>
      <c r="J19" s="34"/>
      <c r="K19" s="34"/>
      <c r="L19" s="34"/>
      <c r="M19" s="34"/>
    </row>
    <row r="20" spans="2:13" ht="11.25" customHeight="1">
      <c r="B20" s="78" t="s">
        <v>6</v>
      </c>
      <c r="C20" s="21">
        <f>30265439.81</f>
        <v>30265439.81</v>
      </c>
      <c r="D20" s="21">
        <f>24802445.01</f>
        <v>24802445.01</v>
      </c>
      <c r="E20" s="21">
        <f>24802445.01</f>
        <v>24802445.01</v>
      </c>
      <c r="F20" s="31">
        <f t="shared" si="0"/>
        <v>0.29630816276870636</v>
      </c>
      <c r="G20" s="31">
        <f t="shared" si="1"/>
        <v>81.94972604298658</v>
      </c>
      <c r="H20" s="26"/>
      <c r="I20" s="34"/>
      <c r="J20" s="34"/>
      <c r="K20" s="34"/>
      <c r="L20" s="34"/>
      <c r="M20" s="34"/>
    </row>
    <row r="21" spans="2:13" ht="45" customHeight="1">
      <c r="B21" s="29" t="s">
        <v>64</v>
      </c>
      <c r="C21" s="21">
        <f>163014247.1</f>
        <v>163014247.1</v>
      </c>
      <c r="D21" s="21">
        <f>51655663.23</f>
        <v>51655663.23</v>
      </c>
      <c r="E21" s="21">
        <f>51655663.23</f>
        <v>51655663.23</v>
      </c>
      <c r="F21" s="31">
        <f t="shared" si="0"/>
        <v>0.6171163634113151</v>
      </c>
      <c r="G21" s="31">
        <f t="shared" si="1"/>
        <v>31.687821248109792</v>
      </c>
      <c r="H21" s="26"/>
      <c r="I21" s="34"/>
      <c r="J21" s="34"/>
      <c r="K21" s="34"/>
      <c r="L21" s="34"/>
      <c r="M21" s="34"/>
    </row>
    <row r="22" spans="2:13" ht="12.75">
      <c r="B22" s="78" t="s">
        <v>6</v>
      </c>
      <c r="C22" s="21">
        <f>116736381.53</f>
        <v>116736381.53</v>
      </c>
      <c r="D22" s="21">
        <f>31378529.86</f>
        <v>31378529.86</v>
      </c>
      <c r="E22" s="21">
        <f>31378529.86</f>
        <v>31378529.86</v>
      </c>
      <c r="F22" s="31">
        <f t="shared" si="0"/>
        <v>0.37487088589253537</v>
      </c>
      <c r="G22" s="31">
        <f t="shared" si="1"/>
        <v>26.87982053986833</v>
      </c>
      <c r="H22" s="26"/>
      <c r="I22" s="34"/>
      <c r="J22" s="34"/>
      <c r="K22" s="34"/>
      <c r="L22" s="34"/>
      <c r="M22" s="34"/>
    </row>
    <row r="23" spans="2:13" ht="21.75" customHeight="1">
      <c r="B23" s="29" t="s">
        <v>8</v>
      </c>
      <c r="C23" s="21">
        <f>108510602.79</f>
        <v>108510602.79</v>
      </c>
      <c r="D23" s="21">
        <f>69502709.27</f>
        <v>69502709.27</v>
      </c>
      <c r="E23" s="21">
        <f>69502708.27</f>
        <v>69502708.27</v>
      </c>
      <c r="F23" s="31">
        <f t="shared" si="0"/>
        <v>0.8303302389316027</v>
      </c>
      <c r="G23" s="31">
        <f t="shared" si="1"/>
        <v>64.05153734562532</v>
      </c>
      <c r="H23" s="26"/>
      <c r="I23" s="34"/>
      <c r="J23" s="34"/>
      <c r="K23" s="34"/>
      <c r="L23" s="34"/>
      <c r="M23" s="34"/>
    </row>
    <row r="24" spans="2:13" ht="12.75">
      <c r="B24" s="78" t="s">
        <v>6</v>
      </c>
      <c r="C24" s="21">
        <f>12197048</f>
        <v>12197048</v>
      </c>
      <c r="D24" s="21">
        <f>3411782.14</f>
        <v>3411782.14</v>
      </c>
      <c r="E24" s="21">
        <f>3411782.14</f>
        <v>3411782.14</v>
      </c>
      <c r="F24" s="31">
        <f t="shared" si="0"/>
        <v>0.04075964677123118</v>
      </c>
      <c r="G24" s="31">
        <f t="shared" si="1"/>
        <v>27.97219573129498</v>
      </c>
      <c r="H24" s="26"/>
      <c r="I24" s="34"/>
      <c r="J24" s="34"/>
      <c r="K24" s="34"/>
      <c r="L24" s="34"/>
      <c r="M24" s="34"/>
    </row>
    <row r="25" spans="2:13" ht="13.5" customHeight="1">
      <c r="B25" s="71" t="s">
        <v>55</v>
      </c>
      <c r="C25" s="72">
        <f>1190461560.26</f>
        <v>1190461560.26</v>
      </c>
      <c r="D25" s="72">
        <f>406937976.62</f>
        <v>406937976.62</v>
      </c>
      <c r="E25" s="72">
        <f>400953020.29</f>
        <v>400953020.29</v>
      </c>
      <c r="F25" s="73">
        <f t="shared" si="0"/>
        <v>4.861578935644094</v>
      </c>
      <c r="G25" s="73">
        <f t="shared" si="1"/>
        <v>34.18321012659356</v>
      </c>
      <c r="H25" s="26"/>
      <c r="I25" s="34"/>
      <c r="J25" s="34"/>
      <c r="K25" s="34"/>
      <c r="L25" s="34"/>
      <c r="M25" s="34"/>
    </row>
    <row r="26" spans="2:13" ht="14.25" customHeight="1">
      <c r="B26" s="28" t="s">
        <v>56</v>
      </c>
      <c r="C26" s="20">
        <f>424489294.63</f>
        <v>424489294.63</v>
      </c>
      <c r="D26" s="20">
        <f>50738717.57</f>
        <v>50738717.57</v>
      </c>
      <c r="E26" s="20">
        <f>50583673.87</f>
        <v>50583673.87</v>
      </c>
      <c r="F26" s="31">
        <f t="shared" si="0"/>
        <v>0.6061618593789992</v>
      </c>
      <c r="G26" s="31">
        <f t="shared" si="1"/>
        <v>11.952885081407217</v>
      </c>
      <c r="H26" s="26"/>
      <c r="I26" s="34"/>
      <c r="J26" s="34"/>
      <c r="K26" s="34"/>
      <c r="L26" s="34"/>
      <c r="M26" s="34"/>
    </row>
    <row r="27" spans="2:13" ht="14.25" customHeight="1">
      <c r="B27" s="71" t="s">
        <v>79</v>
      </c>
      <c r="C27" s="72">
        <f>5776307536.42</f>
        <v>5776307536.42</v>
      </c>
      <c r="D27" s="72">
        <f>1575486595.37</f>
        <v>1575486595.37</v>
      </c>
      <c r="E27" s="72">
        <f>1545606558.4</f>
        <v>1545606558.4</v>
      </c>
      <c r="F27" s="77">
        <f t="shared" si="0"/>
        <v>18.8219160793458</v>
      </c>
      <c r="G27" s="77">
        <f t="shared" si="1"/>
        <v>27.274977750690265</v>
      </c>
      <c r="H27" s="26"/>
      <c r="I27" s="34"/>
      <c r="J27" s="34"/>
      <c r="K27" s="34"/>
      <c r="L27" s="34"/>
      <c r="M27" s="34"/>
    </row>
    <row r="28" spans="2:13" ht="14.25" customHeight="1">
      <c r="B28" s="28" t="s">
        <v>80</v>
      </c>
      <c r="C28" s="20">
        <f>4514558610.76</f>
        <v>4514558610.76</v>
      </c>
      <c r="D28" s="20">
        <f>1035920876.63</f>
        <v>1035920876.63</v>
      </c>
      <c r="E28" s="20">
        <f>1006210142.88</f>
        <v>1006210142.88</v>
      </c>
      <c r="F28" s="31">
        <f t="shared" si="0"/>
        <v>12.375869056628261</v>
      </c>
      <c r="G28" s="31">
        <f>IF(C27=0,"",100*D28/C28)</f>
        <v>22.94622721612221</v>
      </c>
      <c r="H28" s="26"/>
      <c r="I28" s="34"/>
      <c r="J28" s="34"/>
      <c r="K28" s="34"/>
      <c r="L28" s="34"/>
      <c r="M28" s="34"/>
    </row>
    <row r="29" spans="2:13" s="5" customFormat="1" ht="22.5" customHeight="1">
      <c r="B29" s="55" t="s">
        <v>48</v>
      </c>
      <c r="C29" s="22">
        <f>C30+C31+C32+C33</f>
        <v>2139656947</v>
      </c>
      <c r="D29" s="22">
        <f>D30+D31+D32+D33</f>
        <v>1119314906</v>
      </c>
      <c r="E29" s="22">
        <f>E30+E31+E32+E33</f>
        <v>1074165521</v>
      </c>
      <c r="F29" s="30">
        <f t="shared" si="0"/>
        <v>13.37215517352284</v>
      </c>
      <c r="G29" s="30">
        <f t="shared" si="1"/>
        <v>52.31282087389685</v>
      </c>
      <c r="H29" s="27"/>
      <c r="I29" s="56"/>
      <c r="J29" s="56"/>
      <c r="K29" s="56"/>
      <c r="L29" s="56"/>
      <c r="M29" s="56"/>
    </row>
    <row r="30" spans="2:13" ht="12.75">
      <c r="B30" s="29" t="s">
        <v>32</v>
      </c>
      <c r="C30" s="21">
        <f>588618632</f>
        <v>588618632</v>
      </c>
      <c r="D30" s="21">
        <f>361055336</f>
        <v>361055336</v>
      </c>
      <c r="E30" s="21">
        <f>315905951</f>
        <v>315905951</v>
      </c>
      <c r="F30" s="31">
        <f t="shared" si="0"/>
        <v>4.313431326019014</v>
      </c>
      <c r="G30" s="31">
        <f t="shared" si="1"/>
        <v>61.33943378129423</v>
      </c>
      <c r="H30" s="27"/>
      <c r="I30" s="34"/>
      <c r="J30" s="34"/>
      <c r="K30" s="34"/>
      <c r="L30" s="34"/>
      <c r="M30" s="34"/>
    </row>
    <row r="31" spans="2:13" ht="12.75">
      <c r="B31" s="29" t="s">
        <v>46</v>
      </c>
      <c r="C31" s="21">
        <f>338717657</f>
        <v>338717657</v>
      </c>
      <c r="D31" s="21">
        <f>169358832</f>
        <v>169358832</v>
      </c>
      <c r="E31" s="21">
        <f>169358832</f>
        <v>169358832</v>
      </c>
      <c r="F31" s="31">
        <f t="shared" si="0"/>
        <v>2.023284572885502</v>
      </c>
      <c r="G31" s="31">
        <f t="shared" si="1"/>
        <v>50.00000103330899</v>
      </c>
      <c r="H31" s="27"/>
      <c r="I31" s="34"/>
      <c r="J31" s="34"/>
      <c r="K31" s="34"/>
      <c r="L31" s="34"/>
      <c r="M31" s="34"/>
    </row>
    <row r="32" spans="2:13" ht="12.75">
      <c r="B32" s="29" t="s">
        <v>33</v>
      </c>
      <c r="C32" s="21">
        <f>1177801458</f>
        <v>1177801458</v>
      </c>
      <c r="D32" s="21">
        <f>588900738</f>
        <v>588900738</v>
      </c>
      <c r="E32" s="21">
        <f>588900738</f>
        <v>588900738</v>
      </c>
      <c r="F32" s="31">
        <f t="shared" si="0"/>
        <v>7.035439274618326</v>
      </c>
      <c r="G32" s="31">
        <f t="shared" si="1"/>
        <v>50.00000076413558</v>
      </c>
      <c r="H32" s="27"/>
      <c r="I32" s="34"/>
      <c r="J32" s="34"/>
      <c r="K32" s="34"/>
      <c r="L32" s="34"/>
      <c r="M32" s="34"/>
    </row>
    <row r="33" spans="2:13" s="5" customFormat="1" ht="14.25" customHeight="1">
      <c r="B33" s="29" t="s">
        <v>31</v>
      </c>
      <c r="C33" s="21">
        <f>34519200</f>
        <v>34519200</v>
      </c>
      <c r="D33" s="21">
        <f>0</f>
        <v>0</v>
      </c>
      <c r="E33" s="21">
        <f>0</f>
        <v>0</v>
      </c>
      <c r="F33" s="31">
        <f t="shared" si="0"/>
        <v>0</v>
      </c>
      <c r="G33" s="31">
        <f t="shared" si="1"/>
        <v>0</v>
      </c>
      <c r="H33" s="27"/>
      <c r="I33" s="56"/>
      <c r="J33" s="56"/>
      <c r="K33" s="56"/>
      <c r="L33" s="56"/>
      <c r="M33" s="56"/>
    </row>
    <row r="34" spans="2:13" s="5" customFormat="1" ht="12.75">
      <c r="B34" s="79" t="s">
        <v>63</v>
      </c>
      <c r="C34" s="76">
        <f>+C5</f>
        <v>18825964900.6</v>
      </c>
      <c r="D34" s="76">
        <f>+D5</f>
        <v>8370489958.24</v>
      </c>
      <c r="E34" s="76">
        <f>+E5</f>
        <v>8296716244.82</v>
      </c>
      <c r="F34" s="77">
        <f>IF($D$5=0,"",100*$D34/$D$34)</f>
        <v>100</v>
      </c>
      <c r="G34" s="77">
        <f t="shared" si="1"/>
        <v>44.462475110496065</v>
      </c>
      <c r="H34" s="77"/>
      <c r="I34" s="56"/>
      <c r="J34" s="56"/>
      <c r="K34" s="56"/>
      <c r="L34" s="56"/>
      <c r="M34" s="56"/>
    </row>
    <row r="35" spans="2:13" s="5" customFormat="1" ht="12.75">
      <c r="B35" s="29" t="s">
        <v>57</v>
      </c>
      <c r="C35" s="21">
        <f>5472821823.31</f>
        <v>5472821823.31</v>
      </c>
      <c r="D35" s="21">
        <f>1241715342.15</f>
        <v>1241715342.15</v>
      </c>
      <c r="E35" s="21">
        <f>1211849564.7</f>
        <v>1211849564.7</v>
      </c>
      <c r="F35" s="31">
        <f>IF($D$5=0,"",100*$D35/$D$34)</f>
        <v>14.834440377383672</v>
      </c>
      <c r="G35" s="31">
        <f t="shared" si="1"/>
        <v>22.688758783654354</v>
      </c>
      <c r="H35" s="31">
        <f>IF($D$6=0,"",100*$D35/$D$6)</f>
        <v>26.717481415426178</v>
      </c>
      <c r="I35" s="56"/>
      <c r="J35" s="56"/>
      <c r="K35" s="56"/>
      <c r="L35" s="56"/>
      <c r="M35" s="56"/>
    </row>
    <row r="36" spans="1:13" s="5" customFormat="1" ht="12.75">
      <c r="A36" s="2"/>
      <c r="B36" s="29" t="s">
        <v>58</v>
      </c>
      <c r="C36" s="21">
        <f>C34-C35</f>
        <v>13353143077.289997</v>
      </c>
      <c r="D36" s="21">
        <f>D34-D35</f>
        <v>7128774616.09</v>
      </c>
      <c r="E36" s="21">
        <f>E34-E35</f>
        <v>7084866680.12</v>
      </c>
      <c r="F36" s="31">
        <f>IF($D$5=0,"",100*$D36/$D$34)</f>
        <v>85.16555962261633</v>
      </c>
      <c r="G36" s="31">
        <f t="shared" si="1"/>
        <v>53.386491665876584</v>
      </c>
      <c r="H36" s="31">
        <f>IF($D$6=0,"",100*$D36/$D$6)</f>
        <v>153.38692923803657</v>
      </c>
      <c r="I36" s="57"/>
      <c r="J36" s="57"/>
      <c r="K36" s="58"/>
      <c r="L36" s="58"/>
      <c r="M36" s="19"/>
    </row>
    <row r="37" spans="2:13" ht="21.75" customHeight="1">
      <c r="B37" s="115" t="s">
        <v>98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6" t="s">
        <v>0</v>
      </c>
      <c r="C39" s="116" t="s">
        <v>42</v>
      </c>
      <c r="D39" s="116" t="s">
        <v>43</v>
      </c>
      <c r="E39" s="116" t="s">
        <v>44</v>
      </c>
      <c r="F39" s="116" t="s">
        <v>12</v>
      </c>
      <c r="G39" s="116"/>
      <c r="H39" s="116"/>
      <c r="I39" s="116" t="s">
        <v>81</v>
      </c>
      <c r="J39" s="116"/>
      <c r="K39" s="116" t="s">
        <v>2</v>
      </c>
      <c r="L39" s="125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6"/>
      <c r="C40" s="116"/>
      <c r="D40" s="117"/>
      <c r="E40" s="116"/>
      <c r="F40" s="107" t="s">
        <v>45</v>
      </c>
      <c r="G40" s="118" t="s">
        <v>25</v>
      </c>
      <c r="H40" s="117"/>
      <c r="I40" s="116"/>
      <c r="J40" s="116"/>
      <c r="K40" s="116"/>
      <c r="L40" s="125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6"/>
      <c r="C41" s="116"/>
      <c r="D41" s="117"/>
      <c r="E41" s="116"/>
      <c r="F41" s="117"/>
      <c r="G41" s="15" t="s">
        <v>40</v>
      </c>
      <c r="H41" s="15" t="s">
        <v>41</v>
      </c>
      <c r="I41" s="116"/>
      <c r="J41" s="116"/>
      <c r="K41" s="116"/>
      <c r="L41" s="125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6"/>
      <c r="C42" s="119" t="s">
        <v>62</v>
      </c>
      <c r="D42" s="119"/>
      <c r="E42" s="119"/>
      <c r="F42" s="119"/>
      <c r="G42" s="119"/>
      <c r="H42" s="119"/>
      <c r="I42" s="119"/>
      <c r="J42" s="119"/>
      <c r="K42" s="119" t="s">
        <v>4</v>
      </c>
      <c r="L42" s="11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117">
        <v>8</v>
      </c>
      <c r="J43" s="117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71" t="s">
        <v>49</v>
      </c>
      <c r="C44" s="80">
        <f>20831857646.84</f>
        <v>20831857646.84</v>
      </c>
      <c r="D44" s="80">
        <f>14554413886.55</f>
        <v>14554413886.55</v>
      </c>
      <c r="E44" s="80">
        <f>6311330842.14</f>
        <v>6311330842.14</v>
      </c>
      <c r="F44" s="80">
        <f>397849074</f>
        <v>397849074</v>
      </c>
      <c r="G44" s="80">
        <f>108954.44</f>
        <v>108954.44</v>
      </c>
      <c r="H44" s="80">
        <f>469151.5</f>
        <v>469151.5</v>
      </c>
      <c r="I44" s="123">
        <f>0</f>
        <v>0</v>
      </c>
      <c r="J44" s="123"/>
      <c r="K44" s="54">
        <f aca="true" t="shared" si="2" ref="K44:K55">IF($E$44=0,"",100*$E44/$E$44)</f>
        <v>100</v>
      </c>
      <c r="L44" s="54">
        <f aca="true" t="shared" si="3" ref="L44:L55">IF(C44=0,"",100*E44/C44)</f>
        <v>30.296534035203386</v>
      </c>
      <c r="M44" s="34"/>
    </row>
    <row r="45" spans="2:13" ht="12.75">
      <c r="B45" s="55" t="s">
        <v>14</v>
      </c>
      <c r="C45" s="23">
        <f>9279348869.61</f>
        <v>9279348869.61</v>
      </c>
      <c r="D45" s="23">
        <f>5965662327.45</f>
        <v>5965662327.45</v>
      </c>
      <c r="E45" s="23">
        <f>1403810426.16</f>
        <v>1403810426.16</v>
      </c>
      <c r="F45" s="23">
        <f>141587748.5</f>
        <v>141587748.5</v>
      </c>
      <c r="G45" s="23">
        <f>108954.44</f>
        <v>108954.44</v>
      </c>
      <c r="H45" s="23">
        <f>330339.43</f>
        <v>330339.43</v>
      </c>
      <c r="I45" s="122">
        <f>0</f>
        <v>0</v>
      </c>
      <c r="J45" s="124"/>
      <c r="K45" s="32">
        <f t="shared" si="2"/>
        <v>22.242700648600543</v>
      </c>
      <c r="L45" s="32">
        <f t="shared" si="3"/>
        <v>15.12832900115976</v>
      </c>
      <c r="M45" s="34"/>
    </row>
    <row r="46" spans="2:13" ht="22.5" customHeight="1">
      <c r="B46" s="17" t="s">
        <v>13</v>
      </c>
      <c r="C46" s="20">
        <f>9047947320.61</f>
        <v>9047947320.61</v>
      </c>
      <c r="D46" s="20">
        <f>5821793176.47</f>
        <v>5821793176.47</v>
      </c>
      <c r="E46" s="20">
        <f>1270228138.25</f>
        <v>1270228138.25</v>
      </c>
      <c r="F46" s="20">
        <f>141587748.5</f>
        <v>141587748.5</v>
      </c>
      <c r="G46" s="20">
        <f>108954.44</f>
        <v>108954.44</v>
      </c>
      <c r="H46" s="20">
        <f>330339.43</f>
        <v>330339.43</v>
      </c>
      <c r="I46" s="120">
        <f>0</f>
        <v>0</v>
      </c>
      <c r="J46" s="121"/>
      <c r="K46" s="33">
        <f t="shared" si="2"/>
        <v>20.126153580300986</v>
      </c>
      <c r="L46" s="33">
        <f t="shared" si="3"/>
        <v>14.038854264288123</v>
      </c>
      <c r="M46" s="34"/>
    </row>
    <row r="47" spans="2:13" ht="25.5" customHeight="1">
      <c r="B47" s="55" t="s">
        <v>50</v>
      </c>
      <c r="C47" s="23">
        <f aca="true" t="shared" si="4" ref="C47:I47">C44-C45</f>
        <v>11552508777.23</v>
      </c>
      <c r="D47" s="23">
        <f t="shared" si="4"/>
        <v>8588751559.099999</v>
      </c>
      <c r="E47" s="23">
        <f t="shared" si="4"/>
        <v>4907520415.9800005</v>
      </c>
      <c r="F47" s="23">
        <f t="shared" si="4"/>
        <v>256261325.5</v>
      </c>
      <c r="G47" s="23">
        <f t="shared" si="4"/>
        <v>0</v>
      </c>
      <c r="H47" s="23">
        <f t="shared" si="4"/>
        <v>138812.07</v>
      </c>
      <c r="I47" s="122">
        <f t="shared" si="4"/>
        <v>0</v>
      </c>
      <c r="J47" s="122"/>
      <c r="K47" s="32">
        <f t="shared" si="2"/>
        <v>77.75729935139947</v>
      </c>
      <c r="L47" s="32">
        <f t="shared" si="3"/>
        <v>42.48012713613103</v>
      </c>
      <c r="M47" s="34"/>
    </row>
    <row r="48" spans="2:13" ht="12.75">
      <c r="B48" s="17" t="s">
        <v>39</v>
      </c>
      <c r="C48" s="20">
        <f>2469612096.92</f>
        <v>2469612096.92</v>
      </c>
      <c r="D48" s="20">
        <f>2128248758.58</f>
        <v>2128248758.58</v>
      </c>
      <c r="E48" s="20">
        <f>1185134074.32</f>
        <v>1185134074.32</v>
      </c>
      <c r="F48" s="20">
        <f>23617790.56</f>
        <v>23617790.56</v>
      </c>
      <c r="G48" s="20">
        <f>0</f>
        <v>0</v>
      </c>
      <c r="H48" s="20">
        <f>0</f>
        <v>0</v>
      </c>
      <c r="I48" s="120">
        <f>0</f>
        <v>0</v>
      </c>
      <c r="J48" s="121"/>
      <c r="K48" s="33">
        <f t="shared" si="2"/>
        <v>18.777879087038215</v>
      </c>
      <c r="L48" s="33">
        <f t="shared" si="3"/>
        <v>47.98867303079909</v>
      </c>
      <c r="M48" s="34"/>
    </row>
    <row r="49" spans="2:13" ht="22.5" customHeight="1">
      <c r="B49" s="78" t="s">
        <v>34</v>
      </c>
      <c r="C49" s="81">
        <f>2232126515.9</f>
        <v>2232126515.9</v>
      </c>
      <c r="D49" s="81">
        <f>1939805048.39</f>
        <v>1939805048.39</v>
      </c>
      <c r="E49" s="81">
        <f>1009446845.74</f>
        <v>1009446845.74</v>
      </c>
      <c r="F49" s="81">
        <f>23127909.29</f>
        <v>23127909.29</v>
      </c>
      <c r="G49" s="81">
        <f>0</f>
        <v>0</v>
      </c>
      <c r="H49" s="81">
        <f>0</f>
        <v>0</v>
      </c>
      <c r="I49" s="113">
        <f>0</f>
        <v>0</v>
      </c>
      <c r="J49" s="113"/>
      <c r="K49" s="82">
        <f t="shared" si="2"/>
        <v>15.994199495929516</v>
      </c>
      <c r="L49" s="82">
        <f t="shared" si="3"/>
        <v>45.22354976518829</v>
      </c>
      <c r="M49" s="34"/>
    </row>
    <row r="50" spans="2:13" ht="12.75">
      <c r="B50" s="29" t="s">
        <v>38</v>
      </c>
      <c r="C50" s="21">
        <f>465020034.51</f>
        <v>465020034.51</v>
      </c>
      <c r="D50" s="21">
        <f>399307144.33</f>
        <v>399307144.33</v>
      </c>
      <c r="E50" s="21">
        <f>209520825.39</f>
        <v>209520825.39</v>
      </c>
      <c r="F50" s="21">
        <f>12363620.36</f>
        <v>12363620.36</v>
      </c>
      <c r="G50" s="21">
        <f>0</f>
        <v>0</v>
      </c>
      <c r="H50" s="21">
        <f>0</f>
        <v>0</v>
      </c>
      <c r="I50" s="112">
        <f>0</f>
        <v>0</v>
      </c>
      <c r="J50" s="112"/>
      <c r="K50" s="82">
        <f t="shared" si="2"/>
        <v>3.3197566508644187</v>
      </c>
      <c r="L50" s="82">
        <f t="shared" si="3"/>
        <v>45.05630077008959</v>
      </c>
      <c r="M50" s="34"/>
    </row>
    <row r="51" spans="2:13" ht="12.75">
      <c r="B51" s="29" t="s">
        <v>37</v>
      </c>
      <c r="C51" s="81">
        <f>4884348558.03</f>
        <v>4884348558.03</v>
      </c>
      <c r="D51" s="81">
        <f>3972140538.7</f>
        <v>3972140538.7</v>
      </c>
      <c r="E51" s="81">
        <f>2340129033.43</f>
        <v>2340129033.43</v>
      </c>
      <c r="F51" s="81">
        <f>262886.49</f>
        <v>262886.49</v>
      </c>
      <c r="G51" s="81">
        <f>0</f>
        <v>0</v>
      </c>
      <c r="H51" s="81">
        <f>0</f>
        <v>0</v>
      </c>
      <c r="I51" s="113">
        <f>0</f>
        <v>0</v>
      </c>
      <c r="J51" s="113"/>
      <c r="K51" s="82">
        <f t="shared" si="2"/>
        <v>37.07821839738203</v>
      </c>
      <c r="L51" s="82">
        <f t="shared" si="3"/>
        <v>47.91077060998779</v>
      </c>
      <c r="M51" s="34"/>
    </row>
    <row r="52" spans="2:13" ht="12.75">
      <c r="B52" s="29" t="s">
        <v>36</v>
      </c>
      <c r="C52" s="21">
        <f>190829051.46</f>
        <v>190829051.46</v>
      </c>
      <c r="D52" s="21">
        <f>102879273.3</f>
        <v>102879273.3</v>
      </c>
      <c r="E52" s="21">
        <f>76382527.54</f>
        <v>76382527.54</v>
      </c>
      <c r="F52" s="21">
        <f>1457208.57</f>
        <v>1457208.57</v>
      </c>
      <c r="G52" s="21">
        <f>0</f>
        <v>0</v>
      </c>
      <c r="H52" s="21">
        <f>0</f>
        <v>0</v>
      </c>
      <c r="I52" s="112">
        <f>0</f>
        <v>0</v>
      </c>
      <c r="J52" s="112"/>
      <c r="K52" s="82">
        <f t="shared" si="2"/>
        <v>1.2102443914047893</v>
      </c>
      <c r="L52" s="82">
        <f t="shared" si="3"/>
        <v>40.02667673271471</v>
      </c>
      <c r="M52" s="34"/>
    </row>
    <row r="53" spans="2:13" ht="22.5" customHeight="1">
      <c r="B53" s="29" t="s">
        <v>53</v>
      </c>
      <c r="C53" s="81">
        <f>85221929.52</f>
        <v>85221929.52</v>
      </c>
      <c r="D53" s="81">
        <f>15487617.12</f>
        <v>15487617.12</v>
      </c>
      <c r="E53" s="81">
        <f>3406659.4</f>
        <v>3406659.4</v>
      </c>
      <c r="F53" s="81">
        <f>0</f>
        <v>0</v>
      </c>
      <c r="G53" s="81">
        <f>0</f>
        <v>0</v>
      </c>
      <c r="H53" s="81">
        <f>0</f>
        <v>0</v>
      </c>
      <c r="I53" s="113">
        <f>0</f>
        <v>0</v>
      </c>
      <c r="J53" s="113"/>
      <c r="K53" s="82">
        <f t="shared" si="2"/>
        <v>0.053976878810632824</v>
      </c>
      <c r="L53" s="82">
        <f t="shared" si="3"/>
        <v>3.997397640709978</v>
      </c>
      <c r="M53" s="34"/>
    </row>
    <row r="54" spans="2:13" ht="22.5">
      <c r="B54" s="29" t="s">
        <v>54</v>
      </c>
      <c r="C54" s="81">
        <f>103094907.69</f>
        <v>103094907.69</v>
      </c>
      <c r="D54" s="81">
        <f>59658708.26</f>
        <v>59658708.26</v>
      </c>
      <c r="E54" s="81">
        <f>43274884.67</f>
        <v>43274884.67</v>
      </c>
      <c r="F54" s="81">
        <f>549361.56</f>
        <v>549361.56</v>
      </c>
      <c r="G54" s="81">
        <f>0</f>
        <v>0</v>
      </c>
      <c r="H54" s="81">
        <f>0</f>
        <v>0</v>
      </c>
      <c r="I54" s="102">
        <f>0</f>
        <v>0</v>
      </c>
      <c r="J54" s="103"/>
      <c r="K54" s="82">
        <f t="shared" si="2"/>
        <v>0.6856697224784791</v>
      </c>
      <c r="L54" s="82">
        <f t="shared" si="3"/>
        <v>41.97577323617661</v>
      </c>
      <c r="M54" s="34"/>
    </row>
    <row r="55" spans="2:13" ht="12.75">
      <c r="B55" s="29" t="s">
        <v>35</v>
      </c>
      <c r="C55" s="21">
        <f aca="true" t="shared" si="5" ref="C55:I55">C47-C48-C50-C51-C52-C53-C54</f>
        <v>3354382199.0999994</v>
      </c>
      <c r="D55" s="21">
        <f t="shared" si="5"/>
        <v>1911029518.81</v>
      </c>
      <c r="E55" s="21">
        <f t="shared" si="5"/>
        <v>1049672411.2300011</v>
      </c>
      <c r="F55" s="21">
        <f t="shared" si="5"/>
        <v>218010457.95999998</v>
      </c>
      <c r="G55" s="21">
        <f t="shared" si="5"/>
        <v>0</v>
      </c>
      <c r="H55" s="21">
        <f t="shared" si="5"/>
        <v>138812.07</v>
      </c>
      <c r="I55" s="102">
        <f t="shared" si="5"/>
        <v>0</v>
      </c>
      <c r="J55" s="103"/>
      <c r="K55" s="82">
        <f t="shared" si="2"/>
        <v>16.6315542234209</v>
      </c>
      <c r="L55" s="82">
        <f t="shared" si="3"/>
        <v>31.29257040272973</v>
      </c>
      <c r="M55" s="34"/>
    </row>
    <row r="56" spans="2:13" ht="12.75">
      <c r="B56" s="55" t="s">
        <v>15</v>
      </c>
      <c r="C56" s="23">
        <f>C5-C44</f>
        <v>-2005892746.2400017</v>
      </c>
      <c r="D56" s="23"/>
      <c r="E56" s="23">
        <f>D5-E44</f>
        <v>2059159116.0999994</v>
      </c>
      <c r="F56" s="24"/>
      <c r="G56" s="24"/>
      <c r="H56" s="24"/>
      <c r="I56" s="114"/>
      <c r="J56" s="114"/>
      <c r="K56" s="25"/>
      <c r="L56" s="25"/>
      <c r="M56" s="59"/>
    </row>
    <row r="57" spans="2:13" ht="33.75">
      <c r="B57" s="60" t="s">
        <v>82</v>
      </c>
      <c r="C57" s="23">
        <f>+C36-C47</f>
        <v>1800634300.0599976</v>
      </c>
      <c r="D57" s="61"/>
      <c r="E57" s="23">
        <f>+D36-E47</f>
        <v>2221254200.1099997</v>
      </c>
      <c r="F57" s="62"/>
      <c r="G57" s="62"/>
      <c r="H57" s="62"/>
      <c r="I57" s="98"/>
      <c r="J57" s="99"/>
      <c r="K57" s="34"/>
      <c r="L57" s="63"/>
      <c r="M57" s="63"/>
    </row>
    <row r="58" spans="2:13" ht="6.75" customHeight="1" thickBot="1">
      <c r="B58" s="64"/>
      <c r="C58" s="65"/>
      <c r="D58" s="65"/>
      <c r="E58" s="65"/>
      <c r="F58" s="18"/>
      <c r="G58" s="18"/>
      <c r="H58" s="18"/>
      <c r="I58" s="18"/>
      <c r="J58" s="34"/>
      <c r="K58" s="34"/>
      <c r="L58" s="63"/>
      <c r="M58" s="63"/>
    </row>
    <row r="59" spans="2:13" ht="12" customHeight="1" thickBot="1">
      <c r="B59" s="66" t="s">
        <v>59</v>
      </c>
      <c r="C59" s="65"/>
      <c r="D59" s="65"/>
      <c r="E59" s="65"/>
      <c r="F59" s="18"/>
      <c r="G59" s="18"/>
      <c r="H59" s="18"/>
      <c r="I59" s="18"/>
      <c r="J59" s="34"/>
      <c r="K59" s="34"/>
      <c r="L59" s="63"/>
      <c r="M59" s="63"/>
    </row>
    <row r="60" spans="2:13" ht="23.25" customHeight="1">
      <c r="B60" s="84" t="s">
        <v>83</v>
      </c>
      <c r="C60" s="23">
        <f>8671448052.5</f>
        <v>8671448052.5</v>
      </c>
      <c r="D60" s="23">
        <f>5780345806.44</f>
        <v>5780345806.44</v>
      </c>
      <c r="E60" s="23">
        <f>1775900942.38</f>
        <v>1775900942.38</v>
      </c>
      <c r="F60" s="23">
        <f>132594046.56</f>
        <v>132594046.56</v>
      </c>
      <c r="G60" s="23">
        <f>67071.78</f>
        <v>67071.78</v>
      </c>
      <c r="H60" s="23">
        <f>36.5</f>
        <v>36.5</v>
      </c>
      <c r="I60" s="100">
        <f>0</f>
        <v>0</v>
      </c>
      <c r="J60" s="101"/>
      <c r="K60" s="33">
        <f>IF($E$44=0,"",100*$E60/$E$60)</f>
        <v>100</v>
      </c>
      <c r="L60" s="33">
        <f>IF(C60=0,"",100*E60/C60)</f>
        <v>20.479866011167573</v>
      </c>
      <c r="M60" s="63"/>
    </row>
    <row r="61" spans="2:13" ht="12.75">
      <c r="B61" s="83" t="s">
        <v>60</v>
      </c>
      <c r="C61" s="81">
        <f>6355512914.47</f>
        <v>6355512914.47</v>
      </c>
      <c r="D61" s="81">
        <f>4198239010.85</f>
        <v>4198239010.85</v>
      </c>
      <c r="E61" s="81">
        <f>922131567.19</f>
        <v>922131567.19</v>
      </c>
      <c r="F61" s="81">
        <f>122145487.03</f>
        <v>122145487.03</v>
      </c>
      <c r="G61" s="81">
        <f>67071.78</f>
        <v>67071.78</v>
      </c>
      <c r="H61" s="81">
        <f>0</f>
        <v>0</v>
      </c>
      <c r="I61" s="102">
        <f>0</f>
        <v>0</v>
      </c>
      <c r="J61" s="103"/>
      <c r="K61" s="82">
        <f>IF($E$44=0,"",100*$E61/$E$60)</f>
        <v>51.9247186137641</v>
      </c>
      <c r="L61" s="82">
        <f>IF(C61=0,"",100*E61/C61)</f>
        <v>14.509160465877182</v>
      </c>
      <c r="M61" s="34"/>
    </row>
    <row r="62" spans="2:13" ht="12.75" customHeight="1">
      <c r="B62" s="83" t="s">
        <v>61</v>
      </c>
      <c r="C62" s="81">
        <f aca="true" t="shared" si="6" ref="C62:I62">C60-C61</f>
        <v>2315935138.0299997</v>
      </c>
      <c r="D62" s="81">
        <f t="shared" si="6"/>
        <v>1582106795.5899997</v>
      </c>
      <c r="E62" s="81">
        <f t="shared" si="6"/>
        <v>853769375.19</v>
      </c>
      <c r="F62" s="81">
        <f t="shared" si="6"/>
        <v>10448559.530000001</v>
      </c>
      <c r="G62" s="81">
        <f t="shared" si="6"/>
        <v>0</v>
      </c>
      <c r="H62" s="81">
        <f t="shared" si="6"/>
        <v>36.5</v>
      </c>
      <c r="I62" s="104">
        <f t="shared" si="6"/>
        <v>0</v>
      </c>
      <c r="J62" s="105"/>
      <c r="K62" s="82">
        <f>IF($E$44=0,"",100*$E62/$E$60)</f>
        <v>48.07528138623589</v>
      </c>
      <c r="L62" s="82">
        <f>IF(C62=0,"",100*E62/C62)</f>
        <v>36.86499510155714</v>
      </c>
      <c r="M62" s="34"/>
    </row>
    <row r="63" spans="2:13" ht="23.25" customHeight="1">
      <c r="B63" s="115" t="s">
        <v>98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ht="6" customHeight="1"/>
    <row r="65" spans="2:8" ht="12.75">
      <c r="B65" s="37" t="s">
        <v>16</v>
      </c>
      <c r="C65" s="106" t="s">
        <v>17</v>
      </c>
      <c r="D65" s="94"/>
      <c r="E65" s="106" t="s">
        <v>1</v>
      </c>
      <c r="F65" s="94"/>
      <c r="G65" s="16" t="s">
        <v>22</v>
      </c>
      <c r="H65" s="16" t="s">
        <v>23</v>
      </c>
    </row>
    <row r="66" spans="2:8" ht="12.75">
      <c r="B66" s="37"/>
      <c r="C66" s="107" t="s">
        <v>62</v>
      </c>
      <c r="D66" s="108"/>
      <c r="E66" s="108"/>
      <c r="F66" s="109"/>
      <c r="G66" s="110" t="s">
        <v>4</v>
      </c>
      <c r="H66" s="111"/>
    </row>
    <row r="67" spans="2:8" ht="12.75">
      <c r="B67" s="35">
        <v>1</v>
      </c>
      <c r="C67" s="67">
        <v>2</v>
      </c>
      <c r="D67" s="68"/>
      <c r="E67" s="67">
        <v>3</v>
      </c>
      <c r="F67" s="68"/>
      <c r="G67" s="36">
        <v>4</v>
      </c>
      <c r="H67" s="36">
        <v>5</v>
      </c>
    </row>
    <row r="68" spans="2:8" ht="22.5">
      <c r="B68" s="69" t="s">
        <v>51</v>
      </c>
      <c r="C68" s="40">
        <f>3224600271.57</f>
        <v>3224600271.57</v>
      </c>
      <c r="D68" s="41"/>
      <c r="E68" s="40">
        <f>1332013185.11</f>
        <v>1332013185.11</v>
      </c>
      <c r="F68" s="41"/>
      <c r="G68" s="39">
        <f>IF($E$68=0,"",100*$E68/$E$68)</f>
        <v>100</v>
      </c>
      <c r="H68" s="32">
        <f>IF(C68=0,"",100*E68/C68)</f>
        <v>41.30785439838304</v>
      </c>
    </row>
    <row r="69" spans="2:8" ht="33.75">
      <c r="B69" s="38" t="s">
        <v>86</v>
      </c>
      <c r="C69" s="42">
        <f>1884978381.71</f>
        <v>1884978381.71</v>
      </c>
      <c r="D69" s="43"/>
      <c r="E69" s="42">
        <f>54115933.97</f>
        <v>54115933.97</v>
      </c>
      <c r="F69" s="43"/>
      <c r="G69" s="52">
        <f aca="true" t="shared" si="7" ref="G69:G75">IF($E$68=0,"",100*$E69/$E$68)</f>
        <v>4.062717589806066</v>
      </c>
      <c r="H69" s="53">
        <f aca="true" t="shared" si="8" ref="H69:H80">IF(C69=0,"",100*E69/C69)</f>
        <v>2.8709047538734915</v>
      </c>
    </row>
    <row r="70" spans="2:8" ht="22.5">
      <c r="B70" s="85" t="s">
        <v>87</v>
      </c>
      <c r="C70" s="86">
        <f>187666272</f>
        <v>187666272</v>
      </c>
      <c r="D70" s="87"/>
      <c r="E70" s="86">
        <f>10000000</f>
        <v>10000000</v>
      </c>
      <c r="F70" s="87"/>
      <c r="G70" s="88">
        <f t="shared" si="7"/>
        <v>0.750743319344409</v>
      </c>
      <c r="H70" s="89">
        <f t="shared" si="8"/>
        <v>5.328608009008673</v>
      </c>
    </row>
    <row r="71" spans="2:8" ht="12.75">
      <c r="B71" s="90" t="s">
        <v>88</v>
      </c>
      <c r="C71" s="86">
        <f>33010039</f>
        <v>33010039</v>
      </c>
      <c r="D71" s="87"/>
      <c r="E71" s="86">
        <f>7028758.51</f>
        <v>7028758.51</v>
      </c>
      <c r="F71" s="87"/>
      <c r="G71" s="88">
        <f t="shared" si="7"/>
        <v>0.5276793494667662</v>
      </c>
      <c r="H71" s="89">
        <f t="shared" si="8"/>
        <v>21.292790687099764</v>
      </c>
    </row>
    <row r="72" spans="2:8" ht="12.75">
      <c r="B72" s="90" t="s">
        <v>89</v>
      </c>
      <c r="C72" s="86">
        <f>121609738</f>
        <v>121609738</v>
      </c>
      <c r="D72" s="87"/>
      <c r="E72" s="86">
        <f>187241592.62</f>
        <v>187241592.62</v>
      </c>
      <c r="F72" s="87"/>
      <c r="G72" s="88">
        <f t="shared" si="7"/>
        <v>14.057037476287238</v>
      </c>
      <c r="H72" s="89">
        <f t="shared" si="8"/>
        <v>153.96924267693103</v>
      </c>
    </row>
    <row r="73" spans="2:8" ht="12.75">
      <c r="B73" s="90" t="s">
        <v>90</v>
      </c>
      <c r="C73" s="86">
        <f>0</f>
        <v>0</v>
      </c>
      <c r="D73" s="87"/>
      <c r="E73" s="86">
        <f>0</f>
        <v>0</v>
      </c>
      <c r="F73" s="87"/>
      <c r="G73" s="88">
        <f t="shared" si="7"/>
        <v>0</v>
      </c>
      <c r="H73" s="89">
        <f t="shared" si="8"/>
      </c>
    </row>
    <row r="74" spans="2:8" ht="33.75">
      <c r="B74" s="90" t="s">
        <v>94</v>
      </c>
      <c r="C74" s="86">
        <f>885002112.86</f>
        <v>885002112.86</v>
      </c>
      <c r="D74" s="87"/>
      <c r="E74" s="86">
        <f>1083626900.01</f>
        <v>1083626900.01</v>
      </c>
      <c r="F74" s="87"/>
      <c r="G74" s="88">
        <f t="shared" si="7"/>
        <v>81.35256558443993</v>
      </c>
      <c r="H74" s="89">
        <f t="shared" si="8"/>
        <v>122.44342519229903</v>
      </c>
    </row>
    <row r="75" spans="2:8" ht="12.75">
      <c r="B75" s="85" t="s">
        <v>65</v>
      </c>
      <c r="C75" s="86">
        <f>300000000</f>
        <v>300000000</v>
      </c>
      <c r="D75" s="87"/>
      <c r="E75" s="86">
        <f>0</f>
        <v>0</v>
      </c>
      <c r="F75" s="87"/>
      <c r="G75" s="88">
        <f t="shared" si="7"/>
        <v>0</v>
      </c>
      <c r="H75" s="89">
        <f t="shared" si="8"/>
        <v>0</v>
      </c>
    </row>
    <row r="76" spans="2:8" ht="22.5">
      <c r="B76" s="69" t="s">
        <v>52</v>
      </c>
      <c r="C76" s="49">
        <f>1218707525.33</f>
        <v>1218707525.33</v>
      </c>
      <c r="D76" s="50"/>
      <c r="E76" s="49">
        <f>295744347.95</f>
        <v>295744347.95</v>
      </c>
      <c r="F76" s="50"/>
      <c r="G76" s="39">
        <f>IF($E$76=0,"",100*$E76/$E$76)</f>
        <v>100</v>
      </c>
      <c r="H76" s="32">
        <f t="shared" si="8"/>
        <v>24.26704863990388</v>
      </c>
    </row>
    <row r="77" spans="2:8" ht="33.75">
      <c r="B77" s="38" t="s">
        <v>91</v>
      </c>
      <c r="C77" s="42">
        <f>897994979.33</f>
        <v>897994979.33</v>
      </c>
      <c r="D77" s="47"/>
      <c r="E77" s="48">
        <f>284636886.95</f>
        <v>284636886.95</v>
      </c>
      <c r="F77" s="47"/>
      <c r="G77" s="52">
        <f>IF($E$76=0,"",100*$E77/$E$76)</f>
        <v>96.24423557812916</v>
      </c>
      <c r="H77" s="53">
        <f t="shared" si="8"/>
        <v>31.696935228120033</v>
      </c>
    </row>
    <row r="78" spans="2:8" ht="22.5">
      <c r="B78" s="90" t="s">
        <v>92</v>
      </c>
      <c r="C78" s="86">
        <f>133526340</f>
        <v>133526340</v>
      </c>
      <c r="D78" s="87"/>
      <c r="E78" s="86">
        <f>0</f>
        <v>0</v>
      </c>
      <c r="F78" s="87"/>
      <c r="G78" s="88">
        <f>IF($E$76=0,"",100*$E78/$E$76)</f>
        <v>0</v>
      </c>
      <c r="H78" s="89">
        <f t="shared" si="8"/>
        <v>0</v>
      </c>
    </row>
    <row r="79" spans="2:8" ht="12.75">
      <c r="B79" s="90" t="s">
        <v>93</v>
      </c>
      <c r="C79" s="86">
        <f>20712546</f>
        <v>20712546</v>
      </c>
      <c r="D79" s="87"/>
      <c r="E79" s="86">
        <f>11107461</f>
        <v>11107461</v>
      </c>
      <c r="F79" s="87"/>
      <c r="G79" s="88">
        <f>IF($E$76=0,"",100*$E79/$E$76)</f>
        <v>3.7557644218708393</v>
      </c>
      <c r="H79" s="89">
        <f t="shared" si="8"/>
        <v>53.62672942283387</v>
      </c>
    </row>
    <row r="80" spans="2:8" ht="12.75">
      <c r="B80" s="90" t="s">
        <v>24</v>
      </c>
      <c r="C80" s="86">
        <f>300000000</f>
        <v>300000000</v>
      </c>
      <c r="D80" s="87"/>
      <c r="E80" s="86">
        <f>0</f>
        <v>0</v>
      </c>
      <c r="F80" s="87"/>
      <c r="G80" s="88">
        <f>IF($E$76=0,"",100*$E80/$E$76)</f>
        <v>0</v>
      </c>
      <c r="H80" s="89">
        <f t="shared" si="8"/>
        <v>0</v>
      </c>
    </row>
    <row r="82" spans="2:8" ht="12.75">
      <c r="B82" s="37" t="s">
        <v>16</v>
      </c>
      <c r="C82" s="106" t="s">
        <v>17</v>
      </c>
      <c r="D82" s="94"/>
      <c r="E82" s="106" t="s">
        <v>1</v>
      </c>
      <c r="F82" s="94"/>
      <c r="G82" s="16" t="s">
        <v>22</v>
      </c>
      <c r="H82" s="16" t="s">
        <v>23</v>
      </c>
    </row>
    <row r="83" spans="2:8" ht="12.75">
      <c r="B83" s="37"/>
      <c r="C83" s="107" t="s">
        <v>62</v>
      </c>
      <c r="D83" s="108"/>
      <c r="E83" s="108"/>
      <c r="F83" s="109"/>
      <c r="G83" s="110" t="s">
        <v>4</v>
      </c>
      <c r="H83" s="111"/>
    </row>
    <row r="84" spans="2:8" ht="12.75">
      <c r="B84" s="35">
        <v>1</v>
      </c>
      <c r="C84" s="67">
        <v>2</v>
      </c>
      <c r="D84" s="68"/>
      <c r="E84" s="67">
        <v>3</v>
      </c>
      <c r="F84" s="68"/>
      <c r="G84" s="36">
        <v>4</v>
      </c>
      <c r="H84" s="36">
        <v>5</v>
      </c>
    </row>
    <row r="85" spans="2:8" ht="22.5">
      <c r="B85" s="51" t="s">
        <v>66</v>
      </c>
      <c r="C85" s="46">
        <f>2005892746.24</f>
        <v>2005892746.24</v>
      </c>
      <c r="D85" s="44"/>
      <c r="E85" s="46">
        <f>0</f>
        <v>0</v>
      </c>
      <c r="F85" s="41"/>
      <c r="G85" s="39"/>
      <c r="H85" s="32"/>
    </row>
    <row r="86" spans="2:8" ht="56.25">
      <c r="B86" s="91" t="s">
        <v>67</v>
      </c>
      <c r="C86" s="86">
        <f>61287956</f>
        <v>61287956</v>
      </c>
      <c r="D86" s="87"/>
      <c r="E86" s="86">
        <f>0</f>
        <v>0</v>
      </c>
      <c r="F86" s="87"/>
      <c r="G86" s="88"/>
      <c r="H86" s="89"/>
    </row>
    <row r="87" spans="2:8" ht="12.75">
      <c r="B87" s="91" t="s">
        <v>68</v>
      </c>
      <c r="C87" s="86">
        <f>1155751921.24</f>
        <v>1155751921.24</v>
      </c>
      <c r="D87" s="87"/>
      <c r="E87" s="86">
        <f>0</f>
        <v>0</v>
      </c>
      <c r="F87" s="87"/>
      <c r="G87" s="88"/>
      <c r="H87" s="89"/>
    </row>
    <row r="88" spans="2:8" ht="22.5">
      <c r="B88" s="91" t="s">
        <v>69</v>
      </c>
      <c r="C88" s="86">
        <f>0</f>
        <v>0</v>
      </c>
      <c r="D88" s="87"/>
      <c r="E88" s="86">
        <f>0</f>
        <v>0</v>
      </c>
      <c r="F88" s="87"/>
      <c r="G88" s="88"/>
      <c r="H88" s="89"/>
    </row>
    <row r="89" spans="2:8" ht="33.75">
      <c r="B89" s="91" t="s">
        <v>70</v>
      </c>
      <c r="C89" s="86">
        <f>99506863</f>
        <v>99506863</v>
      </c>
      <c r="D89" s="87"/>
      <c r="E89" s="86">
        <f>0</f>
        <v>0</v>
      </c>
      <c r="F89" s="87"/>
      <c r="G89" s="88"/>
      <c r="H89" s="89"/>
    </row>
    <row r="90" spans="2:8" ht="101.25">
      <c r="B90" s="91" t="s">
        <v>71</v>
      </c>
      <c r="C90" s="86">
        <f>689346006</f>
        <v>689346006</v>
      </c>
      <c r="D90" s="87"/>
      <c r="E90" s="86">
        <f>0</f>
        <v>0</v>
      </c>
      <c r="F90" s="87"/>
      <c r="G90" s="88"/>
      <c r="H90" s="89"/>
    </row>
    <row r="92" spans="2:6" ht="12.75">
      <c r="B92" s="70" t="s">
        <v>16</v>
      </c>
      <c r="C92" s="106" t="s">
        <v>97</v>
      </c>
      <c r="D92" s="93"/>
      <c r="E92" s="93"/>
      <c r="F92" s="94"/>
    </row>
    <row r="93" spans="2:6" ht="12.75">
      <c r="B93" s="37"/>
      <c r="C93" s="107" t="s">
        <v>62</v>
      </c>
      <c r="D93" s="108"/>
      <c r="E93" s="108"/>
      <c r="F93" s="109"/>
    </row>
    <row r="94" spans="2:6" ht="12.75">
      <c r="B94" s="35">
        <v>1</v>
      </c>
      <c r="C94" s="95">
        <v>2</v>
      </c>
      <c r="D94" s="96"/>
      <c r="E94" s="96"/>
      <c r="F94" s="97"/>
    </row>
    <row r="95" spans="2:6" ht="56.25">
      <c r="B95" s="51" t="s">
        <v>72</v>
      </c>
      <c r="C95" s="92">
        <f>179367909.78</f>
        <v>179367909.78</v>
      </c>
      <c r="D95" s="93"/>
      <c r="E95" s="93"/>
      <c r="F95" s="94"/>
    </row>
    <row r="96" spans="2:6" ht="41.25" customHeight="1">
      <c r="B96" s="45" t="s">
        <v>73</v>
      </c>
      <c r="C96" s="92">
        <f>31423779.15</f>
        <v>31423779.15</v>
      </c>
      <c r="D96" s="93"/>
      <c r="E96" s="93"/>
      <c r="F96" s="94"/>
    </row>
    <row r="97" spans="2:6" ht="45">
      <c r="B97" s="45" t="s">
        <v>74</v>
      </c>
      <c r="C97" s="92">
        <f>14417790.63</f>
        <v>14417790.63</v>
      </c>
      <c r="D97" s="93"/>
      <c r="E97" s="93"/>
      <c r="F97" s="94"/>
    </row>
    <row r="98" spans="2:6" ht="69" customHeight="1">
      <c r="B98" s="45" t="s">
        <v>75</v>
      </c>
      <c r="C98" s="92">
        <f>0</f>
        <v>0</v>
      </c>
      <c r="D98" s="93"/>
      <c r="E98" s="93"/>
      <c r="F98" s="94"/>
    </row>
    <row r="99" spans="2:6" ht="56.25">
      <c r="B99" s="45" t="s">
        <v>76</v>
      </c>
      <c r="C99" s="92">
        <f>133526340</f>
        <v>133526340</v>
      </c>
      <c r="D99" s="93"/>
      <c r="E99" s="93"/>
      <c r="F99" s="94"/>
    </row>
    <row r="100" spans="2:6" ht="56.25">
      <c r="B100" s="91" t="s">
        <v>77</v>
      </c>
      <c r="C100" s="92">
        <f>0</f>
        <v>0</v>
      </c>
      <c r="D100" s="93"/>
      <c r="E100" s="93"/>
      <c r="F100" s="94"/>
    </row>
    <row r="101" spans="2:6" ht="45">
      <c r="B101" s="91" t="s">
        <v>78</v>
      </c>
      <c r="C101" s="92">
        <f>0</f>
        <v>0</v>
      </c>
      <c r="D101" s="93"/>
      <c r="E101" s="93"/>
      <c r="F101" s="94"/>
    </row>
    <row r="102" spans="2:6" ht="90">
      <c r="B102" s="91" t="s">
        <v>95</v>
      </c>
      <c r="C102" s="92">
        <f>0</f>
        <v>0</v>
      </c>
      <c r="D102" s="93"/>
      <c r="E102" s="93"/>
      <c r="F102" s="94"/>
    </row>
    <row r="103" spans="2:6" ht="90">
      <c r="B103" s="91" t="s">
        <v>96</v>
      </c>
      <c r="C103" s="92">
        <f>0</f>
        <v>0</v>
      </c>
      <c r="D103" s="93"/>
      <c r="E103" s="93"/>
      <c r="F103" s="94"/>
    </row>
  </sheetData>
  <sheetProtection/>
  <mergeCells count="56">
    <mergeCell ref="C42:J42"/>
    <mergeCell ref="C3:E3"/>
    <mergeCell ref="C66:F66"/>
    <mergeCell ref="G66:H66"/>
    <mergeCell ref="L39:L41"/>
    <mergeCell ref="B2:B3"/>
    <mergeCell ref="C39:C41"/>
    <mergeCell ref="B39:B42"/>
    <mergeCell ref="K39:K41"/>
    <mergeCell ref="K42:L42"/>
    <mergeCell ref="I43:J43"/>
    <mergeCell ref="I46:J46"/>
    <mergeCell ref="I47:J47"/>
    <mergeCell ref="I49:J49"/>
    <mergeCell ref="I44:J44"/>
    <mergeCell ref="I45:J45"/>
    <mergeCell ref="I48:J48"/>
    <mergeCell ref="B1:M1"/>
    <mergeCell ref="B63:M63"/>
    <mergeCell ref="I39:J41"/>
    <mergeCell ref="D39:D41"/>
    <mergeCell ref="E39:E41"/>
    <mergeCell ref="F40:F41"/>
    <mergeCell ref="F39:H39"/>
    <mergeCell ref="G40:H40"/>
    <mergeCell ref="F3:H3"/>
    <mergeCell ref="B37:M37"/>
    <mergeCell ref="I50:J50"/>
    <mergeCell ref="I51:J51"/>
    <mergeCell ref="I52:J52"/>
    <mergeCell ref="I53:J53"/>
    <mergeCell ref="I55:J55"/>
    <mergeCell ref="I56:J56"/>
    <mergeCell ref="I54:J54"/>
    <mergeCell ref="C93:F93"/>
    <mergeCell ref="C82:D82"/>
    <mergeCell ref="E82:F82"/>
    <mergeCell ref="C83:F83"/>
    <mergeCell ref="G83:H83"/>
    <mergeCell ref="C92:F92"/>
    <mergeCell ref="I57:J57"/>
    <mergeCell ref="I60:J60"/>
    <mergeCell ref="I61:J61"/>
    <mergeCell ref="I62:J62"/>
    <mergeCell ref="C65:D65"/>
    <mergeCell ref="E65:F65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C99:F99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2" max="255" man="1"/>
    <brk id="9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2018-08-22T13:29:33Z</dcterms:modified>
  <cp:category/>
  <cp:version/>
  <cp:contentType/>
  <cp:contentStatus/>
</cp:coreProperties>
</file>