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anna.cendrowska\Desktop\"/>
    </mc:Choice>
  </mc:AlternateContent>
  <xr:revisionPtr revIDLastSave="0" documentId="8_{91450A9D-8546-4606-9F3B-9397338B0DC7}" xr6:coauthVersionLast="47" xr6:coauthVersionMax="47" xr10:uidLastSave="{00000000-0000-0000-0000-000000000000}"/>
  <bookViews>
    <workbookView xWindow="-108" yWindow="-108" windowWidth="23256" windowHeight="12456" activeTab="2" xr2:uid="{00000000-000D-0000-FFFF-FFFF00000000}"/>
  </bookViews>
  <sheets>
    <sheet name="Introduction " sheetId="3" r:id="rId1"/>
    <sheet name="Annual Report" sheetId="19" r:id="rId2"/>
    <sheet name="Overview Planned Investments" sheetId="21" r:id="rId3"/>
    <sheet name=" Menu rozwijane" sheetId="6" state="hidden" r:id="rId4"/>
  </sheets>
  <definedNames>
    <definedName name="_xlnm._FilterDatabase" localSheetId="1" hidden="1">'Annual Report'!$A$4:$AH$26</definedName>
    <definedName name="_ftn1" localSheetId="1">'Annual Report'!$I$29</definedName>
    <definedName name="_ftnref1" localSheetId="1">'Annual Report'!$I$26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1" l="1"/>
  <c r="H7" i="21"/>
  <c r="H5" i="21"/>
  <c r="P23" i="19" l="1"/>
  <c r="P16" i="19"/>
  <c r="O16" i="19"/>
  <c r="O13" i="19"/>
  <c r="P11" i="19"/>
  <c r="P21" i="19"/>
  <c r="O21" i="19"/>
  <c r="W21" i="19"/>
  <c r="V21" i="19"/>
  <c r="U21" i="19"/>
  <c r="T21" i="19"/>
  <c r="S21" i="19"/>
  <c r="O23" i="19"/>
  <c r="Y23" i="19" s="1"/>
  <c r="V23" i="19"/>
  <c r="S23" i="19"/>
  <c r="T23" i="19" s="1"/>
  <c r="U18" i="19"/>
  <c r="V18" i="19" s="1"/>
  <c r="V17" i="19"/>
  <c r="U17" i="19"/>
  <c r="U14" i="19"/>
  <c r="V14" i="19" s="1"/>
  <c r="Z23" i="19" l="1"/>
  <c r="V13" i="19"/>
  <c r="Z13" i="19" s="1"/>
  <c r="U13" i="19"/>
  <c r="Y13" i="19" s="1"/>
  <c r="T13" i="19"/>
  <c r="S13" i="19"/>
  <c r="U12" i="19"/>
  <c r="V12" i="19" s="1"/>
  <c r="S12" i="19"/>
  <c r="T12" i="19" s="1"/>
  <c r="V11" i="19"/>
  <c r="T11" i="19"/>
  <c r="T10" i="19"/>
  <c r="V8" i="19"/>
  <c r="U8" i="19"/>
  <c r="S8" i="19"/>
  <c r="T8" i="19" s="1"/>
  <c r="U7" i="19"/>
  <c r="V7" i="19" s="1"/>
  <c r="U6" i="19"/>
  <c r="V6" i="19" s="1"/>
  <c r="Z16" i="19"/>
  <c r="Z21" i="19"/>
  <c r="Y16" i="19"/>
  <c r="Y21" i="19"/>
  <c r="P17" i="19" l="1"/>
  <c r="O17" i="19"/>
  <c r="O19" i="19"/>
  <c r="O18" i="19"/>
  <c r="O15" i="19"/>
  <c r="P14" i="19"/>
  <c r="O14" i="19"/>
  <c r="P13" i="19"/>
  <c r="P12" i="19"/>
  <c r="O12" i="19"/>
  <c r="Z12" i="19" s="1"/>
  <c r="O11" i="19"/>
  <c r="Y11" i="19" s="1"/>
  <c r="O10" i="19"/>
  <c r="O8" i="19"/>
  <c r="Z8" i="19" s="1"/>
  <c r="P7" i="19"/>
  <c r="O7" i="19"/>
  <c r="Z7" i="19" s="1"/>
  <c r="P6" i="19"/>
  <c r="O6" i="19"/>
  <c r="Y6" i="19" s="1"/>
  <c r="P5" i="19"/>
  <c r="O5" i="19"/>
  <c r="N17" i="19"/>
  <c r="N13" i="19"/>
  <c r="Z11" i="19" l="1"/>
  <c r="Y12" i="19"/>
  <c r="Y7" i="19"/>
  <c r="Y15" i="19"/>
  <c r="Z15" i="19"/>
  <c r="Y10" i="19"/>
  <c r="Z10" i="19"/>
  <c r="Z19" i="19"/>
  <c r="Y19" i="19"/>
  <c r="Z14" i="19"/>
  <c r="Y14" i="19"/>
  <c r="Y8" i="19"/>
  <c r="Z18" i="19"/>
  <c r="Y18" i="19"/>
  <c r="Z5" i="19"/>
  <c r="Y5" i="19"/>
  <c r="Z17" i="19"/>
  <c r="Y17" i="19"/>
  <c r="Z6" i="19"/>
  <c r="M17" i="19"/>
  <c r="L17" i="19"/>
  <c r="N6" i="19"/>
  <c r="N5" i="19"/>
  <c r="N21" i="19" l="1"/>
  <c r="N18" i="19"/>
  <c r="N8" i="19"/>
  <c r="N14" i="19"/>
  <c r="N7" i="19"/>
  <c r="N20" i="19"/>
  <c r="N19" i="19"/>
  <c r="N16" i="19"/>
  <c r="N11" i="19"/>
  <c r="N10" i="19"/>
  <c r="N9" i="19"/>
</calcChain>
</file>

<file path=xl/sharedStrings.xml><?xml version="1.0" encoding="utf-8"?>
<sst xmlns="http://schemas.openxmlformats.org/spreadsheetml/2006/main" count="611" uniqueCount="217">
  <si>
    <t>CLIMA-MODFUND@ec.europa.eu</t>
  </si>
  <si>
    <t>Bułgaria</t>
  </si>
  <si>
    <t>bMS</t>
  </si>
  <si>
    <t>Rok</t>
  </si>
  <si>
    <t>Kolumna 1</t>
  </si>
  <si>
    <t>Kolumna 2</t>
  </si>
  <si>
    <t>-</t>
  </si>
  <si>
    <t>Czechy</t>
  </si>
  <si>
    <t>Estonia</t>
  </si>
  <si>
    <t>Grecja</t>
  </si>
  <si>
    <t>Chorwacja</t>
  </si>
  <si>
    <t>Łotwa</t>
  </si>
  <si>
    <t>Litwa</t>
  </si>
  <si>
    <t>Węgry</t>
  </si>
  <si>
    <t>Polska</t>
  </si>
  <si>
    <t>Portugalia</t>
  </si>
  <si>
    <t>Rumunia</t>
  </si>
  <si>
    <t>Słowenia</t>
  </si>
  <si>
    <t>Słowacja</t>
  </si>
  <si>
    <t>nie dotyczy</t>
  </si>
  <si>
    <t>MF 2021-1 PL 0-004</t>
  </si>
  <si>
    <t>MF 2021-1 PL 0-003</t>
  </si>
  <si>
    <t>MF 2021-2 PL 0-001</t>
  </si>
  <si>
    <t>MF 2021-2 PL 0-002</t>
  </si>
  <si>
    <t>MF 2021-2 PL 0-003</t>
  </si>
  <si>
    <t>MF 2021-2 PL 0-004</t>
  </si>
  <si>
    <t>MF 2021-2 PL 0-005</t>
  </si>
  <si>
    <t>MF 2022-1 PL 0-004</t>
  </si>
  <si>
    <t>MF 2022-1 PL 0-003</t>
  </si>
  <si>
    <t>MF 2022-2 PL 0-001</t>
  </si>
  <si>
    <t>MF 2022-2 PL 0-002</t>
  </si>
  <si>
    <t>MF 2022-2 PL 0-003</t>
  </si>
  <si>
    <t>MF 2022-2 PL 0-004</t>
  </si>
  <si>
    <t>MF 2022-2 PL 1-001</t>
  </si>
  <si>
    <t>MF 2021-2 PL 0-004 MF 2022-1 PL 0-001 MF 2022-1 PL 0-007 MF 2023-1 PL 0-001</t>
  </si>
  <si>
    <t>MF 2023-1 PL 0-002</t>
  </si>
  <si>
    <t>MF 2023-2 PL 0-001</t>
  </si>
  <si>
    <t>MF 2021-1 PL 0-006</t>
  </si>
  <si>
    <t>MF 2021-1 PL 0-006 MF 2023-2 PL 0-003</t>
  </si>
  <si>
    <t>MF 2021-2 PL 1-001</t>
  </si>
  <si>
    <t>MF 2021-2 PL 1-001 MF 2022-2 PL 1-002</t>
  </si>
  <si>
    <t>https://www.gov.pl/web/funduszmodernizacyjny/podstawy-prawne Program Priorytetowe w ramach środków z Funduszu Modernizacyjnego - Fundusz Modernizacyjny - Portal Gov.pl (www.gov.pl)</t>
  </si>
  <si>
    <t>Wsparcie wykorzystania magazynów oraz innych urządzeń na cele stabilizacji sieci - program dla Operatorów Sieci Dystrybucyjnych - Fundusz Modernizacyjny - Portal Gov.pl (www.gov.pl)</t>
  </si>
  <si>
    <t xml:space="preserve"> MF 2023-2 PL 0-002</t>
  </si>
  <si>
    <t>MF 2024-1 PL 0-005</t>
  </si>
  <si>
    <t>https://www.gov.pl/web/funduszmodernizacyjny/wsparcie-budowy-ilub-rozbudowy-ogolnodostepnych-stacji-ladowania-dla-transportu-ciezkiego</t>
  </si>
  <si>
    <t>MF 2024-1 PL 0-007</t>
  </si>
  <si>
    <t>https://www.gov.pl/web/funduszmodernizacyjny/moja-elektrownia-wiatrowa</t>
  </si>
  <si>
    <t>MF 2024-2 PL 0-001</t>
  </si>
  <si>
    <t>MF 2024-2 PL 0-002</t>
  </si>
  <si>
    <t>MF 2024-2 PL 0-005</t>
  </si>
  <si>
    <t>https://www.gov.pl/web/funduszmodernizacyjny/magazyny</t>
  </si>
  <si>
    <t>https://www.gov.pl/web/funduszmodernizacyjny/budowarozbudowa-sieci-elektroenergetycznych-na-potrzeby-ogolnodostepnych-stacji-ladowania-duzych-mocy</t>
  </si>
  <si>
    <t>https://www.gov.pl/web/funduszmodernizacyjny/wsparcie-zakupu-lub-leasingu-pojazdow-zeroemisyjnych-kategorii-n2-i-n3</t>
  </si>
  <si>
    <t xml:space="preserve">https://www.gov.pl/web/funduszmodernizacyjny/energia-dla-wsi2 </t>
  </si>
  <si>
    <t>MF 2022-2 PL 0-003
MF 2024-2 PL 0-003</t>
  </si>
  <si>
    <t>Not started</t>
  </si>
  <si>
    <t>Tender ongoing</t>
  </si>
  <si>
    <t>2025.04.07 - 2025.04.25</t>
  </si>
  <si>
    <t xml:space="preserve">konsultacje zakończone w dniu 25 kwietnia - odpowiedź jest w trakcie opracowywywania - zostanie niezwłocznie opublikowana na stronie WWW </t>
  </si>
  <si>
    <t>do uzgodnienia</t>
  </si>
  <si>
    <t>Modernisation Fund Annual Report Template</t>
  </si>
  <si>
    <t>Introduction to the Excel-tool "Modernisation_Fund_Annual_Report_Template.xlsx"</t>
  </si>
  <si>
    <t xml:space="preserve">
The "Modernisation_Fund_Annual_Report_Template.xlsx" is a resource drafted by the European Commission, Directorate-General for Climate Action, designed to streamline the data submission process for the annual reports of beneficiary Member States. </t>
  </si>
  <si>
    <t>Article 13 of  the Commission Implementing Regulation (EU) 2020/1001 provides that beneficiary Member States shall monitor the implementation of investments financed from the Modernisation Fund and submit to the Commission their annual report for the preceding year containing information specified in Annex II of the Implementing Regulation (EU) 2020/1001. The annual report shall be be accompanied by an overview of the investments in respect of which the beneficiary Member State intends to submit investment proposals in the next two calendar years, with an outlook until 2030, as well as by updated information on investments covered by any previous overview. The relevant stakeholders should be consulted on the draft overview of the planned investments.</t>
  </si>
  <si>
    <r>
      <rPr>
        <u/>
        <sz val="11"/>
        <color rgb="FF000000"/>
        <rFont val="Calibri"/>
        <family val="2"/>
        <charset val="238"/>
        <scheme val="minor"/>
      </rPr>
      <t xml:space="preserve">This template for annual reports provides 3 worksheets:
</t>
    </r>
    <r>
      <rPr>
        <sz val="11"/>
        <color rgb="FF000000"/>
        <rFont val="Calibri"/>
        <family val="2"/>
        <charset val="238"/>
        <scheme val="minor"/>
      </rPr>
      <t xml:space="preserve">
1. The worksheet labeled</t>
    </r>
    <r>
      <rPr>
        <i/>
        <sz val="11"/>
        <color rgb="FF000000"/>
        <rFont val="Calibri"/>
        <family val="2"/>
        <charset val="238"/>
        <scheme val="minor"/>
      </rPr>
      <t xml:space="preserve"> </t>
    </r>
    <r>
      <rPr>
        <b/>
        <i/>
        <sz val="11"/>
        <color rgb="FF000000"/>
        <rFont val="Calibri"/>
        <family val="2"/>
        <charset val="238"/>
        <scheme val="minor"/>
      </rPr>
      <t>'Introduction'</t>
    </r>
    <r>
      <rPr>
        <sz val="11"/>
        <color rgb="FF000000"/>
        <rFont val="Calibri"/>
        <family val="2"/>
        <charset val="238"/>
        <scheme val="minor"/>
      </rPr>
      <t xml:space="preserve"> offers an explanation of the template. It contains a dropdown menu that allows you to configure the template according to the beneficary member state and the corresponding year of the annual report.
2. The worksheet named </t>
    </r>
    <r>
      <rPr>
        <b/>
        <i/>
        <sz val="11"/>
        <color rgb="FF000000"/>
        <rFont val="Calibri"/>
        <family val="2"/>
        <charset val="238"/>
        <scheme val="minor"/>
      </rPr>
      <t>'Annual Report'</t>
    </r>
    <r>
      <rPr>
        <sz val="11"/>
        <color rgb="FF000000"/>
        <rFont val="Calibri"/>
        <family val="2"/>
        <charset val="238"/>
        <scheme val="minor"/>
      </rPr>
      <t xml:space="preserve"> you will find a request for information according to </t>
    </r>
    <r>
      <rPr>
        <b/>
        <sz val="11"/>
        <color rgb="FF000000"/>
        <rFont val="Calibri"/>
        <family val="2"/>
        <charset val="238"/>
        <scheme val="minor"/>
      </rPr>
      <t>Annex II of the Implementing Regulation (EU) 2020/1001</t>
    </r>
    <r>
      <rPr>
        <sz val="11"/>
        <color rgb="FF000000"/>
        <rFont val="Calibri"/>
        <family val="2"/>
        <charset val="238"/>
        <scheme val="minor"/>
      </rPr>
      <t xml:space="preserve">. The requested information is categorised into 6 categories.
</t>
    </r>
  </si>
  <si>
    <r>
      <rPr>
        <sz val="11"/>
        <color rgb="FF000000"/>
        <rFont val="Calibri"/>
        <family val="2"/>
        <charset val="238"/>
        <scheme val="minor"/>
      </rPr>
      <t xml:space="preserve">3. The worksheet titled </t>
    </r>
    <r>
      <rPr>
        <b/>
        <i/>
        <sz val="11"/>
        <color rgb="FF000000"/>
        <rFont val="Calibri"/>
        <family val="2"/>
        <charset val="238"/>
        <scheme val="minor"/>
      </rPr>
      <t>'Overview Planned Investments'</t>
    </r>
    <r>
      <rPr>
        <sz val="11"/>
        <color rgb="FF000000"/>
        <rFont val="Calibri"/>
        <family val="2"/>
        <charset val="238"/>
        <scheme val="minor"/>
      </rPr>
      <t xml:space="preserve"> requires supplementary details according to </t>
    </r>
    <r>
      <rPr>
        <b/>
        <sz val="11"/>
        <color rgb="FF000000"/>
        <rFont val="Calibri"/>
        <family val="2"/>
        <charset val="238"/>
        <scheme val="minor"/>
      </rPr>
      <t>Annex III of the Implementing Regulation (EU) 2020/1001</t>
    </r>
    <r>
      <rPr>
        <sz val="11"/>
        <color rgb="FF000000"/>
        <rFont val="Calibri"/>
        <family val="2"/>
        <charset val="238"/>
        <scheme val="minor"/>
      </rPr>
      <t xml:space="preserve"> and </t>
    </r>
    <r>
      <rPr>
        <i/>
        <sz val="11"/>
        <color rgb="FF000000"/>
        <rFont val="Calibri"/>
        <family val="2"/>
        <charset val="238"/>
        <scheme val="minor"/>
      </rPr>
      <t>'shall be accompanied by an overview of the investments in respect of which the beneficiary Member State intends to submit investment proposals in the next two calendar years, with an outlook until 2030, as well as by updated information on investments covered by any previous overview.'</t>
    </r>
  </si>
  <si>
    <t xml:space="preserve">We welcome any improvement suggestions for the tool from the beneficiary Member States. Please feel free to contact via the following email addresses:                                                                                        </t>
  </si>
  <si>
    <t xml:space="preserve">copying EIB (European Investment Bank): </t>
  </si>
  <si>
    <t xml:space="preserve">Modernisation-fund@eib.org  </t>
  </si>
  <si>
    <t xml:space="preserve">Year of Annual Report: </t>
  </si>
  <si>
    <t xml:space="preserve">Beneficary Member State (Dropdown Menu): </t>
  </si>
  <si>
    <t>Poland</t>
  </si>
  <si>
    <t>should we already add the new bMS?</t>
  </si>
  <si>
    <t>Number</t>
  </si>
  <si>
    <t>Reference of the investment (as indicated in the applicable disbursement decision)</t>
  </si>
  <si>
    <t>Reference of the subsequent disbursements (if any)</t>
  </si>
  <si>
    <t>Name of the investment (as indicated in the relevant disbursement decision)</t>
  </si>
  <si>
    <t>Priority or non-riority</t>
  </si>
  <si>
    <t>Type of investment</t>
  </si>
  <si>
    <t>Implementation status</t>
  </si>
  <si>
    <t>Link to national legal basis for the scheme (not applicable to projects)</t>
  </si>
  <si>
    <t xml:space="preserve">Final beneficiary of the support (in case of schemes, please list the final beneficiaries that have been awarded support to date) </t>
  </si>
  <si>
    <t>Location of the investment (for schemes, provide locations of all investments funded)</t>
  </si>
  <si>
    <r>
      <t xml:space="preserve">Total investment costs/total volume of the scheme/project </t>
    </r>
    <r>
      <rPr>
        <sz val="12"/>
        <color rgb="FF00B050"/>
        <rFont val="Calibri"/>
        <family val="2"/>
        <scheme val="minor"/>
      </rPr>
      <t xml:space="preserve">with VAT </t>
    </r>
    <r>
      <rPr>
        <sz val="12"/>
        <rFont val="Calibri"/>
        <family val="2"/>
        <scheme val="minor"/>
      </rPr>
      <t>in EUR</t>
    </r>
  </si>
  <si>
    <r>
      <t xml:space="preserve">Total investment costs/total volume of the scheme/project </t>
    </r>
    <r>
      <rPr>
        <sz val="12"/>
        <color theme="5"/>
        <rFont val="Calibri"/>
        <family val="2"/>
        <scheme val="minor"/>
      </rPr>
      <t>without VAT</t>
    </r>
    <r>
      <rPr>
        <sz val="12"/>
        <color theme="1"/>
        <rFont val="Calibri"/>
        <family val="2"/>
        <scheme val="minor"/>
      </rPr>
      <t xml:space="preserve"> in EUR</t>
    </r>
  </si>
  <si>
    <t>Total planned support from the Modernisation Fund for the investment in EUR</t>
  </si>
  <si>
    <t>Total confirmed/recommended support from the Modernisation Fund for the investment in EUR</t>
  </si>
  <si>
    <t>Total amount covered by a legal commitment between the beneficiary Member State/managing authority and the project proponent/final recipients of Modernisation Fund support (cut-off date: 31 December of the year preceding report submission) (for schemes: aggregated figure) in EUR</t>
  </si>
  <si>
    <t>Total amount paid by the beneficiary Member State/scheme managing authority to the project proponent/final recipients of Modernisation support (cut-off date: 31 December of the year preceding report submission) (for schemes: aggregated figure) in EUR</t>
  </si>
  <si>
    <t>Any amounts recovered by the beneficiary Member State from the project proponent or the scheme managing authority, and the dates of recovery</t>
  </si>
  <si>
    <t>Confirmation of co-financing from private sources (for non-priority investments)</t>
  </si>
  <si>
    <r>
      <t xml:space="preserve">An assessment of the added value of the investment in terms of energy efficiency and modernisation of the energy system, including information on the following (for schemes: aggregated figures). 
</t>
    </r>
    <r>
      <rPr>
        <b/>
        <sz val="12"/>
        <color theme="1"/>
        <rFont val="Calibri"/>
        <family val="2"/>
        <scheme val="minor"/>
      </rPr>
      <t xml:space="preserve">Please provide explanations where needed. </t>
    </r>
  </si>
  <si>
    <t>Was the investment included in a preceding overview of planned investments in accordance with Article 13(2), and if so, which one. 
Format: [Yes/No, Year]</t>
  </si>
  <si>
    <t>Milestones achieved since the previous annual report; (for schemes, this can include, for instance, information about calls for proposals, project selection, agreements concluded with the final recipients of Modernisation Fund support)</t>
  </si>
  <si>
    <t>For investments other than schemes: expected entry into operation [Date: XX/YY/20ZZ]</t>
  </si>
  <si>
    <t>Identified or expected delays in implementation</t>
  </si>
  <si>
    <t xml:space="preserve">
For investments other than schemes: 
identified or expected changes in eligible costs, technology applied or results of an investment</t>
  </si>
  <si>
    <t xml:space="preserve">Description of and links to audits undertaken at national level in accordance with Article 16(4) of the Implementing Regulation 2020/1001 </t>
  </si>
  <si>
    <t xml:space="preserve">
For large-scale projects and large-scale schemes, when reporting on the project or scheme for the first time: overview of the consultation carried out.</t>
  </si>
  <si>
    <t>Explanation of how the investment complies with the 'Do-no-significant-harm' criteria, in accordance with Article 10f of the Directive 2003/87/EC (only applicable for investments approved after 1 January 2025)</t>
  </si>
  <si>
    <t>Energy saved in MWh</t>
  </si>
  <si>
    <t xml:space="preserve"> Greenhouse gas emissions saved in tCO2 </t>
  </si>
  <si>
    <t xml:space="preserve"> Additional renewable energy capacity installed, if applicable, in MW</t>
  </si>
  <si>
    <t xml:space="preserve"> Abatement costs in EUR/tCO2 (if applicable given the nature of the investment)</t>
  </si>
  <si>
    <t xml:space="preserve">	
by 31 December of the year preceding report submission</t>
  </si>
  <si>
    <t xml:space="preserve">	
expected cumulative amount by the end of the investment lifetime</t>
  </si>
  <si>
    <r>
      <rPr>
        <sz val="16"/>
        <color theme="1"/>
        <rFont val="Calibri"/>
        <family val="2"/>
        <scheme val="minor"/>
      </rPr>
      <t>General information</t>
    </r>
    <r>
      <rPr>
        <sz val="11"/>
        <color theme="1"/>
        <rFont val="Calibri"/>
        <family val="2"/>
        <charset val="238"/>
        <scheme val="minor"/>
      </rPr>
      <t xml:space="preserve"> </t>
    </r>
  </si>
  <si>
    <t>Financial information</t>
  </si>
  <si>
    <t xml:space="preserve">Contribution to Green Deal Objectives </t>
  </si>
  <si>
    <t>Implementation</t>
  </si>
  <si>
    <t>Renovation with a guarantee of savings</t>
  </si>
  <si>
    <t>Priority</t>
  </si>
  <si>
    <t>Scheme</t>
  </si>
  <si>
    <t>Construction ongoing</t>
  </si>
  <si>
    <t>Smart energy infrastructure</t>
  </si>
  <si>
    <t>Large-scale scheme</t>
  </si>
  <si>
    <t>Development of the power grid for future electric car charging stations</t>
  </si>
  <si>
    <t>Cogeneration for Energy and Industry</t>
  </si>
  <si>
    <t>Cogeneration for Energy and Industry - sectors in energy trasition</t>
  </si>
  <si>
    <t xml:space="preserve">Cogeneration For District heating </t>
  </si>
  <si>
    <t>Cogeneration For District heating - part II</t>
  </si>
  <si>
    <t>Digitisation of heating networks</t>
  </si>
  <si>
    <t>The use of alternative fuels for energy purposes</t>
  </si>
  <si>
    <t>Support for the use of storages and other devices for network stabilization - a scheme for DSOs</t>
  </si>
  <si>
    <t>Energy-intensive Industry – RES</t>
  </si>
  <si>
    <t>Energy-intensive industry - improving energy efficiency</t>
  </si>
  <si>
    <t>Energy for Rural Areas</t>
  </si>
  <si>
    <t>Cogeneration for counties</t>
  </si>
  <si>
    <t>Development of cogeneration based on municipal biogas</t>
  </si>
  <si>
    <t>RES - heat sources for district heating</t>
  </si>
  <si>
    <t>Non-priority</t>
  </si>
  <si>
    <t>My Heating</t>
  </si>
  <si>
    <t>Final beneficiaries up to date:
- Polczynskie Przedsiebiorstwo Komunalne sp. z o.o.</t>
  </si>
  <si>
    <t>The beneficiaries of the program are Entrepreneurs within the meaning of the Act of March 6, 2018, Entrepreneurs' Law, conducting business activities.</t>
  </si>
  <si>
    <t>Final beneficiaries up to date:
- Miejska Energetyka Cieplna w Koszalinie sp. z o.o.;
- Miejskie Przedsiebiorstwo Energetyki Cieplnej sp. z o.o.</t>
  </si>
  <si>
    <t>Final beneficiaries up to date:
- Przedsiebiorstwo Energetyki Cieplnej w Suwalkach sp. z o.o.</t>
  </si>
  <si>
    <t>Final beneficiaries up to date: https://www.gov.pl/web/funduszmodernizacyjny/zawarte-umowy</t>
  </si>
  <si>
    <t>Final beneficiaries up to date: 
- Südzucker Polska Spółka Akcyjna</t>
  </si>
  <si>
    <t>Final beneficiaries up to date: 
- Miedzygminny Kompleks Unieszkodliwiania Odpadow ProNatura sp. z o.o.</t>
  </si>
  <si>
    <t>Program beneficiaries: entrepreneurs within the meaning of the Act of March 6, 2018, Entrepreneurs' Law, conducting business activity in the field of heat generation or cogeneration of heat and electricity.</t>
  </si>
  <si>
    <t>The final recipients of the aid will be natural persons. The program is addressed to owners or co-owners (end recipients) of new single-family buildings. Beneficiaries that have been awarded support:
https://mojecieplo.gov.pl/wyniki-naboru/</t>
  </si>
  <si>
    <t xml:space="preserve">Support for the construction or expansion of a publicly accessible charging station for heavy transport   </t>
  </si>
  <si>
    <t xml:space="preserve">My Wind Electric System </t>
  </si>
  <si>
    <t xml:space="preserve">Construction/expansion of power grids for the needs of publicly available high-power charging stations </t>
  </si>
  <si>
    <t xml:space="preserve">Support for the purchase or leasing of zero-emission vehicles of N2 and N3 categories </t>
  </si>
  <si>
    <t xml:space="preserve">Electricity storage facilities and related infrastructure to improve the stability of the Polish electricity grid. </t>
  </si>
  <si>
    <t>Final beneficiaries up to date:
- Stoen Operator; 
- Energa Operator; 
- PGE Dystrybucja;
- TAURON Dystrybucja S.A.;
- ENEA Operator Sp. z o.o.</t>
  </si>
  <si>
    <t>Final beneficiaries up to date:
- ENEA Operator; 
- STOEN Operator; 
- ENERGA Operator; 
- PGE Dystrybucja;
- TAURON Dystrybucja S.A.</t>
  </si>
  <si>
    <t>Final beneficiaries up to date:
- Velvet Care Sp.z o.o.;
- QEMETICA Soda Polska Spółka Akcyjna</t>
  </si>
  <si>
    <t>Final beneficiaries up to date:
- Okregowe Przedsiębiorstwo Energetyki Cieplnej w Puławach sp. z o.o.;
- Przedsiębiorstwo Energetyki Cieplnej Sp. z o.o. Bełchatów;
- Przedsiębiorstwo Energetyki Cieplnej "PEC" Sp. z o.o. (Kwidzyn);
- Veolia Energia Warszawa S.A.;
- Lubelskie Przedsiębiorstwo Energetyki Cieplnej z o.o. Lublin;
- U&amp;R Calor Sp z o.o.;
- CALOR Energetyka Cieplna Sp. z o.o. ;
- Przedsiębiorstwo Energetyki Cieplnej - GLIWICE sp. z o. o.;
- Przedsiębiorstwo Energetyki Cieplnej w Gnieźnie Sp. z o.o. </t>
  </si>
  <si>
    <t xml:space="preserve">Final beneficiaries up to date:
- PGE Dystrybucja 
- Stoen Operator Sp. z o.o. </t>
  </si>
  <si>
    <t>Final beneficiaries up to date:
- Enea Ciepło Spółka z ograniczoną odpowiedzialnością;
- Elektrociepłownia "Zielona Góra" Spółka Akcyjna</t>
  </si>
  <si>
    <t>Final beneficiaries up to date: 
- Sanockie Przedsiębiorstwo Gospodarki Komunalnej Sp. z o.o.</t>
  </si>
  <si>
    <t>Beneficiaries of the programme: entrepreneurs within the meaning of the Act of 6 March 2018 – Entrepreneurs' Law, who have their registered office or branch in the territory of the Republic of Poland.</t>
  </si>
  <si>
    <t>List of concluded contracts (Final Beneficiaries):
https://www.gov.pl/web/funduszmodernizacyjny/zawarte-umowy</t>
  </si>
  <si>
    <t xml:space="preserve">Beneficiaries of the programme: entrepreneurs within the meaning of the Act of 6 March 2018 – Entrepreneurs' Law, </t>
  </si>
  <si>
    <t>Beneficiaries of the programme: distribution system operators (DSOs) – electricity distribution system operators within the meaning of Article 3(25) of the Act of 10 April 1997 – Energy Law</t>
  </si>
  <si>
    <t>n/a</t>
  </si>
  <si>
    <t>YES (applicant's statement and documents confirming payments)</t>
  </si>
  <si>
    <t xml:space="preserve"> YES, 2023</t>
  </si>
  <si>
    <t>NO</t>
  </si>
  <si>
    <t>calls for proposals: 2
wnioski o dofinansowanie: 
9 preliminary applications / 2 applications for funding
agreements concluded: 1</t>
  </si>
  <si>
    <t>calls for proposals: 3
project proposals: 10
agreements concluded: 9</t>
  </si>
  <si>
    <t>Calls for proposals: 4 project proposals: 16 agreements concluded: 7</t>
  </si>
  <si>
    <t>Calls for proposals: 1 project proposals: 18 agreements concluded: 0</t>
  </si>
  <si>
    <t>calls for proposals: 1 (second call for proposals planned in Q1 2025) applications for co-financing: 26 concluded agreements: 4</t>
  </si>
  <si>
    <t>Calls for proposals: 1 Applications for funding: 8 agreements concluded: 2</t>
  </si>
  <si>
    <t>calls for proposals: 2 applications for funding: 71 concluded agreements: 15</t>
  </si>
  <si>
    <t>Calls for proposals: 1 Applications for funding: 5 agreements concluded: 2</t>
  </si>
  <si>
    <t>calls for proposals: 1 (second call for proposals planned in Q1 2025) applications for co-financing: 31 concluded agreements: 2</t>
  </si>
  <si>
    <t>Calls for proposals: 1 Applications for funding: 55 agreements concluded: 2</t>
  </si>
  <si>
    <t>Calls for proposals: 1 project proposals: 70 agreements concluded: 0</t>
  </si>
  <si>
    <t>Calls for proposals: 1 project proposals: 31,163 agreements concluded: 27,784</t>
  </si>
  <si>
    <t>Calls for proposals: 1 Applications for funding: 235 agreements concluded: 165</t>
  </si>
  <si>
    <t>Calls for proposals: 2 project proposals: 7 agreements concluded: 2</t>
  </si>
  <si>
    <t>Calls for proposals: 1 project proposals: 78 agreements concluded: 36</t>
  </si>
  <si>
    <t>Calls for proposals: 2 project proposals: 5 agreements concluded: 1</t>
  </si>
  <si>
    <t>Calls for proposals: 1 project proposals: 370 agreements concluded: 63</t>
  </si>
  <si>
    <t>Calls for proposals: planned call for proposals in Q1 2025 project proposals: 0 agreements concluded: 0</t>
  </si>
  <si>
    <t>Yes - explanation in the report text</t>
  </si>
  <si>
    <t>to be specified 
(due to ongoing new EU ETS provisions process)</t>
  </si>
  <si>
    <t>call for proposals/ application selection criteria / beneficiary statement</t>
  </si>
  <si>
    <t>1. Overview of investments planned in the next two calendar years and, where possible, the outlook until 2030</t>
  </si>
  <si>
    <t>2. Information about the outcome of stakeholder consultation on the draft overview of investments under Article 13(5)</t>
  </si>
  <si>
    <t>Name and reference of the investment</t>
  </si>
  <si>
    <t>1.1. Name of the project proponent or the scheme managing authority</t>
  </si>
  <si>
    <t>1.2. Specific location of the investment or the geographical scope of the scheme (location name, country name)</t>
  </si>
  <si>
    <t>1.3. Estimate of the total cost of the investment</t>
  </si>
  <si>
    <t>1.4 Summary description of the investment</t>
  </si>
  <si>
    <t>1.5. Status of any State aid assessment concerning the investment, where applicable (completed, pending,not applicable)</t>
  </si>
  <si>
    <t>1.6. Estimate of the financing from the Modernisation Fund and outline of the intended financing proposals</t>
  </si>
  <si>
    <t>1.7. Information on the relation between the investment and the integrated National Energy and Climate Plan (NECP), in particular with regard to the national objectives, targets, policies and measures and the investment needed.</t>
  </si>
  <si>
    <t>1.8. Information on whether the investment has been awarded a seal or any quality label foreseen by the Union law after having been evaluated positively in a directly managed funding programmes</t>
  </si>
  <si>
    <t>2.1 Dates of consultation</t>
  </si>
  <si>
    <t xml:space="preserve">2.1 Format of consultation </t>
  </si>
  <si>
    <t>2.1 Types of stakeholders consulted</t>
  </si>
  <si>
    <t>2.1 Number of replies received</t>
  </si>
  <si>
    <t>2.1. Summary of the replies</t>
  </si>
  <si>
    <t>NFWMEP</t>
  </si>
  <si>
    <t>to be specified</t>
  </si>
  <si>
    <t>There is no state aid</t>
  </si>
  <si>
    <t>online (via website)</t>
  </si>
  <si>
    <t>The program will in particular support the following activities: 1) purchase of remote reading meters - AMI smart meters, 2) installation of meters, modernization and adaptation of the energy network infrastructure allowing for the service, management and proper use of the purchased meters. Investments are to serve the creation of software for conducting network efficiency analyses, reports on savings, statistics, losses and to enable the adaptation of the system to the newly established central energy market information system, used to provide energy distribution services on the basis of equal treatment of all recipients and entrepreneurs involved in the sale of energy.</t>
  </si>
  <si>
    <t>Construction of new, expansion or modernization of existing biomass fermentation installations</t>
  </si>
  <si>
    <t>The programme will contribute to obtaining additional capacity to generate electricity and heat in high-efficiency cogeneration conditions, will reduce CO2 emissions and reduce primary energy consumption.</t>
  </si>
  <si>
    <t>Improving energy efficiency in energy-intensive industries, building installations for the recovery of technological heat and its further use in technology; improving energy efficiency, which results in the reduction of the consumption of electricity drawn from the KSE network, including the construction of IT systems for the supervision of energy consumption, production and storage with a management optimization function.</t>
  </si>
  <si>
    <t>Distribution System Operators (DSOs) - electricity distribution system operators</t>
  </si>
  <si>
    <t>Entrepreneurs within the meaning of the Act of 6 March 2018 - Entrepreneurs' Law</t>
  </si>
  <si>
    <t>Enterprises, combined heat and power plants, heating plants of not less than 50 MWt - ordered capacity of the system (thermal energy) generating units with a total installed capacity of not less than 1 MW.</t>
  </si>
  <si>
    <t>Entrepreneurs within the meaning of the Act of 6 March 2018 - Entrepreneurs' Law (Journal of Laws of 2021, item 162, as amended) having legal title to an installation covered by the greenhouse gas emission allowance trading scheme within the meaning of the Act of 12 June 2015 on the greenhouse gas emission allowance trading scheme</t>
  </si>
  <si>
    <t>The investment proposal is in line with the National Energy and Climate Plan for 2021-2030, especially with regard to the five main dimensions of the Energy Union: - decarbonisation - energy efficiency - energy security - internal energy market - research, innovation and competitiveness</t>
  </si>
  <si>
    <t xml:space="preserve"> consultations closed on 25 April - response is being developed - will be published on the website immediately</t>
  </si>
  <si>
    <t xml:space="preserve">Improving energy security through the use of biomethane </t>
  </si>
  <si>
    <t xml:space="preserve">Cogeneration for District Heating – Part II (increase in the budget of the existing scheme)
</t>
  </si>
  <si>
    <t xml:space="preserve">Smart energy infrastructure  (increase in the budget of the existing scheme)
</t>
  </si>
  <si>
    <t>Energy-intensive industry - improving energy efficiency  (increase in the budget of the existing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</si>
</sst>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0\ &quot;MWh&quot;"/>
    <numFmt numFmtId="166" formatCode="0.00\ &quot;tCO2&quot;"/>
    <numFmt numFmtId="167" formatCode="0.00\ &quot;€/tCO2&quot;"/>
    <numFmt numFmtId="168" formatCode="0.00\ &quot;MW&quot;\ "/>
    <numFmt numFmtId="169" formatCode="0.00\ &quot;tCO2&quot;\ "/>
  </numFmts>
  <fonts count="3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name val="Arial"/>
      <family val="2"/>
    </font>
    <font>
      <b/>
      <sz val="14"/>
      <name val="Calibri"/>
      <family val="2"/>
      <charset val="238"/>
      <scheme val="minor"/>
    </font>
    <font>
      <b/>
      <sz val="11"/>
      <color theme="1"/>
      <name val="Calibri"/>
      <family val="2"/>
      <scheme val="minor"/>
    </font>
    <font>
      <b/>
      <sz val="16"/>
      <color theme="0"/>
      <name val="Calibri"/>
      <family val="2"/>
      <charset val="238"/>
      <scheme val="minor"/>
    </font>
    <font>
      <sz val="12"/>
      <color theme="1"/>
      <name val="Calibri"/>
      <family val="2"/>
      <charset val="238"/>
      <scheme val="minor"/>
    </font>
    <font>
      <sz val="12"/>
      <color theme="1"/>
      <name val="Calibri"/>
      <family val="2"/>
      <scheme val="minor"/>
    </font>
    <font>
      <b/>
      <sz val="18"/>
      <color theme="1"/>
      <name val="Calibri"/>
      <family val="2"/>
      <scheme val="minor"/>
    </font>
    <font>
      <b/>
      <u/>
      <sz val="14"/>
      <name val="Calibri"/>
      <family val="2"/>
      <scheme val="minor"/>
    </font>
    <font>
      <b/>
      <sz val="18"/>
      <name val="Calibri"/>
      <family val="2"/>
      <scheme val="minor"/>
    </font>
    <font>
      <b/>
      <sz val="11"/>
      <color rgb="FF404040"/>
      <name val="Calibri"/>
      <family val="2"/>
      <charset val="238"/>
      <scheme val="minor"/>
    </font>
    <font>
      <sz val="11"/>
      <color rgb="FF404040"/>
      <name val="Calibri"/>
      <family val="2"/>
      <charset val="238"/>
      <scheme val="minor"/>
    </font>
    <font>
      <b/>
      <sz val="11"/>
      <name val="Calibri"/>
      <family val="2"/>
      <charset val="238"/>
      <scheme val="minor"/>
    </font>
    <font>
      <sz val="8"/>
      <name val="Calibri"/>
      <family val="2"/>
      <charset val="238"/>
      <scheme val="minor"/>
    </font>
    <font>
      <u/>
      <sz val="11"/>
      <color theme="1"/>
      <name val="Calibri"/>
      <family val="2"/>
      <scheme val="minor"/>
    </font>
    <font>
      <u/>
      <sz val="11"/>
      <name val="Calibri"/>
      <family val="2"/>
      <scheme val="minor"/>
    </font>
    <font>
      <sz val="12"/>
      <color rgb="FF00B050"/>
      <name val="Calibri"/>
      <family val="2"/>
      <scheme val="minor"/>
    </font>
    <font>
      <sz val="12"/>
      <color theme="5"/>
      <name val="Calibri"/>
      <family val="2"/>
      <scheme val="minor"/>
    </font>
    <font>
      <sz val="11"/>
      <name val="Calibri"/>
      <family val="2"/>
    </font>
    <font>
      <b/>
      <sz val="16"/>
      <color theme="0"/>
      <name val="Calibri"/>
      <family val="2"/>
      <scheme val="minor"/>
    </font>
    <font>
      <b/>
      <sz val="22"/>
      <color theme="1"/>
      <name val="Calibri"/>
      <family val="2"/>
      <scheme val="minor"/>
    </font>
    <font>
      <sz val="12"/>
      <name val="Calibri"/>
      <family val="2"/>
      <scheme val="minor"/>
    </font>
    <font>
      <b/>
      <sz val="12"/>
      <color theme="1"/>
      <name val="Calibri"/>
      <family val="2"/>
      <scheme val="minor"/>
    </font>
    <font>
      <sz val="16"/>
      <color theme="1"/>
      <name val="Calibri"/>
      <family val="2"/>
      <scheme val="minor"/>
    </font>
    <font>
      <sz val="12"/>
      <name val="Calibri"/>
      <family val="2"/>
      <charset val="238"/>
      <scheme val="minor"/>
    </font>
    <font>
      <sz val="10"/>
      <color theme="1"/>
      <name val="Calibri"/>
      <family val="2"/>
      <charset val="238"/>
      <scheme val="minor"/>
    </font>
    <font>
      <sz val="11"/>
      <color rgb="FF000000"/>
      <name val="Calibri"/>
      <family val="2"/>
      <charset val="238"/>
      <scheme val="minor"/>
    </font>
    <font>
      <u/>
      <sz val="11"/>
      <color rgb="FF000000"/>
      <name val="Calibri"/>
      <family val="2"/>
      <charset val="238"/>
      <scheme val="minor"/>
    </font>
    <font>
      <i/>
      <sz val="11"/>
      <color rgb="FF000000"/>
      <name val="Calibri"/>
      <family val="2"/>
      <charset val="238"/>
      <scheme val="minor"/>
    </font>
    <font>
      <b/>
      <i/>
      <sz val="11"/>
      <color rgb="FF000000"/>
      <name val="Calibri"/>
      <family val="2"/>
      <charset val="238"/>
      <scheme val="minor"/>
    </font>
    <font>
      <b/>
      <sz val="11"/>
      <color rgb="FF000000"/>
      <name val="Calibri"/>
      <family val="2"/>
      <charset val="238"/>
      <scheme val="minor"/>
    </font>
    <font>
      <sz val="12"/>
      <color rgb="FF000000"/>
      <name val="Calibri"/>
      <family val="2"/>
      <charset val="238"/>
      <scheme val="minor"/>
    </font>
  </fonts>
  <fills count="11">
    <fill>
      <patternFill patternType="none"/>
    </fill>
    <fill>
      <patternFill patternType="gray125"/>
    </fill>
    <fill>
      <patternFill patternType="solid">
        <fgColor rgb="FFD4E1E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3" fillId="0" borderId="0"/>
    <xf numFmtId="0" fontId="5" fillId="0" borderId="0" applyNumberFormat="0" applyFill="0" applyBorder="0" applyAlignment="0" applyProtection="0"/>
    <xf numFmtId="0" fontId="23" fillId="0" borderId="0"/>
  </cellStyleXfs>
  <cellXfs count="165">
    <xf numFmtId="0" fontId="0" fillId="0" borderId="0" xfId="0"/>
    <xf numFmtId="0" fontId="3" fillId="0" borderId="0" xfId="1"/>
    <xf numFmtId="0" fontId="3" fillId="9" borderId="0" xfId="1" applyFill="1"/>
    <xf numFmtId="0" fontId="3" fillId="10" borderId="0" xfId="1" applyFill="1"/>
    <xf numFmtId="0" fontId="3" fillId="7" borderId="0" xfId="1" applyFill="1"/>
    <xf numFmtId="0" fontId="6" fillId="7" borderId="0" xfId="1" applyFont="1" applyFill="1" applyAlignment="1">
      <alignment vertical="center" wrapText="1"/>
    </xf>
    <xf numFmtId="0" fontId="7" fillId="7" borderId="0" xfId="1" applyFont="1" applyFill="1" applyAlignment="1">
      <alignment horizontal="center" wrapText="1"/>
    </xf>
    <xf numFmtId="0" fontId="5" fillId="7" borderId="0" xfId="2" applyFill="1" applyAlignment="1">
      <alignment wrapText="1"/>
    </xf>
    <xf numFmtId="0" fontId="3" fillId="7" borderId="0" xfId="1" applyFill="1" applyAlignment="1">
      <alignment wrapText="1"/>
    </xf>
    <xf numFmtId="0" fontId="5" fillId="7" borderId="0" xfId="2" applyFill="1"/>
    <xf numFmtId="0" fontId="4" fillId="7" borderId="0" xfId="1" applyFont="1" applyFill="1"/>
    <xf numFmtId="0" fontId="6" fillId="4" borderId="0" xfId="1" applyFont="1" applyFill="1" applyAlignment="1">
      <alignment vertical="center" wrapText="1"/>
    </xf>
    <xf numFmtId="0" fontId="8" fillId="0" borderId="0" xfId="0" applyFont="1"/>
    <xf numFmtId="0" fontId="0" fillId="7" borderId="0" xfId="0" applyFill="1"/>
    <xf numFmtId="0" fontId="15" fillId="0" borderId="0" xfId="0" applyFont="1" applyAlignment="1">
      <alignment horizontal="center" vertical="center" wrapText="1"/>
    </xf>
    <xf numFmtId="0" fontId="16"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horizontal="center" vertical="center" wrapText="1"/>
    </xf>
    <xf numFmtId="0" fontId="3" fillId="4" borderId="0" xfId="1" applyFill="1" applyAlignment="1">
      <alignment horizontal="center"/>
    </xf>
    <xf numFmtId="0" fontId="3" fillId="10" borderId="0" xfId="1" applyFill="1" applyAlignment="1">
      <alignment horizontal="center"/>
    </xf>
    <xf numFmtId="0" fontId="19" fillId="10" borderId="0" xfId="1" applyFont="1" applyFill="1" applyAlignment="1">
      <alignment horizontal="left" vertical="center"/>
    </xf>
    <xf numFmtId="0" fontId="20" fillId="10" borderId="0" xfId="1" applyFont="1" applyFill="1" applyAlignment="1">
      <alignment vertical="center" wrapText="1"/>
    </xf>
    <xf numFmtId="0" fontId="12" fillId="10" borderId="8" xfId="1" applyFont="1" applyFill="1" applyBorder="1" applyAlignment="1">
      <alignment horizontal="center" vertical="top"/>
    </xf>
    <xf numFmtId="0" fontId="14" fillId="10" borderId="10" xfId="1" applyFont="1" applyFill="1" applyBorder="1" applyAlignment="1">
      <alignment vertical="top" wrapText="1"/>
    </xf>
    <xf numFmtId="0" fontId="10" fillId="2" borderId="7" xfId="0" applyFont="1" applyFill="1" applyBorder="1" applyAlignment="1">
      <alignment horizontal="center" vertical="center" wrapText="1"/>
    </xf>
    <xf numFmtId="4" fontId="0" fillId="0" borderId="0" xfId="0" applyNumberFormat="1"/>
    <xf numFmtId="164" fontId="0" fillId="0" borderId="0" xfId="0" applyNumberFormat="1"/>
    <xf numFmtId="0" fontId="10" fillId="2" borderId="27" xfId="0" applyFont="1" applyFill="1" applyBorder="1" applyAlignment="1">
      <alignment horizontal="center" vertical="center" wrapText="1"/>
    </xf>
    <xf numFmtId="0" fontId="0" fillId="10" borderId="22" xfId="0" applyFill="1" applyBorder="1"/>
    <xf numFmtId="0" fontId="0" fillId="10" borderId="5" xfId="0" applyFill="1" applyBorder="1"/>
    <xf numFmtId="4" fontId="0" fillId="0" borderId="16" xfId="0" applyNumberFormat="1" applyBorder="1"/>
    <xf numFmtId="0" fontId="10" fillId="0" borderId="6" xfId="0" applyFont="1" applyBorder="1" applyAlignment="1">
      <alignment horizontal="left" vertical="center" wrapText="1"/>
    </xf>
    <xf numFmtId="0" fontId="10" fillId="10" borderId="30"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32" xfId="0" applyFont="1" applyFill="1" applyBorder="1" applyAlignment="1">
      <alignment horizontal="center" vertical="center" wrapText="1"/>
    </xf>
    <xf numFmtId="0" fontId="10" fillId="10" borderId="23"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2" fillId="0" borderId="0" xfId="0" applyFont="1"/>
    <xf numFmtId="0" fontId="11" fillId="7" borderId="15"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1" fillId="7" borderId="14" xfId="0" applyFont="1" applyFill="1" applyBorder="1" applyAlignment="1">
      <alignment horizontal="center" vertical="center" wrapText="1"/>
    </xf>
    <xf numFmtId="164" fontId="10" fillId="0" borderId="6" xfId="0" applyNumberFormat="1" applyFont="1" applyBorder="1" applyAlignment="1">
      <alignment horizontal="center" vertical="center" wrapText="1"/>
    </xf>
    <xf numFmtId="164" fontId="10" fillId="0" borderId="30" xfId="0" applyNumberFormat="1" applyFont="1" applyBorder="1" applyAlignment="1">
      <alignment horizontal="center" vertical="center" wrapText="1"/>
    </xf>
    <xf numFmtId="0" fontId="10" fillId="0" borderId="23" xfId="0" applyFont="1" applyBorder="1" applyAlignment="1">
      <alignment horizontal="center" vertical="center" wrapText="1"/>
    </xf>
    <xf numFmtId="0" fontId="5" fillId="0" borderId="6" xfId="2" applyBorder="1" applyAlignment="1">
      <alignment horizontal="center" wrapText="1"/>
    </xf>
    <xf numFmtId="0" fontId="10" fillId="0" borderId="6" xfId="0" applyFont="1" applyBorder="1" applyAlignment="1">
      <alignment horizontal="center" vertical="center" wrapText="1"/>
    </xf>
    <xf numFmtId="0" fontId="10" fillId="2" borderId="29" xfId="0" applyFont="1" applyFill="1" applyBorder="1" applyAlignment="1">
      <alignment horizontal="center" vertical="center" wrapText="1"/>
    </xf>
    <xf numFmtId="0" fontId="10" fillId="0" borderId="30" xfId="0" applyFont="1" applyBorder="1" applyAlignment="1">
      <alignment horizontal="center" vertical="center" wrapText="1"/>
    </xf>
    <xf numFmtId="0" fontId="5" fillId="0" borderId="6" xfId="2" applyBorder="1" applyAlignment="1">
      <alignment horizontal="center" vertical="center" wrapText="1"/>
    </xf>
    <xf numFmtId="0" fontId="5" fillId="0" borderId="30" xfId="2" applyBorder="1" applyAlignment="1">
      <alignment horizontal="center" vertical="center" wrapText="1"/>
    </xf>
    <xf numFmtId="4" fontId="10" fillId="0" borderId="29" xfId="0" applyNumberFormat="1" applyFont="1" applyBorder="1" applyAlignment="1">
      <alignment horizontal="center" vertical="center"/>
    </xf>
    <xf numFmtId="4" fontId="10" fillId="0" borderId="30" xfId="0" applyNumberFormat="1" applyFont="1" applyBorder="1" applyAlignment="1">
      <alignment horizontal="center" vertical="center" wrapText="1"/>
    </xf>
    <xf numFmtId="0" fontId="10" fillId="0" borderId="30" xfId="0" applyFont="1" applyBorder="1" applyAlignment="1">
      <alignment horizontal="left" vertical="center" wrapText="1"/>
    </xf>
    <xf numFmtId="0" fontId="10" fillId="2" borderId="3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3" xfId="0" applyFont="1" applyBorder="1" applyAlignment="1">
      <alignment horizontal="center" vertical="center" wrapText="1"/>
    </xf>
    <xf numFmtId="0" fontId="5" fillId="0" borderId="6" xfId="2" applyFill="1" applyBorder="1" applyAlignment="1">
      <alignment horizontal="center" vertical="center" wrapText="1"/>
    </xf>
    <xf numFmtId="0" fontId="5" fillId="0" borderId="34" xfId="2" applyFill="1" applyBorder="1" applyAlignment="1">
      <alignment horizontal="center" vertical="center" wrapText="1"/>
    </xf>
    <xf numFmtId="164" fontId="10" fillId="0" borderId="29" xfId="0" applyNumberFormat="1" applyFont="1" applyBorder="1" applyAlignment="1">
      <alignment horizontal="center" vertical="center"/>
    </xf>
    <xf numFmtId="164" fontId="10" fillId="0" borderId="30" xfId="0" applyNumberFormat="1" applyFont="1" applyBorder="1" applyAlignment="1">
      <alignment horizontal="center" vertical="center"/>
    </xf>
    <xf numFmtId="164" fontId="10" fillId="0" borderId="7" xfId="0" applyNumberFormat="1" applyFont="1" applyBorder="1" applyAlignment="1">
      <alignment horizontal="center" vertical="center"/>
    </xf>
    <xf numFmtId="164" fontId="10" fillId="0" borderId="6" xfId="0" applyNumberFormat="1" applyFont="1" applyBorder="1" applyAlignment="1">
      <alignment horizontal="center" vertical="center"/>
    </xf>
    <xf numFmtId="165" fontId="10" fillId="0" borderId="6" xfId="0" applyNumberFormat="1" applyFont="1" applyBorder="1" applyAlignment="1">
      <alignment horizontal="center" vertical="center"/>
    </xf>
    <xf numFmtId="165" fontId="10" fillId="0" borderId="30" xfId="0" applyNumberFormat="1" applyFont="1" applyBorder="1" applyAlignment="1">
      <alignment horizontal="center" vertical="center"/>
    </xf>
    <xf numFmtId="165" fontId="10" fillId="0" borderId="32" xfId="0" applyNumberFormat="1" applyFont="1" applyBorder="1" applyAlignment="1">
      <alignment horizontal="center" vertical="center"/>
    </xf>
    <xf numFmtId="165" fontId="10" fillId="0" borderId="23" xfId="0" applyNumberFormat="1" applyFont="1" applyBorder="1" applyAlignment="1">
      <alignment horizontal="center" vertical="center"/>
    </xf>
    <xf numFmtId="165" fontId="10" fillId="0" borderId="23" xfId="0" applyNumberFormat="1" applyFont="1" applyBorder="1" applyAlignment="1">
      <alignment horizontal="center" vertical="center" wrapText="1"/>
    </xf>
    <xf numFmtId="164" fontId="29" fillId="0" borderId="30" xfId="0" applyNumberFormat="1" applyFont="1" applyBorder="1" applyAlignment="1">
      <alignment horizontal="center" vertical="center"/>
    </xf>
    <xf numFmtId="164" fontId="29" fillId="0" borderId="6" xfId="0" applyNumberFormat="1" applyFont="1" applyBorder="1" applyAlignment="1">
      <alignment horizontal="center" vertical="center"/>
    </xf>
    <xf numFmtId="164" fontId="29" fillId="10" borderId="6" xfId="0" applyNumberFormat="1" applyFont="1" applyFill="1" applyBorder="1" applyAlignment="1">
      <alignment horizontal="center" vertical="center"/>
    </xf>
    <xf numFmtId="164" fontId="10" fillId="10" borderId="6" xfId="0" applyNumberFormat="1" applyFont="1" applyFill="1" applyBorder="1" applyAlignment="1">
      <alignment horizontal="center" vertical="center"/>
    </xf>
    <xf numFmtId="0" fontId="5" fillId="10" borderId="6" xfId="2" applyFill="1" applyBorder="1" applyAlignment="1">
      <alignment horizontal="center" wrapText="1"/>
    </xf>
    <xf numFmtId="0" fontId="5" fillId="10" borderId="6" xfId="2" applyFill="1" applyBorder="1" applyAlignment="1">
      <alignment horizontal="center" vertical="center" wrapText="1"/>
    </xf>
    <xf numFmtId="0" fontId="5" fillId="0" borderId="0" xfId="2" applyAlignment="1">
      <alignment horizontal="justify" vertical="center"/>
    </xf>
    <xf numFmtId="0" fontId="30" fillId="0" borderId="0" xfId="0" applyFont="1" applyAlignment="1">
      <alignment vertical="center"/>
    </xf>
    <xf numFmtId="14" fontId="10" fillId="0" borderId="14" xfId="0" applyNumberFormat="1" applyFont="1" applyBorder="1" applyAlignment="1">
      <alignment horizontal="center" vertical="center"/>
    </xf>
    <xf numFmtId="164" fontId="29" fillId="0" borderId="6" xfId="0" applyNumberFormat="1" applyFont="1" applyBorder="1" applyAlignment="1">
      <alignment horizontal="center" vertical="center" wrapText="1"/>
    </xf>
    <xf numFmtId="164" fontId="29" fillId="0" borderId="34" xfId="0" applyNumberFormat="1" applyFont="1" applyBorder="1" applyAlignment="1">
      <alignment horizontal="center" vertical="center" wrapText="1"/>
    </xf>
    <xf numFmtId="164" fontId="29" fillId="0" borderId="30" xfId="0" applyNumberFormat="1" applyFont="1" applyBorder="1" applyAlignment="1">
      <alignment horizontal="center" vertical="center" wrapText="1"/>
    </xf>
    <xf numFmtId="168" fontId="10" fillId="0" borderId="6" xfId="0" applyNumberFormat="1" applyFont="1" applyBorder="1" applyAlignment="1">
      <alignment horizontal="center" vertical="center"/>
    </xf>
    <xf numFmtId="165" fontId="10" fillId="0" borderId="29" xfId="0" applyNumberFormat="1" applyFont="1" applyBorder="1" applyAlignment="1">
      <alignment horizontal="center" vertical="center"/>
    </xf>
    <xf numFmtId="169" fontId="10" fillId="0" borderId="30" xfId="0" applyNumberFormat="1" applyFont="1" applyBorder="1" applyAlignment="1">
      <alignment horizontal="center" vertical="center"/>
    </xf>
    <xf numFmtId="166" fontId="10" fillId="0" borderId="30" xfId="0" applyNumberFormat="1" applyFont="1" applyBorder="1" applyAlignment="1">
      <alignment horizontal="center" vertical="center"/>
    </xf>
    <xf numFmtId="167" fontId="10" fillId="0" borderId="6" xfId="0" applyNumberFormat="1" applyFont="1" applyBorder="1" applyAlignment="1">
      <alignment horizontal="center" vertical="center"/>
    </xf>
    <xf numFmtId="14" fontId="10" fillId="0" borderId="40" xfId="0" applyNumberFormat="1" applyFont="1" applyBorder="1" applyAlignment="1">
      <alignment horizontal="center" vertical="center"/>
    </xf>
    <xf numFmtId="14" fontId="10" fillId="0" borderId="26" xfId="0" applyNumberFormat="1" applyFont="1" applyBorder="1" applyAlignment="1">
      <alignment horizontal="center" vertical="center"/>
    </xf>
    <xf numFmtId="165" fontId="10" fillId="0" borderId="7" xfId="0" applyNumberFormat="1" applyFont="1" applyBorder="1" applyAlignment="1">
      <alignment horizontal="center" vertical="center"/>
    </xf>
    <xf numFmtId="169" fontId="10" fillId="0" borderId="6" xfId="0" applyNumberFormat="1" applyFont="1" applyBorder="1" applyAlignment="1">
      <alignment horizontal="center" vertical="center"/>
    </xf>
    <xf numFmtId="166" fontId="10" fillId="0" borderId="6" xfId="0" applyNumberFormat="1" applyFont="1" applyBorder="1" applyAlignment="1">
      <alignment horizontal="center" vertical="center"/>
    </xf>
    <xf numFmtId="167" fontId="10" fillId="10" borderId="6" xfId="0" applyNumberFormat="1" applyFont="1" applyFill="1" applyBorder="1" applyAlignment="1">
      <alignment horizontal="center" vertical="center"/>
    </xf>
    <xf numFmtId="168" fontId="10" fillId="10" borderId="6" xfId="0" applyNumberFormat="1" applyFont="1" applyFill="1" applyBorder="1" applyAlignment="1">
      <alignment horizontal="center" vertical="center"/>
    </xf>
    <xf numFmtId="165" fontId="10" fillId="10" borderId="7" xfId="0" applyNumberFormat="1" applyFont="1" applyFill="1" applyBorder="1" applyAlignment="1">
      <alignment horizontal="center" vertical="center"/>
    </xf>
    <xf numFmtId="165" fontId="10" fillId="10" borderId="6" xfId="0" applyNumberFormat="1" applyFont="1" applyFill="1" applyBorder="1" applyAlignment="1">
      <alignment horizontal="center" vertical="center"/>
    </xf>
    <xf numFmtId="169" fontId="10" fillId="10" borderId="6" xfId="0" applyNumberFormat="1" applyFont="1" applyFill="1" applyBorder="1" applyAlignment="1">
      <alignment horizontal="center" vertical="center"/>
    </xf>
    <xf numFmtId="166" fontId="10" fillId="10" borderId="6" xfId="0" applyNumberFormat="1" applyFont="1" applyFill="1" applyBorder="1" applyAlignment="1">
      <alignment horizontal="center" vertical="center"/>
    </xf>
    <xf numFmtId="0" fontId="29" fillId="0" borderId="30" xfId="0" applyFont="1" applyBorder="1" applyAlignment="1">
      <alignment horizontal="center" vertical="center" wrapText="1"/>
    </xf>
    <xf numFmtId="4" fontId="29" fillId="0" borderId="30" xfId="0" applyNumberFormat="1" applyFont="1" applyBorder="1" applyAlignment="1">
      <alignment horizontal="center" vertical="top" wrapText="1"/>
    </xf>
    <xf numFmtId="4" fontId="29" fillId="0" borderId="6" xfId="0" applyNumberFormat="1" applyFont="1" applyBorder="1" applyAlignment="1">
      <alignment horizontal="center" vertical="top" wrapText="1"/>
    </xf>
    <xf numFmtId="0" fontId="1" fillId="7" borderId="0" xfId="1" applyFont="1" applyFill="1"/>
    <xf numFmtId="0" fontId="10" fillId="10" borderId="35" xfId="0" applyFont="1" applyFill="1" applyBorder="1" applyAlignment="1">
      <alignment horizontal="center" vertical="center" wrapText="1"/>
    </xf>
    <xf numFmtId="165" fontId="36" fillId="0" borderId="23" xfId="0" applyNumberFormat="1" applyFont="1" applyBorder="1" applyAlignment="1">
      <alignment horizontal="center" vertical="center"/>
    </xf>
    <xf numFmtId="0" fontId="3" fillId="4" borderId="0" xfId="1" applyFill="1" applyAlignment="1">
      <alignment horizontal="center"/>
    </xf>
    <xf numFmtId="0" fontId="3" fillId="7" borderId="0" xfId="1" applyFill="1" applyAlignment="1">
      <alignment horizontal="center"/>
    </xf>
    <xf numFmtId="0" fontId="4" fillId="10" borderId="0" xfId="1" applyFont="1" applyFill="1" applyAlignment="1">
      <alignment horizontal="left" vertical="top" wrapText="1"/>
    </xf>
    <xf numFmtId="0" fontId="1" fillId="10" borderId="0" xfId="1" applyFont="1" applyFill="1" applyAlignment="1">
      <alignment horizontal="left" vertical="top" wrapText="1"/>
    </xf>
    <xf numFmtId="0" fontId="25" fillId="10" borderId="0" xfId="1" applyFont="1" applyFill="1" applyAlignment="1">
      <alignment horizontal="center" vertical="center"/>
    </xf>
    <xf numFmtId="0" fontId="13" fillId="10" borderId="0" xfId="1" applyFont="1" applyFill="1" applyAlignment="1">
      <alignment horizontal="center" vertical="center" wrapText="1"/>
    </xf>
    <xf numFmtId="0" fontId="31" fillId="10" borderId="0" xfId="1" applyFont="1" applyFill="1" applyAlignment="1">
      <alignment horizontal="left" vertical="top" wrapText="1"/>
    </xf>
    <xf numFmtId="0" fontId="0" fillId="0" borderId="0" xfId="0" applyAlignment="1">
      <alignment horizontal="left" vertical="top" wrapText="1"/>
    </xf>
    <xf numFmtId="0" fontId="5" fillId="10" borderId="0" xfId="2" applyFill="1" applyAlignment="1">
      <alignment horizontal="left" vertical="top" wrapText="1"/>
    </xf>
    <xf numFmtId="0" fontId="5" fillId="0" borderId="0" xfId="2" applyAlignment="1">
      <alignment horizontal="left" vertical="top" wrapText="1"/>
    </xf>
    <xf numFmtId="0" fontId="11" fillId="7" borderId="2"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6" xfId="0" applyFont="1" applyFill="1" applyBorder="1" applyAlignment="1">
      <alignment horizontal="center" vertical="center" wrapText="1"/>
    </xf>
    <xf numFmtId="4" fontId="11" fillId="7" borderId="1" xfId="0" applyNumberFormat="1" applyFont="1" applyFill="1" applyBorder="1" applyAlignment="1">
      <alignment horizontal="center" vertical="center" wrapText="1"/>
    </xf>
    <xf numFmtId="4" fontId="11" fillId="7" borderId="14"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11" fillId="7" borderId="15"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16" xfId="0" applyNumberFormat="1" applyFont="1" applyFill="1" applyBorder="1" applyAlignment="1">
      <alignment horizontal="center" vertical="center" wrapText="1"/>
    </xf>
    <xf numFmtId="4" fontId="11" fillId="7" borderId="2" xfId="0" applyNumberFormat="1" applyFont="1" applyFill="1" applyBorder="1" applyAlignment="1">
      <alignment horizontal="center" vertical="center" wrapText="1"/>
    </xf>
    <xf numFmtId="4" fontId="11" fillId="7" borderId="15" xfId="0" applyNumberFormat="1" applyFont="1" applyFill="1" applyBorder="1" applyAlignment="1">
      <alignment horizontal="center" vertical="center" wrapText="1"/>
    </xf>
    <xf numFmtId="0" fontId="1" fillId="0" borderId="13"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4" fontId="11" fillId="7" borderId="9" xfId="0" applyNumberFormat="1" applyFont="1" applyFill="1" applyBorder="1" applyAlignment="1">
      <alignment horizontal="center" vertical="center" wrapText="1"/>
    </xf>
    <xf numFmtId="0" fontId="24" fillId="6" borderId="13"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10"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0" xfId="0" applyFont="1" applyFill="1" applyBorder="1" applyAlignment="1">
      <alignment horizontal="center" vertical="center"/>
    </xf>
    <xf numFmtId="0" fontId="24" fillId="8" borderId="24" xfId="0" applyFont="1" applyFill="1" applyBorder="1" applyAlignment="1">
      <alignment horizontal="center" vertical="center" wrapText="1"/>
    </xf>
    <xf numFmtId="0" fontId="24" fillId="8" borderId="0" xfId="0" applyFont="1" applyFill="1" applyAlignment="1">
      <alignment horizontal="center" vertical="center" wrapText="1"/>
    </xf>
    <xf numFmtId="0" fontId="11" fillId="7" borderId="3"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1" xfId="0" applyFont="1" applyBorder="1" applyAlignment="1">
      <alignment horizontal="center" vertical="center" wrapText="1"/>
    </xf>
    <xf numFmtId="4" fontId="11" fillId="7" borderId="41" xfId="0" applyNumberFormat="1" applyFont="1" applyFill="1" applyBorder="1" applyAlignment="1">
      <alignment horizontal="center" vertical="center" wrapText="1"/>
    </xf>
    <xf numFmtId="4" fontId="11" fillId="7" borderId="30" xfId="0" applyNumberFormat="1" applyFont="1" applyFill="1" applyBorder="1" applyAlignment="1">
      <alignment horizontal="center" vertical="center" wrapText="1"/>
    </xf>
    <xf numFmtId="4" fontId="11" fillId="7" borderId="6" xfId="0" applyNumberFormat="1" applyFont="1" applyFill="1" applyBorder="1" applyAlignment="1">
      <alignment horizontal="center" vertical="center" wrapText="1"/>
    </xf>
    <xf numFmtId="4" fontId="11" fillId="7" borderId="38" xfId="0" applyNumberFormat="1" applyFont="1" applyFill="1" applyBorder="1" applyAlignment="1">
      <alignment horizontal="center" vertical="center" wrapText="1"/>
    </xf>
    <xf numFmtId="4" fontId="24" fillId="3" borderId="22" xfId="0" applyNumberFormat="1" applyFont="1" applyFill="1" applyBorder="1" applyAlignment="1">
      <alignment horizontal="center" vertical="center"/>
    </xf>
    <xf numFmtId="4" fontId="24" fillId="3" borderId="5" xfId="0" applyNumberFormat="1"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28" xfId="0" applyFont="1" applyFill="1" applyBorder="1" applyAlignment="1">
      <alignment horizontal="center" vertical="center" wrapText="1"/>
    </xf>
    <xf numFmtId="164" fontId="11" fillId="7" borderId="32" xfId="0" applyNumberFormat="1" applyFont="1" applyFill="1" applyBorder="1" applyAlignment="1">
      <alignment horizontal="center" vertical="center" wrapText="1"/>
    </xf>
    <xf numFmtId="164" fontId="11" fillId="7" borderId="23" xfId="0" applyNumberFormat="1" applyFont="1" applyFill="1" applyBorder="1" applyAlignment="1">
      <alignment horizontal="center" vertical="center" wrapText="1"/>
    </xf>
    <xf numFmtId="164" fontId="11" fillId="7" borderId="39" xfId="0" applyNumberFormat="1" applyFont="1" applyFill="1" applyBorder="1" applyAlignment="1">
      <alignment horizontal="center" vertical="center" wrapText="1"/>
    </xf>
  </cellXfs>
  <cellStyles count="4">
    <cellStyle name="Hiperłącze" xfId="2" builtinId="8"/>
    <cellStyle name="Normal 2" xfId="3" xr:uid="{00000000-0005-0000-0000-000001000000}"/>
    <cellStyle name="Normálna 2" xfId="1" xr:uid="{00000000-0005-0000-0000-000002000000}"/>
    <cellStyle name="Normalny" xfId="0" builtinId="0"/>
  </cellStyles>
  <dxfs count="3">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123824</xdr:colOff>
      <xdr:row>1</xdr:row>
      <xdr:rowOff>76201</xdr:rowOff>
    </xdr:from>
    <xdr:to>
      <xdr:col>1</xdr:col>
      <xdr:colOff>1838325</xdr:colOff>
      <xdr:row>3</xdr:row>
      <xdr:rowOff>68611</xdr:rowOff>
    </xdr:to>
    <xdr:pic>
      <xdr:nvPicPr>
        <xdr:cNvPr id="2" name="Picture 10">
          <a:extLst>
            <a:ext uri="{FF2B5EF4-FFF2-40B4-BE49-F238E27FC236}">
              <a16:creationId xmlns:a16="http://schemas.microsoft.com/office/drawing/2014/main" id="{FEE45B92-5FA0-4DD5-B48E-07B6F5A6863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664" y="259081"/>
          <a:ext cx="1714501" cy="107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17" totalsRowShown="0" dataDxfId="2">
  <autoFilter ref="B3:C17" xr:uid="{00000000-0009-0000-0100-000001000000}"/>
  <tableColumns count="2">
    <tableColumn id="1" xr3:uid="{00000000-0010-0000-0000-000001000000}" name="Column1" dataDxfId="1"/>
    <tableColumn id="2" xr3:uid="{00000000-0010-0000-0000-000002000000}" name="Column2" dataDxfId="0"/>
  </tableColumns>
  <tableStyleInfo name="TableStyleMedium2"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IMA-MODFUND@ec.europa.eu" TargetMode="External"/><Relationship Id="rId1" Type="http://schemas.openxmlformats.org/officeDocument/2006/relationships/hyperlink" Target="mailto:Modernisation-fund@eib.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pl/web/funduszmodernizacyjny/Programy-Priorytetowe" TargetMode="External"/><Relationship Id="rId13" Type="http://schemas.openxmlformats.org/officeDocument/2006/relationships/hyperlink" Target="https://www.gov.pl/web/funduszmodernizacyjny/Programy-Priorytetowe" TargetMode="External"/><Relationship Id="rId18" Type="http://schemas.openxmlformats.org/officeDocument/2006/relationships/hyperlink" Target="https://www.gov.pl/web/funduszmodernizacyjny/wsparcie-wykorzystania-magazynow-oraz-innych-urzadzen-na-cele-stabilizacji-sieci---program-dla-operatorow-sieci-dystrybucyjnych" TargetMode="External"/><Relationship Id="rId3" Type="http://schemas.openxmlformats.org/officeDocument/2006/relationships/hyperlink" Target="https://www.gov.pl/web/funduszmodernizacyjny/Programy-Priorytetowe" TargetMode="External"/><Relationship Id="rId21" Type="http://schemas.openxmlformats.org/officeDocument/2006/relationships/hyperlink" Target="https://www.gov.pl/web/funduszmodernizacyjny/Programy-Priorytetowe" TargetMode="External"/><Relationship Id="rId7" Type="http://schemas.openxmlformats.org/officeDocument/2006/relationships/hyperlink" Target="https://www.gov.pl/web/funduszmodernizacyjny/Programy-Priorytetowe" TargetMode="External"/><Relationship Id="rId12" Type="http://schemas.openxmlformats.org/officeDocument/2006/relationships/hyperlink" Target="https://www.gov.pl/web/funduszmodernizacyjny/Programy-Priorytetowe" TargetMode="External"/><Relationship Id="rId17" Type="http://schemas.openxmlformats.org/officeDocument/2006/relationships/hyperlink" Target="https://www.gov.pl/web/funduszmodernizacyjny/Programy-Priorytetowe" TargetMode="External"/><Relationship Id="rId25" Type="http://schemas.openxmlformats.org/officeDocument/2006/relationships/printerSettings" Target="../printerSettings/printerSettings2.bin"/><Relationship Id="rId2" Type="http://schemas.openxmlformats.org/officeDocument/2006/relationships/hyperlink" Target="https://www.gov.pl/web/funduszmodernizacyjny/Programy-Priorytetowe" TargetMode="External"/><Relationship Id="rId16" Type="http://schemas.openxmlformats.org/officeDocument/2006/relationships/hyperlink" Target="https://www.gov.pl/web/funduszmodernizacyjny/Programy-Priorytetowe" TargetMode="External"/><Relationship Id="rId20" Type="http://schemas.openxmlformats.org/officeDocument/2006/relationships/hyperlink" Target="https://www.gov.pl/web/funduszmodernizacyjny/Programy-Priorytetowe" TargetMode="External"/><Relationship Id="rId1" Type="http://schemas.openxmlformats.org/officeDocument/2006/relationships/hyperlink" Target="https://www.gov.pl/web/funduszmodernizacyjny/Programy-Priorytetowe" TargetMode="External"/><Relationship Id="rId6" Type="http://schemas.openxmlformats.org/officeDocument/2006/relationships/hyperlink" Target="https://www.gov.pl/web/funduszmodernizacyjny/Programy-Priorytetowe" TargetMode="External"/><Relationship Id="rId11" Type="http://schemas.openxmlformats.org/officeDocument/2006/relationships/hyperlink" Target="https://www.gov.pl/web/funduszmodernizacyjny/Programy-Priorytetowe" TargetMode="External"/><Relationship Id="rId24" Type="http://schemas.openxmlformats.org/officeDocument/2006/relationships/hyperlink" Target="https://www.gov.pl/web/funduszmodernizacyjny/Programy-Priorytetowe" TargetMode="External"/><Relationship Id="rId5" Type="http://schemas.openxmlformats.org/officeDocument/2006/relationships/hyperlink" Target="https://www.gov.pl/web/funduszmodernizacyjny/Programy-Priorytetowe" TargetMode="External"/><Relationship Id="rId15" Type="http://schemas.openxmlformats.org/officeDocument/2006/relationships/hyperlink" Target="https://www.gov.pl/web/funduszmodernizacyjny/Programy-Priorytetowe" TargetMode="External"/><Relationship Id="rId23" Type="http://schemas.openxmlformats.org/officeDocument/2006/relationships/hyperlink" Target="https://www.gov.pl/web/funduszmodernizacyjny/Programy-Priorytetowe" TargetMode="External"/><Relationship Id="rId10" Type="http://schemas.openxmlformats.org/officeDocument/2006/relationships/hyperlink" Target="https://www.gov.pl/web/funduszmodernizacyjny/Programy-Priorytetowe" TargetMode="External"/><Relationship Id="rId19" Type="http://schemas.openxmlformats.org/officeDocument/2006/relationships/hyperlink" Target="https://www.gov.pl/web/funduszmodernizacyjny/energia-dla-wsi2" TargetMode="External"/><Relationship Id="rId4" Type="http://schemas.openxmlformats.org/officeDocument/2006/relationships/hyperlink" Target="https://www.gov.pl/web/funduszmodernizacyjny/Programy-Priorytetowe" TargetMode="External"/><Relationship Id="rId9" Type="http://schemas.openxmlformats.org/officeDocument/2006/relationships/hyperlink" Target="https://www.gov.pl/web/funduszmodernizacyjny/Programy-Priorytetowe" TargetMode="External"/><Relationship Id="rId14" Type="http://schemas.openxmlformats.org/officeDocument/2006/relationships/hyperlink" Target="https://www.gov.pl/web/funduszmodernizacyjny/Programy-Priorytetowe" TargetMode="External"/><Relationship Id="rId22" Type="http://schemas.openxmlformats.org/officeDocument/2006/relationships/hyperlink" Target="https://www.gov.pl/web/funduszmodernizacyjny/Programy-Priorytetow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27"/>
  <sheetViews>
    <sheetView showGridLines="0" view="pageBreakPreview" topLeftCell="A2" zoomScale="60" zoomScaleNormal="74" workbookViewId="0">
      <selection activeCell="B13" sqref="B13"/>
    </sheetView>
  </sheetViews>
  <sheetFormatPr defaultColWidth="8.6640625" defaultRowHeight="14.4" customHeight="1" zeroHeight="1" x14ac:dyDescent="0.3"/>
  <cols>
    <col min="1" max="1" width="3.5546875" style="2" customWidth="1"/>
    <col min="2" max="2" width="33.5546875" style="2" customWidth="1"/>
    <col min="3" max="3" width="176" style="2" customWidth="1"/>
    <col min="4" max="4" width="3.88671875" style="2" customWidth="1"/>
    <col min="5" max="6" width="44.5546875" style="2" hidden="1" customWidth="1"/>
    <col min="7" max="18" width="44.5546875" style="4" hidden="1" customWidth="1"/>
    <col min="19" max="19" width="44.5546875" style="2" hidden="1" customWidth="1"/>
    <col min="20" max="16379" width="8.6640625" style="1" hidden="1" customWidth="1"/>
    <col min="16380" max="16380" width="2.109375" style="1" hidden="1" customWidth="1"/>
    <col min="16381" max="16381" width="7.88671875" style="1" hidden="1" customWidth="1"/>
    <col min="16382" max="16382" width="8.6640625" style="1" hidden="1" customWidth="1"/>
    <col min="16383" max="16383" width="4.44140625" style="1" hidden="1" customWidth="1"/>
    <col min="16384" max="16384" width="1.6640625" style="1" hidden="1" customWidth="1"/>
  </cols>
  <sheetData>
    <row r="1" spans="1:96" x14ac:dyDescent="0.3">
      <c r="A1" s="106"/>
      <c r="B1" s="106"/>
      <c r="C1" s="106"/>
      <c r="D1" s="106"/>
      <c r="E1" s="4"/>
      <c r="F1" s="4"/>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60.75" customHeight="1" x14ac:dyDescent="0.3">
      <c r="A2" s="106"/>
      <c r="B2" s="110" t="s">
        <v>61</v>
      </c>
      <c r="C2" s="110"/>
      <c r="D2" s="106"/>
      <c r="E2" s="4"/>
      <c r="F2" s="4"/>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4.75" customHeight="1" x14ac:dyDescent="0.3">
      <c r="A3" s="106"/>
      <c r="B3" s="111" t="s">
        <v>62</v>
      </c>
      <c r="C3" s="111"/>
      <c r="D3" s="106"/>
      <c r="E3" s="4"/>
      <c r="F3" s="4"/>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53.25" customHeight="1" x14ac:dyDescent="0.3">
      <c r="A4" s="106"/>
      <c r="B4" s="108" t="s">
        <v>63</v>
      </c>
      <c r="C4" s="108"/>
      <c r="D4" s="106"/>
      <c r="E4" s="13"/>
      <c r="F4" s="4"/>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ht="90" customHeight="1" x14ac:dyDescent="0.3">
      <c r="A5" s="106"/>
      <c r="B5" s="108" t="s">
        <v>64</v>
      </c>
      <c r="C5" s="108"/>
      <c r="D5" s="106"/>
      <c r="E5" s="13"/>
      <c r="F5" s="4"/>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113.25" customHeight="1" x14ac:dyDescent="0.3">
      <c r="A6" s="106"/>
      <c r="B6" s="112" t="s">
        <v>65</v>
      </c>
      <c r="C6" s="109"/>
      <c r="D6" s="106"/>
      <c r="E6" s="13"/>
      <c r="F6" s="4"/>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9.75" customHeight="1" x14ac:dyDescent="0.3">
      <c r="A7" s="106"/>
      <c r="B7" s="112" t="s">
        <v>66</v>
      </c>
      <c r="C7" s="109"/>
      <c r="D7" s="106"/>
      <c r="E7" s="13"/>
      <c r="F7" s="4"/>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ht="18.75" customHeight="1" x14ac:dyDescent="0.3">
      <c r="A8" s="106"/>
      <c r="B8" s="109" t="s">
        <v>67</v>
      </c>
      <c r="C8" s="109"/>
      <c r="D8" s="106"/>
      <c r="E8" s="4"/>
      <c r="F8" s="4"/>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7.25" customHeight="1" x14ac:dyDescent="0.3">
      <c r="A9" s="106"/>
      <c r="B9" s="114" t="s">
        <v>0</v>
      </c>
      <c r="C9" s="114"/>
      <c r="D9" s="106"/>
      <c r="E9" s="4"/>
      <c r="F9" s="4"/>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ht="16.5" customHeight="1" x14ac:dyDescent="0.3">
      <c r="A10" s="106"/>
      <c r="B10" s="113" t="s">
        <v>68</v>
      </c>
      <c r="C10" s="113"/>
      <c r="D10" s="106"/>
      <c r="E10" s="4"/>
      <c r="F10" s="4"/>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21.75" customHeight="1" x14ac:dyDescent="0.3">
      <c r="A11" s="106"/>
      <c r="B11" s="115" t="s">
        <v>69</v>
      </c>
      <c r="C11" s="115"/>
      <c r="D11" s="106"/>
      <c r="E11" s="4"/>
      <c r="F11" s="4"/>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21" customHeight="1" thickBot="1" x14ac:dyDescent="0.35">
      <c r="A12" s="106"/>
      <c r="B12" s="20" t="s">
        <v>70</v>
      </c>
      <c r="C12" s="21" t="s">
        <v>71</v>
      </c>
      <c r="D12" s="106"/>
      <c r="E12" s="4"/>
      <c r="F12" s="4"/>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42" customHeight="1" thickBot="1" x14ac:dyDescent="0.35">
      <c r="A13" s="106"/>
      <c r="B13" s="22">
        <v>2024</v>
      </c>
      <c r="C13" s="23" t="s">
        <v>72</v>
      </c>
      <c r="D13" s="106"/>
      <c r="E13" s="103" t="s">
        <v>73</v>
      </c>
      <c r="F13" s="4"/>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x14ac:dyDescent="0.3">
      <c r="A14" s="106"/>
      <c r="B14" s="19"/>
      <c r="C14" s="3"/>
      <c r="D14" s="106"/>
      <c r="E14" s="4"/>
      <c r="F14" s="4"/>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3">
      <c r="A15" s="106"/>
      <c r="B15" s="18"/>
      <c r="C15" s="11"/>
      <c r="D15" s="106"/>
      <c r="E15" s="4"/>
      <c r="F15" s="4"/>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ht="18" hidden="1" x14ac:dyDescent="0.35">
      <c r="A16" s="4"/>
      <c r="B16" s="4"/>
      <c r="C16" s="6"/>
      <c r="D16" s="4"/>
      <c r="E16" s="4"/>
      <c r="F16" s="4"/>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276" hidden="1" x14ac:dyDescent="0.3">
      <c r="A17" s="4"/>
      <c r="B17" s="4"/>
      <c r="C17" s="5"/>
      <c r="D17" s="4"/>
      <c r="E17" s="4"/>
      <c r="F17" s="4"/>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276" hidden="1" x14ac:dyDescent="0.3">
      <c r="A18" s="4"/>
      <c r="B18" s="4"/>
      <c r="C18" s="7"/>
      <c r="D18" s="4"/>
      <c r="E18" s="4"/>
      <c r="F18" s="4"/>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276" hidden="1" x14ac:dyDescent="0.3">
      <c r="A19" s="4"/>
      <c r="B19" s="4"/>
      <c r="C19" s="8"/>
      <c r="D19" s="4"/>
      <c r="E19" s="4"/>
      <c r="F19" s="4"/>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276" hidden="1" x14ac:dyDescent="0.3">
      <c r="A20" s="4"/>
      <c r="B20" s="4"/>
      <c r="C20" s="8"/>
      <c r="D20" s="4"/>
      <c r="E20" s="4"/>
      <c r="F20" s="4"/>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276" hidden="1" x14ac:dyDescent="0.3">
      <c r="A21" s="4"/>
      <c r="B21" s="4"/>
      <c r="C21" s="9"/>
      <c r="D21" s="4"/>
      <c r="E21" s="4"/>
      <c r="F21" s="4"/>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276" hidden="1" x14ac:dyDescent="0.3">
      <c r="A22" s="4"/>
      <c r="B22" s="4"/>
      <c r="C22" s="10"/>
      <c r="D22" s="4"/>
      <c r="E22" s="4"/>
      <c r="F22" s="4"/>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276" ht="66" hidden="1" customHeight="1" x14ac:dyDescent="0.3">
      <c r="A23" s="107"/>
      <c r="B23" s="107"/>
      <c r="C23" s="107"/>
      <c r="D23" s="107"/>
      <c r="E23" s="4"/>
      <c r="F23" s="4"/>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276" hidden="1" x14ac:dyDescent="0.3">
      <c r="A24" s="4"/>
      <c r="B24" s="4"/>
      <c r="C24" s="4"/>
      <c r="D24" s="4"/>
      <c r="E24" s="4"/>
      <c r="F24" s="4"/>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row>
    <row r="25" spans="1:276" hidden="1" x14ac:dyDescent="0.3">
      <c r="A25" s="4"/>
      <c r="B25" s="4"/>
      <c r="C25" s="4"/>
      <c r="D25" s="4"/>
      <c r="E25" s="4"/>
      <c r="F25" s="4"/>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row>
    <row r="26" spans="1:276" hidden="1" x14ac:dyDescent="0.3">
      <c r="A26" s="4"/>
      <c r="B26" s="4"/>
      <c r="C26" s="4"/>
      <c r="D26" s="4"/>
      <c r="E26" s="4"/>
      <c r="F26" s="4"/>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row>
    <row r="27" spans="1:276" hidden="1" x14ac:dyDescent="0.3">
      <c r="A27" s="4"/>
      <c r="B27" s="4"/>
      <c r="C27" s="4"/>
      <c r="D27" s="4"/>
      <c r="E27" s="4"/>
      <c r="F27" s="4"/>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row>
  </sheetData>
  <mergeCells count="14">
    <mergeCell ref="A1:D1"/>
    <mergeCell ref="A23:D23"/>
    <mergeCell ref="A2:A15"/>
    <mergeCell ref="D2:D15"/>
    <mergeCell ref="B4:C4"/>
    <mergeCell ref="B8:C8"/>
    <mergeCell ref="B2:C2"/>
    <mergeCell ref="B3:C3"/>
    <mergeCell ref="B6:C6"/>
    <mergeCell ref="B10:C10"/>
    <mergeCell ref="B5:C5"/>
    <mergeCell ref="B7:C7"/>
    <mergeCell ref="B9:C9"/>
    <mergeCell ref="B11:C11"/>
  </mergeCells>
  <hyperlinks>
    <hyperlink ref="B11" r:id="rId1" xr:uid="{00000000-0004-0000-0000-000000000000}"/>
    <hyperlink ref="B9" r:id="rId2" xr:uid="{00000000-0004-0000-0000-000001000000}"/>
  </hyperlinks>
  <pageMargins left="0.7" right="0.7" top="0.75" bottom="0.75" header="0.3" footer="0.3"/>
  <pageSetup paperSize="9" scale="4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0"/>
  <sheetViews>
    <sheetView view="pageBreakPreview" topLeftCell="A6" zoomScale="60" zoomScaleNormal="60" workbookViewId="0">
      <selection activeCell="N5" sqref="N5"/>
    </sheetView>
  </sheetViews>
  <sheetFormatPr defaultRowHeight="14.4" x14ac:dyDescent="0.3"/>
  <cols>
    <col min="2" max="2" width="21.44140625" customWidth="1"/>
    <col min="3" max="3" width="21" customWidth="1"/>
    <col min="4" max="4" width="24.33203125" customWidth="1"/>
    <col min="5" max="5" width="13" customWidth="1"/>
    <col min="6" max="6" width="14.44140625" customWidth="1"/>
    <col min="7" max="7" width="16.33203125" customWidth="1"/>
    <col min="8" max="8" width="30" customWidth="1"/>
    <col min="9" max="9" width="40.88671875" customWidth="1"/>
    <col min="10" max="10" width="22.109375" customWidth="1"/>
    <col min="11" max="11" width="26.6640625" customWidth="1"/>
    <col min="12" max="12" width="19.88671875" customWidth="1"/>
    <col min="13" max="13" width="23.5546875" customWidth="1"/>
    <col min="14" max="14" width="25.88671875" customWidth="1"/>
    <col min="15" max="15" width="24.6640625" customWidth="1"/>
    <col min="16" max="16" width="25" customWidth="1"/>
    <col min="17" max="18" width="19.88671875" customWidth="1"/>
    <col min="19" max="19" width="21.5546875" bestFit="1" customWidth="1"/>
    <col min="20" max="20" width="21.44140625" bestFit="1" customWidth="1"/>
    <col min="21" max="21" width="21.5546875" bestFit="1" customWidth="1"/>
    <col min="22" max="22" width="21.6640625" bestFit="1" customWidth="1"/>
    <col min="23" max="23" width="16" customWidth="1"/>
    <col min="24" max="24" width="14.5546875" customWidth="1"/>
    <col min="25" max="25" width="23" bestFit="1" customWidth="1"/>
    <col min="26" max="26" width="18.33203125" customWidth="1"/>
    <col min="27" max="27" width="27.88671875" customWidth="1"/>
    <col min="28" max="28" width="33.5546875" customWidth="1"/>
    <col min="29" max="29" width="21.44140625" customWidth="1"/>
    <col min="30" max="31" width="34.44140625" customWidth="1"/>
    <col min="32" max="32" width="32.44140625" customWidth="1"/>
    <col min="33" max="33" width="27.44140625" customWidth="1"/>
    <col min="34" max="34" width="32.33203125" customWidth="1"/>
  </cols>
  <sheetData>
    <row r="1" spans="1:34" ht="19.2" customHeight="1" thickBot="1" x14ac:dyDescent="0.35">
      <c r="A1" s="128" t="s">
        <v>107</v>
      </c>
      <c r="B1" s="129"/>
      <c r="C1" s="129"/>
      <c r="D1" s="129"/>
      <c r="E1" s="129"/>
      <c r="F1" s="129"/>
      <c r="G1" s="129"/>
      <c r="H1" s="129"/>
      <c r="I1" s="129"/>
      <c r="J1" s="130"/>
      <c r="K1" s="135" t="s">
        <v>108</v>
      </c>
      <c r="L1" s="136"/>
      <c r="M1" s="136"/>
      <c r="N1" s="136"/>
      <c r="O1" s="136"/>
      <c r="P1" s="136"/>
      <c r="Q1" s="136"/>
      <c r="R1" s="137"/>
      <c r="S1" s="132" t="s">
        <v>109</v>
      </c>
      <c r="T1" s="133"/>
      <c r="U1" s="133"/>
      <c r="V1" s="133"/>
      <c r="W1" s="133"/>
      <c r="X1" s="133"/>
      <c r="Y1" s="133"/>
      <c r="Z1" s="134"/>
      <c r="AA1" s="138" t="s">
        <v>110</v>
      </c>
      <c r="AB1" s="139"/>
      <c r="AC1" s="139"/>
      <c r="AD1" s="139"/>
      <c r="AE1" s="139"/>
      <c r="AF1" s="139"/>
      <c r="AG1" s="139"/>
      <c r="AH1" s="139"/>
    </row>
    <row r="2" spans="1:34" ht="64.5" customHeight="1" x14ac:dyDescent="0.3">
      <c r="A2" s="120" t="s">
        <v>74</v>
      </c>
      <c r="B2" s="122" t="s">
        <v>75</v>
      </c>
      <c r="C2" s="122" t="s">
        <v>76</v>
      </c>
      <c r="D2" s="124" t="s">
        <v>77</v>
      </c>
      <c r="E2" s="126" t="s">
        <v>78</v>
      </c>
      <c r="F2" s="122" t="s">
        <v>79</v>
      </c>
      <c r="G2" s="124" t="s">
        <v>80</v>
      </c>
      <c r="H2" s="126" t="s">
        <v>81</v>
      </c>
      <c r="I2" s="122" t="s">
        <v>82</v>
      </c>
      <c r="J2" s="122" t="s">
        <v>83</v>
      </c>
      <c r="K2" s="120" t="s">
        <v>84</v>
      </c>
      <c r="L2" s="122" t="s">
        <v>85</v>
      </c>
      <c r="M2" s="122" t="s">
        <v>86</v>
      </c>
      <c r="N2" s="124" t="s">
        <v>87</v>
      </c>
      <c r="O2" s="122" t="s">
        <v>88</v>
      </c>
      <c r="P2" s="122" t="s">
        <v>89</v>
      </c>
      <c r="Q2" s="122" t="s">
        <v>90</v>
      </c>
      <c r="R2" s="122" t="s">
        <v>91</v>
      </c>
      <c r="S2" s="145" t="s">
        <v>92</v>
      </c>
      <c r="T2" s="146"/>
      <c r="U2" s="146"/>
      <c r="V2" s="146"/>
      <c r="W2" s="146"/>
      <c r="X2" s="146"/>
      <c r="Y2" s="146"/>
      <c r="Z2" s="147"/>
      <c r="AA2" s="145" t="s">
        <v>93</v>
      </c>
      <c r="AB2" s="116" t="s">
        <v>94</v>
      </c>
      <c r="AC2" s="116" t="s">
        <v>95</v>
      </c>
      <c r="AD2" s="118" t="s">
        <v>96</v>
      </c>
      <c r="AE2" s="116" t="s">
        <v>97</v>
      </c>
      <c r="AF2" s="118" t="s">
        <v>98</v>
      </c>
      <c r="AG2" s="118" t="s">
        <v>99</v>
      </c>
      <c r="AH2" s="140" t="s">
        <v>100</v>
      </c>
    </row>
    <row r="3" spans="1:34" ht="81.900000000000006" customHeight="1" x14ac:dyDescent="0.3">
      <c r="A3" s="121"/>
      <c r="B3" s="123"/>
      <c r="C3" s="123"/>
      <c r="D3" s="125"/>
      <c r="E3" s="127"/>
      <c r="F3" s="123"/>
      <c r="G3" s="125"/>
      <c r="H3" s="127"/>
      <c r="I3" s="123"/>
      <c r="J3" s="123"/>
      <c r="K3" s="121"/>
      <c r="L3" s="123"/>
      <c r="M3" s="123"/>
      <c r="N3" s="125"/>
      <c r="O3" s="123"/>
      <c r="P3" s="123"/>
      <c r="Q3" s="123"/>
      <c r="R3" s="123"/>
      <c r="S3" s="142" t="s">
        <v>101</v>
      </c>
      <c r="T3" s="143"/>
      <c r="U3" s="119" t="s">
        <v>102</v>
      </c>
      <c r="V3" s="143"/>
      <c r="W3" s="119" t="s">
        <v>103</v>
      </c>
      <c r="X3" s="143"/>
      <c r="Y3" s="119" t="s">
        <v>104</v>
      </c>
      <c r="Z3" s="144"/>
      <c r="AA3" s="142"/>
      <c r="AB3" s="117"/>
      <c r="AC3" s="117"/>
      <c r="AD3" s="119"/>
      <c r="AE3" s="117"/>
      <c r="AF3" s="119"/>
      <c r="AG3" s="119"/>
      <c r="AH3" s="141"/>
    </row>
    <row r="4" spans="1:34" ht="109.8" thickBot="1" x14ac:dyDescent="0.35">
      <c r="A4" s="131"/>
      <c r="B4" s="123"/>
      <c r="C4" s="123"/>
      <c r="D4" s="125"/>
      <c r="E4" s="127"/>
      <c r="F4" s="123"/>
      <c r="G4" s="125"/>
      <c r="H4" s="127"/>
      <c r="I4" s="123"/>
      <c r="J4" s="123"/>
      <c r="K4" s="121"/>
      <c r="L4" s="123"/>
      <c r="M4" s="123"/>
      <c r="N4" s="125"/>
      <c r="O4" s="123"/>
      <c r="P4" s="123"/>
      <c r="Q4" s="123"/>
      <c r="R4" s="123"/>
      <c r="S4" s="43" t="s">
        <v>105</v>
      </c>
      <c r="T4" s="39" t="s">
        <v>106</v>
      </c>
      <c r="U4" s="39" t="s">
        <v>105</v>
      </c>
      <c r="V4" s="39" t="s">
        <v>106</v>
      </c>
      <c r="W4" s="39" t="s">
        <v>105</v>
      </c>
      <c r="X4" s="39" t="s">
        <v>106</v>
      </c>
      <c r="Y4" s="39" t="s">
        <v>105</v>
      </c>
      <c r="Z4" s="40" t="s">
        <v>106</v>
      </c>
      <c r="AA4" s="142"/>
      <c r="AB4" s="117"/>
      <c r="AC4" s="117"/>
      <c r="AD4" s="119"/>
      <c r="AE4" s="117"/>
      <c r="AF4" s="119"/>
      <c r="AG4" s="119"/>
      <c r="AH4" s="141"/>
    </row>
    <row r="5" spans="1:34" ht="137.4" customHeight="1" thickBot="1" x14ac:dyDescent="0.35">
      <c r="A5" s="36">
        <v>1</v>
      </c>
      <c r="B5" s="41" t="s">
        <v>20</v>
      </c>
      <c r="C5" s="32" t="s">
        <v>20</v>
      </c>
      <c r="D5" s="32" t="s">
        <v>111</v>
      </c>
      <c r="E5" s="32" t="s">
        <v>112</v>
      </c>
      <c r="F5" s="32" t="s">
        <v>113</v>
      </c>
      <c r="G5" s="32" t="s">
        <v>114</v>
      </c>
      <c r="H5" s="52" t="s">
        <v>41</v>
      </c>
      <c r="I5" s="32" t="s">
        <v>133</v>
      </c>
      <c r="J5" s="34" t="s">
        <v>72</v>
      </c>
      <c r="K5" s="63">
        <v>123000000</v>
      </c>
      <c r="L5" s="64">
        <v>100000000</v>
      </c>
      <c r="M5" s="64">
        <v>25000000</v>
      </c>
      <c r="N5" s="72">
        <f>25000000</f>
        <v>25000000</v>
      </c>
      <c r="O5" s="72">
        <f>2258796/4.5</f>
        <v>501954.66666666669</v>
      </c>
      <c r="P5" s="72">
        <f>2145856/4.5</f>
        <v>476856.88888888888</v>
      </c>
      <c r="Q5" s="68" t="s">
        <v>158</v>
      </c>
      <c r="R5" s="69" t="s">
        <v>158</v>
      </c>
      <c r="S5" s="85">
        <v>174</v>
      </c>
      <c r="T5" s="68">
        <v>1917</v>
      </c>
      <c r="U5" s="86">
        <v>226</v>
      </c>
      <c r="V5" s="87">
        <v>2489</v>
      </c>
      <c r="W5" s="70" t="s">
        <v>158</v>
      </c>
      <c r="X5" s="70" t="s">
        <v>158</v>
      </c>
      <c r="Y5" s="88">
        <f>O5/U5</f>
        <v>2221.0383480825958</v>
      </c>
      <c r="Z5" s="88">
        <f>O5/V5</f>
        <v>201.66921119592877</v>
      </c>
      <c r="AA5" s="89" t="s">
        <v>160</v>
      </c>
      <c r="AB5" s="83" t="s">
        <v>162</v>
      </c>
      <c r="AC5" s="70" t="s">
        <v>158</v>
      </c>
      <c r="AD5" s="70" t="s">
        <v>158</v>
      </c>
      <c r="AE5" s="70" t="s">
        <v>158</v>
      </c>
      <c r="AF5" s="32" t="s">
        <v>181</v>
      </c>
      <c r="AG5" s="70" t="s">
        <v>158</v>
      </c>
      <c r="AH5" s="34" t="s">
        <v>182</v>
      </c>
    </row>
    <row r="6" spans="1:34" ht="140.25" customHeight="1" thickBot="1" x14ac:dyDescent="0.35">
      <c r="A6" s="27">
        <v>2</v>
      </c>
      <c r="B6" s="42" t="s">
        <v>21</v>
      </c>
      <c r="C6" s="33" t="s">
        <v>29</v>
      </c>
      <c r="D6" s="33" t="s">
        <v>115</v>
      </c>
      <c r="E6" s="33" t="s">
        <v>112</v>
      </c>
      <c r="F6" s="33" t="s">
        <v>116</v>
      </c>
      <c r="G6" s="33" t="s">
        <v>114</v>
      </c>
      <c r="H6" s="51" t="s">
        <v>41</v>
      </c>
      <c r="I6" s="33" t="s">
        <v>147</v>
      </c>
      <c r="J6" s="35" t="s">
        <v>72</v>
      </c>
      <c r="K6" s="65">
        <v>273000000</v>
      </c>
      <c r="L6" s="66">
        <v>222000000</v>
      </c>
      <c r="M6" s="66">
        <v>222000000</v>
      </c>
      <c r="N6" s="73">
        <f>44000000+178000000</f>
        <v>222000000</v>
      </c>
      <c r="O6" s="66">
        <f>761377554/4.5</f>
        <v>169195012</v>
      </c>
      <c r="P6" s="66">
        <f>254728605.9/4.5</f>
        <v>56606356.866666667</v>
      </c>
      <c r="Q6" s="67" t="s">
        <v>158</v>
      </c>
      <c r="R6" s="70" t="s">
        <v>158</v>
      </c>
      <c r="S6" s="70" t="s">
        <v>158</v>
      </c>
      <c r="T6" s="70" t="s">
        <v>158</v>
      </c>
      <c r="U6" s="92">
        <f>86022+190102</f>
        <v>276124</v>
      </c>
      <c r="V6" s="93">
        <f>U6*12</f>
        <v>3313488</v>
      </c>
      <c r="W6" s="70" t="s">
        <v>158</v>
      </c>
      <c r="X6" s="70" t="s">
        <v>158</v>
      </c>
      <c r="Y6" s="88">
        <f>O6/U6</f>
        <v>612.75011226840115</v>
      </c>
      <c r="Z6" s="88">
        <f t="shared" ref="Z6:Z23" si="0">O6/V6</f>
        <v>51.062509355700094</v>
      </c>
      <c r="AA6" s="90" t="s">
        <v>160</v>
      </c>
      <c r="AB6" s="81" t="s">
        <v>163</v>
      </c>
      <c r="AC6" s="70" t="s">
        <v>158</v>
      </c>
      <c r="AD6" s="70" t="s">
        <v>158</v>
      </c>
      <c r="AE6" s="70" t="s">
        <v>158</v>
      </c>
      <c r="AF6" s="32" t="s">
        <v>181</v>
      </c>
      <c r="AG6" s="70" t="s">
        <v>158</v>
      </c>
      <c r="AH6" s="34" t="s">
        <v>182</v>
      </c>
    </row>
    <row r="7" spans="1:34" ht="149.25" customHeight="1" thickBot="1" x14ac:dyDescent="0.35">
      <c r="A7" s="27">
        <v>3</v>
      </c>
      <c r="B7" s="42" t="s">
        <v>37</v>
      </c>
      <c r="C7" s="33" t="s">
        <v>38</v>
      </c>
      <c r="D7" s="33" t="s">
        <v>117</v>
      </c>
      <c r="E7" s="33" t="s">
        <v>112</v>
      </c>
      <c r="F7" s="33" t="s">
        <v>116</v>
      </c>
      <c r="G7" s="33" t="s">
        <v>114</v>
      </c>
      <c r="H7" s="51" t="s">
        <v>41</v>
      </c>
      <c r="I7" s="33" t="s">
        <v>148</v>
      </c>
      <c r="J7" s="35" t="s">
        <v>72</v>
      </c>
      <c r="K7" s="65">
        <v>455000000</v>
      </c>
      <c r="L7" s="66">
        <v>370000000</v>
      </c>
      <c r="M7" s="66">
        <v>222000000</v>
      </c>
      <c r="N7" s="73">
        <f>22000000+105000000</f>
        <v>127000000</v>
      </c>
      <c r="O7" s="73">
        <f>402175261/4.5</f>
        <v>89372280.222222224</v>
      </c>
      <c r="P7" s="66">
        <f>136724080/4.5</f>
        <v>30383128.888888888</v>
      </c>
      <c r="Q7" s="67" t="s">
        <v>158</v>
      </c>
      <c r="R7" s="70" t="s">
        <v>158</v>
      </c>
      <c r="S7" s="70" t="s">
        <v>158</v>
      </c>
      <c r="T7" s="70" t="s">
        <v>158</v>
      </c>
      <c r="U7" s="92">
        <f>394+8329+3168</f>
        <v>11891</v>
      </c>
      <c r="V7" s="93">
        <f>U7*40</f>
        <v>475640</v>
      </c>
      <c r="W7" s="70" t="s">
        <v>158</v>
      </c>
      <c r="X7" s="70" t="s">
        <v>158</v>
      </c>
      <c r="Y7" s="88">
        <f t="shared" ref="Y7:Y21" si="1">O7/U7</f>
        <v>7515.9599884132722</v>
      </c>
      <c r="Z7" s="88">
        <f>O7/V7</f>
        <v>187.89899971033182</v>
      </c>
      <c r="AA7" s="90" t="s">
        <v>160</v>
      </c>
      <c r="AB7" s="81" t="s">
        <v>164</v>
      </c>
      <c r="AC7" s="70" t="s">
        <v>158</v>
      </c>
      <c r="AD7" s="70" t="s">
        <v>158</v>
      </c>
      <c r="AE7" s="70" t="s">
        <v>158</v>
      </c>
      <c r="AF7" s="32" t="s">
        <v>181</v>
      </c>
      <c r="AG7" s="70" t="s">
        <v>158</v>
      </c>
      <c r="AH7" s="34" t="s">
        <v>182</v>
      </c>
    </row>
    <row r="8" spans="1:34" ht="101.4" thickBot="1" x14ac:dyDescent="0.35">
      <c r="A8" s="27">
        <v>4</v>
      </c>
      <c r="B8" s="42" t="s">
        <v>23</v>
      </c>
      <c r="C8" s="33" t="s">
        <v>43</v>
      </c>
      <c r="D8" s="33" t="s">
        <v>118</v>
      </c>
      <c r="E8" s="33" t="s">
        <v>112</v>
      </c>
      <c r="F8" s="33" t="s">
        <v>116</v>
      </c>
      <c r="G8" s="33" t="s">
        <v>114</v>
      </c>
      <c r="H8" s="76" t="s">
        <v>41</v>
      </c>
      <c r="I8" s="33" t="s">
        <v>149</v>
      </c>
      <c r="J8" s="35" t="s">
        <v>72</v>
      </c>
      <c r="K8" s="65">
        <v>546000000</v>
      </c>
      <c r="L8" s="66">
        <v>444000000</v>
      </c>
      <c r="M8" s="66">
        <v>444000000</v>
      </c>
      <c r="N8" s="73">
        <f>44440000+24700000</f>
        <v>69140000</v>
      </c>
      <c r="O8" s="66">
        <f>131804645/4.5</f>
        <v>29289921.111111112</v>
      </c>
      <c r="P8" s="66">
        <v>0</v>
      </c>
      <c r="Q8" s="67" t="s">
        <v>158</v>
      </c>
      <c r="R8" s="70" t="s">
        <v>158</v>
      </c>
      <c r="S8" s="91">
        <f>75993.89+109992.69</f>
        <v>185986.58000000002</v>
      </c>
      <c r="T8" s="67">
        <f>S8*20</f>
        <v>3719731.6000000006</v>
      </c>
      <c r="U8" s="92">
        <f>68924+218638.91</f>
        <v>287562.91000000003</v>
      </c>
      <c r="V8" s="93">
        <f>1378480+4372780</f>
        <v>5751260</v>
      </c>
      <c r="W8" s="70" t="s">
        <v>158</v>
      </c>
      <c r="X8" s="70" t="s">
        <v>158</v>
      </c>
      <c r="Y8" s="88">
        <f t="shared" si="1"/>
        <v>101.85569867515636</v>
      </c>
      <c r="Z8" s="88">
        <f t="shared" si="0"/>
        <v>5.0927833398439839</v>
      </c>
      <c r="AA8" s="90" t="s">
        <v>160</v>
      </c>
      <c r="AB8" s="81" t="s">
        <v>175</v>
      </c>
      <c r="AC8" s="70" t="s">
        <v>158</v>
      </c>
      <c r="AD8" s="70" t="s">
        <v>158</v>
      </c>
      <c r="AE8" s="70" t="s">
        <v>158</v>
      </c>
      <c r="AF8" s="32" t="s">
        <v>181</v>
      </c>
      <c r="AG8" s="70" t="s">
        <v>158</v>
      </c>
      <c r="AH8" s="34" t="s">
        <v>182</v>
      </c>
    </row>
    <row r="9" spans="1:34" ht="101.4" thickBot="1" x14ac:dyDescent="0.35">
      <c r="A9" s="27">
        <v>5</v>
      </c>
      <c r="B9" s="42" t="s">
        <v>36</v>
      </c>
      <c r="C9" s="33" t="s">
        <v>36</v>
      </c>
      <c r="D9" s="33" t="s">
        <v>119</v>
      </c>
      <c r="E9" s="33" t="s">
        <v>112</v>
      </c>
      <c r="F9" s="33" t="s">
        <v>116</v>
      </c>
      <c r="G9" s="33" t="s">
        <v>57</v>
      </c>
      <c r="H9" s="77" t="s">
        <v>41</v>
      </c>
      <c r="I9" s="33" t="s">
        <v>134</v>
      </c>
      <c r="J9" s="35" t="s">
        <v>72</v>
      </c>
      <c r="K9" s="65">
        <v>411000000</v>
      </c>
      <c r="L9" s="66">
        <v>334000000</v>
      </c>
      <c r="M9" s="66">
        <v>334000000</v>
      </c>
      <c r="N9" s="73">
        <f>44570000</f>
        <v>44570000</v>
      </c>
      <c r="O9" s="73">
        <v>0</v>
      </c>
      <c r="P9" s="73">
        <v>0</v>
      </c>
      <c r="Q9" s="67" t="s">
        <v>158</v>
      </c>
      <c r="R9" s="70" t="s">
        <v>158</v>
      </c>
      <c r="S9" s="91">
        <v>0</v>
      </c>
      <c r="T9" s="67">
        <v>0</v>
      </c>
      <c r="U9" s="92">
        <v>0</v>
      </c>
      <c r="V9" s="93">
        <v>0</v>
      </c>
      <c r="W9" s="70" t="s">
        <v>158</v>
      </c>
      <c r="X9" s="70" t="s">
        <v>158</v>
      </c>
      <c r="Y9" s="88">
        <v>0</v>
      </c>
      <c r="Z9" s="88">
        <v>0</v>
      </c>
      <c r="AA9" s="90" t="s">
        <v>160</v>
      </c>
      <c r="AB9" s="81" t="s">
        <v>165</v>
      </c>
      <c r="AC9" s="70" t="s">
        <v>158</v>
      </c>
      <c r="AD9" s="70" t="s">
        <v>158</v>
      </c>
      <c r="AE9" s="70" t="s">
        <v>158</v>
      </c>
      <c r="AF9" s="32" t="s">
        <v>181</v>
      </c>
      <c r="AG9" s="70" t="s">
        <v>158</v>
      </c>
      <c r="AH9" s="34" t="s">
        <v>182</v>
      </c>
    </row>
    <row r="10" spans="1:34" ht="150.6" customHeight="1" thickBot="1" x14ac:dyDescent="0.35">
      <c r="A10" s="27">
        <v>6</v>
      </c>
      <c r="B10" s="42" t="s">
        <v>24</v>
      </c>
      <c r="C10" s="33" t="s">
        <v>24</v>
      </c>
      <c r="D10" s="33" t="s">
        <v>120</v>
      </c>
      <c r="E10" s="33" t="s">
        <v>112</v>
      </c>
      <c r="F10" s="33" t="s">
        <v>116</v>
      </c>
      <c r="G10" s="33" t="s">
        <v>114</v>
      </c>
      <c r="H10" s="77" t="s">
        <v>41</v>
      </c>
      <c r="I10" s="33" t="s">
        <v>135</v>
      </c>
      <c r="J10" s="35" t="s">
        <v>72</v>
      </c>
      <c r="K10" s="65">
        <v>820000000</v>
      </c>
      <c r="L10" s="66">
        <v>666660000</v>
      </c>
      <c r="M10" s="73">
        <v>666660000</v>
      </c>
      <c r="N10" s="73">
        <f>66600000</f>
        <v>66600000</v>
      </c>
      <c r="O10" s="73">
        <f>130400000/4.5</f>
        <v>28977777.777777776</v>
      </c>
      <c r="P10" s="73">
        <v>0</v>
      </c>
      <c r="Q10" s="67" t="s">
        <v>158</v>
      </c>
      <c r="R10" s="70" t="s">
        <v>158</v>
      </c>
      <c r="S10" s="91">
        <v>406703</v>
      </c>
      <c r="T10" s="67">
        <f>S10*16</f>
        <v>6507248</v>
      </c>
      <c r="U10" s="92">
        <v>61343</v>
      </c>
      <c r="V10" s="93">
        <v>981493</v>
      </c>
      <c r="W10" s="70" t="s">
        <v>158</v>
      </c>
      <c r="X10" s="70" t="s">
        <v>158</v>
      </c>
      <c r="Y10" s="88">
        <f t="shared" si="1"/>
        <v>472.38931545209357</v>
      </c>
      <c r="Z10" s="88">
        <f t="shared" si="0"/>
        <v>29.524181810545542</v>
      </c>
      <c r="AA10" s="90" t="s">
        <v>160</v>
      </c>
      <c r="AB10" s="81" t="s">
        <v>166</v>
      </c>
      <c r="AC10" s="70" t="s">
        <v>158</v>
      </c>
      <c r="AD10" s="70" t="s">
        <v>158</v>
      </c>
      <c r="AE10" s="70" t="s">
        <v>158</v>
      </c>
      <c r="AF10" s="32" t="s">
        <v>181</v>
      </c>
      <c r="AG10" s="70" t="s">
        <v>158</v>
      </c>
      <c r="AH10" s="34" t="s">
        <v>182</v>
      </c>
    </row>
    <row r="11" spans="1:34" ht="101.4" thickBot="1" x14ac:dyDescent="0.35">
      <c r="A11" s="27">
        <v>7</v>
      </c>
      <c r="B11" s="42" t="s">
        <v>35</v>
      </c>
      <c r="C11" s="33" t="s">
        <v>35</v>
      </c>
      <c r="D11" s="33" t="s">
        <v>121</v>
      </c>
      <c r="E11" s="33" t="s">
        <v>112</v>
      </c>
      <c r="F11" s="33" t="s">
        <v>113</v>
      </c>
      <c r="G11" s="33" t="s">
        <v>57</v>
      </c>
      <c r="H11" s="47" t="s">
        <v>41</v>
      </c>
      <c r="I11" s="33" t="s">
        <v>136</v>
      </c>
      <c r="J11" s="35" t="s">
        <v>72</v>
      </c>
      <c r="K11" s="65">
        <v>27000000</v>
      </c>
      <c r="L11" s="66">
        <v>22220000</v>
      </c>
      <c r="M11" s="66">
        <v>22220000</v>
      </c>
      <c r="N11" s="73">
        <f>2220000</f>
        <v>2220000</v>
      </c>
      <c r="O11" s="73">
        <f>105224980/4.5</f>
        <v>23383328.888888888</v>
      </c>
      <c r="P11" s="73">
        <f>17151672/4.5</f>
        <v>3811482.6666666665</v>
      </c>
      <c r="Q11" s="67" t="s">
        <v>158</v>
      </c>
      <c r="R11" s="70" t="s">
        <v>158</v>
      </c>
      <c r="S11" s="91">
        <v>16547</v>
      </c>
      <c r="T11" s="67">
        <f>S11*20</f>
        <v>330940</v>
      </c>
      <c r="U11" s="92">
        <v>39309</v>
      </c>
      <c r="V11" s="93">
        <f>U11*20</f>
        <v>786180</v>
      </c>
      <c r="W11" s="70" t="s">
        <v>158</v>
      </c>
      <c r="X11" s="70" t="s">
        <v>158</v>
      </c>
      <c r="Y11" s="88">
        <f t="shared" si="1"/>
        <v>594.85941867991778</v>
      </c>
      <c r="Z11" s="94">
        <f t="shared" si="0"/>
        <v>29.742970933995888</v>
      </c>
      <c r="AA11" s="90" t="s">
        <v>160</v>
      </c>
      <c r="AB11" s="81" t="s">
        <v>167</v>
      </c>
      <c r="AC11" s="70" t="s">
        <v>158</v>
      </c>
      <c r="AD11" s="70" t="s">
        <v>158</v>
      </c>
      <c r="AE11" s="70" t="s">
        <v>158</v>
      </c>
      <c r="AF11" s="32" t="s">
        <v>181</v>
      </c>
      <c r="AG11" s="70" t="s">
        <v>158</v>
      </c>
      <c r="AH11" s="34" t="s">
        <v>182</v>
      </c>
    </row>
    <row r="12" spans="1:34" ht="250.2" thickBot="1" x14ac:dyDescent="0.35">
      <c r="A12" s="27">
        <v>8</v>
      </c>
      <c r="B12" s="42" t="s">
        <v>26</v>
      </c>
      <c r="C12" s="33" t="s">
        <v>26</v>
      </c>
      <c r="D12" s="33" t="s">
        <v>122</v>
      </c>
      <c r="E12" s="33" t="s">
        <v>112</v>
      </c>
      <c r="F12" s="33" t="s">
        <v>116</v>
      </c>
      <c r="G12" s="33" t="s">
        <v>114</v>
      </c>
      <c r="H12" s="76" t="s">
        <v>41</v>
      </c>
      <c r="I12" s="33" t="s">
        <v>150</v>
      </c>
      <c r="J12" s="35" t="s">
        <v>72</v>
      </c>
      <c r="K12" s="65">
        <v>137000000</v>
      </c>
      <c r="L12" s="66">
        <v>111110000</v>
      </c>
      <c r="M12" s="66">
        <v>111110000</v>
      </c>
      <c r="N12" s="73">
        <v>33300000</v>
      </c>
      <c r="O12" s="73">
        <f>69217912/4.5</f>
        <v>15381758.222222222</v>
      </c>
      <c r="P12" s="66">
        <f>3333116/4.5</f>
        <v>740692.4444444445</v>
      </c>
      <c r="Q12" s="67" t="s">
        <v>158</v>
      </c>
      <c r="R12" s="70" t="s">
        <v>158</v>
      </c>
      <c r="S12" s="96">
        <f>10596+207025</f>
        <v>217621</v>
      </c>
      <c r="T12" s="97">
        <f>S12*5</f>
        <v>1088105</v>
      </c>
      <c r="U12" s="98">
        <f>962+13737</f>
        <v>14699</v>
      </c>
      <c r="V12" s="99">
        <f>U12*5</f>
        <v>73495</v>
      </c>
      <c r="W12" s="70" t="s">
        <v>158</v>
      </c>
      <c r="X12" s="70" t="s">
        <v>158</v>
      </c>
      <c r="Y12" s="94">
        <f t="shared" si="1"/>
        <v>1046.449297382286</v>
      </c>
      <c r="Z12" s="94">
        <f t="shared" si="0"/>
        <v>209.2898594764572</v>
      </c>
      <c r="AA12" s="90" t="s">
        <v>160</v>
      </c>
      <c r="AB12" s="81" t="s">
        <v>168</v>
      </c>
      <c r="AC12" s="70" t="s">
        <v>158</v>
      </c>
      <c r="AD12" s="70" t="s">
        <v>158</v>
      </c>
      <c r="AE12" s="70" t="s">
        <v>158</v>
      </c>
      <c r="AF12" s="32" t="s">
        <v>181</v>
      </c>
      <c r="AG12" s="70" t="s">
        <v>158</v>
      </c>
      <c r="AH12" s="34" t="s">
        <v>182</v>
      </c>
    </row>
    <row r="13" spans="1:34" ht="101.4" thickBot="1" x14ac:dyDescent="0.35">
      <c r="A13" s="27">
        <v>9</v>
      </c>
      <c r="B13" s="42" t="s">
        <v>25</v>
      </c>
      <c r="C13" s="33" t="s">
        <v>34</v>
      </c>
      <c r="D13" s="33" t="s">
        <v>123</v>
      </c>
      <c r="E13" s="33" t="s">
        <v>112</v>
      </c>
      <c r="F13" s="33" t="s">
        <v>116</v>
      </c>
      <c r="G13" s="33" t="s">
        <v>114</v>
      </c>
      <c r="H13" s="47" t="s">
        <v>41</v>
      </c>
      <c r="I13" s="33" t="s">
        <v>137</v>
      </c>
      <c r="J13" s="35" t="s">
        <v>72</v>
      </c>
      <c r="K13" s="65">
        <v>1884000000</v>
      </c>
      <c r="L13" s="66">
        <v>1532000000</v>
      </c>
      <c r="M13" s="66">
        <v>1332000000</v>
      </c>
      <c r="N13" s="73">
        <f>44400000+177600000+44400000+44400000+178000000+399600000</f>
        <v>888400000</v>
      </c>
      <c r="O13" s="66">
        <f>(594832263+2522944529+270799999)/4.5</f>
        <v>753017064.66666663</v>
      </c>
      <c r="P13" s="66">
        <f>85913991/4.5</f>
        <v>19091998</v>
      </c>
      <c r="Q13" s="67" t="s">
        <v>158</v>
      </c>
      <c r="R13" s="70" t="s">
        <v>158</v>
      </c>
      <c r="S13" s="96">
        <f>37790+267939+26292</f>
        <v>332021</v>
      </c>
      <c r="T13" s="97">
        <f>847457+6603593+341800</f>
        <v>7792850</v>
      </c>
      <c r="U13" s="98">
        <f>8454+322975+1145</f>
        <v>332574</v>
      </c>
      <c r="V13" s="99">
        <f>186495+8794792+14880</f>
        <v>8996167</v>
      </c>
      <c r="W13" s="70" t="s">
        <v>158</v>
      </c>
      <c r="X13" s="70" t="s">
        <v>158</v>
      </c>
      <c r="Y13" s="94">
        <f>O13/U13</f>
        <v>2264.2090622437913</v>
      </c>
      <c r="Z13" s="94">
        <f>O13/V13</f>
        <v>83.704211434343833</v>
      </c>
      <c r="AA13" s="90" t="s">
        <v>160</v>
      </c>
      <c r="AB13" s="81" t="s">
        <v>176</v>
      </c>
      <c r="AC13" s="70" t="s">
        <v>158</v>
      </c>
      <c r="AD13" s="70" t="s">
        <v>158</v>
      </c>
      <c r="AE13" s="70" t="s">
        <v>158</v>
      </c>
      <c r="AF13" s="32" t="s">
        <v>181</v>
      </c>
      <c r="AG13" s="70" t="s">
        <v>158</v>
      </c>
      <c r="AH13" s="34" t="s">
        <v>182</v>
      </c>
    </row>
    <row r="14" spans="1:34" ht="147.6" customHeight="1" thickBot="1" x14ac:dyDescent="0.35">
      <c r="A14" s="27">
        <v>10</v>
      </c>
      <c r="B14" s="42" t="s">
        <v>22</v>
      </c>
      <c r="C14" s="33" t="s">
        <v>22</v>
      </c>
      <c r="D14" s="33" t="s">
        <v>124</v>
      </c>
      <c r="E14" s="33" t="s">
        <v>112</v>
      </c>
      <c r="F14" s="33" t="s">
        <v>116</v>
      </c>
      <c r="G14" s="33" t="s">
        <v>114</v>
      </c>
      <c r="H14" s="51" t="s">
        <v>41</v>
      </c>
      <c r="I14" s="33" t="s">
        <v>151</v>
      </c>
      <c r="J14" s="35" t="s">
        <v>72</v>
      </c>
      <c r="K14" s="65">
        <v>273000000</v>
      </c>
      <c r="L14" s="66">
        <v>222220000</v>
      </c>
      <c r="M14" s="66">
        <v>222220000</v>
      </c>
      <c r="N14" s="73">
        <f>44440000</f>
        <v>44440000</v>
      </c>
      <c r="O14" s="66">
        <f>55170000/4.5</f>
        <v>12260000</v>
      </c>
      <c r="P14" s="66">
        <f>280800/4.5</f>
        <v>62400</v>
      </c>
      <c r="Q14" s="67" t="s">
        <v>158</v>
      </c>
      <c r="R14" s="70" t="s">
        <v>158</v>
      </c>
      <c r="S14" s="70" t="s">
        <v>158</v>
      </c>
      <c r="T14" s="70" t="s">
        <v>158</v>
      </c>
      <c r="U14" s="98">
        <f>2132+388</f>
        <v>2520</v>
      </c>
      <c r="V14" s="99">
        <f>U14*20</f>
        <v>50400</v>
      </c>
      <c r="W14" s="70" t="s">
        <v>158</v>
      </c>
      <c r="X14" s="70" t="s">
        <v>158</v>
      </c>
      <c r="Y14" s="94">
        <f t="shared" si="1"/>
        <v>4865.0793650793648</v>
      </c>
      <c r="Z14" s="94">
        <f t="shared" si="0"/>
        <v>243.25396825396825</v>
      </c>
      <c r="AA14" s="90" t="s">
        <v>160</v>
      </c>
      <c r="AB14" s="81" t="s">
        <v>169</v>
      </c>
      <c r="AC14" s="70" t="s">
        <v>158</v>
      </c>
      <c r="AD14" s="70" t="s">
        <v>158</v>
      </c>
      <c r="AE14" s="70" t="s">
        <v>158</v>
      </c>
      <c r="AF14" s="32" t="s">
        <v>181</v>
      </c>
      <c r="AG14" s="61" t="s">
        <v>42</v>
      </c>
      <c r="AH14" s="34" t="s">
        <v>182</v>
      </c>
    </row>
    <row r="15" spans="1:34" ht="101.4" thickBot="1" x14ac:dyDescent="0.35">
      <c r="A15" s="27">
        <v>11</v>
      </c>
      <c r="B15" s="42" t="s">
        <v>27</v>
      </c>
      <c r="C15" s="33" t="s">
        <v>27</v>
      </c>
      <c r="D15" s="33" t="s">
        <v>125</v>
      </c>
      <c r="E15" s="33" t="s">
        <v>112</v>
      </c>
      <c r="F15" s="33" t="s">
        <v>116</v>
      </c>
      <c r="G15" s="33" t="s">
        <v>57</v>
      </c>
      <c r="H15" s="51" t="s">
        <v>41</v>
      </c>
      <c r="I15" s="33" t="s">
        <v>152</v>
      </c>
      <c r="J15" s="35" t="s">
        <v>72</v>
      </c>
      <c r="K15" s="65">
        <v>213000000</v>
      </c>
      <c r="L15" s="66">
        <v>173000000</v>
      </c>
      <c r="M15" s="66">
        <v>144000000</v>
      </c>
      <c r="N15" s="73">
        <v>11110000</v>
      </c>
      <c r="O15" s="75">
        <f>16310000/4.5</f>
        <v>3624444.4444444445</v>
      </c>
      <c r="P15" s="74">
        <v>0</v>
      </c>
      <c r="Q15" s="67" t="s">
        <v>158</v>
      </c>
      <c r="R15" s="70" t="s">
        <v>158</v>
      </c>
      <c r="S15" s="70" t="s">
        <v>158</v>
      </c>
      <c r="T15" s="70" t="s">
        <v>158</v>
      </c>
      <c r="U15" s="98">
        <v>2423.67</v>
      </c>
      <c r="V15" s="99">
        <v>43603.05</v>
      </c>
      <c r="W15" s="95">
        <v>3.83</v>
      </c>
      <c r="X15" s="95">
        <v>3.83</v>
      </c>
      <c r="Y15" s="94">
        <f t="shared" si="1"/>
        <v>1495.4364432634989</v>
      </c>
      <c r="Z15" s="94">
        <f t="shared" si="0"/>
        <v>83.123644892833056</v>
      </c>
      <c r="AA15" s="90" t="s">
        <v>160</v>
      </c>
      <c r="AB15" s="81" t="s">
        <v>175</v>
      </c>
      <c r="AC15" s="70" t="s">
        <v>158</v>
      </c>
      <c r="AD15" s="70" t="s">
        <v>158</v>
      </c>
      <c r="AE15" s="70" t="s">
        <v>158</v>
      </c>
      <c r="AF15" s="32" t="s">
        <v>181</v>
      </c>
      <c r="AG15" s="70" t="s">
        <v>158</v>
      </c>
      <c r="AH15" s="34" t="s">
        <v>182</v>
      </c>
    </row>
    <row r="16" spans="1:34" ht="101.4" thickBot="1" x14ac:dyDescent="0.35">
      <c r="A16" s="27">
        <v>12</v>
      </c>
      <c r="B16" s="42" t="s">
        <v>28</v>
      </c>
      <c r="C16" s="33" t="s">
        <v>28</v>
      </c>
      <c r="D16" s="33" t="s">
        <v>126</v>
      </c>
      <c r="E16" s="33" t="s">
        <v>112</v>
      </c>
      <c r="F16" s="33" t="s">
        <v>113</v>
      </c>
      <c r="G16" s="33" t="s">
        <v>57</v>
      </c>
      <c r="H16" s="51" t="s">
        <v>41</v>
      </c>
      <c r="I16" s="33" t="s">
        <v>138</v>
      </c>
      <c r="J16" s="35" t="s">
        <v>72</v>
      </c>
      <c r="K16" s="65">
        <v>115000000</v>
      </c>
      <c r="L16" s="66">
        <v>93350000</v>
      </c>
      <c r="M16" s="66">
        <v>77790000</v>
      </c>
      <c r="N16" s="74">
        <f>11110000</f>
        <v>11110000</v>
      </c>
      <c r="O16" s="74">
        <f>128000000/4.5</f>
        <v>28444444.444444444</v>
      </c>
      <c r="P16" s="74">
        <f>1280000/4.5</f>
        <v>284444.44444444444</v>
      </c>
      <c r="Q16" s="67" t="s">
        <v>158</v>
      </c>
      <c r="R16" s="70" t="s">
        <v>158</v>
      </c>
      <c r="S16" s="70" t="s">
        <v>158</v>
      </c>
      <c r="T16" s="70" t="s">
        <v>158</v>
      </c>
      <c r="U16" s="98">
        <v>30157</v>
      </c>
      <c r="V16" s="99">
        <v>603137</v>
      </c>
      <c r="W16" s="70" t="s">
        <v>158</v>
      </c>
      <c r="X16" s="70" t="s">
        <v>158</v>
      </c>
      <c r="Y16" s="94">
        <f t="shared" si="1"/>
        <v>943.21200532030525</v>
      </c>
      <c r="Z16" s="94">
        <f t="shared" si="0"/>
        <v>47.160834842572157</v>
      </c>
      <c r="AA16" s="90" t="s">
        <v>160</v>
      </c>
      <c r="AB16" s="81" t="s">
        <v>177</v>
      </c>
      <c r="AC16" s="70" t="s">
        <v>158</v>
      </c>
      <c r="AD16" s="70" t="s">
        <v>158</v>
      </c>
      <c r="AE16" s="70" t="s">
        <v>158</v>
      </c>
      <c r="AF16" s="32" t="s">
        <v>181</v>
      </c>
      <c r="AG16" s="70" t="s">
        <v>158</v>
      </c>
      <c r="AH16" s="34" t="s">
        <v>182</v>
      </c>
    </row>
    <row r="17" spans="1:34" ht="101.4" thickBot="1" x14ac:dyDescent="0.35">
      <c r="A17" s="27">
        <v>13</v>
      </c>
      <c r="B17" s="42" t="s">
        <v>55</v>
      </c>
      <c r="C17" s="33" t="s">
        <v>31</v>
      </c>
      <c r="D17" s="33" t="s">
        <v>127</v>
      </c>
      <c r="E17" s="33" t="s">
        <v>112</v>
      </c>
      <c r="F17" s="33" t="s">
        <v>116</v>
      </c>
      <c r="G17" s="33" t="s">
        <v>114</v>
      </c>
      <c r="H17" s="77" t="s">
        <v>41</v>
      </c>
      <c r="I17" s="33" t="s">
        <v>137</v>
      </c>
      <c r="J17" s="35" t="s">
        <v>72</v>
      </c>
      <c r="K17" s="65">
        <v>910360000</v>
      </c>
      <c r="L17" s="66">
        <f>258200000+481930000</f>
        <v>740130000</v>
      </c>
      <c r="M17" s="66">
        <f>209900000+481930000</f>
        <v>691830000</v>
      </c>
      <c r="N17" s="73">
        <f>20990000+66660000</f>
        <v>87650000</v>
      </c>
      <c r="O17" s="74">
        <f>298714913/4.5</f>
        <v>66381091.777777776</v>
      </c>
      <c r="P17" s="74">
        <f>147149620/4.5</f>
        <v>32699915.555555556</v>
      </c>
      <c r="Q17" s="67" t="s">
        <v>158</v>
      </c>
      <c r="R17" s="70" t="s">
        <v>158</v>
      </c>
      <c r="S17" s="70" t="s">
        <v>158</v>
      </c>
      <c r="T17" s="70" t="s">
        <v>158</v>
      </c>
      <c r="U17" s="98">
        <f>32006+34385</f>
        <v>66391</v>
      </c>
      <c r="V17" s="99">
        <f>640110+687705</f>
        <v>1327815</v>
      </c>
      <c r="W17" s="95">
        <v>4</v>
      </c>
      <c r="X17" s="95">
        <v>4</v>
      </c>
      <c r="Y17" s="94">
        <f t="shared" si="1"/>
        <v>999.85075955743662</v>
      </c>
      <c r="Z17" s="94">
        <f t="shared" si="0"/>
        <v>49.992726229013662</v>
      </c>
      <c r="AA17" s="90" t="s">
        <v>160</v>
      </c>
      <c r="AB17" s="81" t="s">
        <v>178</v>
      </c>
      <c r="AC17" s="70" t="s">
        <v>158</v>
      </c>
      <c r="AD17" s="70" t="s">
        <v>158</v>
      </c>
      <c r="AE17" s="70" t="s">
        <v>158</v>
      </c>
      <c r="AF17" s="32" t="s">
        <v>181</v>
      </c>
      <c r="AG17" s="61" t="s">
        <v>54</v>
      </c>
      <c r="AH17" s="34" t="s">
        <v>182</v>
      </c>
    </row>
    <row r="18" spans="1:34" ht="101.4" thickBot="1" x14ac:dyDescent="0.35">
      <c r="A18" s="27">
        <v>14</v>
      </c>
      <c r="B18" s="42" t="s">
        <v>30</v>
      </c>
      <c r="C18" s="33" t="s">
        <v>30</v>
      </c>
      <c r="D18" s="33" t="s">
        <v>128</v>
      </c>
      <c r="E18" s="33" t="s">
        <v>112</v>
      </c>
      <c r="F18" s="33" t="s">
        <v>116</v>
      </c>
      <c r="G18" s="33" t="s">
        <v>57</v>
      </c>
      <c r="H18" s="51" t="s">
        <v>41</v>
      </c>
      <c r="I18" s="33" t="s">
        <v>153</v>
      </c>
      <c r="J18" s="35" t="s">
        <v>72</v>
      </c>
      <c r="K18" s="65">
        <v>273000000</v>
      </c>
      <c r="L18" s="66">
        <v>222220000</v>
      </c>
      <c r="M18" s="66">
        <v>222220000</v>
      </c>
      <c r="N18" s="74">
        <f>22200000</f>
        <v>22200000</v>
      </c>
      <c r="O18" s="74">
        <f>28574160/4.5</f>
        <v>6349813.333333333</v>
      </c>
      <c r="P18" s="75">
        <v>0</v>
      </c>
      <c r="Q18" s="67" t="s">
        <v>158</v>
      </c>
      <c r="R18" s="70" t="s">
        <v>158</v>
      </c>
      <c r="S18" s="70" t="s">
        <v>158</v>
      </c>
      <c r="T18" s="70" t="s">
        <v>158</v>
      </c>
      <c r="U18" s="98">
        <f>14298</f>
        <v>14298</v>
      </c>
      <c r="V18" s="99">
        <f>U18*16</f>
        <v>228768</v>
      </c>
      <c r="W18" s="70" t="s">
        <v>158</v>
      </c>
      <c r="X18" s="70" t="s">
        <v>158</v>
      </c>
      <c r="Y18" s="94">
        <f t="shared" si="1"/>
        <v>444.10500303072689</v>
      </c>
      <c r="Z18" s="94">
        <f t="shared" si="0"/>
        <v>27.756562689420431</v>
      </c>
      <c r="AA18" s="90" t="s">
        <v>160</v>
      </c>
      <c r="AB18" s="81" t="s">
        <v>170</v>
      </c>
      <c r="AC18" s="70" t="s">
        <v>158</v>
      </c>
      <c r="AD18" s="44" t="s">
        <v>180</v>
      </c>
      <c r="AE18" s="70" t="s">
        <v>158</v>
      </c>
      <c r="AF18" s="32" t="s">
        <v>181</v>
      </c>
      <c r="AG18" s="70" t="s">
        <v>158</v>
      </c>
      <c r="AH18" s="34" t="s">
        <v>182</v>
      </c>
    </row>
    <row r="19" spans="1:34" ht="101.4" thickBot="1" x14ac:dyDescent="0.35">
      <c r="A19" s="27">
        <v>15</v>
      </c>
      <c r="B19" s="42" t="s">
        <v>32</v>
      </c>
      <c r="C19" s="33" t="s">
        <v>32</v>
      </c>
      <c r="D19" s="33" t="s">
        <v>129</v>
      </c>
      <c r="E19" s="33" t="s">
        <v>112</v>
      </c>
      <c r="F19" s="33" t="s">
        <v>116</v>
      </c>
      <c r="G19" s="33" t="s">
        <v>57</v>
      </c>
      <c r="H19" s="51" t="s">
        <v>41</v>
      </c>
      <c r="I19" s="33" t="s">
        <v>139</v>
      </c>
      <c r="J19" s="35" t="s">
        <v>72</v>
      </c>
      <c r="K19" s="65">
        <v>410000000</v>
      </c>
      <c r="L19" s="66">
        <v>333000000</v>
      </c>
      <c r="M19" s="66">
        <v>333000000</v>
      </c>
      <c r="N19" s="74">
        <f>44440000</f>
        <v>44440000</v>
      </c>
      <c r="O19" s="74">
        <f>126155381/4.5</f>
        <v>28034529.111111112</v>
      </c>
      <c r="P19" s="75">
        <v>0</v>
      </c>
      <c r="Q19" s="67" t="s">
        <v>158</v>
      </c>
      <c r="R19" s="70" t="s">
        <v>158</v>
      </c>
      <c r="S19" s="96">
        <v>8837</v>
      </c>
      <c r="T19" s="97">
        <v>114881</v>
      </c>
      <c r="U19" s="98">
        <v>15438</v>
      </c>
      <c r="V19" s="99">
        <v>200694</v>
      </c>
      <c r="W19" s="95">
        <v>1.9</v>
      </c>
      <c r="X19" s="95">
        <v>1.9</v>
      </c>
      <c r="Y19" s="94">
        <f t="shared" si="1"/>
        <v>1815.94306977012</v>
      </c>
      <c r="Z19" s="94">
        <f t="shared" si="0"/>
        <v>139.68792844385538</v>
      </c>
      <c r="AA19" s="90" t="s">
        <v>160</v>
      </c>
      <c r="AB19" s="81" t="s">
        <v>171</v>
      </c>
      <c r="AC19" s="70" t="s">
        <v>158</v>
      </c>
      <c r="AD19" s="70" t="s">
        <v>158</v>
      </c>
      <c r="AE19" s="70" t="s">
        <v>158</v>
      </c>
      <c r="AF19" s="32" t="s">
        <v>181</v>
      </c>
      <c r="AG19" s="70" t="s">
        <v>158</v>
      </c>
      <c r="AH19" s="34" t="s">
        <v>182</v>
      </c>
    </row>
    <row r="20" spans="1:34" ht="164.25" customHeight="1" thickBot="1" x14ac:dyDescent="0.35">
      <c r="A20" s="27">
        <v>16</v>
      </c>
      <c r="B20" s="42" t="s">
        <v>33</v>
      </c>
      <c r="C20" s="33" t="s">
        <v>33</v>
      </c>
      <c r="D20" s="33" t="s">
        <v>130</v>
      </c>
      <c r="E20" s="33" t="s">
        <v>131</v>
      </c>
      <c r="F20" s="33" t="s">
        <v>116</v>
      </c>
      <c r="G20" s="33" t="s">
        <v>57</v>
      </c>
      <c r="H20" s="77" t="s">
        <v>41</v>
      </c>
      <c r="I20" s="33" t="s">
        <v>140</v>
      </c>
      <c r="J20" s="35" t="s">
        <v>72</v>
      </c>
      <c r="K20" s="65">
        <v>781000000</v>
      </c>
      <c r="L20" s="66">
        <v>635000000</v>
      </c>
      <c r="M20" s="66">
        <v>444440000</v>
      </c>
      <c r="N20" s="74">
        <f>22222222</f>
        <v>22222222</v>
      </c>
      <c r="O20" s="74">
        <v>0</v>
      </c>
      <c r="P20" s="74">
        <v>0</v>
      </c>
      <c r="Q20" s="67" t="s">
        <v>158</v>
      </c>
      <c r="R20" s="71" t="s">
        <v>159</v>
      </c>
      <c r="S20" s="96">
        <v>0</v>
      </c>
      <c r="T20" s="97">
        <v>0</v>
      </c>
      <c r="U20" s="98">
        <v>0</v>
      </c>
      <c r="V20" s="99">
        <v>0</v>
      </c>
      <c r="W20" s="95">
        <v>0</v>
      </c>
      <c r="X20" s="95">
        <v>0</v>
      </c>
      <c r="Y20" s="94">
        <v>0</v>
      </c>
      <c r="Z20" s="94">
        <v>0</v>
      </c>
      <c r="AA20" s="90" t="s">
        <v>160</v>
      </c>
      <c r="AB20" s="81" t="s">
        <v>172</v>
      </c>
      <c r="AC20" s="70" t="s">
        <v>158</v>
      </c>
      <c r="AD20" s="44" t="s">
        <v>180</v>
      </c>
      <c r="AE20" s="70" t="s">
        <v>158</v>
      </c>
      <c r="AF20" s="32" t="s">
        <v>181</v>
      </c>
      <c r="AG20" s="70" t="s">
        <v>158</v>
      </c>
      <c r="AH20" s="34" t="s">
        <v>182</v>
      </c>
    </row>
    <row r="21" spans="1:34" ht="109.8" thickBot="1" x14ac:dyDescent="0.35">
      <c r="A21" s="57">
        <v>17</v>
      </c>
      <c r="B21" s="42" t="s">
        <v>39</v>
      </c>
      <c r="C21" s="33" t="s">
        <v>40</v>
      </c>
      <c r="D21" s="37" t="s">
        <v>132</v>
      </c>
      <c r="E21" s="37" t="s">
        <v>131</v>
      </c>
      <c r="F21" s="37" t="s">
        <v>116</v>
      </c>
      <c r="G21" s="37" t="s">
        <v>114</v>
      </c>
      <c r="H21" s="51" t="s">
        <v>41</v>
      </c>
      <c r="I21" s="37" t="s">
        <v>141</v>
      </c>
      <c r="J21" s="104" t="s">
        <v>72</v>
      </c>
      <c r="K21" s="65">
        <v>547000000</v>
      </c>
      <c r="L21" s="66">
        <v>444400000</v>
      </c>
      <c r="M21" s="66">
        <v>133330000</v>
      </c>
      <c r="N21" s="74">
        <f>22222222+111111111</f>
        <v>133333333</v>
      </c>
      <c r="O21" s="73">
        <f>(46492301+122080083+69834232)/4.5</f>
        <v>52979248</v>
      </c>
      <c r="P21" s="73">
        <f>(46492301+122080083+69834232)/4.5</f>
        <v>52979248</v>
      </c>
      <c r="Q21" s="67" t="s">
        <v>158</v>
      </c>
      <c r="R21" s="71" t="s">
        <v>159</v>
      </c>
      <c r="S21" s="96">
        <f>62192.8871031001+158112.588509999+84885.65803131</f>
        <v>305191.13364440913</v>
      </c>
      <c r="T21" s="97">
        <f>1243857.742062+3162251.7702+1697713.1606262</f>
        <v>6103822.6728881998</v>
      </c>
      <c r="U21" s="98">
        <f>7177.34199999949+15541.4350000033+8780.23499999999</f>
        <v>31499.012000002778</v>
      </c>
      <c r="V21" s="99">
        <f>143546.839999985+310828.700000012+175604.7</f>
        <v>629980.23999999696</v>
      </c>
      <c r="W21" s="95">
        <f>48+121+63</f>
        <v>232</v>
      </c>
      <c r="X21" s="84" t="s">
        <v>19</v>
      </c>
      <c r="Y21" s="88">
        <f t="shared" si="1"/>
        <v>1681.933642870936</v>
      </c>
      <c r="Z21" s="88">
        <f t="shared" si="0"/>
        <v>84.096682143554617</v>
      </c>
      <c r="AA21" s="90" t="s">
        <v>160</v>
      </c>
      <c r="AB21" s="81" t="s">
        <v>173</v>
      </c>
      <c r="AC21" s="70" t="s">
        <v>158</v>
      </c>
      <c r="AD21" s="70" t="s">
        <v>158</v>
      </c>
      <c r="AE21" s="70" t="s">
        <v>158</v>
      </c>
      <c r="AF21" s="32" t="s">
        <v>181</v>
      </c>
      <c r="AG21" s="70" t="s">
        <v>158</v>
      </c>
      <c r="AH21" s="34" t="s">
        <v>182</v>
      </c>
    </row>
    <row r="22" spans="1:34" ht="101.4" thickBot="1" x14ac:dyDescent="0.35">
      <c r="A22" s="57">
        <v>18</v>
      </c>
      <c r="B22" s="59" t="s">
        <v>44</v>
      </c>
      <c r="C22" s="59" t="s">
        <v>44</v>
      </c>
      <c r="D22" s="33" t="s">
        <v>142</v>
      </c>
      <c r="E22" s="33" t="s">
        <v>112</v>
      </c>
      <c r="F22" s="37" t="s">
        <v>116</v>
      </c>
      <c r="G22" s="33" t="s">
        <v>56</v>
      </c>
      <c r="H22" s="51" t="s">
        <v>41</v>
      </c>
      <c r="I22" s="33" t="s">
        <v>154</v>
      </c>
      <c r="J22" s="104" t="s">
        <v>72</v>
      </c>
      <c r="K22" s="65">
        <v>547000000</v>
      </c>
      <c r="L22" s="66">
        <v>444400000</v>
      </c>
      <c r="M22" s="66">
        <v>444400000</v>
      </c>
      <c r="N22" s="73">
        <v>44440000</v>
      </c>
      <c r="O22" s="73">
        <v>0</v>
      </c>
      <c r="P22" s="73">
        <v>0</v>
      </c>
      <c r="Q22" s="67" t="s">
        <v>158</v>
      </c>
      <c r="R22" s="67" t="s">
        <v>158</v>
      </c>
      <c r="S22" s="91">
        <v>0</v>
      </c>
      <c r="T22" s="67">
        <v>0</v>
      </c>
      <c r="U22" s="92">
        <v>0</v>
      </c>
      <c r="V22" s="93">
        <v>0</v>
      </c>
      <c r="W22" s="70" t="s">
        <v>158</v>
      </c>
      <c r="X22" s="70" t="s">
        <v>158</v>
      </c>
      <c r="Y22" s="88">
        <v>0</v>
      </c>
      <c r="Z22" s="88">
        <v>0</v>
      </c>
      <c r="AA22" s="80" t="s">
        <v>161</v>
      </c>
      <c r="AB22" s="81" t="s">
        <v>179</v>
      </c>
      <c r="AC22" s="70" t="s">
        <v>158</v>
      </c>
      <c r="AD22" s="70" t="s">
        <v>158</v>
      </c>
      <c r="AE22" s="70" t="s">
        <v>158</v>
      </c>
      <c r="AF22" s="32" t="s">
        <v>181</v>
      </c>
      <c r="AG22" s="61" t="s">
        <v>45</v>
      </c>
      <c r="AH22" s="34" t="s">
        <v>182</v>
      </c>
    </row>
    <row r="23" spans="1:34" ht="101.4" thickBot="1" x14ac:dyDescent="0.35">
      <c r="A23" s="57">
        <v>19</v>
      </c>
      <c r="B23" s="59" t="s">
        <v>46</v>
      </c>
      <c r="C23" s="59" t="s">
        <v>46</v>
      </c>
      <c r="D23" s="33" t="s">
        <v>143</v>
      </c>
      <c r="E23" s="33" t="s">
        <v>112</v>
      </c>
      <c r="F23" s="37" t="s">
        <v>116</v>
      </c>
      <c r="G23" s="33" t="s">
        <v>114</v>
      </c>
      <c r="H23" s="51" t="s">
        <v>41</v>
      </c>
      <c r="I23" s="33" t="s">
        <v>155</v>
      </c>
      <c r="J23" s="104" t="s">
        <v>72</v>
      </c>
      <c r="K23" s="65">
        <v>246000000</v>
      </c>
      <c r="L23" s="66">
        <v>200000000</v>
      </c>
      <c r="M23" s="66">
        <v>88890000</v>
      </c>
      <c r="N23" s="73">
        <v>8889000</v>
      </c>
      <c r="O23" s="73">
        <f>4469822/4.5</f>
        <v>993293.77777777775</v>
      </c>
      <c r="P23" s="73">
        <f>4469822/4.5</f>
        <v>993293.77777777775</v>
      </c>
      <c r="Q23" s="67" t="s">
        <v>158</v>
      </c>
      <c r="R23" s="67" t="s">
        <v>158</v>
      </c>
      <c r="S23" s="96">
        <f>1114.55</f>
        <v>1114.55</v>
      </c>
      <c r="T23" s="97">
        <f>S23*20</f>
        <v>22291</v>
      </c>
      <c r="U23" s="98">
        <v>305.38670000000099</v>
      </c>
      <c r="V23" s="99">
        <f>U23*20</f>
        <v>6107.7340000000195</v>
      </c>
      <c r="W23" s="95">
        <v>0.45</v>
      </c>
      <c r="X23" s="70" t="s">
        <v>158</v>
      </c>
      <c r="Y23" s="94">
        <f>O23/U23</f>
        <v>3252.577069590046</v>
      </c>
      <c r="Z23" s="94">
        <f t="shared" si="0"/>
        <v>162.62885347950231</v>
      </c>
      <c r="AA23" s="80" t="s">
        <v>161</v>
      </c>
      <c r="AB23" s="81" t="s">
        <v>174</v>
      </c>
      <c r="AC23" s="70" t="s">
        <v>158</v>
      </c>
      <c r="AD23" s="70" t="s">
        <v>158</v>
      </c>
      <c r="AE23" s="70" t="s">
        <v>158</v>
      </c>
      <c r="AF23" s="32" t="s">
        <v>181</v>
      </c>
      <c r="AG23" s="61" t="s">
        <v>47</v>
      </c>
      <c r="AH23" s="34" t="s">
        <v>182</v>
      </c>
    </row>
    <row r="24" spans="1:34" ht="115.95" customHeight="1" thickBot="1" x14ac:dyDescent="0.35">
      <c r="A24" s="57">
        <v>20</v>
      </c>
      <c r="B24" s="59" t="s">
        <v>49</v>
      </c>
      <c r="C24" s="59" t="s">
        <v>49</v>
      </c>
      <c r="D24" s="33" t="s">
        <v>146</v>
      </c>
      <c r="E24" s="33" t="s">
        <v>112</v>
      </c>
      <c r="F24" s="37" t="s">
        <v>116</v>
      </c>
      <c r="G24" s="33" t="s">
        <v>56</v>
      </c>
      <c r="H24" s="51" t="s">
        <v>41</v>
      </c>
      <c r="I24" s="33" t="s">
        <v>156</v>
      </c>
      <c r="J24" s="104" t="s">
        <v>72</v>
      </c>
      <c r="K24" s="65">
        <v>1300000000</v>
      </c>
      <c r="L24" s="66">
        <v>1000000000</v>
      </c>
      <c r="M24" s="66">
        <v>1000000000</v>
      </c>
      <c r="N24" s="73">
        <v>120500000</v>
      </c>
      <c r="O24" s="73">
        <v>0</v>
      </c>
      <c r="P24" s="73">
        <v>0</v>
      </c>
      <c r="Q24" s="67" t="s">
        <v>158</v>
      </c>
      <c r="R24" s="67" t="s">
        <v>158</v>
      </c>
      <c r="S24" s="91">
        <v>0</v>
      </c>
      <c r="T24" s="67">
        <v>0</v>
      </c>
      <c r="U24" s="92">
        <v>0</v>
      </c>
      <c r="V24" s="93">
        <v>0</v>
      </c>
      <c r="W24" s="70" t="s">
        <v>158</v>
      </c>
      <c r="X24" s="70" t="s">
        <v>158</v>
      </c>
      <c r="Y24" s="88">
        <v>0</v>
      </c>
      <c r="Z24" s="88">
        <v>0</v>
      </c>
      <c r="AA24" s="80" t="s">
        <v>161</v>
      </c>
      <c r="AB24" s="81" t="s">
        <v>179</v>
      </c>
      <c r="AC24" s="70" t="s">
        <v>158</v>
      </c>
      <c r="AD24" s="70" t="s">
        <v>158</v>
      </c>
      <c r="AE24" s="70" t="s">
        <v>158</v>
      </c>
      <c r="AF24" s="32" t="s">
        <v>181</v>
      </c>
      <c r="AG24" s="61" t="s">
        <v>51</v>
      </c>
      <c r="AH24" s="34" t="s">
        <v>182</v>
      </c>
    </row>
    <row r="25" spans="1:34" ht="118.2" customHeight="1" thickBot="1" x14ac:dyDescent="0.35">
      <c r="A25" s="57">
        <v>21</v>
      </c>
      <c r="B25" s="59" t="s">
        <v>48</v>
      </c>
      <c r="C25" s="59" t="s">
        <v>48</v>
      </c>
      <c r="D25" s="33" t="s">
        <v>144</v>
      </c>
      <c r="E25" s="33" t="s">
        <v>112</v>
      </c>
      <c r="F25" s="37" t="s">
        <v>116</v>
      </c>
      <c r="G25" s="33" t="s">
        <v>56</v>
      </c>
      <c r="H25" s="51" t="s">
        <v>41</v>
      </c>
      <c r="I25" s="33" t="s">
        <v>157</v>
      </c>
      <c r="J25" s="104" t="s">
        <v>72</v>
      </c>
      <c r="K25" s="65">
        <v>593000000</v>
      </c>
      <c r="L25" s="66">
        <v>481930000</v>
      </c>
      <c r="M25" s="66">
        <v>481930000</v>
      </c>
      <c r="N25" s="73">
        <v>120500000</v>
      </c>
      <c r="O25" s="73">
        <v>0</v>
      </c>
      <c r="P25" s="73">
        <v>0</v>
      </c>
      <c r="Q25" s="67" t="s">
        <v>158</v>
      </c>
      <c r="R25" s="67" t="s">
        <v>158</v>
      </c>
      <c r="S25" s="91">
        <v>0</v>
      </c>
      <c r="T25" s="67">
        <v>0</v>
      </c>
      <c r="U25" s="92">
        <v>0</v>
      </c>
      <c r="V25" s="93">
        <v>0</v>
      </c>
      <c r="W25" s="70" t="s">
        <v>158</v>
      </c>
      <c r="X25" s="70" t="s">
        <v>158</v>
      </c>
      <c r="Y25" s="88">
        <v>0</v>
      </c>
      <c r="Z25" s="88">
        <v>0</v>
      </c>
      <c r="AA25" s="80" t="s">
        <v>161</v>
      </c>
      <c r="AB25" s="81" t="s">
        <v>179</v>
      </c>
      <c r="AC25" s="70" t="s">
        <v>158</v>
      </c>
      <c r="AD25" s="70" t="s">
        <v>158</v>
      </c>
      <c r="AE25" s="70" t="s">
        <v>158</v>
      </c>
      <c r="AF25" s="32" t="s">
        <v>181</v>
      </c>
      <c r="AG25" s="61" t="s">
        <v>52</v>
      </c>
      <c r="AH25" s="34" t="s">
        <v>182</v>
      </c>
    </row>
    <row r="26" spans="1:34" ht="101.4" thickBot="1" x14ac:dyDescent="0.35">
      <c r="A26" s="57">
        <v>22</v>
      </c>
      <c r="B26" s="60" t="s">
        <v>50</v>
      </c>
      <c r="C26" s="60" t="s">
        <v>50</v>
      </c>
      <c r="D26" s="37" t="s">
        <v>145</v>
      </c>
      <c r="E26" s="33" t="s">
        <v>112</v>
      </c>
      <c r="F26" s="37" t="s">
        <v>116</v>
      </c>
      <c r="G26" s="33" t="s">
        <v>56</v>
      </c>
      <c r="H26" s="51" t="s">
        <v>41</v>
      </c>
      <c r="I26" s="33" t="s">
        <v>154</v>
      </c>
      <c r="J26" s="104" t="s">
        <v>72</v>
      </c>
      <c r="K26" s="65">
        <v>1968000000</v>
      </c>
      <c r="L26" s="66">
        <v>1600000000</v>
      </c>
      <c r="M26" s="66">
        <v>481930000</v>
      </c>
      <c r="N26" s="73">
        <v>50000</v>
      </c>
      <c r="O26" s="73">
        <v>0</v>
      </c>
      <c r="P26" s="73">
        <v>0</v>
      </c>
      <c r="Q26" s="67" t="s">
        <v>158</v>
      </c>
      <c r="R26" s="67" t="s">
        <v>158</v>
      </c>
      <c r="S26" s="91">
        <v>0</v>
      </c>
      <c r="T26" s="67">
        <v>0</v>
      </c>
      <c r="U26" s="92">
        <v>0</v>
      </c>
      <c r="V26" s="93">
        <v>0</v>
      </c>
      <c r="W26" s="70" t="s">
        <v>158</v>
      </c>
      <c r="X26" s="70" t="s">
        <v>158</v>
      </c>
      <c r="Y26" s="88">
        <v>0</v>
      </c>
      <c r="Z26" s="88">
        <v>0</v>
      </c>
      <c r="AA26" s="80" t="s">
        <v>161</v>
      </c>
      <c r="AB26" s="82" t="s">
        <v>179</v>
      </c>
      <c r="AC26" s="70" t="s">
        <v>158</v>
      </c>
      <c r="AD26" s="70" t="s">
        <v>158</v>
      </c>
      <c r="AE26" s="70" t="s">
        <v>158</v>
      </c>
      <c r="AF26" s="32" t="s">
        <v>181</v>
      </c>
      <c r="AG26" s="62" t="s">
        <v>53</v>
      </c>
      <c r="AH26" s="34" t="s">
        <v>182</v>
      </c>
    </row>
    <row r="29" spans="1:34" x14ac:dyDescent="0.3">
      <c r="I29" s="78"/>
    </row>
    <row r="30" spans="1:34" x14ac:dyDescent="0.3">
      <c r="I30" s="79"/>
    </row>
  </sheetData>
  <autoFilter ref="A4:AH26" xr:uid="{00000000-0009-0000-0000-000001000000}"/>
  <mergeCells count="35">
    <mergeCell ref="S1:Z1"/>
    <mergeCell ref="R2:R4"/>
    <mergeCell ref="K1:R1"/>
    <mergeCell ref="AA1:AH1"/>
    <mergeCell ref="AH2:AH4"/>
    <mergeCell ref="AF2:AF4"/>
    <mergeCell ref="AG2:AG4"/>
    <mergeCell ref="S3:T3"/>
    <mergeCell ref="U3:V3"/>
    <mergeCell ref="W3:X3"/>
    <mergeCell ref="Y3:Z3"/>
    <mergeCell ref="Q2:Q4"/>
    <mergeCell ref="S2:Z2"/>
    <mergeCell ref="AA2:AA4"/>
    <mergeCell ref="AB2:AB4"/>
    <mergeCell ref="AC2:AC4"/>
    <mergeCell ref="I2:I4"/>
    <mergeCell ref="H2:H4"/>
    <mergeCell ref="J2:J4"/>
    <mergeCell ref="C2:C4"/>
    <mergeCell ref="A1:J1"/>
    <mergeCell ref="A2:A4"/>
    <mergeCell ref="B2:B4"/>
    <mergeCell ref="D2:D4"/>
    <mergeCell ref="E2:E4"/>
    <mergeCell ref="F2:F4"/>
    <mergeCell ref="G2:G4"/>
    <mergeCell ref="AE2:AE4"/>
    <mergeCell ref="AD2:AD4"/>
    <mergeCell ref="K2:K4"/>
    <mergeCell ref="L2:L4"/>
    <mergeCell ref="M2:M4"/>
    <mergeCell ref="N2:N4"/>
    <mergeCell ref="O2:O4"/>
    <mergeCell ref="P2:P4"/>
  </mergeCells>
  <phoneticPr fontId="18" type="noConversion"/>
  <dataValidations disablePrompts="1" count="4">
    <dataValidation type="list" allowBlank="1" showInputMessage="1" showErrorMessage="1" sqref="E1 E5:E1048576" xr:uid="{00000000-0002-0000-0100-000000000000}">
      <formula1>"Priority, Non-priority"</formula1>
    </dataValidation>
    <dataValidation type="list" allowBlank="1" showInputMessage="1" showErrorMessage="1" sqref="F5:F26" xr:uid="{00000000-0002-0000-0100-000001000000}">
      <formula1>"Project, Large-scale project, Scheme, Large-scale scheme"</formula1>
    </dataValidation>
    <dataValidation type="list" allowBlank="1" showInputMessage="1" showErrorMessage="1" sqref="G103:G1048576 G1" xr:uid="{00000000-0002-0000-0100-000002000000}">
      <formula1>"Early stages, Advanced stage, Completed"</formula1>
    </dataValidation>
    <dataValidation type="list" allowBlank="1" showInputMessage="1" showErrorMessage="1" sqref="H27:H69 G5:G102" xr:uid="{00000000-0002-0000-0100-000003000000}">
      <formula1>"Not started, Tender ongoing, Construction ongoing, Complete"</formula1>
    </dataValidation>
  </dataValidations>
  <hyperlinks>
    <hyperlink ref="H5" r:id="rId1" display="https://www.gov.pl/web/funduszmodernizacyjny/Programy-Priorytetowe" xr:uid="{00000000-0004-0000-0100-000000000000}"/>
    <hyperlink ref="H6" r:id="rId2" display="https://www.gov.pl/web/funduszmodernizacyjny/Programy-Priorytetowe" xr:uid="{00000000-0004-0000-0100-000001000000}"/>
    <hyperlink ref="H7" r:id="rId3" display="https://www.gov.pl/web/funduszmodernizacyjny/Programy-Priorytetowe" xr:uid="{00000000-0004-0000-0100-000002000000}"/>
    <hyperlink ref="H8" r:id="rId4" display="https://www.gov.pl/web/funduszmodernizacyjny/Programy-Priorytetowe" xr:uid="{00000000-0004-0000-0100-000003000000}"/>
    <hyperlink ref="H9" r:id="rId5" display="https://www.gov.pl/web/funduszmodernizacyjny/Programy-Priorytetowe" xr:uid="{00000000-0004-0000-0100-000004000000}"/>
    <hyperlink ref="H10" r:id="rId6" display="https://www.gov.pl/web/funduszmodernizacyjny/Programy-Priorytetowe" xr:uid="{00000000-0004-0000-0100-000005000000}"/>
    <hyperlink ref="H11" r:id="rId7" display="https://www.gov.pl/web/funduszmodernizacyjny/Programy-Priorytetowe" xr:uid="{00000000-0004-0000-0100-000006000000}"/>
    <hyperlink ref="H12" r:id="rId8" display="https://www.gov.pl/web/funduszmodernizacyjny/Programy-Priorytetowe" xr:uid="{00000000-0004-0000-0100-000007000000}"/>
    <hyperlink ref="H13" r:id="rId9" display="https://www.gov.pl/web/funduszmodernizacyjny/Programy-Priorytetowe" xr:uid="{00000000-0004-0000-0100-000008000000}"/>
    <hyperlink ref="H14" r:id="rId10" display="https://www.gov.pl/web/funduszmodernizacyjny/Programy-Priorytetowe" xr:uid="{00000000-0004-0000-0100-000009000000}"/>
    <hyperlink ref="H15" r:id="rId11" display="https://www.gov.pl/web/funduszmodernizacyjny/Programy-Priorytetowe" xr:uid="{00000000-0004-0000-0100-00000A000000}"/>
    <hyperlink ref="H16" r:id="rId12" display="https://www.gov.pl/web/funduszmodernizacyjny/Programy-Priorytetowe" xr:uid="{00000000-0004-0000-0100-00000B000000}"/>
    <hyperlink ref="H17" r:id="rId13" display="https://www.gov.pl/web/funduszmodernizacyjny/Programy-Priorytetowe" xr:uid="{00000000-0004-0000-0100-00000C000000}"/>
    <hyperlink ref="H18" r:id="rId14" display="https://www.gov.pl/web/funduszmodernizacyjny/Programy-Priorytetowe" xr:uid="{00000000-0004-0000-0100-00000D000000}"/>
    <hyperlink ref="H19" r:id="rId15" display="https://www.gov.pl/web/funduszmodernizacyjny/Programy-Priorytetowe" xr:uid="{00000000-0004-0000-0100-00000E000000}"/>
    <hyperlink ref="H20" r:id="rId16" display="https://www.gov.pl/web/funduszmodernizacyjny/Programy-Priorytetowe" xr:uid="{00000000-0004-0000-0100-00000F000000}"/>
    <hyperlink ref="H21" r:id="rId17" display="https://www.gov.pl/web/funduszmodernizacyjny/Programy-Priorytetowe" xr:uid="{00000000-0004-0000-0100-000010000000}"/>
    <hyperlink ref="AG14" r:id="rId18" display="https://www.gov.pl/web/funduszmodernizacyjny/wsparcie-wykorzystania-magazynow-oraz-innych-urzadzen-na-cele-stabilizacji-sieci---program-dla-operatorow-sieci-dystrybucyjnych" xr:uid="{00000000-0004-0000-0100-000011000000}"/>
    <hyperlink ref="AG17" r:id="rId19" xr:uid="{00000000-0004-0000-0100-000012000000}"/>
    <hyperlink ref="H22" r:id="rId20" display="https://www.gov.pl/web/funduszmodernizacyjny/Programy-Priorytetowe" xr:uid="{00000000-0004-0000-0100-000013000000}"/>
    <hyperlink ref="H23" r:id="rId21" display="https://www.gov.pl/web/funduszmodernizacyjny/Programy-Priorytetowe" xr:uid="{00000000-0004-0000-0100-000014000000}"/>
    <hyperlink ref="H24" r:id="rId22" display="https://www.gov.pl/web/funduszmodernizacyjny/Programy-Priorytetowe" xr:uid="{00000000-0004-0000-0100-000015000000}"/>
    <hyperlink ref="H25" r:id="rId23" display="https://www.gov.pl/web/funduszmodernizacyjny/Programy-Priorytetowe" xr:uid="{00000000-0004-0000-0100-000016000000}"/>
    <hyperlink ref="H26" r:id="rId24" display="https://www.gov.pl/web/funduszmodernizacyjny/Programy-Priorytetowe" xr:uid="{00000000-0004-0000-0100-000017000000}"/>
  </hyperlinks>
  <pageMargins left="0.7" right="0.7" top="0.75" bottom="0.75" header="0.3" footer="0.3"/>
  <pageSetup paperSize="8" scale="88" orientation="landscape" r:id="rId25"/>
  <rowBreaks count="1" manualBreakCount="1">
    <brk id="19" max="33"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tabSelected="1" workbookViewId="0">
      <selection activeCell="A9" sqref="A9:XFD9"/>
    </sheetView>
  </sheetViews>
  <sheetFormatPr defaultColWidth="0" defaultRowHeight="14.4" zeroHeight="1" x14ac:dyDescent="0.3"/>
  <cols>
    <col min="1" max="1" width="9.109375" customWidth="1"/>
    <col min="2" max="2" width="31.109375" customWidth="1"/>
    <col min="3" max="5" width="26" style="25" customWidth="1"/>
    <col min="6" max="6" width="41.88671875" style="25" customWidth="1"/>
    <col min="7" max="8" width="26" style="25" customWidth="1"/>
    <col min="9" max="9" width="33.44140625" style="25" customWidth="1"/>
    <col min="10" max="10" width="26" style="25" customWidth="1"/>
    <col min="11" max="11" width="26" style="30" customWidth="1"/>
    <col min="12" max="14" width="26" style="25" customWidth="1"/>
    <col min="15" max="15" width="38.109375" style="26" customWidth="1"/>
  </cols>
  <sheetData>
    <row r="1" spans="1:15" ht="66" customHeight="1" thickBot="1" x14ac:dyDescent="0.35">
      <c r="A1" s="28"/>
      <c r="B1" s="29"/>
      <c r="C1" s="158" t="s">
        <v>183</v>
      </c>
      <c r="D1" s="159"/>
      <c r="E1" s="159"/>
      <c r="F1" s="159"/>
      <c r="G1" s="159"/>
      <c r="H1" s="159"/>
      <c r="I1" s="159"/>
      <c r="J1" s="159"/>
      <c r="K1" s="160" t="s">
        <v>184</v>
      </c>
      <c r="L1" s="160"/>
      <c r="M1" s="160"/>
      <c r="N1" s="160"/>
      <c r="O1" s="161"/>
    </row>
    <row r="2" spans="1:15" ht="100.5" customHeight="1" x14ac:dyDescent="0.3">
      <c r="A2" s="148" t="s">
        <v>74</v>
      </c>
      <c r="B2" s="151" t="s">
        <v>185</v>
      </c>
      <c r="C2" s="120" t="s">
        <v>186</v>
      </c>
      <c r="D2" s="126" t="s">
        <v>187</v>
      </c>
      <c r="E2" s="126" t="s">
        <v>188</v>
      </c>
      <c r="F2" s="126" t="s">
        <v>189</v>
      </c>
      <c r="G2" s="126" t="s">
        <v>190</v>
      </c>
      <c r="H2" s="126" t="s">
        <v>191</v>
      </c>
      <c r="I2" s="126" t="s">
        <v>192</v>
      </c>
      <c r="J2" s="126" t="s">
        <v>193</v>
      </c>
      <c r="K2" s="155" t="s">
        <v>194</v>
      </c>
      <c r="L2" s="155" t="s">
        <v>195</v>
      </c>
      <c r="M2" s="155" t="s">
        <v>196</v>
      </c>
      <c r="N2" s="155" t="s">
        <v>197</v>
      </c>
      <c r="O2" s="162" t="s">
        <v>198</v>
      </c>
    </row>
    <row r="3" spans="1:15" ht="64.5" customHeight="1" x14ac:dyDescent="0.3">
      <c r="A3" s="149"/>
      <c r="B3" s="152"/>
      <c r="C3" s="121"/>
      <c r="D3" s="127"/>
      <c r="E3" s="127"/>
      <c r="F3" s="127"/>
      <c r="G3" s="127"/>
      <c r="H3" s="127"/>
      <c r="I3" s="127"/>
      <c r="J3" s="127"/>
      <c r="K3" s="156"/>
      <c r="L3" s="156"/>
      <c r="M3" s="156"/>
      <c r="N3" s="156"/>
      <c r="O3" s="163"/>
    </row>
    <row r="4" spans="1:15" ht="15" thickBot="1" x14ac:dyDescent="0.35">
      <c r="A4" s="150"/>
      <c r="B4" s="153"/>
      <c r="C4" s="131"/>
      <c r="D4" s="154"/>
      <c r="E4" s="154"/>
      <c r="F4" s="154"/>
      <c r="G4" s="154"/>
      <c r="H4" s="154"/>
      <c r="I4" s="154"/>
      <c r="J4" s="154"/>
      <c r="K4" s="157"/>
      <c r="L4" s="157"/>
      <c r="M4" s="157"/>
      <c r="N4" s="157"/>
      <c r="O4" s="164"/>
    </row>
    <row r="5" spans="1:15" ht="281.39999999999998" thickBot="1" x14ac:dyDescent="0.35">
      <c r="A5" s="49">
        <v>1</v>
      </c>
      <c r="B5" s="56" t="s">
        <v>215</v>
      </c>
      <c r="C5" s="53" t="s">
        <v>199</v>
      </c>
      <c r="D5" s="54" t="s">
        <v>72</v>
      </c>
      <c r="E5" s="81" t="s">
        <v>200</v>
      </c>
      <c r="F5" s="55" t="s">
        <v>203</v>
      </c>
      <c r="G5" s="100" t="s">
        <v>201</v>
      </c>
      <c r="H5" s="45">
        <f>100000000/4.5</f>
        <v>22222222.222222224</v>
      </c>
      <c r="I5" s="101" t="s">
        <v>211</v>
      </c>
      <c r="J5" s="105" t="s">
        <v>158</v>
      </c>
      <c r="K5" s="58" t="s">
        <v>58</v>
      </c>
      <c r="L5" s="50" t="s">
        <v>202</v>
      </c>
      <c r="M5" s="50" t="s">
        <v>207</v>
      </c>
      <c r="N5" s="46" t="s">
        <v>212</v>
      </c>
      <c r="O5" s="46" t="s">
        <v>59</v>
      </c>
    </row>
    <row r="6" spans="1:15" ht="141" thickBot="1" x14ac:dyDescent="0.35">
      <c r="A6" s="24">
        <v>2</v>
      </c>
      <c r="B6" s="57" t="s">
        <v>213</v>
      </c>
      <c r="C6" s="53" t="s">
        <v>199</v>
      </c>
      <c r="D6" s="54" t="s">
        <v>72</v>
      </c>
      <c r="E6" s="81" t="s">
        <v>200</v>
      </c>
      <c r="F6" s="31" t="s">
        <v>204</v>
      </c>
      <c r="G6" s="81" t="s">
        <v>200</v>
      </c>
      <c r="H6" s="44" t="s">
        <v>60</v>
      </c>
      <c r="I6" s="102" t="s">
        <v>211</v>
      </c>
      <c r="J6" s="105" t="s">
        <v>158</v>
      </c>
      <c r="K6" s="59" t="s">
        <v>58</v>
      </c>
      <c r="L6" s="50" t="s">
        <v>202</v>
      </c>
      <c r="M6" s="48" t="s">
        <v>208</v>
      </c>
      <c r="N6" s="46" t="s">
        <v>212</v>
      </c>
      <c r="O6" s="46" t="s">
        <v>59</v>
      </c>
    </row>
    <row r="7" spans="1:15" ht="141" thickBot="1" x14ac:dyDescent="0.35">
      <c r="A7" s="24">
        <v>3</v>
      </c>
      <c r="B7" s="57" t="s">
        <v>214</v>
      </c>
      <c r="C7" s="53" t="s">
        <v>199</v>
      </c>
      <c r="D7" s="54" t="s">
        <v>72</v>
      </c>
      <c r="E7" s="81" t="s">
        <v>200</v>
      </c>
      <c r="F7" s="31" t="s">
        <v>205</v>
      </c>
      <c r="G7" s="81" t="s">
        <v>200</v>
      </c>
      <c r="H7" s="44">
        <f>1000000000/4.5</f>
        <v>222222222.22222221</v>
      </c>
      <c r="I7" s="102" t="s">
        <v>211</v>
      </c>
      <c r="J7" s="105" t="s">
        <v>158</v>
      </c>
      <c r="K7" s="59" t="s">
        <v>58</v>
      </c>
      <c r="L7" s="50" t="s">
        <v>202</v>
      </c>
      <c r="M7" s="48" t="s">
        <v>209</v>
      </c>
      <c r="N7" s="46" t="s">
        <v>212</v>
      </c>
      <c r="O7" s="46" t="s">
        <v>59</v>
      </c>
    </row>
    <row r="8" spans="1:15" ht="234" x14ac:dyDescent="0.3">
      <c r="A8" s="24">
        <v>4</v>
      </c>
      <c r="B8" s="57" t="s">
        <v>216</v>
      </c>
      <c r="C8" s="53" t="s">
        <v>199</v>
      </c>
      <c r="D8" s="54" t="s">
        <v>72</v>
      </c>
      <c r="E8" s="81" t="s">
        <v>200</v>
      </c>
      <c r="F8" s="31" t="s">
        <v>206</v>
      </c>
      <c r="G8" s="81" t="s">
        <v>200</v>
      </c>
      <c r="H8" s="45">
        <f>485000000/4.5</f>
        <v>107777777.77777778</v>
      </c>
      <c r="I8" s="102" t="s">
        <v>211</v>
      </c>
      <c r="J8" s="105" t="s">
        <v>158</v>
      </c>
      <c r="K8" s="59" t="s">
        <v>58</v>
      </c>
      <c r="L8" s="50" t="s">
        <v>202</v>
      </c>
      <c r="M8" s="48" t="s">
        <v>210</v>
      </c>
      <c r="N8" s="46" t="s">
        <v>212</v>
      </c>
      <c r="O8" s="46" t="s">
        <v>59</v>
      </c>
    </row>
    <row r="9" spans="1:15" ht="15.75" hidden="1" customHeight="1" x14ac:dyDescent="0.3"/>
    <row r="10" spans="1:15" ht="15.75" hidden="1" customHeight="1" x14ac:dyDescent="0.3"/>
    <row r="11" spans="1:15" ht="0" hidden="1" customHeight="1" x14ac:dyDescent="0.3"/>
    <row r="12" spans="1:15" x14ac:dyDescent="0.3"/>
    <row r="13" spans="1:15" x14ac:dyDescent="0.3"/>
    <row r="14" spans="1:15" x14ac:dyDescent="0.3"/>
    <row r="15" spans="1:15" x14ac:dyDescent="0.3"/>
    <row r="16" spans="1:15" x14ac:dyDescent="0.3"/>
    <row r="17" x14ac:dyDescent="0.3"/>
    <row r="18" x14ac:dyDescent="0.3"/>
    <row r="19" x14ac:dyDescent="0.3"/>
  </sheetData>
  <mergeCells count="17">
    <mergeCell ref="L2:L4"/>
    <mergeCell ref="M2:M4"/>
    <mergeCell ref="N2:N4"/>
    <mergeCell ref="C1:J1"/>
    <mergeCell ref="K1:O1"/>
    <mergeCell ref="F2:F4"/>
    <mergeCell ref="G2:G4"/>
    <mergeCell ref="H2:H4"/>
    <mergeCell ref="O2:O4"/>
    <mergeCell ref="I2:I4"/>
    <mergeCell ref="J2:J4"/>
    <mergeCell ref="K2:K4"/>
    <mergeCell ref="A2:A4"/>
    <mergeCell ref="B2:B4"/>
    <mergeCell ref="C2:C4"/>
    <mergeCell ref="D2:D4"/>
    <mergeCell ref="E2:E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5"/>
  <sheetViews>
    <sheetView workbookViewId="0">
      <selection activeCell="F14" sqref="F14"/>
    </sheetView>
  </sheetViews>
  <sheetFormatPr defaultRowHeight="14.4" x14ac:dyDescent="0.3"/>
  <cols>
    <col min="2" max="2" width="11" customWidth="1"/>
  </cols>
  <sheetData>
    <row r="2" spans="1:15" x14ac:dyDescent="0.3">
      <c r="B2" t="s">
        <v>2</v>
      </c>
      <c r="C2" t="s">
        <v>3</v>
      </c>
    </row>
    <row r="3" spans="1:15" x14ac:dyDescent="0.3">
      <c r="B3" t="s">
        <v>4</v>
      </c>
      <c r="C3" t="s">
        <v>5</v>
      </c>
    </row>
    <row r="4" spans="1:15" x14ac:dyDescent="0.3">
      <c r="B4" s="12" t="s">
        <v>6</v>
      </c>
      <c r="C4" s="38">
        <v>2021</v>
      </c>
    </row>
    <row r="5" spans="1:15" x14ac:dyDescent="0.3">
      <c r="A5" s="14"/>
      <c r="B5" s="17" t="s">
        <v>1</v>
      </c>
      <c r="C5" s="38">
        <v>2022</v>
      </c>
    </row>
    <row r="6" spans="1:15" x14ac:dyDescent="0.3">
      <c r="A6" s="14"/>
      <c r="B6" s="17" t="s">
        <v>7</v>
      </c>
      <c r="C6" s="38">
        <v>2023</v>
      </c>
    </row>
    <row r="7" spans="1:15" x14ac:dyDescent="0.3">
      <c r="A7" s="14"/>
      <c r="B7" s="17" t="s">
        <v>8</v>
      </c>
      <c r="C7" s="38">
        <v>2024</v>
      </c>
    </row>
    <row r="8" spans="1:15" x14ac:dyDescent="0.3">
      <c r="A8" s="14"/>
      <c r="B8" s="17" t="s">
        <v>9</v>
      </c>
      <c r="C8" s="38">
        <v>2025</v>
      </c>
    </row>
    <row r="9" spans="1:15" x14ac:dyDescent="0.3">
      <c r="A9" s="14"/>
      <c r="B9" s="17" t="s">
        <v>10</v>
      </c>
      <c r="C9" s="38">
        <v>2026</v>
      </c>
    </row>
    <row r="10" spans="1:15" x14ac:dyDescent="0.3">
      <c r="A10" s="14"/>
      <c r="B10" s="17" t="s">
        <v>11</v>
      </c>
      <c r="C10" s="38">
        <v>2027</v>
      </c>
    </row>
    <row r="11" spans="1:15" x14ac:dyDescent="0.3">
      <c r="A11" s="14"/>
      <c r="B11" s="17" t="s">
        <v>12</v>
      </c>
      <c r="C11" s="38">
        <v>2028</v>
      </c>
    </row>
    <row r="12" spans="1:15" x14ac:dyDescent="0.3">
      <c r="A12" s="14"/>
      <c r="B12" s="17" t="s">
        <v>13</v>
      </c>
      <c r="C12" s="38">
        <v>2029</v>
      </c>
    </row>
    <row r="13" spans="1:15" x14ac:dyDescent="0.3">
      <c r="A13" s="14"/>
      <c r="B13" s="17" t="s">
        <v>14</v>
      </c>
      <c r="C13" s="38">
        <v>2030</v>
      </c>
    </row>
    <row r="14" spans="1:15" x14ac:dyDescent="0.3">
      <c r="A14" s="14"/>
      <c r="B14" s="17" t="s">
        <v>15</v>
      </c>
      <c r="C14" s="38"/>
    </row>
    <row r="15" spans="1:15" x14ac:dyDescent="0.3">
      <c r="A15" s="14"/>
      <c r="B15" s="17" t="s">
        <v>16</v>
      </c>
      <c r="C15" s="38"/>
      <c r="I15" s="14"/>
      <c r="J15" s="15"/>
      <c r="K15" s="15"/>
      <c r="L15" s="15"/>
      <c r="M15" s="15"/>
      <c r="N15" s="15"/>
      <c r="O15" s="16"/>
    </row>
    <row r="16" spans="1:15" x14ac:dyDescent="0.3">
      <c r="A16" s="14"/>
      <c r="B16" s="17" t="s">
        <v>17</v>
      </c>
      <c r="C16" s="38"/>
      <c r="I16" s="14"/>
      <c r="J16" s="15"/>
      <c r="K16" s="15"/>
      <c r="L16" s="15"/>
      <c r="M16" s="15"/>
      <c r="N16" s="15"/>
      <c r="O16" s="16"/>
    </row>
    <row r="17" spans="1:15" x14ac:dyDescent="0.3">
      <c r="A17" s="14"/>
      <c r="B17" s="17" t="s">
        <v>18</v>
      </c>
      <c r="C17" s="38"/>
      <c r="I17" s="14"/>
      <c r="J17" s="15"/>
      <c r="K17" s="15"/>
      <c r="L17" s="15"/>
      <c r="M17" s="15"/>
      <c r="N17" s="15"/>
      <c r="O17" s="16"/>
    </row>
    <row r="18" spans="1:15" x14ac:dyDescent="0.3">
      <c r="I18" s="14"/>
      <c r="J18" s="15"/>
      <c r="K18" s="15"/>
      <c r="L18" s="15"/>
      <c r="M18" s="15"/>
      <c r="N18" s="15"/>
      <c r="O18" s="16"/>
    </row>
    <row r="19" spans="1:15" x14ac:dyDescent="0.3">
      <c r="I19" s="14"/>
      <c r="J19" s="15"/>
      <c r="K19" s="15"/>
      <c r="L19" s="15"/>
      <c r="M19" s="15"/>
      <c r="N19" s="15"/>
      <c r="O19" s="16"/>
    </row>
    <row r="20" spans="1:15" x14ac:dyDescent="0.3">
      <c r="I20" s="14"/>
      <c r="J20" s="15"/>
      <c r="K20" s="15"/>
      <c r="L20" s="15"/>
      <c r="M20" s="15"/>
      <c r="N20" s="15"/>
      <c r="O20" s="16"/>
    </row>
    <row r="21" spans="1:15" x14ac:dyDescent="0.3">
      <c r="I21" s="14"/>
      <c r="J21" s="15"/>
      <c r="K21" s="15"/>
      <c r="L21" s="15"/>
      <c r="M21" s="15"/>
      <c r="N21" s="15"/>
      <c r="O21" s="16"/>
    </row>
    <row r="22" spans="1:15" x14ac:dyDescent="0.3">
      <c r="I22" s="14"/>
      <c r="J22" s="15"/>
      <c r="K22" s="15"/>
      <c r="L22" s="15"/>
      <c r="M22" s="15"/>
      <c r="N22" s="15"/>
      <c r="O22" s="16"/>
    </row>
    <row r="23" spans="1:15" x14ac:dyDescent="0.3">
      <c r="I23" s="14"/>
      <c r="J23" s="15"/>
      <c r="K23" s="15"/>
      <c r="L23" s="15"/>
      <c r="M23" s="15"/>
      <c r="N23" s="15"/>
      <c r="O23" s="16"/>
    </row>
    <row r="24" spans="1:15" x14ac:dyDescent="0.3">
      <c r="I24" s="14"/>
      <c r="J24" s="15"/>
      <c r="K24" s="15"/>
      <c r="L24" s="15"/>
      <c r="M24" s="15"/>
      <c r="N24" s="15"/>
      <c r="O24" s="16"/>
    </row>
    <row r="25" spans="1:15" x14ac:dyDescent="0.3">
      <c r="I25" s="14"/>
    </row>
  </sheetData>
  <phoneticPr fontId="18" type="noConversion"/>
  <dataValidations count="1">
    <dataValidation type="list" allowBlank="1" showInputMessage="1" showErrorMessage="1" sqref="B4" xr:uid="{00000000-0002-0000-0300-000000000000}">
      <formula1>$B$4:$B$17</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7efdc9-378e-418a-934d-4e27c154476b" xsi:nil="true"/>
    <lcf76f155ced4ddcb4097134ff3c332f xmlns="d47e9b79-a238-4c23-8f8d-deb36af73bea">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F1E423E1053143A72AC4DF303AC6F5" ma:contentTypeVersion="21" ma:contentTypeDescription="Create a new document." ma:contentTypeScope="" ma:versionID="c3d24bf6270dd4c0303a1144be05f2cf">
  <xsd:schema xmlns:xsd="http://www.w3.org/2001/XMLSchema" xmlns:xs="http://www.w3.org/2001/XMLSchema" xmlns:p="http://schemas.microsoft.com/office/2006/metadata/properties" xmlns:ns1="http://schemas.microsoft.com/sharepoint/v3" xmlns:ns2="d47e9b79-a238-4c23-8f8d-deb36af73bea" xmlns:ns3="827efdc9-378e-418a-934d-4e27c154476b" targetNamespace="http://schemas.microsoft.com/office/2006/metadata/properties" ma:root="true" ma:fieldsID="22e5aa7d0847c970d2461b5877d0e1f1" ns1:_="" ns2:_="" ns3:_="">
    <xsd:import namespace="http://schemas.microsoft.com/sharepoint/v3"/>
    <xsd:import namespace="d47e9b79-a238-4c23-8f8d-deb36af73bea"/>
    <xsd:import namespace="827efdc9-378e-418a-934d-4e27c15447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7e9b79-a238-4c23-8f8d-deb36af73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efdc9-378e-418a-934d-4e27c15447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9ea9881-b107-432f-a622-8a4953ed9565}" ma:internalName="TaxCatchAll" ma:showField="CatchAllData" ma:web="827efdc9-378e-418a-934d-4e27c1544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E01F4-5DFF-4500-800F-F577EFA5000F}">
  <ds:schemaRefs>
    <ds:schemaRef ds:uri="http://purl.org/dc/terms/"/>
    <ds:schemaRef ds:uri="http://schemas.microsoft.com/office/2006/documentManagement/types"/>
    <ds:schemaRef ds:uri="d47e9b79-a238-4c23-8f8d-deb36af73bea"/>
    <ds:schemaRef ds:uri="http://schemas.microsoft.com/office/infopath/2007/PartnerControl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827efdc9-378e-418a-934d-4e27c154476b"/>
    <ds:schemaRef ds:uri="http://schemas.microsoft.com/sharepoint/v3"/>
  </ds:schemaRefs>
</ds:datastoreItem>
</file>

<file path=customXml/itemProps2.xml><?xml version="1.0" encoding="utf-8"?>
<ds:datastoreItem xmlns:ds="http://schemas.openxmlformats.org/officeDocument/2006/customXml" ds:itemID="{DC67E4C7-0F70-4F21-8E6F-37F9B0CD2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7e9b79-a238-4c23-8f8d-deb36af73bea"/>
    <ds:schemaRef ds:uri="827efdc9-378e-418a-934d-4e27c1544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1D399C-3F1E-4DDE-B47D-2F726C659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Introduction </vt:lpstr>
      <vt:lpstr>Annual Report</vt:lpstr>
      <vt:lpstr>Overview Planned Investments</vt:lpstr>
      <vt:lpstr> Menu rozwijane</vt:lpstr>
      <vt:lpstr>'Annual Report'!_ftn1</vt:lpstr>
      <vt:lpstr>'Annual Report'!_ftnref1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Modernisation_Fund_Annual_Report_POLAND 2024</dc:title>
  <dc:subject/>
  <dc:creator>Jakub</dc:creator>
  <cp:keywords/>
  <dc:description/>
  <cp:lastModifiedBy>Cendrowska Anna</cp:lastModifiedBy>
  <cp:revision/>
  <cp:lastPrinted>2025-05-23T06:53:50Z</cp:lastPrinted>
  <dcterms:created xsi:type="dcterms:W3CDTF">2022-04-08T06:50:01Z</dcterms:created>
  <dcterms:modified xsi:type="dcterms:W3CDTF">2025-05-23T06:54:22Z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2023-07-26T10:02:37Z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86dcd4de-2c5d-4c35-b72d-b24875a03717</vt:lpwstr>
  </property>
  <property fmtid="{D5CDD505-2E9C-101B-9397-08002B2CF9AE}" pid="8" name="MSIP_Label_6bd9ddd1-4d20-43f6-abfa-fc3c07406f94_ContentBits">
    <vt:lpwstr>0</vt:lpwstr>
  </property>
  <property fmtid="{D5CDD505-2E9C-101B-9397-08002B2CF9AE}" pid="9" name="ContentTypeId">
    <vt:lpwstr>0x0101008CF1E423E1053143A72AC4DF303AC6F5</vt:lpwstr>
  </property>
  <property fmtid="{D5CDD505-2E9C-101B-9397-08002B2CF9AE}" pid="10" name="MediaServiceImageTags">
    <vt:lpwstr/>
  </property>
</Properties>
</file>