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 kwartał\2024.08.14 Ostateczne wygenerował Piotr\II KWARTAŁ\Zbiorówki_2024_k2_20230814\MF\"/>
    </mc:Choice>
  </mc:AlternateContent>
  <xr:revisionPtr revIDLastSave="0" documentId="8_{EF3B041D-DB5A-4261-A6EA-E525C2E1D634}" xr6:coauthVersionLast="47" xr6:coauthVersionMax="47" xr10:uidLastSave="{00000000-0000-0000-0000-000000000000}"/>
  <bookViews>
    <workbookView xWindow="-120" yWindow="-120" windowWidth="29040" windowHeight="15720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/>
  <c r="A86" i="7"/>
  <c r="A67" i="7"/>
  <c r="A1" i="7"/>
  <c r="A30" i="7"/>
</calcChain>
</file>

<file path=xl/sharedStrings.xml><?xml version="1.0" encoding="utf-8"?>
<sst xmlns="http://schemas.openxmlformats.org/spreadsheetml/2006/main" count="93" uniqueCount="79">
  <si>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</si>
  <si>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</si>
  <si>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</si>
  <si>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</si>
  <si>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</si>
  <si>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</si>
  <si>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</si>
  <si>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</si>
  <si>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</si>
  <si>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</si>
  <si>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</si>
  <si>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</si>
  <si>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</si>
  <si>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</si>
  <si>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</si>
  <si>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</si>
  <si>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</si>
  <si>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</si>
  <si>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</si>
  <si>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</si>
  <si>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</si>
  <si>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</si>
  <si>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</si>
  <si>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</si>
  <si>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</si>
  <si>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</si>
  <si>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</si>
  <si>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</si>
  <si>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</si>
  <si>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</si>
  <si>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</si>
  <si>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</si>
  <si>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</si>
  <si>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</si>
  <si>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</si>
  <si>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</si>
  <si>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</si>
  <si>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</si>
  <si>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</si>
  <si>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</si>
  <si>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</si>
  <si>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</si>
  <si>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</si>
  <si>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</si>
  <si>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</si>
  <si>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</si>
  <si>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</si>
  <si>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</si>
  <si>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</si>
  <si>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</si>
  <si>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</si>
  <si>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</si>
  <si>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</si>
  <si>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</si>
  <si>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</si>
  <si>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</si>
  <si>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</si>
  <si>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</si>
  <si>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</si>
  <si>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</si>
  <si>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</si>
  <si>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</si>
  <si>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</si>
  <si>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</si>
  <si>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</si>
  <si>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</si>
  <si>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</si>
  <si>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</si>
  <si>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</si>
  <si>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</si>
  <si>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</si>
  <si>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</si>
  <si>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</si>
  <si>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</si>
  <si>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</si>
  <si>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E1 papiery wartościowe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</si>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</sst>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dd/mm/yy\ h:mm;@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71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top" wrapText="1"/>
    </xf>
    <xf numFmtId="0" fontId="29" fillId="0" borderId="17" xfId="0" applyFont="1" applyFill="1" applyBorder="1" applyAlignment="1">
      <alignment vertical="top" wrapText="1"/>
    </xf>
    <xf numFmtId="0" fontId="8" fillId="20" borderId="10" xfId="37" applyFont="1" applyFill="1" applyBorder="1" applyAlignment="1">
      <alignment horizontal="left" vertical="top" wrapText="1"/>
    </xf>
    <xf numFmtId="0" fontId="2" fillId="20" borderId="10" xfId="37" applyFont="1" applyFill="1" applyBorder="1" applyAlignment="1">
      <alignment horizontal="left" vertical="top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8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28" fillId="21" borderId="17" xfId="0" applyFont="1" applyFill="1" applyBorder="1" applyAlignment="1">
      <alignment vertical="top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30" fillId="0" borderId="0" xfId="37" applyFont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2" fillId="19" borderId="19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2" fillId="19" borderId="22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16.42578125" style="2" customWidth="1"/>
    <col min="2" max="2" width="14.7109375" style="2" customWidth="1"/>
    <col min="3" max="3" width="15.140625" style="2" customWidth="1"/>
    <col min="4" max="4" width="12.5703125" style="2" customWidth="1"/>
    <col min="5" max="5" width="11.42578125" style="2" customWidth="1"/>
    <col min="6" max="7" width="12.5703125" style="2" customWidth="1"/>
    <col min="8" max="8" width="12" style="2" customWidth="1"/>
    <col min="9" max="9" width="11.71093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12.85546875" style="2" customWidth="1"/>
    <col min="14" max="14" width="12" style="2" customWidth="1"/>
    <col min="15" max="17" width="11.7109375" style="2" customWidth="1"/>
    <col min="18" max="16384" width="9.140625" style="2"/>
  </cols>
  <sheetData>
    <row r="1" spans="1:17" ht="75" customHeight="1" x14ac:dyDescent="0.2">
      <c r="A1" s="33" t="str">
        <f>CONCATENATE("Informacja z wykonania budżetów jednostek samorządu terytorialnego za ",$C$94," ",$B$95," roku")</f>
        <v>Informacja z wykonania budżetów jednostek samorządu terytorialnego za II Kwartały 2024 roku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3" t="s">
        <v>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7" ht="13.5" customHeight="1" x14ac:dyDescent="0.2">
      <c r="B5" s="11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0"/>
      <c r="O5" s="10"/>
      <c r="P5" s="10"/>
      <c r="Q5" s="10"/>
    </row>
    <row r="6" spans="1:17" ht="13.5" customHeight="1" x14ac:dyDescent="0.2">
      <c r="A6" s="69" t="s">
        <v>0</v>
      </c>
      <c r="B6" s="34" t="s">
        <v>61</v>
      </c>
      <c r="C6" s="29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9" t="s">
        <v>64</v>
      </c>
      <c r="P6" s="30"/>
      <c r="Q6" s="31"/>
    </row>
    <row r="7" spans="1:17" ht="13.5" customHeight="1" x14ac:dyDescent="0.2">
      <c r="A7" s="70"/>
      <c r="B7" s="35"/>
      <c r="C7" s="36" t="s">
        <v>62</v>
      </c>
      <c r="D7" s="36" t="s">
        <v>73</v>
      </c>
      <c r="E7" s="36" t="s">
        <v>66</v>
      </c>
      <c r="F7" s="36" t="s">
        <v>67</v>
      </c>
      <c r="G7" s="36" t="s">
        <v>27</v>
      </c>
      <c r="H7" s="36" t="s">
        <v>28</v>
      </c>
      <c r="I7" s="66" t="s">
        <v>63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32" t="s">
        <v>21</v>
      </c>
      <c r="P7" s="32" t="s">
        <v>22</v>
      </c>
      <c r="Q7" s="32" t="s">
        <v>23</v>
      </c>
    </row>
    <row r="8" spans="1:17" ht="13.5" customHeight="1" x14ac:dyDescent="0.2">
      <c r="A8" s="70"/>
      <c r="B8" s="35"/>
      <c r="C8" s="32"/>
      <c r="D8" s="32"/>
      <c r="E8" s="32"/>
      <c r="F8" s="32"/>
      <c r="G8" s="32"/>
      <c r="H8" s="32"/>
      <c r="I8" s="66"/>
      <c r="J8" s="32"/>
      <c r="K8" s="32"/>
      <c r="L8" s="32"/>
      <c r="M8" s="32"/>
      <c r="N8" s="35"/>
      <c r="O8" s="32"/>
      <c r="P8" s="32"/>
      <c r="Q8" s="32"/>
    </row>
    <row r="9" spans="1:17" ht="13.5" customHeight="1" x14ac:dyDescent="0.2">
      <c r="A9" s="70"/>
      <c r="B9" s="35"/>
      <c r="C9" s="32"/>
      <c r="D9" s="32"/>
      <c r="E9" s="32"/>
      <c r="F9" s="32"/>
      <c r="G9" s="32"/>
      <c r="H9" s="32"/>
      <c r="I9" s="66"/>
      <c r="J9" s="32"/>
      <c r="K9" s="32"/>
      <c r="L9" s="32"/>
      <c r="M9" s="32"/>
      <c r="N9" s="35"/>
      <c r="O9" s="32"/>
      <c r="P9" s="32"/>
      <c r="Q9" s="32"/>
    </row>
    <row r="10" spans="1:17" ht="11.25" customHeight="1" x14ac:dyDescent="0.2">
      <c r="A10" s="70"/>
      <c r="B10" s="35"/>
      <c r="C10" s="32"/>
      <c r="D10" s="32"/>
      <c r="E10" s="32"/>
      <c r="F10" s="32"/>
      <c r="G10" s="32"/>
      <c r="H10" s="32"/>
      <c r="I10" s="66"/>
      <c r="J10" s="32"/>
      <c r="K10" s="32"/>
      <c r="L10" s="32"/>
      <c r="M10" s="32"/>
      <c r="N10" s="35"/>
      <c r="O10" s="32"/>
      <c r="P10" s="32"/>
      <c r="Q10" s="32"/>
    </row>
    <row r="11" spans="1:17" ht="27.75" customHeight="1" x14ac:dyDescent="0.2">
      <c r="A11" s="71"/>
      <c r="B11" s="36"/>
      <c r="C11" s="32"/>
      <c r="D11" s="32"/>
      <c r="E11" s="32"/>
      <c r="F11" s="32"/>
      <c r="G11" s="32"/>
      <c r="H11" s="32"/>
      <c r="I11" s="67"/>
      <c r="J11" s="32"/>
      <c r="K11" s="32"/>
      <c r="L11" s="32"/>
      <c r="M11" s="32"/>
      <c r="N11" s="36"/>
      <c r="O11" s="32"/>
      <c r="P11" s="32"/>
      <c r="Q11" s="32"/>
    </row>
    <row r="12" spans="1:17" ht="13.5" customHeight="1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</row>
    <row r="13" spans="1:17" ht="52.5" customHeight="1" x14ac:dyDescent="0.2">
      <c r="A13" s="19" t="s">
        <v>45</v>
      </c>
      <c r="B13" s="21">
        <f>100217872233.21</f>
        <v>100217872233.21001</v>
      </c>
      <c r="C13" s="21">
        <f>75367741928.2</f>
        <v>75367741928.199997</v>
      </c>
      <c r="D13" s="21">
        <f>3242282990.04</f>
        <v>3242282990.04</v>
      </c>
      <c r="E13" s="21">
        <f>614918278.94</f>
        <v>614918278.94000006</v>
      </c>
      <c r="F13" s="21">
        <f>702086863.13</f>
        <v>702086863.13</v>
      </c>
      <c r="G13" s="21">
        <f>1923021786.46</f>
        <v>1923021786.46</v>
      </c>
      <c r="H13" s="21">
        <f>2256061.51</f>
        <v>2256061.5099999998</v>
      </c>
      <c r="I13" s="21">
        <f>0</f>
        <v>0</v>
      </c>
      <c r="J13" s="21">
        <f>67470149098.01</f>
        <v>67470149098.010002</v>
      </c>
      <c r="K13" s="21">
        <f>3292873137.6</f>
        <v>3292873137.5999999</v>
      </c>
      <c r="L13" s="21">
        <f>1303228824.76</f>
        <v>1303228824.76</v>
      </c>
      <c r="M13" s="21">
        <f>37389412.12</f>
        <v>37389412.119999997</v>
      </c>
      <c r="N13" s="21">
        <f>21818465.67</f>
        <v>21818465.670000002</v>
      </c>
      <c r="O13" s="21">
        <f>24850130305.01</f>
        <v>24850130305.009998</v>
      </c>
      <c r="P13" s="21">
        <f>24260918819.83</f>
        <v>24260918819.830002</v>
      </c>
      <c r="Q13" s="21">
        <f>589211485.18</f>
        <v>589211485.17999995</v>
      </c>
    </row>
    <row r="14" spans="1:17" ht="41.25" customHeight="1" x14ac:dyDescent="0.2">
      <c r="A14" s="19" t="s">
        <v>75</v>
      </c>
      <c r="B14" s="21">
        <f>7121308000</f>
        <v>7121308000</v>
      </c>
      <c r="C14" s="21">
        <f>7121308000</f>
        <v>7121308000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6929258000</f>
        <v>6929258000</v>
      </c>
      <c r="K14" s="21">
        <f>192050000</f>
        <v>192050000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2.5" x14ac:dyDescent="0.2">
      <c r="A15" s="16" t="s">
        <v>46</v>
      </c>
      <c r="B15" s="22">
        <f>1300000</f>
        <v>1300000</v>
      </c>
      <c r="C15" s="22">
        <f>1300000</f>
        <v>1300000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1300000</f>
        <v>1300000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3.25" customHeight="1" x14ac:dyDescent="0.2">
      <c r="A16" s="16" t="s">
        <v>47</v>
      </c>
      <c r="B16" s="22">
        <f>7120008000</f>
        <v>7120008000</v>
      </c>
      <c r="C16" s="22">
        <f>7120008000</f>
        <v>7120008000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6927958000</f>
        <v>6927958000</v>
      </c>
      <c r="K16" s="22">
        <f>192050000</f>
        <v>192050000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3" customHeight="1" x14ac:dyDescent="0.2">
      <c r="A17" s="19" t="s">
        <v>76</v>
      </c>
      <c r="B17" s="21">
        <f>92961842723.21</f>
        <v>92961842723.210007</v>
      </c>
      <c r="C17" s="21">
        <f>68111713606.91</f>
        <v>68111713606.910004</v>
      </c>
      <c r="D17" s="21">
        <f>3199375438.43</f>
        <v>3199375438.4299998</v>
      </c>
      <c r="E17" s="21">
        <f>604863929.45</f>
        <v>604863929.45000005</v>
      </c>
      <c r="F17" s="21">
        <f>701398806.03</f>
        <v>701398806.02999997</v>
      </c>
      <c r="G17" s="21">
        <f>1893112702.95</f>
        <v>1893112702.95</v>
      </c>
      <c r="H17" s="21">
        <f>0</f>
        <v>0</v>
      </c>
      <c r="I17" s="21">
        <f>0</f>
        <v>0</v>
      </c>
      <c r="J17" s="21">
        <f>60539514917.3</f>
        <v>60539514917.300003</v>
      </c>
      <c r="K17" s="21">
        <f>3099570530</f>
        <v>3099570530</v>
      </c>
      <c r="L17" s="21">
        <f>1254591525.56</f>
        <v>1254591525.5599999</v>
      </c>
      <c r="M17" s="21">
        <f>3614779.99</f>
        <v>3614779.99</v>
      </c>
      <c r="N17" s="21">
        <f>15046415.63</f>
        <v>15046415.630000001</v>
      </c>
      <c r="O17" s="21">
        <f>24850129116.3</f>
        <v>24850129116.299999</v>
      </c>
      <c r="P17" s="21">
        <f>24260918819.83</f>
        <v>24260918819.830002</v>
      </c>
      <c r="Q17" s="21">
        <f>589210296.47</f>
        <v>589210296.47000003</v>
      </c>
    </row>
    <row r="18" spans="1:17" ht="22.5" x14ac:dyDescent="0.2">
      <c r="A18" s="16" t="s">
        <v>48</v>
      </c>
      <c r="B18" s="22">
        <f>1211936347.68</f>
        <v>1211936347.6800001</v>
      </c>
      <c r="C18" s="22">
        <f>1211936347.68</f>
        <v>1211936347.6800001</v>
      </c>
      <c r="D18" s="22">
        <f>41482775.62</f>
        <v>41482775.619999997</v>
      </c>
      <c r="E18" s="22">
        <f>33454691.29</f>
        <v>33454691.289999999</v>
      </c>
      <c r="F18" s="22">
        <f>658534</f>
        <v>658534</v>
      </c>
      <c r="G18" s="22">
        <f>7369550.33</f>
        <v>7369550.3300000001</v>
      </c>
      <c r="H18" s="22">
        <f>0</f>
        <v>0</v>
      </c>
      <c r="I18" s="22">
        <f>0</f>
        <v>0</v>
      </c>
      <c r="J18" s="22">
        <f>1079115115.72</f>
        <v>1079115115.72</v>
      </c>
      <c r="K18" s="22">
        <f>91177613.49</f>
        <v>91177613.489999995</v>
      </c>
      <c r="L18" s="22">
        <f>160842.85</f>
        <v>160842.85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4" customHeight="1" x14ac:dyDescent="0.2">
      <c r="A19" s="16" t="s">
        <v>49</v>
      </c>
      <c r="B19" s="22">
        <f>91749906375.53</f>
        <v>91749906375.529999</v>
      </c>
      <c r="C19" s="22">
        <f>66899777259.23</f>
        <v>66899777259.230003</v>
      </c>
      <c r="D19" s="22">
        <f>3157892662.81</f>
        <v>3157892662.8099999</v>
      </c>
      <c r="E19" s="22">
        <f>571409238.16</f>
        <v>571409238.15999997</v>
      </c>
      <c r="F19" s="22">
        <f>700740272.03</f>
        <v>700740272.02999997</v>
      </c>
      <c r="G19" s="22">
        <f>1885743152.62</f>
        <v>1885743152.6199999</v>
      </c>
      <c r="H19" s="22">
        <f>0</f>
        <v>0</v>
      </c>
      <c r="I19" s="22">
        <f>0</f>
        <v>0</v>
      </c>
      <c r="J19" s="22">
        <f>59460399801.58</f>
        <v>59460399801.580002</v>
      </c>
      <c r="K19" s="22">
        <f>3008392916.51</f>
        <v>3008392916.5100002</v>
      </c>
      <c r="L19" s="22">
        <f>1254430682.71</f>
        <v>1254430682.71</v>
      </c>
      <c r="M19" s="22">
        <f>3614779.99</f>
        <v>3614779.99</v>
      </c>
      <c r="N19" s="22">
        <f>15046415.63</f>
        <v>15046415.630000001</v>
      </c>
      <c r="O19" s="22">
        <f>24850129116.3</f>
        <v>24850129116.299999</v>
      </c>
      <c r="P19" s="22">
        <f>24260918819.83</f>
        <v>24260918819.830002</v>
      </c>
      <c r="Q19" s="22">
        <f>589210296.47</f>
        <v>589210296.47000003</v>
      </c>
    </row>
    <row r="20" spans="1:17" ht="24.75" customHeight="1" x14ac:dyDescent="0.2">
      <c r="A20" s="26" t="s">
        <v>50</v>
      </c>
      <c r="B20" s="27">
        <f>1500000</f>
        <v>1500000</v>
      </c>
      <c r="C20" s="27">
        <f>1500000</f>
        <v>1500000</v>
      </c>
      <c r="D20" s="27">
        <f>1500000</f>
        <v>1500000</v>
      </c>
      <c r="E20" s="27">
        <f>0</f>
        <v>0</v>
      </c>
      <c r="F20" s="27">
        <f>0</f>
        <v>0</v>
      </c>
      <c r="G20" s="27">
        <f>1500000</f>
        <v>1500000</v>
      </c>
      <c r="H20" s="27">
        <f>0</f>
        <v>0</v>
      </c>
      <c r="I20" s="27">
        <f>0</f>
        <v>0</v>
      </c>
      <c r="J20" s="27">
        <f>0</f>
        <v>0</v>
      </c>
      <c r="K20" s="27">
        <f>0</f>
        <v>0</v>
      </c>
      <c r="L20" s="27">
        <f>0</f>
        <v>0</v>
      </c>
      <c r="M20" s="27">
        <f>0</f>
        <v>0</v>
      </c>
      <c r="N20" s="27">
        <f>0</f>
        <v>0</v>
      </c>
      <c r="O20" s="27">
        <f>0</f>
        <v>0</v>
      </c>
      <c r="P20" s="27">
        <f>0</f>
        <v>0</v>
      </c>
      <c r="Q20" s="27">
        <f>0</f>
        <v>0</v>
      </c>
    </row>
    <row r="21" spans="1:17" ht="38.25" customHeight="1" x14ac:dyDescent="0.2">
      <c r="A21" s="20" t="s">
        <v>77</v>
      </c>
      <c r="B21" s="21">
        <f>133221510</f>
        <v>133221510</v>
      </c>
      <c r="C21" s="21">
        <f>133220321.29</f>
        <v>133220321.29000001</v>
      </c>
      <c r="D21" s="21">
        <f>41407551.61</f>
        <v>41407551.609999999</v>
      </c>
      <c r="E21" s="21">
        <f>10054349.49</f>
        <v>10054349.49</v>
      </c>
      <c r="F21" s="21">
        <f>688057.1</f>
        <v>688057.1</v>
      </c>
      <c r="G21" s="21">
        <f>28409083.51</f>
        <v>28409083.510000002</v>
      </c>
      <c r="H21" s="21">
        <f>2256061.51</f>
        <v>2256061.5099999998</v>
      </c>
      <c r="I21" s="21">
        <f>0</f>
        <v>0</v>
      </c>
      <c r="J21" s="21">
        <f>1376180.71</f>
        <v>1376180.71</v>
      </c>
      <c r="K21" s="21">
        <f>1252607.6</f>
        <v>1252607.6000000001</v>
      </c>
      <c r="L21" s="21">
        <f>48637299.2</f>
        <v>48637299.200000003</v>
      </c>
      <c r="M21" s="21">
        <f>33774632.13</f>
        <v>33774632.130000003</v>
      </c>
      <c r="N21" s="21">
        <f>6772050.04</f>
        <v>6772050.04</v>
      </c>
      <c r="O21" s="21">
        <f>1188.71</f>
        <v>1188.71</v>
      </c>
      <c r="P21" s="21">
        <f>0</f>
        <v>0</v>
      </c>
      <c r="Q21" s="21">
        <f>1188.71</f>
        <v>1188.71</v>
      </c>
    </row>
    <row r="22" spans="1:17" ht="33" customHeight="1" x14ac:dyDescent="0.2">
      <c r="A22" s="17" t="s">
        <v>51</v>
      </c>
      <c r="B22" s="22">
        <f>77073318.91</f>
        <v>77073318.909999996</v>
      </c>
      <c r="C22" s="22">
        <f>77073318.91</f>
        <v>77073318.909999996</v>
      </c>
      <c r="D22" s="22">
        <f>9929143.8</f>
        <v>9929143.8000000007</v>
      </c>
      <c r="E22" s="22">
        <f>172361.19</f>
        <v>172361.19</v>
      </c>
      <c r="F22" s="22">
        <f>625827.1</f>
        <v>625827.1</v>
      </c>
      <c r="G22" s="22">
        <f>9130955.51</f>
        <v>9130955.5099999998</v>
      </c>
      <c r="H22" s="22">
        <f>0</f>
        <v>0</v>
      </c>
      <c r="I22" s="22">
        <f>0</f>
        <v>0</v>
      </c>
      <c r="J22" s="22">
        <f>168535.49</f>
        <v>168535.49</v>
      </c>
      <c r="K22" s="22">
        <f>1244021.79</f>
        <v>1244021.79</v>
      </c>
      <c r="L22" s="22">
        <f>39635244.81</f>
        <v>39635244.810000002</v>
      </c>
      <c r="M22" s="22">
        <f>19914046.85</f>
        <v>19914046.850000001</v>
      </c>
      <c r="N22" s="22">
        <f>6182326.17</f>
        <v>6182326.1699999999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56148191.09</f>
        <v>56148191.090000004</v>
      </c>
      <c r="C23" s="22">
        <f>56147002.38</f>
        <v>56147002.380000003</v>
      </c>
      <c r="D23" s="22">
        <f>31478407.81</f>
        <v>31478407.809999999</v>
      </c>
      <c r="E23" s="22">
        <f>9881988.3</f>
        <v>9881988.3000000007</v>
      </c>
      <c r="F23" s="22">
        <f>62230</f>
        <v>62230</v>
      </c>
      <c r="G23" s="22">
        <f>19278128</f>
        <v>19278128</v>
      </c>
      <c r="H23" s="22">
        <f>2256061.51</f>
        <v>2256061.5099999998</v>
      </c>
      <c r="I23" s="22">
        <f>0</f>
        <v>0</v>
      </c>
      <c r="J23" s="22">
        <f>1207645.22</f>
        <v>1207645.22</v>
      </c>
      <c r="K23" s="22">
        <f>8585.81</f>
        <v>8585.81</v>
      </c>
      <c r="L23" s="22">
        <f>9002054.39</f>
        <v>9002054.3900000006</v>
      </c>
      <c r="M23" s="22">
        <f>13860585.28</f>
        <v>13860585.279999999</v>
      </c>
      <c r="N23" s="22">
        <f>589723.87</f>
        <v>589723.87</v>
      </c>
      <c r="O23" s="22">
        <f>1188.71</f>
        <v>1188.71</v>
      </c>
      <c r="P23" s="22">
        <f>0</f>
        <v>0</v>
      </c>
      <c r="Q23" s="22">
        <f>1188.71</f>
        <v>1188.71</v>
      </c>
    </row>
    <row r="24" spans="1:17" ht="19.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9.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9.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9.5" customHeight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9.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9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45.75" customHeight="1" x14ac:dyDescent="0.2">
      <c r="A30" s="33" t="str">
        <f>CONCATENATE("Informacja z wykonania budżetów jednostek samorządu terytorialnego za ",$C$94," ",$B$95," roku")</f>
        <v>Informacja z wykonania budżetów jednostek samorządu terytorialnego za II Kwartały 2024 roku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2" spans="1:17" ht="13.5" customHeight="1" x14ac:dyDescent="0.2">
      <c r="A32" s="43" t="s">
        <v>11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4" spans="1:17" ht="13.5" customHeight="1" x14ac:dyDescent="0.2">
      <c r="A34" s="69" t="s">
        <v>0</v>
      </c>
      <c r="B34" s="34" t="s">
        <v>12</v>
      </c>
      <c r="C34" s="72" t="s">
        <v>14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72" t="s">
        <v>24</v>
      </c>
      <c r="P34" s="73"/>
      <c r="Q34" s="74"/>
    </row>
    <row r="35" spans="1:17" ht="13.5" customHeight="1" x14ac:dyDescent="0.2">
      <c r="A35" s="70"/>
      <c r="B35" s="35"/>
      <c r="C35" s="35" t="s">
        <v>13</v>
      </c>
      <c r="D35" s="32" t="s">
        <v>15</v>
      </c>
      <c r="E35" s="32" t="s">
        <v>25</v>
      </c>
      <c r="F35" s="32" t="s">
        <v>26</v>
      </c>
      <c r="G35" s="32" t="s">
        <v>70</v>
      </c>
      <c r="H35" s="32" t="s">
        <v>28</v>
      </c>
      <c r="I35" s="32" t="s">
        <v>1</v>
      </c>
      <c r="J35" s="32" t="s">
        <v>16</v>
      </c>
      <c r="K35" s="32" t="s">
        <v>17</v>
      </c>
      <c r="L35" s="32" t="s">
        <v>18</v>
      </c>
      <c r="M35" s="32" t="s">
        <v>19</v>
      </c>
      <c r="N35" s="37" t="s">
        <v>20</v>
      </c>
      <c r="O35" s="32" t="s">
        <v>21</v>
      </c>
      <c r="P35" s="32" t="s">
        <v>22</v>
      </c>
      <c r="Q35" s="34" t="s">
        <v>23</v>
      </c>
    </row>
    <row r="36" spans="1:17" ht="13.5" customHeight="1" x14ac:dyDescent="0.2">
      <c r="A36" s="70"/>
      <c r="B36" s="35"/>
      <c r="C36" s="3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7"/>
      <c r="O36" s="32"/>
      <c r="P36" s="32"/>
      <c r="Q36" s="35"/>
    </row>
    <row r="37" spans="1:17" ht="11.25" customHeight="1" x14ac:dyDescent="0.2">
      <c r="A37" s="70"/>
      <c r="B37" s="35"/>
      <c r="C37" s="3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7"/>
      <c r="O37" s="32"/>
      <c r="P37" s="32"/>
      <c r="Q37" s="35"/>
    </row>
    <row r="38" spans="1:17" ht="32.25" customHeight="1" x14ac:dyDescent="0.2">
      <c r="A38" s="71"/>
      <c r="B38" s="36"/>
      <c r="C38" s="3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7"/>
      <c r="O38" s="32"/>
      <c r="P38" s="32"/>
      <c r="Q38" s="36"/>
    </row>
    <row r="39" spans="1:17" ht="13.5" customHeight="1" x14ac:dyDescent="0.2">
      <c r="A39" s="12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7</v>
      </c>
      <c r="H39" s="12">
        <v>8</v>
      </c>
      <c r="I39" s="12">
        <v>9</v>
      </c>
      <c r="J39" s="12">
        <v>10</v>
      </c>
      <c r="K39" s="12">
        <v>11</v>
      </c>
      <c r="L39" s="12">
        <v>12</v>
      </c>
      <c r="M39" s="12">
        <v>13</v>
      </c>
      <c r="N39" s="12">
        <v>14</v>
      </c>
      <c r="O39" s="12">
        <v>15</v>
      </c>
      <c r="P39" s="12">
        <v>16</v>
      </c>
      <c r="Q39" s="12">
        <v>17</v>
      </c>
    </row>
    <row r="40" spans="1:17" ht="35.25" customHeight="1" x14ac:dyDescent="0.2">
      <c r="A40" s="28" t="s">
        <v>40</v>
      </c>
      <c r="B40" s="23">
        <f>13650501.37</f>
        <v>13650501.369999999</v>
      </c>
      <c r="C40" s="23">
        <f>13650501.37</f>
        <v>13650501.369999999</v>
      </c>
      <c r="D40" s="23">
        <f>5560037.15</f>
        <v>5560037.1500000004</v>
      </c>
      <c r="E40" s="23">
        <f>5560037.15</f>
        <v>5560037.1500000004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206160.2</f>
        <v>206160.2</v>
      </c>
      <c r="K40" s="23">
        <f>28250</f>
        <v>28250</v>
      </c>
      <c r="L40" s="23">
        <f>2703741.37</f>
        <v>2703741.37</v>
      </c>
      <c r="M40" s="23">
        <f>4960812.65</f>
        <v>4960812.6500000004</v>
      </c>
      <c r="N40" s="23">
        <f>191500</f>
        <v>191500</v>
      </c>
      <c r="O40" s="23">
        <f>0</f>
        <v>0</v>
      </c>
      <c r="P40" s="23">
        <f>0</f>
        <v>0</v>
      </c>
      <c r="Q40" s="23">
        <f>0</f>
        <v>0</v>
      </c>
    </row>
    <row r="41" spans="1:17" ht="28.5" customHeight="1" x14ac:dyDescent="0.2">
      <c r="A41" s="18" t="s">
        <v>29</v>
      </c>
      <c r="B41" s="24">
        <f>7154132.77</f>
        <v>7154132.7699999996</v>
      </c>
      <c r="C41" s="24">
        <f>7154132.77</f>
        <v>7154132.7699999996</v>
      </c>
      <c r="D41" s="24">
        <f>5500029.95</f>
        <v>5500029.9500000002</v>
      </c>
      <c r="E41" s="24">
        <f>5500029.95</f>
        <v>5500029.9500000002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6000</f>
        <v>6000</v>
      </c>
      <c r="K41" s="24">
        <f>0</f>
        <v>0</v>
      </c>
      <c r="L41" s="24">
        <f>1524079.48</f>
        <v>1524079.48</v>
      </c>
      <c r="M41" s="24">
        <f>4023.34</f>
        <v>4023.34</v>
      </c>
      <c r="N41" s="24">
        <f>120000</f>
        <v>120000</v>
      </c>
      <c r="O41" s="24">
        <f>0</f>
        <v>0</v>
      </c>
      <c r="P41" s="24">
        <f>0</f>
        <v>0</v>
      </c>
      <c r="Q41" s="24">
        <f>0</f>
        <v>0</v>
      </c>
    </row>
    <row r="42" spans="1:17" ht="28.5" customHeight="1" x14ac:dyDescent="0.2">
      <c r="A42" s="18" t="s">
        <v>30</v>
      </c>
      <c r="B42" s="24">
        <f>6496368.6</f>
        <v>6496368.5999999996</v>
      </c>
      <c r="C42" s="24">
        <f>6496368.6</f>
        <v>6496368.5999999996</v>
      </c>
      <c r="D42" s="24">
        <f>60007.2</f>
        <v>60007.199999999997</v>
      </c>
      <c r="E42" s="24">
        <f>60007.2</f>
        <v>60007.199999999997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200160.2</f>
        <v>200160.2</v>
      </c>
      <c r="K42" s="24">
        <f>28250</f>
        <v>28250</v>
      </c>
      <c r="L42" s="24">
        <f>1179661.89</f>
        <v>1179661.8899999999</v>
      </c>
      <c r="M42" s="24">
        <f>4956789.31</f>
        <v>4956789.3099999996</v>
      </c>
      <c r="N42" s="24">
        <f>71500</f>
        <v>71500</v>
      </c>
      <c r="O42" s="24">
        <f>0</f>
        <v>0</v>
      </c>
      <c r="P42" s="24">
        <f>0</f>
        <v>0</v>
      </c>
      <c r="Q42" s="24">
        <f>0</f>
        <v>0</v>
      </c>
    </row>
    <row r="43" spans="1:17" ht="28.5" customHeight="1" x14ac:dyDescent="0.2">
      <c r="A43" s="28" t="s">
        <v>41</v>
      </c>
      <c r="B43" s="23">
        <f>1558557398.98</f>
        <v>1558557398.98</v>
      </c>
      <c r="C43" s="23">
        <f>1558550744.16</f>
        <v>1558550744.1600001</v>
      </c>
      <c r="D43" s="23">
        <f>774353493.36</f>
        <v>774353493.36000001</v>
      </c>
      <c r="E43" s="23">
        <f>4454478.5</f>
        <v>4454478.5</v>
      </c>
      <c r="F43" s="23">
        <f>2515080.09</f>
        <v>2515080.09</v>
      </c>
      <c r="G43" s="23">
        <f>767381198.77</f>
        <v>767381198.76999998</v>
      </c>
      <c r="H43" s="23">
        <f>2736</f>
        <v>2736</v>
      </c>
      <c r="I43" s="23">
        <f>0</f>
        <v>0</v>
      </c>
      <c r="J43" s="23">
        <f>14642009.14</f>
        <v>14642009.140000001</v>
      </c>
      <c r="K43" s="23">
        <f>664403.22</f>
        <v>664403.22</v>
      </c>
      <c r="L43" s="23">
        <f>407345400.76</f>
        <v>407345400.75999999</v>
      </c>
      <c r="M43" s="23">
        <f>294375973.64</f>
        <v>294375973.63999999</v>
      </c>
      <c r="N43" s="23">
        <f>67169464.04</f>
        <v>67169464.040000007</v>
      </c>
      <c r="O43" s="23">
        <f>6654.82</f>
        <v>6654.82</v>
      </c>
      <c r="P43" s="23">
        <f>6654.82</f>
        <v>6654.82</v>
      </c>
      <c r="Q43" s="23">
        <f>0</f>
        <v>0</v>
      </c>
    </row>
    <row r="44" spans="1:17" ht="32.25" customHeight="1" x14ac:dyDescent="0.2">
      <c r="A44" s="18" t="s">
        <v>31</v>
      </c>
      <c r="B44" s="24">
        <f>219848655.95</f>
        <v>219848655.94999999</v>
      </c>
      <c r="C44" s="24">
        <f>219848655.95</f>
        <v>219848655.94999999</v>
      </c>
      <c r="D44" s="24">
        <f>87610699.82</f>
        <v>87610699.819999993</v>
      </c>
      <c r="E44" s="24">
        <f>4328880</f>
        <v>4328880</v>
      </c>
      <c r="F44" s="24">
        <f>2500000</f>
        <v>2500000</v>
      </c>
      <c r="G44" s="24">
        <f>80781819.82</f>
        <v>80781819.819999993</v>
      </c>
      <c r="H44" s="24">
        <f>0</f>
        <v>0</v>
      </c>
      <c r="I44" s="24">
        <f>0</f>
        <v>0</v>
      </c>
      <c r="J44" s="24">
        <f>4591766.61</f>
        <v>4591766.6100000003</v>
      </c>
      <c r="K44" s="24">
        <f>489264</f>
        <v>489264</v>
      </c>
      <c r="L44" s="24">
        <f>72294550.31</f>
        <v>72294550.310000002</v>
      </c>
      <c r="M44" s="24">
        <f>24206070.81</f>
        <v>24206070.809999999</v>
      </c>
      <c r="N44" s="24">
        <f>30656304.4</f>
        <v>30656304.399999999</v>
      </c>
      <c r="O44" s="24">
        <f>0</f>
        <v>0</v>
      </c>
      <c r="P44" s="24">
        <f>0</f>
        <v>0</v>
      </c>
      <c r="Q44" s="24">
        <f>0</f>
        <v>0</v>
      </c>
    </row>
    <row r="45" spans="1:17" ht="32.25" customHeight="1" x14ac:dyDescent="0.2">
      <c r="A45" s="18" t="s">
        <v>32</v>
      </c>
      <c r="B45" s="24">
        <f>1338708743.03</f>
        <v>1338708743.03</v>
      </c>
      <c r="C45" s="24">
        <f>1338702088.21</f>
        <v>1338702088.21</v>
      </c>
      <c r="D45" s="24">
        <f>686742793.54</f>
        <v>686742793.53999996</v>
      </c>
      <c r="E45" s="24">
        <f>125598.5</f>
        <v>125598.5</v>
      </c>
      <c r="F45" s="24">
        <f>15080.09</f>
        <v>15080.09</v>
      </c>
      <c r="G45" s="24">
        <f>686599378.95</f>
        <v>686599378.95000005</v>
      </c>
      <c r="H45" s="24">
        <f>2736</f>
        <v>2736</v>
      </c>
      <c r="I45" s="24">
        <f>0</f>
        <v>0</v>
      </c>
      <c r="J45" s="24">
        <f>10050242.53</f>
        <v>10050242.529999999</v>
      </c>
      <c r="K45" s="24">
        <f>175139.22</f>
        <v>175139.22</v>
      </c>
      <c r="L45" s="24">
        <f>335050850.45</f>
        <v>335050850.44999999</v>
      </c>
      <c r="M45" s="24">
        <f>270169902.83</f>
        <v>270169902.82999998</v>
      </c>
      <c r="N45" s="24">
        <f>36513159.64</f>
        <v>36513159.640000001</v>
      </c>
      <c r="O45" s="24">
        <f>6654.82</f>
        <v>6654.82</v>
      </c>
      <c r="P45" s="24">
        <f>6654.82</f>
        <v>6654.82</v>
      </c>
      <c r="Q45" s="24">
        <f>0</f>
        <v>0</v>
      </c>
    </row>
    <row r="46" spans="1:17" ht="35.25" customHeight="1" x14ac:dyDescent="0.2">
      <c r="A46" s="28" t="s">
        <v>42</v>
      </c>
      <c r="B46" s="23">
        <f>54854809514.91</f>
        <v>54854809514.910004</v>
      </c>
      <c r="C46" s="23">
        <f>54854541705.25</f>
        <v>54854541705.25</v>
      </c>
      <c r="D46" s="23">
        <f>48408214.75</f>
        <v>48408214.75</v>
      </c>
      <c r="E46" s="23">
        <f>5990673.18</f>
        <v>5990673.1799999997</v>
      </c>
      <c r="F46" s="23">
        <f>56142.78</f>
        <v>56142.78</v>
      </c>
      <c r="G46" s="23">
        <f>26863317.5</f>
        <v>26863317.5</v>
      </c>
      <c r="H46" s="23">
        <f>15498081.29</f>
        <v>15498081.289999999</v>
      </c>
      <c r="I46" s="23">
        <f>10709341.6</f>
        <v>10709341.6</v>
      </c>
      <c r="J46" s="23">
        <f>54777866747.02</f>
        <v>54777866747.019997</v>
      </c>
      <c r="K46" s="23">
        <f>529640.11</f>
        <v>529640.11</v>
      </c>
      <c r="L46" s="23">
        <f>16742628.34</f>
        <v>16742628.34</v>
      </c>
      <c r="M46" s="23">
        <f>190201.4</f>
        <v>190201.4</v>
      </c>
      <c r="N46" s="23">
        <f>94932.03</f>
        <v>94932.03</v>
      </c>
      <c r="O46" s="23">
        <f>267809.66</f>
        <v>267809.65999999997</v>
      </c>
      <c r="P46" s="23">
        <f>267809.66</f>
        <v>267809.65999999997</v>
      </c>
      <c r="Q46" s="23">
        <f>0</f>
        <v>0</v>
      </c>
    </row>
    <row r="47" spans="1:17" ht="28.5" customHeight="1" x14ac:dyDescent="0.2">
      <c r="A47" s="18" t="s">
        <v>33</v>
      </c>
      <c r="B47" s="24">
        <f>21774498.93</f>
        <v>21774498.93</v>
      </c>
      <c r="C47" s="24">
        <f>21774498.93</f>
        <v>21774498.93</v>
      </c>
      <c r="D47" s="24">
        <f>21774498.93</f>
        <v>21774498.93</v>
      </c>
      <c r="E47" s="24">
        <f>0</f>
        <v>0</v>
      </c>
      <c r="F47" s="24">
        <f>0</f>
        <v>0</v>
      </c>
      <c r="G47" s="24">
        <f>21774498.93</f>
        <v>21774498.93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8.5" customHeight="1" x14ac:dyDescent="0.2">
      <c r="A48" s="18" t="s">
        <v>34</v>
      </c>
      <c r="B48" s="24">
        <f>36442975771.43</f>
        <v>36442975771.43</v>
      </c>
      <c r="C48" s="24">
        <f>36442975771.43</f>
        <v>36442975771.43</v>
      </c>
      <c r="D48" s="24">
        <f>9457809.47</f>
        <v>9457809.4700000007</v>
      </c>
      <c r="E48" s="24">
        <f>51732.05</f>
        <v>51732.05</v>
      </c>
      <c r="F48" s="24">
        <f>4993</f>
        <v>4993</v>
      </c>
      <c r="G48" s="24">
        <f>4893856.9</f>
        <v>4893856.9000000004</v>
      </c>
      <c r="H48" s="24">
        <f>4507227.52</f>
        <v>4507227.5199999996</v>
      </c>
      <c r="I48" s="24">
        <f>10625557.07</f>
        <v>10625557.07</v>
      </c>
      <c r="J48" s="24">
        <f>36407142168.96</f>
        <v>36407142168.959999</v>
      </c>
      <c r="K48" s="24">
        <f>519213.79</f>
        <v>519213.79</v>
      </c>
      <c r="L48" s="24">
        <f>15117692.31</f>
        <v>15117692.310000001</v>
      </c>
      <c r="M48" s="24">
        <f>19046.71</f>
        <v>19046.71</v>
      </c>
      <c r="N48" s="24">
        <f>94283.12</f>
        <v>94283.12</v>
      </c>
      <c r="O48" s="24">
        <f>0</f>
        <v>0</v>
      </c>
      <c r="P48" s="24">
        <f>0</f>
        <v>0</v>
      </c>
      <c r="Q48" s="24">
        <f>0</f>
        <v>0</v>
      </c>
    </row>
    <row r="49" spans="1:17" ht="28.5" customHeight="1" x14ac:dyDescent="0.2">
      <c r="A49" s="18" t="s">
        <v>35</v>
      </c>
      <c r="B49" s="24">
        <f>18390059244.55</f>
        <v>18390059244.549999</v>
      </c>
      <c r="C49" s="24">
        <f>18389791434.89</f>
        <v>18389791434.889999</v>
      </c>
      <c r="D49" s="24">
        <f>17175906.35</f>
        <v>17175906.350000001</v>
      </c>
      <c r="E49" s="24">
        <f>5938941.13</f>
        <v>5938941.1299999999</v>
      </c>
      <c r="F49" s="24">
        <f>51149.78</f>
        <v>51149.78</v>
      </c>
      <c r="G49" s="24">
        <f>194961.67</f>
        <v>194961.67</v>
      </c>
      <c r="H49" s="24">
        <f>10990853.77</f>
        <v>10990853.77</v>
      </c>
      <c r="I49" s="24">
        <f>83784.53</f>
        <v>83784.53</v>
      </c>
      <c r="J49" s="24">
        <f>18370724578.06</f>
        <v>18370724578.060001</v>
      </c>
      <c r="K49" s="24">
        <f>10426.32</f>
        <v>10426.32</v>
      </c>
      <c r="L49" s="24">
        <f>1624936.03</f>
        <v>1624936.03</v>
      </c>
      <c r="M49" s="24">
        <f>171154.69</f>
        <v>171154.69</v>
      </c>
      <c r="N49" s="24">
        <f>648.91</f>
        <v>648.91</v>
      </c>
      <c r="O49" s="24">
        <f>267809.66</f>
        <v>267809.65999999997</v>
      </c>
      <c r="P49" s="24">
        <f>267809.66</f>
        <v>267809.65999999997</v>
      </c>
      <c r="Q49" s="24">
        <f>0</f>
        <v>0</v>
      </c>
    </row>
    <row r="50" spans="1:17" ht="35.25" customHeight="1" x14ac:dyDescent="0.2">
      <c r="A50" s="28" t="s">
        <v>43</v>
      </c>
      <c r="B50" s="23">
        <f>28978133257.51</f>
        <v>28978133257.509998</v>
      </c>
      <c r="C50" s="23">
        <f>28891510143.21</f>
        <v>28891510143.209999</v>
      </c>
      <c r="D50" s="23">
        <f>459050030.86</f>
        <v>459050030.86000001</v>
      </c>
      <c r="E50" s="23">
        <f>120755102.4</f>
        <v>120755102.40000001</v>
      </c>
      <c r="F50" s="23">
        <f>10396419.54</f>
        <v>10396419.539999999</v>
      </c>
      <c r="G50" s="23">
        <f>327297251.1</f>
        <v>327297251.10000002</v>
      </c>
      <c r="H50" s="23">
        <f>601257.82</f>
        <v>601257.81999999995</v>
      </c>
      <c r="I50" s="23">
        <f>0</f>
        <v>0</v>
      </c>
      <c r="J50" s="23">
        <f>14528558.61</f>
        <v>14528558.609999999</v>
      </c>
      <c r="K50" s="23">
        <f>30806859.44</f>
        <v>30806859.440000001</v>
      </c>
      <c r="L50" s="23">
        <f>7165128175.53</f>
        <v>7165128175.5299997</v>
      </c>
      <c r="M50" s="23">
        <f>21010803659.42</f>
        <v>21010803659.419998</v>
      </c>
      <c r="N50" s="23">
        <f>211192859.35</f>
        <v>211192859.34999999</v>
      </c>
      <c r="O50" s="23">
        <f>86623114.3</f>
        <v>86623114.299999997</v>
      </c>
      <c r="P50" s="23">
        <f>33023788.25</f>
        <v>33023788.25</v>
      </c>
      <c r="Q50" s="23">
        <f>53599326.05</f>
        <v>53599326.049999997</v>
      </c>
    </row>
    <row r="51" spans="1:17" ht="28.5" customHeight="1" x14ac:dyDescent="0.2">
      <c r="A51" s="18" t="s">
        <v>36</v>
      </c>
      <c r="B51" s="24">
        <f>6920770951.09</f>
        <v>6920770951.0900002</v>
      </c>
      <c r="C51" s="24">
        <f>6890324409.05</f>
        <v>6890324409.0500002</v>
      </c>
      <c r="D51" s="24">
        <f>81790428.85</f>
        <v>81790428.849999994</v>
      </c>
      <c r="E51" s="24">
        <f>3298112.33</f>
        <v>3298112.33</v>
      </c>
      <c r="F51" s="24">
        <f>4187935.06</f>
        <v>4187935.06</v>
      </c>
      <c r="G51" s="24">
        <f>74118278.59</f>
        <v>74118278.590000004</v>
      </c>
      <c r="H51" s="24">
        <f>186102.87</f>
        <v>186102.87</v>
      </c>
      <c r="I51" s="24">
        <f>0</f>
        <v>0</v>
      </c>
      <c r="J51" s="24">
        <f>2978464.38</f>
        <v>2978464.38</v>
      </c>
      <c r="K51" s="24">
        <f>1138660.07</f>
        <v>1138660.07</v>
      </c>
      <c r="L51" s="24">
        <f>1160262799.4</f>
        <v>1160262799.4000001</v>
      </c>
      <c r="M51" s="24">
        <f>5561273467.23</f>
        <v>5561273467.2299995</v>
      </c>
      <c r="N51" s="24">
        <f>82880589.12</f>
        <v>82880589.120000005</v>
      </c>
      <c r="O51" s="24">
        <f>30446542.04</f>
        <v>30446542.039999999</v>
      </c>
      <c r="P51" s="24">
        <f>1003822.78</f>
        <v>1003822.78</v>
      </c>
      <c r="Q51" s="24">
        <f>29442719.26</f>
        <v>29442719.260000002</v>
      </c>
    </row>
    <row r="52" spans="1:17" ht="28.5" customHeight="1" x14ac:dyDescent="0.2">
      <c r="A52" s="18" t="s">
        <v>37</v>
      </c>
      <c r="B52" s="24">
        <f>22057362306.42</f>
        <v>22057362306.419998</v>
      </c>
      <c r="C52" s="24">
        <f>22001185734.16</f>
        <v>22001185734.16</v>
      </c>
      <c r="D52" s="24">
        <f>377259602.01</f>
        <v>377259602.00999999</v>
      </c>
      <c r="E52" s="24">
        <f>117456990.07</f>
        <v>117456990.06999999</v>
      </c>
      <c r="F52" s="24">
        <f>6208484.48</f>
        <v>6208484.4800000004</v>
      </c>
      <c r="G52" s="24">
        <f>253178972.51</f>
        <v>253178972.50999999</v>
      </c>
      <c r="H52" s="24">
        <f>415154.95</f>
        <v>415154.95</v>
      </c>
      <c r="I52" s="24">
        <f>0</f>
        <v>0</v>
      </c>
      <c r="J52" s="24">
        <f>11550094.23</f>
        <v>11550094.23</v>
      </c>
      <c r="K52" s="24">
        <f>29668199.37</f>
        <v>29668199.370000001</v>
      </c>
      <c r="L52" s="24">
        <f>6004865376.13</f>
        <v>6004865376.1300001</v>
      </c>
      <c r="M52" s="24">
        <f>15449530192.19</f>
        <v>15449530192.190001</v>
      </c>
      <c r="N52" s="24">
        <f>128312270.23</f>
        <v>128312270.23</v>
      </c>
      <c r="O52" s="24">
        <f>56176572.26</f>
        <v>56176572.259999998</v>
      </c>
      <c r="P52" s="24">
        <f>32019965.47</f>
        <v>32019965.469999999</v>
      </c>
      <c r="Q52" s="24">
        <f>24156606.79</f>
        <v>24156606.789999999</v>
      </c>
    </row>
    <row r="53" spans="1:17" ht="35.25" customHeight="1" x14ac:dyDescent="0.2">
      <c r="A53" s="28" t="s">
        <v>44</v>
      </c>
      <c r="B53" s="23">
        <f>30051795348.02</f>
        <v>30051795348.02</v>
      </c>
      <c r="C53" s="23">
        <f>30015033902.93</f>
        <v>30015033902.93</v>
      </c>
      <c r="D53" s="23">
        <f>1942203801.97</f>
        <v>1942203801.97</v>
      </c>
      <c r="E53" s="23">
        <f>796507874.5</f>
        <v>796507874.5</v>
      </c>
      <c r="F53" s="23">
        <f>134488538.01</f>
        <v>134488538.00999999</v>
      </c>
      <c r="G53" s="23">
        <f>986550655.19</f>
        <v>986550655.19000006</v>
      </c>
      <c r="H53" s="23">
        <f>24656734.27</f>
        <v>24656734.27</v>
      </c>
      <c r="I53" s="23">
        <f>3066591.37</f>
        <v>3066591.37</v>
      </c>
      <c r="J53" s="23">
        <f>35466099.11</f>
        <v>35466099.109999999</v>
      </c>
      <c r="K53" s="23">
        <f>89238655.55</f>
        <v>89238655.549999997</v>
      </c>
      <c r="L53" s="23">
        <f>17754650219.08</f>
        <v>17754650219.080002</v>
      </c>
      <c r="M53" s="23">
        <f>9734805512.93</f>
        <v>9734805512.9300003</v>
      </c>
      <c r="N53" s="23">
        <f>455603022.92</f>
        <v>455603022.92000002</v>
      </c>
      <c r="O53" s="23">
        <f>36761445.09</f>
        <v>36761445.090000004</v>
      </c>
      <c r="P53" s="23">
        <f>24178353.47</f>
        <v>24178353.469999999</v>
      </c>
      <c r="Q53" s="23">
        <f>12583091.62</f>
        <v>12583091.619999999</v>
      </c>
    </row>
    <row r="54" spans="1:17" ht="28.5" customHeight="1" x14ac:dyDescent="0.2">
      <c r="A54" s="18" t="s">
        <v>38</v>
      </c>
      <c r="B54" s="24">
        <f>1799004213.56</f>
        <v>1799004213.5599999</v>
      </c>
      <c r="C54" s="24">
        <f>1797802845.47</f>
        <v>1797802845.47</v>
      </c>
      <c r="D54" s="24">
        <f>160210103.31</f>
        <v>160210103.31</v>
      </c>
      <c r="E54" s="24">
        <f>12165792.41</f>
        <v>12165792.41</v>
      </c>
      <c r="F54" s="24">
        <f>2622759.39</f>
        <v>2622759.39</v>
      </c>
      <c r="G54" s="24">
        <f>138836619.24</f>
        <v>138836619.24000001</v>
      </c>
      <c r="H54" s="24">
        <f>6584932.27</f>
        <v>6584932.2699999996</v>
      </c>
      <c r="I54" s="24">
        <f>0</f>
        <v>0</v>
      </c>
      <c r="J54" s="24">
        <f>1190149.72</f>
        <v>1190149.72</v>
      </c>
      <c r="K54" s="24">
        <f>2690492.97</f>
        <v>2690492.97</v>
      </c>
      <c r="L54" s="24">
        <f>714774561.9</f>
        <v>714774561.89999998</v>
      </c>
      <c r="M54" s="24">
        <f>893961898.52</f>
        <v>893961898.51999998</v>
      </c>
      <c r="N54" s="24">
        <f>24975639.05</f>
        <v>24975639.050000001</v>
      </c>
      <c r="O54" s="24">
        <f>1201368.09</f>
        <v>1201368.0900000001</v>
      </c>
      <c r="P54" s="24">
        <f>313926.58</f>
        <v>313926.58</v>
      </c>
      <c r="Q54" s="24">
        <f>887441.51</f>
        <v>887441.51</v>
      </c>
    </row>
    <row r="55" spans="1:17" ht="47.25" customHeight="1" x14ac:dyDescent="0.2">
      <c r="A55" s="18" t="s">
        <v>78</v>
      </c>
      <c r="B55" s="24">
        <f>17388080137.78</f>
        <v>17388080137.779999</v>
      </c>
      <c r="C55" s="24">
        <f>17364857108.41</f>
        <v>17364857108.41</v>
      </c>
      <c r="D55" s="24">
        <f>680879219.92</f>
        <v>680879219.91999996</v>
      </c>
      <c r="E55" s="24">
        <f>329880237.83</f>
        <v>329880237.82999998</v>
      </c>
      <c r="F55" s="24">
        <f>97388626.54</f>
        <v>97388626.540000007</v>
      </c>
      <c r="G55" s="24">
        <f>246700786.82</f>
        <v>246700786.81999999</v>
      </c>
      <c r="H55" s="24">
        <f>6909568.73</f>
        <v>6909568.7300000004</v>
      </c>
      <c r="I55" s="24">
        <f>2953579.94</f>
        <v>2953579.94</v>
      </c>
      <c r="J55" s="24">
        <f>28711337.17</f>
        <v>28711337.170000002</v>
      </c>
      <c r="K55" s="24">
        <f>51949115.02</f>
        <v>51949115.020000003</v>
      </c>
      <c r="L55" s="24">
        <f>12000166815.69</f>
        <v>12000166815.690001</v>
      </c>
      <c r="M55" s="24">
        <f>4500210184.59</f>
        <v>4500210184.5900002</v>
      </c>
      <c r="N55" s="24">
        <f>99986856.08</f>
        <v>99986856.079999998</v>
      </c>
      <c r="O55" s="24">
        <f>23223029.37</f>
        <v>23223029.370000001</v>
      </c>
      <c r="P55" s="24">
        <f>20104238.21</f>
        <v>20104238.210000001</v>
      </c>
      <c r="Q55" s="24">
        <f>3118791.16</f>
        <v>3118791.16</v>
      </c>
    </row>
    <row r="56" spans="1:17" ht="35.25" customHeight="1" x14ac:dyDescent="0.2">
      <c r="A56" s="18" t="s">
        <v>39</v>
      </c>
      <c r="B56" s="24">
        <f>10864710996.68</f>
        <v>10864710996.68</v>
      </c>
      <c r="C56" s="24">
        <f>10852373949.05</f>
        <v>10852373949.049999</v>
      </c>
      <c r="D56" s="24">
        <f>1101114478.74</f>
        <v>1101114478.74</v>
      </c>
      <c r="E56" s="24">
        <f>454461844.26</f>
        <v>454461844.25999999</v>
      </c>
      <c r="F56" s="24">
        <f>34477152.08</f>
        <v>34477152.079999998</v>
      </c>
      <c r="G56" s="24">
        <f>601013249.13</f>
        <v>601013249.13</v>
      </c>
      <c r="H56" s="24">
        <f>11162233.27</f>
        <v>11162233.27</v>
      </c>
      <c r="I56" s="24">
        <f>113011.43</f>
        <v>113011.43</v>
      </c>
      <c r="J56" s="24">
        <f>5564612.22</f>
        <v>5564612.2199999997</v>
      </c>
      <c r="K56" s="24">
        <f>34599047.56</f>
        <v>34599047.560000002</v>
      </c>
      <c r="L56" s="24">
        <f>5039708841.49</f>
        <v>5039708841.4899998</v>
      </c>
      <c r="M56" s="24">
        <f>4340633429.82</f>
        <v>4340633429.8199997</v>
      </c>
      <c r="N56" s="24">
        <f>330640527.79</f>
        <v>330640527.79000002</v>
      </c>
      <c r="O56" s="24">
        <f>12337047.63</f>
        <v>12337047.630000001</v>
      </c>
      <c r="P56" s="24">
        <f>3760188.68</f>
        <v>3760188.68</v>
      </c>
      <c r="Q56" s="24">
        <f>8576858.95</f>
        <v>8576858.9499999993</v>
      </c>
    </row>
    <row r="67" spans="1:13" ht="75" customHeight="1" x14ac:dyDescent="0.2">
      <c r="A67" s="33" t="str">
        <f>CONCATENATE("Informacja z wykonania budżetów jednostek samorządu terytorialnego za ",$C$94," ",$B$95," roku")</f>
        <v>Informacja z wykonania budżetów jednostek samorządu terytorialnego za II Kwartały 2024 roku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customHeight="1" x14ac:dyDescent="0.2">
      <c r="B69" s="43" t="s">
        <v>2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1" spans="1:13" ht="13.5" customHeight="1" x14ac:dyDescent="0.2">
      <c r="B71" s="46" t="s">
        <v>0</v>
      </c>
      <c r="C71" s="47"/>
      <c r="D71" s="47"/>
      <c r="E71" s="48"/>
      <c r="F71" s="65" t="s">
        <v>68</v>
      </c>
      <c r="G71" s="29" t="s">
        <v>74</v>
      </c>
      <c r="H71" s="30"/>
      <c r="I71" s="30"/>
      <c r="J71" s="30"/>
      <c r="K71" s="30"/>
      <c r="L71" s="31"/>
    </row>
    <row r="72" spans="1:13" ht="13.5" customHeight="1" x14ac:dyDescent="0.2">
      <c r="B72" s="49"/>
      <c r="C72" s="50"/>
      <c r="D72" s="50"/>
      <c r="E72" s="51"/>
      <c r="F72" s="66"/>
      <c r="G72" s="32" t="s">
        <v>69</v>
      </c>
      <c r="H72" s="32" t="s">
        <v>66</v>
      </c>
      <c r="I72" s="32" t="s">
        <v>67</v>
      </c>
      <c r="J72" s="32" t="s">
        <v>70</v>
      </c>
      <c r="K72" s="32" t="s">
        <v>71</v>
      </c>
      <c r="L72" s="37" t="s">
        <v>72</v>
      </c>
    </row>
    <row r="73" spans="1:13" ht="13.5" customHeight="1" x14ac:dyDescent="0.2">
      <c r="B73" s="49"/>
      <c r="C73" s="50"/>
      <c r="D73" s="50"/>
      <c r="E73" s="51"/>
      <c r="F73" s="66"/>
      <c r="G73" s="32"/>
      <c r="H73" s="32"/>
      <c r="I73" s="32"/>
      <c r="J73" s="32"/>
      <c r="K73" s="32"/>
      <c r="L73" s="37"/>
    </row>
    <row r="74" spans="1:13" ht="11.25" customHeight="1" x14ac:dyDescent="0.2">
      <c r="B74" s="49"/>
      <c r="C74" s="50"/>
      <c r="D74" s="50"/>
      <c r="E74" s="51"/>
      <c r="F74" s="66"/>
      <c r="G74" s="32"/>
      <c r="H74" s="32"/>
      <c r="I74" s="32"/>
      <c r="J74" s="32"/>
      <c r="K74" s="32"/>
      <c r="L74" s="37"/>
    </row>
    <row r="75" spans="1:13" ht="20.25" customHeight="1" x14ac:dyDescent="0.2">
      <c r="B75" s="52"/>
      <c r="C75" s="53"/>
      <c r="D75" s="53"/>
      <c r="E75" s="54"/>
      <c r="F75" s="67"/>
      <c r="G75" s="32"/>
      <c r="H75" s="32"/>
      <c r="I75" s="32"/>
      <c r="J75" s="32"/>
      <c r="K75" s="32"/>
      <c r="L75" s="37"/>
    </row>
    <row r="76" spans="1:13" ht="13.5" customHeight="1" x14ac:dyDescent="0.2">
      <c r="B76" s="32">
        <v>1</v>
      </c>
      <c r="C76" s="32"/>
      <c r="D76" s="32"/>
      <c r="E76" s="32"/>
      <c r="F76" s="15">
        <v>2</v>
      </c>
      <c r="G76" s="15">
        <v>3</v>
      </c>
      <c r="H76" s="15">
        <v>4</v>
      </c>
      <c r="I76" s="15">
        <v>5</v>
      </c>
      <c r="J76" s="15">
        <v>6</v>
      </c>
      <c r="K76" s="15">
        <v>7</v>
      </c>
      <c r="L76" s="15">
        <v>8</v>
      </c>
    </row>
    <row r="77" spans="1:13" ht="33.75" customHeight="1" x14ac:dyDescent="0.2">
      <c r="B77" s="55" t="s">
        <v>53</v>
      </c>
      <c r="C77" s="56"/>
      <c r="D77" s="56"/>
      <c r="E77" s="57"/>
      <c r="F77" s="22">
        <f>4397911819.55</f>
        <v>4397911819.5500002</v>
      </c>
      <c r="G77" s="22">
        <f>1175472225.04</f>
        <v>1175472225.04</v>
      </c>
      <c r="H77" s="22">
        <f>71880691.76</f>
        <v>71880691.760000005</v>
      </c>
      <c r="I77" s="22">
        <f>226102435.84</f>
        <v>226102435.84</v>
      </c>
      <c r="J77" s="22">
        <f>829655859.21</f>
        <v>829655859.21000004</v>
      </c>
      <c r="K77" s="22">
        <f>47833238.23</f>
        <v>47833238.229999997</v>
      </c>
      <c r="L77" s="22">
        <f>3222439594.51</f>
        <v>3222439594.5100002</v>
      </c>
    </row>
    <row r="78" spans="1:13" ht="33.75" customHeight="1" x14ac:dyDescent="0.2">
      <c r="B78" s="38" t="s">
        <v>54</v>
      </c>
      <c r="C78" s="39"/>
      <c r="D78" s="39"/>
      <c r="E78" s="40"/>
      <c r="F78" s="25">
        <f>2599677.07</f>
        <v>2599677.0699999998</v>
      </c>
      <c r="G78" s="25">
        <f>1959677.07</f>
        <v>1959677.07</v>
      </c>
      <c r="H78" s="25">
        <f>0</f>
        <v>0</v>
      </c>
      <c r="I78" s="25">
        <f>558268.07</f>
        <v>558268.06999999995</v>
      </c>
      <c r="J78" s="25">
        <f>1401409</f>
        <v>1401409</v>
      </c>
      <c r="K78" s="25">
        <f>0</f>
        <v>0</v>
      </c>
      <c r="L78" s="25">
        <f>640000</f>
        <v>640000</v>
      </c>
    </row>
    <row r="79" spans="1:13" ht="33.75" customHeight="1" x14ac:dyDescent="0.2">
      <c r="B79" s="38" t="s">
        <v>55</v>
      </c>
      <c r="C79" s="39"/>
      <c r="D79" s="39"/>
      <c r="E79" s="40"/>
      <c r="F79" s="25">
        <f>210388130.15</f>
        <v>210388130.15000001</v>
      </c>
      <c r="G79" s="25">
        <f>15332929.24</f>
        <v>15332929.24</v>
      </c>
      <c r="H79" s="25">
        <f>47200</f>
        <v>47200</v>
      </c>
      <c r="I79" s="25">
        <f>0</f>
        <v>0</v>
      </c>
      <c r="J79" s="25">
        <f>15176143.2</f>
        <v>15176143.199999999</v>
      </c>
      <c r="K79" s="25">
        <f>109586.04</f>
        <v>109586.04</v>
      </c>
      <c r="L79" s="25">
        <f>195055200.91</f>
        <v>195055200.91</v>
      </c>
    </row>
    <row r="80" spans="1:13" ht="22.5" customHeight="1" x14ac:dyDescent="0.2">
      <c r="B80" s="38" t="s">
        <v>56</v>
      </c>
      <c r="C80" s="39"/>
      <c r="D80" s="39"/>
      <c r="E80" s="40"/>
      <c r="F80" s="25">
        <f>92876309.04</f>
        <v>92876309.040000007</v>
      </c>
      <c r="G80" s="25">
        <f>54928340.12</f>
        <v>54928340.119999997</v>
      </c>
      <c r="H80" s="25">
        <f>0</f>
        <v>0</v>
      </c>
      <c r="I80" s="25">
        <f>0</f>
        <v>0</v>
      </c>
      <c r="J80" s="25">
        <f>54928340.12</f>
        <v>54928340.119999997</v>
      </c>
      <c r="K80" s="25">
        <f>0</f>
        <v>0</v>
      </c>
      <c r="L80" s="25">
        <f>37947968.92</f>
        <v>37947968.920000002</v>
      </c>
    </row>
    <row r="81" spans="1:13" ht="33.75" customHeight="1" x14ac:dyDescent="0.2">
      <c r="B81" s="38" t="s">
        <v>57</v>
      </c>
      <c r="C81" s="39"/>
      <c r="D81" s="39"/>
      <c r="E81" s="40"/>
      <c r="F81" s="25">
        <f>32083197.92</f>
        <v>32083197.920000002</v>
      </c>
      <c r="G81" s="25">
        <f>25554570.65</f>
        <v>25554570.649999999</v>
      </c>
      <c r="H81" s="25">
        <f>0</f>
        <v>0</v>
      </c>
      <c r="I81" s="25">
        <f>0</f>
        <v>0</v>
      </c>
      <c r="J81" s="25">
        <f>19163800.95</f>
        <v>19163800.949999999</v>
      </c>
      <c r="K81" s="25">
        <f>6390769.7</f>
        <v>6390769.7000000002</v>
      </c>
      <c r="L81" s="25">
        <f>6528627.27</f>
        <v>6528627.2699999996</v>
      </c>
    </row>
    <row r="82" spans="1:13" ht="33.75" customHeight="1" x14ac:dyDescent="0.2">
      <c r="B82" s="38" t="s">
        <v>58</v>
      </c>
      <c r="C82" s="39"/>
      <c r="D82" s="39"/>
      <c r="E82" s="40"/>
      <c r="F82" s="25">
        <f>22282140.86</f>
        <v>22282140.859999999</v>
      </c>
      <c r="G82" s="25">
        <f>16733879.2</f>
        <v>16733879.199999999</v>
      </c>
      <c r="H82" s="25">
        <f>0</f>
        <v>0</v>
      </c>
      <c r="I82" s="25">
        <f>0</f>
        <v>0</v>
      </c>
      <c r="J82" s="25">
        <f>16733879.2</f>
        <v>16733879.199999999</v>
      </c>
      <c r="K82" s="25">
        <f>0</f>
        <v>0</v>
      </c>
      <c r="L82" s="25">
        <f>5548261.66</f>
        <v>5548261.6600000001</v>
      </c>
    </row>
    <row r="83" spans="1:13" ht="33" customHeight="1" x14ac:dyDescent="0.2">
      <c r="B83" s="55" t="s">
        <v>59</v>
      </c>
      <c r="C83" s="56"/>
      <c r="D83" s="56"/>
      <c r="E83" s="57"/>
      <c r="F83" s="22">
        <f>60000</f>
        <v>60000</v>
      </c>
      <c r="G83" s="22">
        <f>0</f>
        <v>0</v>
      </c>
      <c r="H83" s="22">
        <f>0</f>
        <v>0</v>
      </c>
      <c r="I83" s="22">
        <f>0</f>
        <v>0</v>
      </c>
      <c r="J83" s="22">
        <f>0</f>
        <v>0</v>
      </c>
      <c r="K83" s="22">
        <f>0</f>
        <v>0</v>
      </c>
      <c r="L83" s="22">
        <f>60000</f>
        <v>60000</v>
      </c>
    </row>
    <row r="86" spans="1:13" ht="75" customHeight="1" x14ac:dyDescent="0.2">
      <c r="A86" s="33" t="str">
        <f>CONCATENATE("Informacja z wykonania budżetów jednostek samorządu terytorialnego za ",$C$94," ",$B$95," roku")</f>
        <v>Informacja z wykonania budżetów jednostek samorządu terytorialnego za II Kwartały 2024 roku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ht="13.5" customHeight="1" x14ac:dyDescent="0.2">
      <c r="B87" s="3"/>
    </row>
    <row r="88" spans="1:13" ht="13.5" customHeight="1" x14ac:dyDescent="0.2">
      <c r="B88" s="4"/>
      <c r="C88" s="44"/>
      <c r="D88" s="60"/>
      <c r="E88" s="60"/>
      <c r="F88" s="45"/>
      <c r="G88" s="44" t="s">
        <v>3</v>
      </c>
      <c r="H88" s="45"/>
      <c r="I88" s="44" t="s">
        <v>4</v>
      </c>
      <c r="J88" s="45"/>
      <c r="K88" s="4"/>
    </row>
    <row r="89" spans="1:13" ht="13.5" customHeight="1" x14ac:dyDescent="0.2">
      <c r="B89" s="5"/>
      <c r="C89" s="55" t="s">
        <v>5</v>
      </c>
      <c r="D89" s="56"/>
      <c r="E89" s="56"/>
      <c r="F89" s="57"/>
      <c r="G89" s="58">
        <f>2160</f>
        <v>2160</v>
      </c>
      <c r="H89" s="59"/>
      <c r="I89" s="41">
        <f>23075810767.85</f>
        <v>23075810767.849998</v>
      </c>
      <c r="J89" s="42"/>
      <c r="K89" s="6"/>
    </row>
    <row r="90" spans="1:13" ht="13.5" customHeight="1" x14ac:dyDescent="0.2">
      <c r="B90" s="5"/>
      <c r="C90" s="38" t="s">
        <v>6</v>
      </c>
      <c r="D90" s="39"/>
      <c r="E90" s="39"/>
      <c r="F90" s="40"/>
      <c r="G90" s="61">
        <f>647</f>
        <v>647</v>
      </c>
      <c r="H90" s="62"/>
      <c r="I90" s="63">
        <f>-1895866006.3</f>
        <v>-1895866006.3</v>
      </c>
      <c r="J90" s="64"/>
      <c r="K90" s="6"/>
    </row>
    <row r="91" spans="1:13" ht="13.5" customHeight="1" x14ac:dyDescent="0.2">
      <c r="B91" s="5"/>
      <c r="C91" s="55" t="s">
        <v>7</v>
      </c>
      <c r="D91" s="56"/>
      <c r="E91" s="56"/>
      <c r="F91" s="57"/>
      <c r="G91" s="58">
        <f>0</f>
        <v>0</v>
      </c>
      <c r="H91" s="59"/>
      <c r="I91" s="41">
        <f>0</f>
        <v>0</v>
      </c>
      <c r="J91" s="42"/>
      <c r="K91" s="6"/>
    </row>
    <row r="94" spans="1:13" ht="13.5" customHeight="1" x14ac:dyDescent="0.2">
      <c r="A94" s="7" t="s">
        <v>8</v>
      </c>
      <c r="B94" s="7">
        <f>2</f>
        <v>2</v>
      </c>
      <c r="C94" s="7" t="str">
        <f>IF(B94=1,"I Kwartał",IF(B94=2,"II Kwartały",IF(B94=3,"III Kwartały",IF(B94=4,"IV Kwartały","-"))))</f>
        <v>II Kwartały</v>
      </c>
    </row>
    <row r="95" spans="1:13" ht="13.5" customHeight="1" x14ac:dyDescent="0.2">
      <c r="A95" s="7" t="s">
        <v>9</v>
      </c>
      <c r="B95" s="7">
        <f>2024</f>
        <v>2024</v>
      </c>
      <c r="C95" s="8"/>
    </row>
    <row r="96" spans="1:13" ht="13.5" customHeight="1" x14ac:dyDescent="0.2">
      <c r="A96" s="7" t="s">
        <v>10</v>
      </c>
      <c r="B96" s="9" t="str">
        <f>"Aug 14 2024 12:00AM"</f>
        <v>Aug 14 2024 12:00AM</v>
      </c>
      <c r="C96" s="8"/>
    </row>
  </sheetData>
  <mergeCells count="75">
    <mergeCell ref="K35:K38"/>
    <mergeCell ref="I35:I38"/>
    <mergeCell ref="J35:J38"/>
    <mergeCell ref="E35:E38"/>
    <mergeCell ref="K72:K75"/>
    <mergeCell ref="Q7:Q11"/>
    <mergeCell ref="C34:N34"/>
    <mergeCell ref="L7:L11"/>
    <mergeCell ref="M7:M11"/>
    <mergeCell ref="N7:N11"/>
    <mergeCell ref="P7:P11"/>
    <mergeCell ref="G7:G11"/>
    <mergeCell ref="F7:F11"/>
    <mergeCell ref="I7:I11"/>
    <mergeCell ref="J7:J11"/>
    <mergeCell ref="L72:L75"/>
    <mergeCell ref="F35:F38"/>
    <mergeCell ref="A30:M30"/>
    <mergeCell ref="O34:Q34"/>
    <mergeCell ref="A32:M32"/>
    <mergeCell ref="B34:B38"/>
    <mergeCell ref="A34:A38"/>
    <mergeCell ref="C35:C38"/>
    <mergeCell ref="G35:G38"/>
    <mergeCell ref="H35:H38"/>
    <mergeCell ref="A1:M1"/>
    <mergeCell ref="C5:M5"/>
    <mergeCell ref="A3:M3"/>
    <mergeCell ref="K7:K11"/>
    <mergeCell ref="C7:C11"/>
    <mergeCell ref="B6:B11"/>
    <mergeCell ref="A6:A11"/>
    <mergeCell ref="C6:N6"/>
    <mergeCell ref="D7:D11"/>
    <mergeCell ref="E7:E11"/>
    <mergeCell ref="B81:E81"/>
    <mergeCell ref="B78:E78"/>
    <mergeCell ref="M35:M38"/>
    <mergeCell ref="B77:E77"/>
    <mergeCell ref="F71:F75"/>
    <mergeCell ref="G72:G75"/>
    <mergeCell ref="G71:L71"/>
    <mergeCell ref="H72:H75"/>
    <mergeCell ref="I72:I75"/>
    <mergeCell ref="J72:J75"/>
    <mergeCell ref="G91:H91"/>
    <mergeCell ref="I91:J91"/>
    <mergeCell ref="C88:F88"/>
    <mergeCell ref="C89:F89"/>
    <mergeCell ref="C90:F90"/>
    <mergeCell ref="C91:F91"/>
    <mergeCell ref="G89:H89"/>
    <mergeCell ref="G88:H88"/>
    <mergeCell ref="G90:H90"/>
    <mergeCell ref="I90:J90"/>
    <mergeCell ref="B82:E82"/>
    <mergeCell ref="I89:J89"/>
    <mergeCell ref="B69:M69"/>
    <mergeCell ref="I88:J88"/>
    <mergeCell ref="B76:E76"/>
    <mergeCell ref="B71:E75"/>
    <mergeCell ref="B83:E83"/>
    <mergeCell ref="A86:M86"/>
    <mergeCell ref="B79:E79"/>
    <mergeCell ref="B80:E80"/>
    <mergeCell ref="O6:Q6"/>
    <mergeCell ref="O7:O11"/>
    <mergeCell ref="A67:M67"/>
    <mergeCell ref="L35:L38"/>
    <mergeCell ref="P35:P38"/>
    <mergeCell ref="Q35:Q38"/>
    <mergeCell ref="N35:N38"/>
    <mergeCell ref="O35:O38"/>
    <mergeCell ref="D35:D38"/>
    <mergeCell ref="H7:H11"/>
  </mergeCells>
  <phoneticPr fontId="4" type="noConversion"/>
  <pageMargins left="0" right="0" top="0.19685039370078741" bottom="0.19685039370078741" header="0" footer="0"/>
  <pageSetup paperSize="9" scale="67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2016-08-26T11:29:32Z</cp:lastPrinted>
  <dcterms:created xsi:type="dcterms:W3CDTF">2001-05-17T08:58:03Z</dcterms:created>
  <dcterms:modified xsi:type="dcterms:W3CDTF">2024-08-26T09:35:16Z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2024-08-26T11:35:05.4039485+02:00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GRN-60212780-b10a-47f3-9a66-b5dcd007b334</vt:lpwstr>
  </property>
  <property fmtid="{D5CDD505-2E9C-101B-9397-08002B2CF9AE}" pid="7" name="MFHash">
    <vt:lpwstr>/r5s8TZeQ4KghGkLKuLmYH8p3l566+Nv5Ia0tFgjotE=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