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V kwartał\2025.03.18 dane ostateczne\Zbiorówki_2024_k4_2025.03.18\Publikacja\"/>
    </mc:Choice>
  </mc:AlternateContent>
  <xr:revisionPtr revIDLastSave="0" documentId="13_ncr:1_{4BBB47C8-D0A4-4E2B-8501-321AE6B75A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3" i="7" l="1"/>
  <c r="B92" i="7"/>
  <c r="B91" i="7"/>
  <c r="B90" i="7"/>
  <c r="I87" i="7"/>
  <c r="G87" i="7"/>
  <c r="I86" i="7"/>
  <c r="G86" i="7"/>
  <c r="I85" i="7"/>
  <c r="G85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L75" i="7"/>
  <c r="K75" i="7"/>
  <c r="J75" i="7"/>
  <c r="I75" i="7"/>
  <c r="H75" i="7"/>
  <c r="G75" i="7"/>
  <c r="F75" i="7"/>
  <c r="L74" i="7"/>
  <c r="K74" i="7"/>
  <c r="J74" i="7"/>
  <c r="I74" i="7"/>
  <c r="H74" i="7"/>
  <c r="G74" i="7"/>
  <c r="F74" i="7"/>
  <c r="L73" i="7"/>
  <c r="K73" i="7"/>
  <c r="J73" i="7"/>
  <c r="I73" i="7"/>
  <c r="H73" i="7"/>
  <c r="G73" i="7"/>
  <c r="F73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0" i="7" l="1"/>
  <c r="A27" i="7" l="1"/>
  <c r="A82" i="7"/>
  <c r="A1" i="7"/>
  <c r="A63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<sst xmlns="http://schemas.openxmlformats.org/spreadsheetml/2006/main" count="97" uniqueCount="81">
  <si>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</si>
  <si>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</si>
  <si>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</si>
  <si>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</si>
  <si>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</si>
  <si>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</si>
  <si>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</si>
  <si>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</si>
  <si>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</si>
  <si>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</si>
  <si>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</si>
  <si>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</si>
  <si>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</si>
  <si>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</si>
  <si>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</si>
  <si>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</si>
  <si>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</si>
  <si>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</si>
  <si>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</si>
  <si>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</si>
  <si>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</si>
  <si>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</si>
  <si>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</si>
  <si>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</si>
  <si>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</si>
  <si>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</si>
  <si>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</si>
  <si>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</si>
  <si>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</si>
  <si>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</si>
  <si>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</si>
  <si>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</si>
  <si>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</si>
  <si>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</si>
  <si>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</si>
  <si>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</si>
  <si>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</si>
  <si>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</si>
  <si>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</si>
  <si>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</si>
  <si>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</si>
  <si>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</si>
  <si>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</si>
  <si>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</si>
  <si>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</si>
  <si>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</si>
  <si>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</si>
  <si>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</si>
  <si>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</si>
  <si>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</si>
  <si>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</si>
  <si>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</si>
  <si>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</si>
  <si>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</si>
  <si>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</si>
  <si>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</si>
  <si>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</si>
  <si>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</si>
  <si>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</si>
  <si>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</si>
  <si>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</si>
  <si>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</si>
  <si>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</si>
  <si>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</si>
  <si>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</si>
  <si>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</si>
  <si>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</si>
  <si>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</si>
  <si>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</si>
  <si>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</si>
  <si>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</si>
  <si>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</si>
  <si>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</si>
  <si>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</si>
  <si>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</si>
  <si>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</si>
  <si>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</si>
  <si>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E1 papiery wartościowe 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</si>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</sst>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2" fillId="20" borderId="10" xfId="37" applyFont="1" applyFill="1" applyBorder="1" applyAlignment="1">
      <alignment horizontal="left"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3"/>
  <sheetViews>
    <sheetView tabSelected="1" zoomScaleNormal="100" zoomScaleSheetLayoutView="75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2.570312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5" width="9.140625" style="2"/>
    <col min="16" max="16" width="10.28515625" style="2" customWidth="1"/>
    <col min="17" max="16384" width="9.140625" style="2"/>
  </cols>
  <sheetData>
    <row r="1" spans="1:17" ht="39.75" customHeight="1" x14ac:dyDescent="0.2">
      <c r="A1" s="47" t="str">
        <f>CONCATENATE("Informacja z wykonania budżetów powiatów za   ",$C$90," ",$B$91," roku    ",$B$93,"")</f>
        <v xml:space="preserve">Informacja z wykonania budżetów powiatów za   IV Kwartały 2024 roku    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8" t="s">
        <v>60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5" spans="1:17" ht="13.5" customHeight="1" x14ac:dyDescent="0.2">
      <c r="B5" s="12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1"/>
      <c r="O5" s="11"/>
      <c r="P5" s="11"/>
      <c r="Q5" s="11"/>
    </row>
    <row r="6" spans="1:17" ht="13.5" customHeight="1" x14ac:dyDescent="0.2">
      <c r="A6" s="38" t="s">
        <v>0</v>
      </c>
      <c r="B6" s="43" t="s">
        <v>61</v>
      </c>
      <c r="C6" s="52" t="s">
        <v>65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52" t="s">
        <v>64</v>
      </c>
      <c r="P6" s="30"/>
      <c r="Q6" s="31"/>
    </row>
    <row r="7" spans="1:17" ht="13.5" customHeight="1" x14ac:dyDescent="0.2">
      <c r="A7" s="39"/>
      <c r="B7" s="41"/>
      <c r="C7" s="42" t="s">
        <v>62</v>
      </c>
      <c r="D7" s="42" t="s">
        <v>73</v>
      </c>
      <c r="E7" s="42" t="s">
        <v>66</v>
      </c>
      <c r="F7" s="42" t="s">
        <v>67</v>
      </c>
      <c r="G7" s="42" t="s">
        <v>27</v>
      </c>
      <c r="H7" s="42" t="s">
        <v>28</v>
      </c>
      <c r="I7" s="49" t="s">
        <v>63</v>
      </c>
      <c r="J7" s="42" t="s">
        <v>16</v>
      </c>
      <c r="K7" s="42" t="s">
        <v>17</v>
      </c>
      <c r="L7" s="42" t="s">
        <v>18</v>
      </c>
      <c r="M7" s="42" t="s">
        <v>19</v>
      </c>
      <c r="N7" s="41" t="s">
        <v>20</v>
      </c>
      <c r="O7" s="37" t="s">
        <v>21</v>
      </c>
      <c r="P7" s="37" t="s">
        <v>22</v>
      </c>
      <c r="Q7" s="37" t="s">
        <v>23</v>
      </c>
    </row>
    <row r="8" spans="1:17" ht="13.5" customHeight="1" x14ac:dyDescent="0.2">
      <c r="A8" s="39"/>
      <c r="B8" s="41"/>
      <c r="C8" s="37"/>
      <c r="D8" s="37"/>
      <c r="E8" s="37"/>
      <c r="F8" s="37"/>
      <c r="G8" s="37"/>
      <c r="H8" s="37"/>
      <c r="I8" s="49"/>
      <c r="J8" s="37"/>
      <c r="K8" s="37"/>
      <c r="L8" s="37"/>
      <c r="M8" s="37"/>
      <c r="N8" s="41"/>
      <c r="O8" s="37"/>
      <c r="P8" s="37"/>
      <c r="Q8" s="37"/>
    </row>
    <row r="9" spans="1:17" ht="11.25" customHeight="1" x14ac:dyDescent="0.2">
      <c r="A9" s="39"/>
      <c r="B9" s="41"/>
      <c r="C9" s="37"/>
      <c r="D9" s="37"/>
      <c r="E9" s="37"/>
      <c r="F9" s="37"/>
      <c r="G9" s="37"/>
      <c r="H9" s="37"/>
      <c r="I9" s="49"/>
      <c r="J9" s="37"/>
      <c r="K9" s="37"/>
      <c r="L9" s="37"/>
      <c r="M9" s="37"/>
      <c r="N9" s="41"/>
      <c r="O9" s="37"/>
      <c r="P9" s="37"/>
      <c r="Q9" s="37"/>
    </row>
    <row r="10" spans="1:17" ht="33.75" customHeight="1" x14ac:dyDescent="0.2">
      <c r="A10" s="40"/>
      <c r="B10" s="42"/>
      <c r="C10" s="37"/>
      <c r="D10" s="37"/>
      <c r="E10" s="37"/>
      <c r="F10" s="37"/>
      <c r="G10" s="37"/>
      <c r="H10" s="37"/>
      <c r="I10" s="50"/>
      <c r="J10" s="37"/>
      <c r="K10" s="37"/>
      <c r="L10" s="37"/>
      <c r="M10" s="37"/>
      <c r="N10" s="42"/>
      <c r="O10" s="37"/>
      <c r="P10" s="37"/>
      <c r="Q10" s="37"/>
    </row>
    <row r="11" spans="1:17" ht="15.7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2" customHeight="1" x14ac:dyDescent="0.2">
      <c r="A12" s="13"/>
      <c r="B12" s="27" t="s">
        <v>76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9"/>
    </row>
    <row r="13" spans="1:17" ht="39.75" customHeight="1" x14ac:dyDescent="0.2">
      <c r="A13" s="20" t="s">
        <v>45</v>
      </c>
      <c r="B13" s="21">
        <f>7269130353.67</f>
        <v>7269130353.6700001</v>
      </c>
      <c r="C13" s="21">
        <f>7269130353.67</f>
        <v>7269130353.6700001</v>
      </c>
      <c r="D13" s="21">
        <f>262287516.74</f>
        <v>262287516.74000001</v>
      </c>
      <c r="E13" s="21">
        <f>197523937.77</f>
        <v>197523937.77000001</v>
      </c>
      <c r="F13" s="21">
        <f>7096033.55</f>
        <v>7096033.5499999998</v>
      </c>
      <c r="G13" s="21">
        <f>57667545.42</f>
        <v>57667545.420000002</v>
      </c>
      <c r="H13" s="21">
        <f>0</f>
        <v>0</v>
      </c>
      <c r="I13" s="21">
        <f>0</f>
        <v>0</v>
      </c>
      <c r="J13" s="21">
        <f>6636893752.15</f>
        <v>6636893752.1499996</v>
      </c>
      <c r="K13" s="21">
        <f>365291161.66</f>
        <v>365291161.66000003</v>
      </c>
      <c r="L13" s="21">
        <f>2157278.66</f>
        <v>2157278.66</v>
      </c>
      <c r="M13" s="21">
        <f>307985.74</f>
        <v>307985.74</v>
      </c>
      <c r="N13" s="21">
        <f>2192658.72</f>
        <v>2192658.7200000002</v>
      </c>
      <c r="O13" s="21">
        <f>0</f>
        <v>0</v>
      </c>
      <c r="P13" s="21">
        <f>0</f>
        <v>0</v>
      </c>
      <c r="Q13" s="21">
        <f>0</f>
        <v>0</v>
      </c>
    </row>
    <row r="14" spans="1:17" ht="24.75" customHeight="1" x14ac:dyDescent="0.2">
      <c r="A14" s="19" t="s">
        <v>77</v>
      </c>
      <c r="B14" s="21">
        <f>9500000</f>
        <v>9500000</v>
      </c>
      <c r="C14" s="21">
        <f>9500000</f>
        <v>9500000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9500000</f>
        <v>9500000</v>
      </c>
      <c r="K14" s="21">
        <f>0</f>
        <v>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1" customHeight="1" x14ac:dyDescent="0.2">
      <c r="A15" s="17" t="s">
        <v>46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0.25" customHeight="1" x14ac:dyDescent="0.2">
      <c r="A16" s="17" t="s">
        <v>47</v>
      </c>
      <c r="B16" s="22">
        <f>9500000</f>
        <v>9500000</v>
      </c>
      <c r="C16" s="22">
        <f>9500000</f>
        <v>9500000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9500000</f>
        <v>9500000</v>
      </c>
      <c r="K16" s="22">
        <f>0</f>
        <v>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24" customHeight="1" x14ac:dyDescent="0.2">
      <c r="A17" s="20" t="s">
        <v>78</v>
      </c>
      <c r="B17" s="21">
        <f>7243491095.89</f>
        <v>7243491095.8900003</v>
      </c>
      <c r="C17" s="21">
        <f>7243491095.89</f>
        <v>7243491095.8900003</v>
      </c>
      <c r="D17" s="21">
        <f>247220290.26</f>
        <v>247220290.25999999</v>
      </c>
      <c r="E17" s="21">
        <f>197466430.31</f>
        <v>197466430.31</v>
      </c>
      <c r="F17" s="21">
        <f>7096033.55</f>
        <v>7096033.5499999998</v>
      </c>
      <c r="G17" s="21">
        <f>42657826.4</f>
        <v>42657826.399999999</v>
      </c>
      <c r="H17" s="21">
        <f>0</f>
        <v>0</v>
      </c>
      <c r="I17" s="21">
        <f>0</f>
        <v>0</v>
      </c>
      <c r="J17" s="21">
        <f>6627393752.15</f>
        <v>6627393752.1499996</v>
      </c>
      <c r="K17" s="21">
        <f>365291161.66</f>
        <v>365291161.66000003</v>
      </c>
      <c r="L17" s="21">
        <f>1837171.72</f>
        <v>1837171.72</v>
      </c>
      <c r="M17" s="21">
        <f>0</f>
        <v>0</v>
      </c>
      <c r="N17" s="21">
        <f>1748720.1</f>
        <v>1748720.1</v>
      </c>
      <c r="O17" s="21">
        <f>0</f>
        <v>0</v>
      </c>
      <c r="P17" s="21">
        <f>0</f>
        <v>0</v>
      </c>
      <c r="Q17" s="21">
        <f>0</f>
        <v>0</v>
      </c>
    </row>
    <row r="18" spans="1:17" ht="23.25" customHeight="1" x14ac:dyDescent="0.2">
      <c r="A18" s="17" t="s">
        <v>48</v>
      </c>
      <c r="B18" s="22">
        <f>6015532</f>
        <v>6015532</v>
      </c>
      <c r="C18" s="22">
        <f>6015532</f>
        <v>6015532</v>
      </c>
      <c r="D18" s="22">
        <f>1545106</f>
        <v>1545106</v>
      </c>
      <c r="E18" s="22">
        <f>1304546</f>
        <v>1304546</v>
      </c>
      <c r="F18" s="22">
        <f>240560</f>
        <v>240560</v>
      </c>
      <c r="G18" s="22">
        <f>0</f>
        <v>0</v>
      </c>
      <c r="H18" s="22">
        <f>0</f>
        <v>0</v>
      </c>
      <c r="I18" s="22">
        <f>0</f>
        <v>0</v>
      </c>
      <c r="J18" s="22">
        <f>4466670</f>
        <v>4466670</v>
      </c>
      <c r="K18" s="22">
        <f>506</f>
        <v>506</v>
      </c>
      <c r="L18" s="22">
        <f>3250</f>
        <v>3250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21.75" customHeight="1" x14ac:dyDescent="0.2">
      <c r="A19" s="17" t="s">
        <v>49</v>
      </c>
      <c r="B19" s="22">
        <f>7237475563.89</f>
        <v>7237475563.8900003</v>
      </c>
      <c r="C19" s="22">
        <f>7237475563.89</f>
        <v>7237475563.8900003</v>
      </c>
      <c r="D19" s="22">
        <f>245675184.26</f>
        <v>245675184.25999999</v>
      </c>
      <c r="E19" s="22">
        <f>196161884.31</f>
        <v>196161884.31</v>
      </c>
      <c r="F19" s="22">
        <f>6855473.55</f>
        <v>6855473.5499999998</v>
      </c>
      <c r="G19" s="22">
        <f>42657826.4</f>
        <v>42657826.399999999</v>
      </c>
      <c r="H19" s="22">
        <f>0</f>
        <v>0</v>
      </c>
      <c r="I19" s="22">
        <f>0</f>
        <v>0</v>
      </c>
      <c r="J19" s="22">
        <f>6622927082.15</f>
        <v>6622927082.1499996</v>
      </c>
      <c r="K19" s="22">
        <f>365290655.66</f>
        <v>365290655.66000003</v>
      </c>
      <c r="L19" s="22">
        <f>1833921.72</f>
        <v>1833921.72</v>
      </c>
      <c r="M19" s="22">
        <f>0</f>
        <v>0</v>
      </c>
      <c r="N19" s="22">
        <f>1748720.1</f>
        <v>1748720.1</v>
      </c>
      <c r="O19" s="22">
        <f>0</f>
        <v>0</v>
      </c>
      <c r="P19" s="22">
        <f>0</f>
        <v>0</v>
      </c>
      <c r="Q19" s="22">
        <f>0</f>
        <v>0</v>
      </c>
    </row>
    <row r="20" spans="1:17" ht="21.75" customHeight="1" x14ac:dyDescent="0.2">
      <c r="A20" s="17" t="s">
        <v>50</v>
      </c>
      <c r="B20" s="22">
        <f>15000000</f>
        <v>15000000</v>
      </c>
      <c r="C20" s="22">
        <f>15000000</f>
        <v>15000000</v>
      </c>
      <c r="D20" s="22">
        <f>15000000</f>
        <v>15000000</v>
      </c>
      <c r="E20" s="22">
        <f>0</f>
        <v>0</v>
      </c>
      <c r="F20" s="22">
        <f>0</f>
        <v>0</v>
      </c>
      <c r="G20" s="22">
        <f>15000000</f>
        <v>15000000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4.75" customHeight="1" x14ac:dyDescent="0.2">
      <c r="A21" s="20" t="s">
        <v>79</v>
      </c>
      <c r="B21" s="21">
        <f>1139257.78</f>
        <v>1139257.78</v>
      </c>
      <c r="C21" s="21">
        <f>1139257.78</f>
        <v>1139257.78</v>
      </c>
      <c r="D21" s="21">
        <f>67226.48</f>
        <v>67226.48</v>
      </c>
      <c r="E21" s="21">
        <f>57507.46</f>
        <v>57507.46</v>
      </c>
      <c r="F21" s="21">
        <f>0</f>
        <v>0</v>
      </c>
      <c r="G21" s="21">
        <f>9719.02</f>
        <v>9719.02</v>
      </c>
      <c r="H21" s="21">
        <f>0</f>
        <v>0</v>
      </c>
      <c r="I21" s="21">
        <f>0</f>
        <v>0</v>
      </c>
      <c r="J21" s="21">
        <f>0</f>
        <v>0</v>
      </c>
      <c r="K21" s="21">
        <f>0</f>
        <v>0</v>
      </c>
      <c r="L21" s="21">
        <f>320106.94</f>
        <v>320106.94</v>
      </c>
      <c r="M21" s="21">
        <f>307985.74</f>
        <v>307985.74</v>
      </c>
      <c r="N21" s="21">
        <f>443938.62</f>
        <v>443938.62</v>
      </c>
      <c r="O21" s="21">
        <f>0</f>
        <v>0</v>
      </c>
      <c r="P21" s="21">
        <f>0</f>
        <v>0</v>
      </c>
      <c r="Q21" s="21">
        <f>0</f>
        <v>0</v>
      </c>
    </row>
    <row r="22" spans="1:17" ht="22.5" x14ac:dyDescent="0.2">
      <c r="A22" s="17" t="s">
        <v>51</v>
      </c>
      <c r="B22" s="22">
        <f>753614.7</f>
        <v>753614.7</v>
      </c>
      <c r="C22" s="22">
        <f>753614.7</f>
        <v>753614.7</v>
      </c>
      <c r="D22" s="22">
        <f>0</f>
        <v>0</v>
      </c>
      <c r="E22" s="22">
        <f>0</f>
        <v>0</v>
      </c>
      <c r="F22" s="22">
        <f>0</f>
        <v>0</v>
      </c>
      <c r="G22" s="22">
        <f>0</f>
        <v>0</v>
      </c>
      <c r="H22" s="22">
        <f>0</f>
        <v>0</v>
      </c>
      <c r="I22" s="22">
        <f>0</f>
        <v>0</v>
      </c>
      <c r="J22" s="22">
        <f>0</f>
        <v>0</v>
      </c>
      <c r="K22" s="22">
        <f>0</f>
        <v>0</v>
      </c>
      <c r="L22" s="22">
        <f>204547.65</f>
        <v>204547.65</v>
      </c>
      <c r="M22" s="22">
        <f>119114.43</f>
        <v>119114.43</v>
      </c>
      <c r="N22" s="22">
        <f>429952.62</f>
        <v>429952.62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385643.08</f>
        <v>385643.08</v>
      </c>
      <c r="C23" s="22">
        <f>385643.08</f>
        <v>385643.08</v>
      </c>
      <c r="D23" s="22">
        <f>67226.48</f>
        <v>67226.48</v>
      </c>
      <c r="E23" s="22">
        <f>57507.46</f>
        <v>57507.46</v>
      </c>
      <c r="F23" s="22">
        <f>0</f>
        <v>0</v>
      </c>
      <c r="G23" s="22">
        <f>9719.02</f>
        <v>9719.02</v>
      </c>
      <c r="H23" s="22">
        <f>0</f>
        <v>0</v>
      </c>
      <c r="I23" s="22">
        <f>0</f>
        <v>0</v>
      </c>
      <c r="J23" s="22">
        <f>0</f>
        <v>0</v>
      </c>
      <c r="K23" s="22">
        <f>0</f>
        <v>0</v>
      </c>
      <c r="L23" s="22">
        <f>115559.29</f>
        <v>115559.29</v>
      </c>
      <c r="M23" s="22">
        <f>188871.31</f>
        <v>188871.31</v>
      </c>
      <c r="N23" s="22">
        <f>13986</f>
        <v>13986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45.75" customHeight="1" x14ac:dyDescent="0.2">
      <c r="A27" s="47" t="str">
        <f>CONCATENATE("Informacja z wykonania budżetów powiatów za   ",$C$90," ",$B$91," roku    ",$B$93,"")</f>
        <v xml:space="preserve">Informacja z wykonania budżetów powiatów za   IV Kwartały 2024 roku    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</row>
    <row r="29" spans="1:17" ht="13.5" customHeight="1" x14ac:dyDescent="0.2">
      <c r="A29" s="48" t="s">
        <v>11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</row>
    <row r="31" spans="1:17" ht="13.5" customHeight="1" x14ac:dyDescent="0.2">
      <c r="A31" s="38" t="s">
        <v>0</v>
      </c>
      <c r="B31" s="43" t="s">
        <v>12</v>
      </c>
      <c r="C31" s="44" t="s">
        <v>14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44" t="s">
        <v>24</v>
      </c>
      <c r="P31" s="45"/>
      <c r="Q31" s="46"/>
    </row>
    <row r="32" spans="1:17" ht="13.5" customHeight="1" x14ac:dyDescent="0.2">
      <c r="A32" s="39"/>
      <c r="B32" s="41"/>
      <c r="C32" s="41" t="s">
        <v>13</v>
      </c>
      <c r="D32" s="37" t="s">
        <v>15</v>
      </c>
      <c r="E32" s="37" t="s">
        <v>25</v>
      </c>
      <c r="F32" s="37" t="s">
        <v>26</v>
      </c>
      <c r="G32" s="37" t="s">
        <v>70</v>
      </c>
      <c r="H32" s="37" t="s">
        <v>28</v>
      </c>
      <c r="I32" s="37" t="s">
        <v>1</v>
      </c>
      <c r="J32" s="37" t="s">
        <v>16</v>
      </c>
      <c r="K32" s="37" t="s">
        <v>17</v>
      </c>
      <c r="L32" s="37" t="s">
        <v>18</v>
      </c>
      <c r="M32" s="37" t="s">
        <v>19</v>
      </c>
      <c r="N32" s="85" t="s">
        <v>20</v>
      </c>
      <c r="O32" s="37" t="s">
        <v>21</v>
      </c>
      <c r="P32" s="37" t="s">
        <v>22</v>
      </c>
      <c r="Q32" s="43" t="s">
        <v>23</v>
      </c>
    </row>
    <row r="33" spans="1:17" ht="13.5" customHeight="1" x14ac:dyDescent="0.2">
      <c r="A33" s="39"/>
      <c r="B33" s="41"/>
      <c r="C33" s="4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85"/>
      <c r="O33" s="37"/>
      <c r="P33" s="37"/>
      <c r="Q33" s="41"/>
    </row>
    <row r="34" spans="1:17" ht="11.25" customHeight="1" x14ac:dyDescent="0.2">
      <c r="A34" s="39"/>
      <c r="B34" s="41"/>
      <c r="C34" s="41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85"/>
      <c r="O34" s="37"/>
      <c r="P34" s="37"/>
      <c r="Q34" s="41"/>
    </row>
    <row r="35" spans="1:17" ht="41.25" customHeight="1" x14ac:dyDescent="0.2">
      <c r="A35" s="40"/>
      <c r="B35" s="42"/>
      <c r="C35" s="42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85"/>
      <c r="O35" s="37"/>
      <c r="P35" s="37"/>
      <c r="Q35" s="42"/>
    </row>
    <row r="36" spans="1:17" ht="15.75" customHeight="1" x14ac:dyDescent="0.2">
      <c r="A36" s="13">
        <v>1</v>
      </c>
      <c r="B36" s="13">
        <v>2</v>
      </c>
      <c r="C36" s="13">
        <v>3</v>
      </c>
      <c r="D36" s="13">
        <v>4</v>
      </c>
      <c r="E36" s="13">
        <v>5</v>
      </c>
      <c r="F36" s="13">
        <v>6</v>
      </c>
      <c r="G36" s="13">
        <v>7</v>
      </c>
      <c r="H36" s="13">
        <v>8</v>
      </c>
      <c r="I36" s="13">
        <v>9</v>
      </c>
      <c r="J36" s="13">
        <v>10</v>
      </c>
      <c r="K36" s="13">
        <v>11</v>
      </c>
      <c r="L36" s="13">
        <v>12</v>
      </c>
      <c r="M36" s="13">
        <v>13</v>
      </c>
      <c r="N36" s="13">
        <v>14</v>
      </c>
      <c r="O36" s="13">
        <v>15</v>
      </c>
      <c r="P36" s="13">
        <v>16</v>
      </c>
      <c r="Q36" s="13">
        <v>17</v>
      </c>
    </row>
    <row r="37" spans="1:17" ht="12" customHeight="1" x14ac:dyDescent="0.2">
      <c r="A37" s="13"/>
      <c r="B37" s="27" t="s">
        <v>76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1"/>
    </row>
    <row r="38" spans="1:17" ht="30" customHeight="1" x14ac:dyDescent="0.2">
      <c r="A38" s="25" t="s">
        <v>40</v>
      </c>
      <c r="B38" s="23">
        <f>186113.85</f>
        <v>186113.85</v>
      </c>
      <c r="C38" s="23">
        <f>186113.85</f>
        <v>186113.85</v>
      </c>
      <c r="D38" s="23">
        <f>50000</f>
        <v>50000</v>
      </c>
      <c r="E38" s="23">
        <f>50000</f>
        <v>50000</v>
      </c>
      <c r="F38" s="23">
        <f>0</f>
        <v>0</v>
      </c>
      <c r="G38" s="23">
        <f>0</f>
        <v>0</v>
      </c>
      <c r="H38" s="23">
        <f>0</f>
        <v>0</v>
      </c>
      <c r="I38" s="23">
        <f>0</f>
        <v>0</v>
      </c>
      <c r="J38" s="23">
        <f>0</f>
        <v>0</v>
      </c>
      <c r="K38" s="23">
        <f>0</f>
        <v>0</v>
      </c>
      <c r="L38" s="23">
        <f>1471.52</f>
        <v>1471.52</v>
      </c>
      <c r="M38" s="23">
        <f>134642.33</f>
        <v>134642.32999999999</v>
      </c>
      <c r="N38" s="23">
        <f>0</f>
        <v>0</v>
      </c>
      <c r="O38" s="23">
        <f>0</f>
        <v>0</v>
      </c>
      <c r="P38" s="23">
        <f>0</f>
        <v>0</v>
      </c>
      <c r="Q38" s="23">
        <f>0</f>
        <v>0</v>
      </c>
    </row>
    <row r="39" spans="1:17" ht="25.5" customHeight="1" x14ac:dyDescent="0.2">
      <c r="A39" s="18" t="s">
        <v>29</v>
      </c>
      <c r="B39" s="24">
        <f>1476.05</f>
        <v>1476.05</v>
      </c>
      <c r="C39" s="24">
        <f>1476.05</f>
        <v>1476.05</v>
      </c>
      <c r="D39" s="24">
        <f>0</f>
        <v>0</v>
      </c>
      <c r="E39" s="24">
        <f>0</f>
        <v>0</v>
      </c>
      <c r="F39" s="24">
        <f>0</f>
        <v>0</v>
      </c>
      <c r="G39" s="24">
        <f>0</f>
        <v>0</v>
      </c>
      <c r="H39" s="24">
        <f>0</f>
        <v>0</v>
      </c>
      <c r="I39" s="24">
        <f>0</f>
        <v>0</v>
      </c>
      <c r="J39" s="24">
        <f>0</f>
        <v>0</v>
      </c>
      <c r="K39" s="24">
        <f>0</f>
        <v>0</v>
      </c>
      <c r="L39" s="24">
        <f>1471.52</f>
        <v>1471.52</v>
      </c>
      <c r="M39" s="24">
        <f>4.53</f>
        <v>4.53</v>
      </c>
      <c r="N39" s="24">
        <f>0</f>
        <v>0</v>
      </c>
      <c r="O39" s="24">
        <f>0</f>
        <v>0</v>
      </c>
      <c r="P39" s="24">
        <f>0</f>
        <v>0</v>
      </c>
      <c r="Q39" s="24">
        <f>0</f>
        <v>0</v>
      </c>
    </row>
    <row r="40" spans="1:17" ht="25.5" customHeight="1" x14ac:dyDescent="0.2">
      <c r="A40" s="18" t="s">
        <v>30</v>
      </c>
      <c r="B40" s="24">
        <f>184637.8</f>
        <v>184637.8</v>
      </c>
      <c r="C40" s="24">
        <f>184637.8</f>
        <v>184637.8</v>
      </c>
      <c r="D40" s="24">
        <f>50000</f>
        <v>50000</v>
      </c>
      <c r="E40" s="24">
        <f>50000</f>
        <v>50000</v>
      </c>
      <c r="F40" s="24">
        <f>0</f>
        <v>0</v>
      </c>
      <c r="G40" s="24">
        <f>0</f>
        <v>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0</f>
        <v>0</v>
      </c>
      <c r="M40" s="24">
        <f>134637.8</f>
        <v>134637.79999999999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30" customHeight="1" x14ac:dyDescent="0.2">
      <c r="A41" s="25" t="s">
        <v>41</v>
      </c>
      <c r="B41" s="23">
        <f>213060599.37</f>
        <v>213060599.37</v>
      </c>
      <c r="C41" s="23">
        <f>213060599.37</f>
        <v>213060599.37</v>
      </c>
      <c r="D41" s="23">
        <f>154738932.85</f>
        <v>154738932.84999999</v>
      </c>
      <c r="E41" s="23">
        <f>33648.14</f>
        <v>33648.14</v>
      </c>
      <c r="F41" s="23">
        <f>2470.4</f>
        <v>2470.4</v>
      </c>
      <c r="G41" s="23">
        <f>154702814.31</f>
        <v>154702814.31</v>
      </c>
      <c r="H41" s="23">
        <f>0</f>
        <v>0</v>
      </c>
      <c r="I41" s="23">
        <f>0</f>
        <v>0</v>
      </c>
      <c r="J41" s="23">
        <f>0</f>
        <v>0</v>
      </c>
      <c r="K41" s="23">
        <f>0</f>
        <v>0</v>
      </c>
      <c r="L41" s="23">
        <f>45989343.3</f>
        <v>45989343.299999997</v>
      </c>
      <c r="M41" s="23">
        <f>11135744.41</f>
        <v>11135744.41</v>
      </c>
      <c r="N41" s="23">
        <f>1196578.81</f>
        <v>1196578.81</v>
      </c>
      <c r="O41" s="23">
        <f>0</f>
        <v>0</v>
      </c>
      <c r="P41" s="23">
        <f>0</f>
        <v>0</v>
      </c>
      <c r="Q41" s="23">
        <f>0</f>
        <v>0</v>
      </c>
    </row>
    <row r="42" spans="1:17" ht="25.5" customHeight="1" x14ac:dyDescent="0.2">
      <c r="A42" s="18" t="s">
        <v>31</v>
      </c>
      <c r="B42" s="24">
        <f>29800875.87</f>
        <v>29800875.870000001</v>
      </c>
      <c r="C42" s="24">
        <f>29800875.87</f>
        <v>29800875.870000001</v>
      </c>
      <c r="D42" s="24">
        <f>25621458.98</f>
        <v>25621458.98</v>
      </c>
      <c r="E42" s="24">
        <f>0</f>
        <v>0</v>
      </c>
      <c r="F42" s="24">
        <f>0</f>
        <v>0</v>
      </c>
      <c r="G42" s="24">
        <f>25621458.98</f>
        <v>25621458.98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2829357.89</f>
        <v>2829357.89</v>
      </c>
      <c r="M42" s="24">
        <f>1350059</f>
        <v>1350059</v>
      </c>
      <c r="N42" s="24">
        <f>0</f>
        <v>0</v>
      </c>
      <c r="O42" s="24">
        <f>0</f>
        <v>0</v>
      </c>
      <c r="P42" s="24">
        <f>0</f>
        <v>0</v>
      </c>
      <c r="Q42" s="24">
        <f>0</f>
        <v>0</v>
      </c>
    </row>
    <row r="43" spans="1:17" ht="25.5" customHeight="1" x14ac:dyDescent="0.2">
      <c r="A43" s="18" t="s">
        <v>32</v>
      </c>
      <c r="B43" s="24">
        <f>183259723.5</f>
        <v>183259723.5</v>
      </c>
      <c r="C43" s="24">
        <f>183259723.5</f>
        <v>183259723.5</v>
      </c>
      <c r="D43" s="24">
        <f>129117473.87</f>
        <v>129117473.87</v>
      </c>
      <c r="E43" s="24">
        <f>33648.14</f>
        <v>33648.14</v>
      </c>
      <c r="F43" s="24">
        <f>2470.4</f>
        <v>2470.4</v>
      </c>
      <c r="G43" s="24">
        <f>129081355.33</f>
        <v>129081355.33</v>
      </c>
      <c r="H43" s="24">
        <f>0</f>
        <v>0</v>
      </c>
      <c r="I43" s="24">
        <f>0</f>
        <v>0</v>
      </c>
      <c r="J43" s="24">
        <f>0</f>
        <v>0</v>
      </c>
      <c r="K43" s="24">
        <f>0</f>
        <v>0</v>
      </c>
      <c r="L43" s="24">
        <f>43159985.41</f>
        <v>43159985.409999996</v>
      </c>
      <c r="M43" s="24">
        <f>9785685.41</f>
        <v>9785685.4100000001</v>
      </c>
      <c r="N43" s="24">
        <f>1196578.81</f>
        <v>1196578.81</v>
      </c>
      <c r="O43" s="24">
        <f>0</f>
        <v>0</v>
      </c>
      <c r="P43" s="24">
        <f>0</f>
        <v>0</v>
      </c>
      <c r="Q43" s="24">
        <f>0</f>
        <v>0</v>
      </c>
    </row>
    <row r="44" spans="1:17" ht="30" customHeight="1" x14ac:dyDescent="0.2">
      <c r="A44" s="25" t="s">
        <v>42</v>
      </c>
      <c r="B44" s="23">
        <f>7092880281.3</f>
        <v>7092880281.3000002</v>
      </c>
      <c r="C44" s="23">
        <f>7092880281.3</f>
        <v>7092880281.3000002</v>
      </c>
      <c r="D44" s="23">
        <f>97730.91</f>
        <v>97730.91</v>
      </c>
      <c r="E44" s="23">
        <f>5042.62</f>
        <v>5042.62</v>
      </c>
      <c r="F44" s="23">
        <f>2903</f>
        <v>2903</v>
      </c>
      <c r="G44" s="23">
        <f>89785.29</f>
        <v>89785.29</v>
      </c>
      <c r="H44" s="23">
        <f>0</f>
        <v>0</v>
      </c>
      <c r="I44" s="23">
        <f>3500747.12</f>
        <v>3500747.12</v>
      </c>
      <c r="J44" s="23">
        <f>7089099003.63</f>
        <v>7089099003.6300001</v>
      </c>
      <c r="K44" s="23">
        <f>40543.8</f>
        <v>40543.800000000003</v>
      </c>
      <c r="L44" s="23">
        <f>45972.72</f>
        <v>45972.72</v>
      </c>
      <c r="M44" s="23">
        <f>2000</f>
        <v>2000</v>
      </c>
      <c r="N44" s="23">
        <f>94283.12</f>
        <v>94283.12</v>
      </c>
      <c r="O44" s="23">
        <f>0</f>
        <v>0</v>
      </c>
      <c r="P44" s="23">
        <f>0</f>
        <v>0</v>
      </c>
      <c r="Q44" s="23">
        <f>0</f>
        <v>0</v>
      </c>
    </row>
    <row r="45" spans="1:17" ht="25.5" customHeight="1" x14ac:dyDescent="0.2">
      <c r="A45" s="18" t="s">
        <v>33</v>
      </c>
      <c r="B45" s="24">
        <f>67334.89</f>
        <v>67334.89</v>
      </c>
      <c r="C45" s="24">
        <f>67334.89</f>
        <v>67334.89</v>
      </c>
      <c r="D45" s="24">
        <f>67334.89</f>
        <v>67334.89</v>
      </c>
      <c r="E45" s="24">
        <f>0</f>
        <v>0</v>
      </c>
      <c r="F45" s="24">
        <f>0</f>
        <v>0</v>
      </c>
      <c r="G45" s="24">
        <f>67334.89</f>
        <v>67334.89</v>
      </c>
      <c r="H45" s="24">
        <f>0</f>
        <v>0</v>
      </c>
      <c r="I45" s="24">
        <f>0</f>
        <v>0</v>
      </c>
      <c r="J45" s="24">
        <f>0</f>
        <v>0</v>
      </c>
      <c r="K45" s="24">
        <f>0</f>
        <v>0</v>
      </c>
      <c r="L45" s="24">
        <f>0</f>
        <v>0</v>
      </c>
      <c r="M45" s="24">
        <f>0</f>
        <v>0</v>
      </c>
      <c r="N45" s="24">
        <f>0</f>
        <v>0</v>
      </c>
      <c r="O45" s="24">
        <f>0</f>
        <v>0</v>
      </c>
      <c r="P45" s="24">
        <f>0</f>
        <v>0</v>
      </c>
      <c r="Q45" s="24">
        <f>0</f>
        <v>0</v>
      </c>
    </row>
    <row r="46" spans="1:17" ht="25.5" customHeight="1" x14ac:dyDescent="0.2">
      <c r="A46" s="18" t="s">
        <v>34</v>
      </c>
      <c r="B46" s="24">
        <f>6869853681.65</f>
        <v>6869853681.6499996</v>
      </c>
      <c r="C46" s="24">
        <f>6869853681.65</f>
        <v>6869853681.6499996</v>
      </c>
      <c r="D46" s="24">
        <f>22288.62</f>
        <v>22288.62</v>
      </c>
      <c r="E46" s="24">
        <f>1013.09</f>
        <v>1013.09</v>
      </c>
      <c r="F46" s="24">
        <f>263</f>
        <v>263</v>
      </c>
      <c r="G46" s="24">
        <f>21012.53</f>
        <v>21012.53</v>
      </c>
      <c r="H46" s="24">
        <f>0</f>
        <v>0</v>
      </c>
      <c r="I46" s="24">
        <f>3500747.12</f>
        <v>3500747.12</v>
      </c>
      <c r="J46" s="24">
        <f>6866191906.89</f>
        <v>6866191906.8900003</v>
      </c>
      <c r="K46" s="24">
        <f>32028.8</f>
        <v>32028.799999999999</v>
      </c>
      <c r="L46" s="24">
        <f>12427.1</f>
        <v>12427.1</v>
      </c>
      <c r="M46" s="24">
        <f>0</f>
        <v>0</v>
      </c>
      <c r="N46" s="24">
        <f>94283.12</f>
        <v>94283.12</v>
      </c>
      <c r="O46" s="24">
        <f>0</f>
        <v>0</v>
      </c>
      <c r="P46" s="24">
        <f>0</f>
        <v>0</v>
      </c>
      <c r="Q46" s="24">
        <f>0</f>
        <v>0</v>
      </c>
    </row>
    <row r="47" spans="1:17" ht="25.5" customHeight="1" x14ac:dyDescent="0.2">
      <c r="A47" s="18" t="s">
        <v>35</v>
      </c>
      <c r="B47" s="24">
        <f>222959264.76</f>
        <v>222959264.75999999</v>
      </c>
      <c r="C47" s="24">
        <f>222959264.76</f>
        <v>222959264.75999999</v>
      </c>
      <c r="D47" s="24">
        <f>8107.4</f>
        <v>8107.4</v>
      </c>
      <c r="E47" s="24">
        <f>4029.53</f>
        <v>4029.53</v>
      </c>
      <c r="F47" s="24">
        <f>2640</f>
        <v>2640</v>
      </c>
      <c r="G47" s="24">
        <f>1437.87</f>
        <v>1437.87</v>
      </c>
      <c r="H47" s="24">
        <f>0</f>
        <v>0</v>
      </c>
      <c r="I47" s="24">
        <f>0</f>
        <v>0</v>
      </c>
      <c r="J47" s="24">
        <f>222907096.74</f>
        <v>222907096.74000001</v>
      </c>
      <c r="K47" s="24">
        <f>8515</f>
        <v>8515</v>
      </c>
      <c r="L47" s="24">
        <f>33545.62</f>
        <v>33545.620000000003</v>
      </c>
      <c r="M47" s="24">
        <f>2000</f>
        <v>2000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30" customHeight="1" x14ac:dyDescent="0.2">
      <c r="A48" s="25" t="s">
        <v>43</v>
      </c>
      <c r="B48" s="23">
        <f>866968231.52</f>
        <v>866968231.51999998</v>
      </c>
      <c r="C48" s="23">
        <f>866085329.99</f>
        <v>866085329.99000001</v>
      </c>
      <c r="D48" s="23">
        <f>34383924.46</f>
        <v>34383924.460000001</v>
      </c>
      <c r="E48" s="23">
        <f>10083758.76</f>
        <v>10083758.76</v>
      </c>
      <c r="F48" s="23">
        <f>1311817.07</f>
        <v>1311817.07</v>
      </c>
      <c r="G48" s="23">
        <f>22983914.19</f>
        <v>22983914.190000001</v>
      </c>
      <c r="H48" s="23">
        <f>4434.44</f>
        <v>4434.4399999999996</v>
      </c>
      <c r="I48" s="23">
        <f>0</f>
        <v>0</v>
      </c>
      <c r="J48" s="23">
        <f>3038071</f>
        <v>3038071</v>
      </c>
      <c r="K48" s="23">
        <f>185331.72</f>
        <v>185331.72</v>
      </c>
      <c r="L48" s="23">
        <f>231316624.63</f>
        <v>231316624.63</v>
      </c>
      <c r="M48" s="23">
        <f>592692217.77</f>
        <v>592692217.76999998</v>
      </c>
      <c r="N48" s="23">
        <f>4469160.41</f>
        <v>4469160.41</v>
      </c>
      <c r="O48" s="23">
        <f>882901.53</f>
        <v>882901.53</v>
      </c>
      <c r="P48" s="23">
        <f>301811.47</f>
        <v>301811.46999999997</v>
      </c>
      <c r="Q48" s="23">
        <f>581090.06</f>
        <v>581090.06000000006</v>
      </c>
    </row>
    <row r="49" spans="1:17" ht="25.5" customHeight="1" x14ac:dyDescent="0.2">
      <c r="A49" s="18" t="s">
        <v>36</v>
      </c>
      <c r="B49" s="24">
        <f>183615158.19</f>
        <v>183615158.19</v>
      </c>
      <c r="C49" s="24">
        <f>183582945.28</f>
        <v>183582945.28</v>
      </c>
      <c r="D49" s="24">
        <f>3142712.46</f>
        <v>3142712.46</v>
      </c>
      <c r="E49" s="24">
        <f>39212.94</f>
        <v>39212.94</v>
      </c>
      <c r="F49" s="24">
        <f>468593.41</f>
        <v>468593.41</v>
      </c>
      <c r="G49" s="24">
        <f>2633091.75</f>
        <v>2633091.75</v>
      </c>
      <c r="H49" s="24">
        <f>1814.36</f>
        <v>1814.36</v>
      </c>
      <c r="I49" s="24">
        <f>0</f>
        <v>0</v>
      </c>
      <c r="J49" s="24">
        <f>26775.48</f>
        <v>26775.48</v>
      </c>
      <c r="K49" s="24">
        <f>111955.77</f>
        <v>111955.77</v>
      </c>
      <c r="L49" s="24">
        <f>73568365.95</f>
        <v>73568365.950000003</v>
      </c>
      <c r="M49" s="24">
        <f>105508483.91</f>
        <v>105508483.91</v>
      </c>
      <c r="N49" s="24">
        <f>1224651.71</f>
        <v>1224651.71</v>
      </c>
      <c r="O49" s="24">
        <f>32212.91</f>
        <v>32212.91</v>
      </c>
      <c r="P49" s="24">
        <f>23046.91</f>
        <v>23046.91</v>
      </c>
      <c r="Q49" s="24">
        <f>9166</f>
        <v>9166</v>
      </c>
    </row>
    <row r="50" spans="1:17" ht="25.5" customHeight="1" x14ac:dyDescent="0.2">
      <c r="A50" s="18" t="s">
        <v>37</v>
      </c>
      <c r="B50" s="24">
        <f>683353073.33</f>
        <v>683353073.33000004</v>
      </c>
      <c r="C50" s="24">
        <f>682502384.71</f>
        <v>682502384.71000004</v>
      </c>
      <c r="D50" s="24">
        <f>31241212</f>
        <v>31241212</v>
      </c>
      <c r="E50" s="24">
        <f>10044545.82</f>
        <v>10044545.82</v>
      </c>
      <c r="F50" s="24">
        <f>843223.66</f>
        <v>843223.66</v>
      </c>
      <c r="G50" s="24">
        <f>20350822.44</f>
        <v>20350822.440000001</v>
      </c>
      <c r="H50" s="24">
        <f>2620.08</f>
        <v>2620.08</v>
      </c>
      <c r="I50" s="24">
        <f>0</f>
        <v>0</v>
      </c>
      <c r="J50" s="24">
        <f>3011295.52</f>
        <v>3011295.52</v>
      </c>
      <c r="K50" s="24">
        <f>73375.95</f>
        <v>73375.95</v>
      </c>
      <c r="L50" s="24">
        <f>157748258.68</f>
        <v>157748258.68000001</v>
      </c>
      <c r="M50" s="24">
        <f>487183733.86</f>
        <v>487183733.86000001</v>
      </c>
      <c r="N50" s="24">
        <f>3244508.7</f>
        <v>3244508.7</v>
      </c>
      <c r="O50" s="24">
        <f>850688.62</f>
        <v>850688.62</v>
      </c>
      <c r="P50" s="24">
        <f>278764.56</f>
        <v>278764.56</v>
      </c>
      <c r="Q50" s="24">
        <f>571924.06</f>
        <v>571924.06000000006</v>
      </c>
    </row>
    <row r="51" spans="1:17" ht="30" customHeight="1" x14ac:dyDescent="0.2">
      <c r="A51" s="25" t="s">
        <v>44</v>
      </c>
      <c r="B51" s="23">
        <f>762128473.4</f>
        <v>762128473.39999998</v>
      </c>
      <c r="C51" s="23">
        <f>762084564.89</f>
        <v>762084564.88999999</v>
      </c>
      <c r="D51" s="23">
        <f>200292499.53</f>
        <v>200292499.53</v>
      </c>
      <c r="E51" s="23">
        <f>20157249.59</f>
        <v>20157249.59</v>
      </c>
      <c r="F51" s="23">
        <f>5379039.35</f>
        <v>5379039.3499999996</v>
      </c>
      <c r="G51" s="23">
        <f>172858145.02</f>
        <v>172858145.02000001</v>
      </c>
      <c r="H51" s="23">
        <f>1898065.57</f>
        <v>1898065.57</v>
      </c>
      <c r="I51" s="23">
        <f>0</f>
        <v>0</v>
      </c>
      <c r="J51" s="23">
        <f>167345.14</f>
        <v>167345.14000000001</v>
      </c>
      <c r="K51" s="23">
        <f>9742158.37</f>
        <v>9742158.3699999992</v>
      </c>
      <c r="L51" s="23">
        <f>466467629.97</f>
        <v>466467629.97000003</v>
      </c>
      <c r="M51" s="23">
        <f>77893451.84</f>
        <v>77893451.840000004</v>
      </c>
      <c r="N51" s="23">
        <f>7521480.04</f>
        <v>7521480.04</v>
      </c>
      <c r="O51" s="23">
        <f>43908.51</f>
        <v>43908.51</v>
      </c>
      <c r="P51" s="23">
        <f>8509.41</f>
        <v>8509.41</v>
      </c>
      <c r="Q51" s="23">
        <f>35399.1</f>
        <v>35399.1</v>
      </c>
    </row>
    <row r="52" spans="1:17" ht="31.5" customHeight="1" x14ac:dyDescent="0.2">
      <c r="A52" s="18" t="s">
        <v>38</v>
      </c>
      <c r="B52" s="24">
        <f>51059839.45</f>
        <v>51059839.450000003</v>
      </c>
      <c r="C52" s="24">
        <f>51051703.6</f>
        <v>51051703.600000001</v>
      </c>
      <c r="D52" s="24">
        <f>17512770.63</f>
        <v>17512770.629999999</v>
      </c>
      <c r="E52" s="24">
        <f>385638.2</f>
        <v>385638.2</v>
      </c>
      <c r="F52" s="24">
        <f>255498.57</f>
        <v>255498.57</v>
      </c>
      <c r="G52" s="24">
        <f>15456457.39</f>
        <v>15456457.390000001</v>
      </c>
      <c r="H52" s="24">
        <f>1415176.47</f>
        <v>1415176.47</v>
      </c>
      <c r="I52" s="24">
        <f>0</f>
        <v>0</v>
      </c>
      <c r="J52" s="24">
        <f>97028.98</f>
        <v>97028.98</v>
      </c>
      <c r="K52" s="24">
        <f>377821.36</f>
        <v>377821.36</v>
      </c>
      <c r="L52" s="24">
        <f>19076194.09</f>
        <v>19076194.09</v>
      </c>
      <c r="M52" s="24">
        <f>13275758.88</f>
        <v>13275758.880000001</v>
      </c>
      <c r="N52" s="24">
        <f>712129.66</f>
        <v>712129.66</v>
      </c>
      <c r="O52" s="24">
        <f>8135.85</f>
        <v>8135.85</v>
      </c>
      <c r="P52" s="24">
        <f>8135.85</f>
        <v>8135.85</v>
      </c>
      <c r="Q52" s="24">
        <f>0</f>
        <v>0</v>
      </c>
    </row>
    <row r="53" spans="1:17" ht="35.25" customHeight="1" x14ac:dyDescent="0.2">
      <c r="A53" s="18" t="s">
        <v>80</v>
      </c>
      <c r="B53" s="24">
        <f>945332.46</f>
        <v>945332.46</v>
      </c>
      <c r="C53" s="24">
        <f>945332.46</f>
        <v>945332.46</v>
      </c>
      <c r="D53" s="24">
        <f>888735.72</f>
        <v>888735.72</v>
      </c>
      <c r="E53" s="24">
        <f>462802.36</f>
        <v>462802.36</v>
      </c>
      <c r="F53" s="24">
        <f>0</f>
        <v>0</v>
      </c>
      <c r="G53" s="24">
        <f>252171.95</f>
        <v>252171.95</v>
      </c>
      <c r="H53" s="24">
        <f>173761.41</f>
        <v>173761.41</v>
      </c>
      <c r="I53" s="24">
        <f>0</f>
        <v>0</v>
      </c>
      <c r="J53" s="24">
        <f>0</f>
        <v>0</v>
      </c>
      <c r="K53" s="24">
        <f>147.37</f>
        <v>147.37</v>
      </c>
      <c r="L53" s="24">
        <f>2822.06</f>
        <v>2822.06</v>
      </c>
      <c r="M53" s="24">
        <f>53408.64</f>
        <v>53408.639999999999</v>
      </c>
      <c r="N53" s="24">
        <f>218.67</f>
        <v>218.67</v>
      </c>
      <c r="O53" s="24">
        <f>0</f>
        <v>0</v>
      </c>
      <c r="P53" s="24">
        <f>0</f>
        <v>0</v>
      </c>
      <c r="Q53" s="24">
        <f>0</f>
        <v>0</v>
      </c>
    </row>
    <row r="54" spans="1:17" ht="31.5" customHeight="1" x14ac:dyDescent="0.2">
      <c r="A54" s="18" t="s">
        <v>39</v>
      </c>
      <c r="B54" s="24">
        <f>710123301.49</f>
        <v>710123301.49000001</v>
      </c>
      <c r="C54" s="24">
        <f>710087528.83</f>
        <v>710087528.83000004</v>
      </c>
      <c r="D54" s="24">
        <f>181890993.18</f>
        <v>181890993.18000001</v>
      </c>
      <c r="E54" s="24">
        <f>19308809.03</f>
        <v>19308809.030000001</v>
      </c>
      <c r="F54" s="24">
        <f>5123540.78</f>
        <v>5123540.78</v>
      </c>
      <c r="G54" s="24">
        <f>157149515.68</f>
        <v>157149515.68000001</v>
      </c>
      <c r="H54" s="24">
        <f>309127.69</f>
        <v>309127.69</v>
      </c>
      <c r="I54" s="24">
        <f>0</f>
        <v>0</v>
      </c>
      <c r="J54" s="24">
        <f>70316.16</f>
        <v>70316.160000000003</v>
      </c>
      <c r="K54" s="24">
        <f>9364189.64</f>
        <v>9364189.6400000006</v>
      </c>
      <c r="L54" s="24">
        <f>447388613.82</f>
        <v>447388613.81999999</v>
      </c>
      <c r="M54" s="24">
        <f>64564284.32</f>
        <v>64564284.32</v>
      </c>
      <c r="N54" s="24">
        <f>6809131.71</f>
        <v>6809131.71</v>
      </c>
      <c r="O54" s="24">
        <f>35772.66</f>
        <v>35772.660000000003</v>
      </c>
      <c r="P54" s="24">
        <f>373.56</f>
        <v>373.56</v>
      </c>
      <c r="Q54" s="24">
        <f>35399.1</f>
        <v>35399.1</v>
      </c>
    </row>
    <row r="63" spans="1:17" ht="66" customHeight="1" x14ac:dyDescent="0.2">
      <c r="A63" s="47" t="str">
        <f>CONCATENATE("Informacja z wykonania budżetów powiatów za   ",$C$90," ",$B$91," roku    ",$B$93,"")</f>
        <v xml:space="preserve">Informacja z wykonania budżetów powiatów za   IV Kwartały 2024 roku    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</row>
    <row r="64" spans="1:17" ht="13.5" customHeight="1" x14ac:dyDescent="0.2">
      <c r="B64" s="48" t="s">
        <v>2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</row>
    <row r="66" spans="2:12" ht="13.5" customHeight="1" x14ac:dyDescent="0.2">
      <c r="B66" s="76" t="s">
        <v>0</v>
      </c>
      <c r="C66" s="77"/>
      <c r="D66" s="77"/>
      <c r="E66" s="78"/>
      <c r="F66" s="56" t="s">
        <v>68</v>
      </c>
      <c r="G66" s="33" t="s">
        <v>74</v>
      </c>
      <c r="H66" s="60"/>
      <c r="I66" s="60"/>
      <c r="J66" s="60"/>
      <c r="K66" s="60"/>
      <c r="L66" s="61"/>
    </row>
    <row r="67" spans="2:12" ht="13.5" customHeight="1" x14ac:dyDescent="0.2">
      <c r="B67" s="79"/>
      <c r="C67" s="80"/>
      <c r="D67" s="80"/>
      <c r="E67" s="81"/>
      <c r="F67" s="57"/>
      <c r="G67" s="59" t="s">
        <v>69</v>
      </c>
      <c r="H67" s="32" t="s">
        <v>66</v>
      </c>
      <c r="I67" s="32" t="s">
        <v>67</v>
      </c>
      <c r="J67" s="32" t="s">
        <v>70</v>
      </c>
      <c r="K67" s="32" t="s">
        <v>71</v>
      </c>
      <c r="L67" s="36" t="s">
        <v>72</v>
      </c>
    </row>
    <row r="68" spans="2:12" ht="13.5" customHeight="1" x14ac:dyDescent="0.2">
      <c r="B68" s="79"/>
      <c r="C68" s="80"/>
      <c r="D68" s="80"/>
      <c r="E68" s="81"/>
      <c r="F68" s="57"/>
      <c r="G68" s="59"/>
      <c r="H68" s="32"/>
      <c r="I68" s="32"/>
      <c r="J68" s="32"/>
      <c r="K68" s="32"/>
      <c r="L68" s="36"/>
    </row>
    <row r="69" spans="2:12" ht="11.25" customHeight="1" x14ac:dyDescent="0.2">
      <c r="B69" s="79"/>
      <c r="C69" s="80"/>
      <c r="D69" s="80"/>
      <c r="E69" s="81"/>
      <c r="F69" s="57"/>
      <c r="G69" s="59"/>
      <c r="H69" s="32"/>
      <c r="I69" s="32"/>
      <c r="J69" s="32"/>
      <c r="K69" s="32"/>
      <c r="L69" s="36"/>
    </row>
    <row r="70" spans="2:12" ht="11.25" customHeight="1" x14ac:dyDescent="0.2">
      <c r="B70" s="82"/>
      <c r="C70" s="83"/>
      <c r="D70" s="83"/>
      <c r="E70" s="84"/>
      <c r="F70" s="58"/>
      <c r="G70" s="59"/>
      <c r="H70" s="32"/>
      <c r="I70" s="32"/>
      <c r="J70" s="32"/>
      <c r="K70" s="32"/>
      <c r="L70" s="36"/>
    </row>
    <row r="71" spans="2:12" ht="11.25" customHeight="1" x14ac:dyDescent="0.2">
      <c r="B71" s="32">
        <v>1</v>
      </c>
      <c r="C71" s="32"/>
      <c r="D71" s="32"/>
      <c r="E71" s="32"/>
      <c r="F71" s="3">
        <v>2</v>
      </c>
      <c r="G71" s="3">
        <v>3</v>
      </c>
      <c r="H71" s="3">
        <v>4</v>
      </c>
      <c r="I71" s="3">
        <v>5</v>
      </c>
      <c r="J71" s="3">
        <v>6</v>
      </c>
      <c r="K71" s="3">
        <v>7</v>
      </c>
      <c r="L71" s="3">
        <v>8</v>
      </c>
    </row>
    <row r="72" spans="2:12" ht="12.75" customHeight="1" x14ac:dyDescent="0.2">
      <c r="B72" s="32"/>
      <c r="C72" s="32"/>
      <c r="D72" s="32"/>
      <c r="E72" s="32"/>
      <c r="F72" s="33" t="s">
        <v>76</v>
      </c>
      <c r="G72" s="34"/>
      <c r="H72" s="34"/>
      <c r="I72" s="34"/>
      <c r="J72" s="34"/>
      <c r="K72" s="34"/>
      <c r="L72" s="35"/>
    </row>
    <row r="73" spans="2:12" ht="33.75" customHeight="1" x14ac:dyDescent="0.2">
      <c r="B73" s="53" t="s">
        <v>53</v>
      </c>
      <c r="C73" s="54"/>
      <c r="D73" s="54"/>
      <c r="E73" s="55"/>
      <c r="F73" s="26">
        <f>485788155.42</f>
        <v>485788155.42000002</v>
      </c>
      <c r="G73" s="26">
        <f>238349387.93</f>
        <v>238349387.93000001</v>
      </c>
      <c r="H73" s="26">
        <f>35725528.31</f>
        <v>35725528.310000002</v>
      </c>
      <c r="I73" s="26">
        <f>11627395.57</f>
        <v>11627395.57</v>
      </c>
      <c r="J73" s="26">
        <f>184452602.9</f>
        <v>184452602.90000001</v>
      </c>
      <c r="K73" s="26">
        <f>6543861.15</f>
        <v>6543861.1500000004</v>
      </c>
      <c r="L73" s="26">
        <f>247438767.49</f>
        <v>247438767.49000001</v>
      </c>
    </row>
    <row r="74" spans="2:12" ht="33.75" customHeight="1" x14ac:dyDescent="0.2">
      <c r="B74" s="53" t="s">
        <v>54</v>
      </c>
      <c r="C74" s="54"/>
      <c r="D74" s="54"/>
      <c r="E74" s="55"/>
      <c r="F74" s="26">
        <f>0</f>
        <v>0</v>
      </c>
      <c r="G74" s="26">
        <f>0</f>
        <v>0</v>
      </c>
      <c r="H74" s="26">
        <f>0</f>
        <v>0</v>
      </c>
      <c r="I74" s="26">
        <f>0</f>
        <v>0</v>
      </c>
      <c r="J74" s="26">
        <f>0</f>
        <v>0</v>
      </c>
      <c r="K74" s="26">
        <f>0</f>
        <v>0</v>
      </c>
      <c r="L74" s="26">
        <f>0</f>
        <v>0</v>
      </c>
    </row>
    <row r="75" spans="2:12" ht="33.75" customHeight="1" x14ac:dyDescent="0.2">
      <c r="B75" s="53" t="s">
        <v>55</v>
      </c>
      <c r="C75" s="54"/>
      <c r="D75" s="54"/>
      <c r="E75" s="55"/>
      <c r="F75" s="26">
        <f>37761533.98</f>
        <v>37761533.979999997</v>
      </c>
      <c r="G75" s="26">
        <f>13523841.18</f>
        <v>13523841.18</v>
      </c>
      <c r="H75" s="26">
        <f>0</f>
        <v>0</v>
      </c>
      <c r="I75" s="26">
        <f>0</f>
        <v>0</v>
      </c>
      <c r="J75" s="26">
        <f>13523841.18</f>
        <v>13523841.18</v>
      </c>
      <c r="K75" s="26">
        <f>0</f>
        <v>0</v>
      </c>
      <c r="L75" s="26">
        <f>24237692.8</f>
        <v>24237692.800000001</v>
      </c>
    </row>
    <row r="76" spans="2:12" ht="22.5" customHeight="1" x14ac:dyDescent="0.2">
      <c r="B76" s="53" t="s">
        <v>56</v>
      </c>
      <c r="C76" s="54"/>
      <c r="D76" s="54"/>
      <c r="E76" s="55"/>
      <c r="F76" s="26">
        <f>48876447.7</f>
        <v>48876447.700000003</v>
      </c>
      <c r="G76" s="26">
        <f>20389031.97</f>
        <v>20389031.969999999</v>
      </c>
      <c r="H76" s="26">
        <f>0</f>
        <v>0</v>
      </c>
      <c r="I76" s="26">
        <f>0</f>
        <v>0</v>
      </c>
      <c r="J76" s="26">
        <f>20389031.97</f>
        <v>20389031.969999999</v>
      </c>
      <c r="K76" s="26">
        <f>0</f>
        <v>0</v>
      </c>
      <c r="L76" s="26">
        <f>28487415.73</f>
        <v>28487415.73</v>
      </c>
    </row>
    <row r="77" spans="2:12" ht="33.75" customHeight="1" x14ac:dyDescent="0.2">
      <c r="B77" s="53" t="s">
        <v>57</v>
      </c>
      <c r="C77" s="54"/>
      <c r="D77" s="54"/>
      <c r="E77" s="55"/>
      <c r="F77" s="26">
        <f>12607230.78</f>
        <v>12607230.779999999</v>
      </c>
      <c r="G77" s="26">
        <f>12607230.78</f>
        <v>12607230.779999999</v>
      </c>
      <c r="H77" s="26">
        <f>0</f>
        <v>0</v>
      </c>
      <c r="I77" s="26">
        <f>0</f>
        <v>0</v>
      </c>
      <c r="J77" s="26">
        <f>12607230.78</f>
        <v>12607230.779999999</v>
      </c>
      <c r="K77" s="26">
        <f>0</f>
        <v>0</v>
      </c>
      <c r="L77" s="26">
        <f>0</f>
        <v>0</v>
      </c>
    </row>
    <row r="78" spans="2:12" ht="33.75" customHeight="1" x14ac:dyDescent="0.2">
      <c r="B78" s="53" t="s">
        <v>58</v>
      </c>
      <c r="C78" s="54"/>
      <c r="D78" s="54"/>
      <c r="E78" s="55"/>
      <c r="F78" s="26">
        <f>3752854.4</f>
        <v>3752854.4</v>
      </c>
      <c r="G78" s="26">
        <f>1300742.06</f>
        <v>1300742.06</v>
      </c>
      <c r="H78" s="26">
        <f>0</f>
        <v>0</v>
      </c>
      <c r="I78" s="26">
        <f>0</f>
        <v>0</v>
      </c>
      <c r="J78" s="26">
        <f>1300742.06</f>
        <v>1300742.06</v>
      </c>
      <c r="K78" s="26">
        <f>0</f>
        <v>0</v>
      </c>
      <c r="L78" s="26">
        <f>2452112.34</f>
        <v>2452112.34</v>
      </c>
    </row>
    <row r="79" spans="2:12" ht="22.5" customHeight="1" x14ac:dyDescent="0.2">
      <c r="B79" s="53" t="s">
        <v>59</v>
      </c>
      <c r="C79" s="54"/>
      <c r="D79" s="54"/>
      <c r="E79" s="55"/>
      <c r="F79" s="26">
        <f>1208758.34</f>
        <v>1208758.3400000001</v>
      </c>
      <c r="G79" s="26">
        <f>1208758.34</f>
        <v>1208758.3400000001</v>
      </c>
      <c r="H79" s="26">
        <f>0</f>
        <v>0</v>
      </c>
      <c r="I79" s="26">
        <f>0</f>
        <v>0</v>
      </c>
      <c r="J79" s="26">
        <f>1208758.34</f>
        <v>1208758.3400000001</v>
      </c>
      <c r="K79" s="26">
        <f>0</f>
        <v>0</v>
      </c>
      <c r="L79" s="26">
        <f>0</f>
        <v>0</v>
      </c>
    </row>
    <row r="82" spans="1:13" ht="75" customHeight="1" x14ac:dyDescent="0.2">
      <c r="A82" s="47" t="str">
        <f>CONCATENATE("Informacja z wykonania budżetów powiatów za   ",$C$90," ",$B$91," roku    ",$B$93,"")</f>
        <v xml:space="preserve">Informacja z wykonania budżetów powiatów za   IV Kwartały 2024 roku    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</row>
    <row r="83" spans="1:13" ht="13.5" customHeight="1" x14ac:dyDescent="0.2">
      <c r="B83" s="4"/>
    </row>
    <row r="84" spans="1:13" ht="13.5" customHeight="1" x14ac:dyDescent="0.2">
      <c r="B84" s="5"/>
      <c r="C84" s="33"/>
      <c r="D84" s="60"/>
      <c r="E84" s="60"/>
      <c r="F84" s="61"/>
      <c r="G84" s="33" t="s">
        <v>3</v>
      </c>
      <c r="H84" s="61"/>
      <c r="I84" s="33" t="s">
        <v>4</v>
      </c>
      <c r="J84" s="61"/>
      <c r="K84" s="5"/>
    </row>
    <row r="85" spans="1:13" ht="13.5" customHeight="1" x14ac:dyDescent="0.2">
      <c r="B85" s="6"/>
      <c r="C85" s="66" t="s">
        <v>5</v>
      </c>
      <c r="D85" s="67"/>
      <c r="E85" s="67"/>
      <c r="F85" s="68"/>
      <c r="G85" s="62">
        <f>197</f>
        <v>197</v>
      </c>
      <c r="H85" s="63"/>
      <c r="I85" s="64">
        <f>1511076713.71</f>
        <v>1511076713.71</v>
      </c>
      <c r="J85" s="65"/>
      <c r="K85" s="7"/>
    </row>
    <row r="86" spans="1:13" ht="13.5" customHeight="1" x14ac:dyDescent="0.2">
      <c r="B86" s="6"/>
      <c r="C86" s="69" t="s">
        <v>6</v>
      </c>
      <c r="D86" s="70"/>
      <c r="E86" s="70"/>
      <c r="F86" s="71"/>
      <c r="G86" s="72">
        <f>117</f>
        <v>117</v>
      </c>
      <c r="H86" s="73"/>
      <c r="I86" s="74">
        <f>-839719946.56</f>
        <v>-839719946.55999994</v>
      </c>
      <c r="J86" s="75"/>
      <c r="K86" s="7"/>
    </row>
    <row r="87" spans="1:13" ht="13.5" customHeight="1" x14ac:dyDescent="0.2">
      <c r="B87" s="6"/>
      <c r="C87" s="66" t="s">
        <v>7</v>
      </c>
      <c r="D87" s="67"/>
      <c r="E87" s="67"/>
      <c r="F87" s="68"/>
      <c r="G87" s="62">
        <f>0</f>
        <v>0</v>
      </c>
      <c r="H87" s="63"/>
      <c r="I87" s="64">
        <f>0</f>
        <v>0</v>
      </c>
      <c r="J87" s="65"/>
      <c r="K87" s="7"/>
    </row>
    <row r="90" spans="1:13" ht="13.5" customHeight="1" x14ac:dyDescent="0.2">
      <c r="A90" s="8" t="s">
        <v>8</v>
      </c>
      <c r="B90" s="8">
        <f>4</f>
        <v>4</v>
      </c>
      <c r="C90" s="8" t="str">
        <f>IF(B90=1,"I Kwartał",IF(B90=2,"II Kwartały",IF(B90=3,"III Kwartały",IF(B90=4,"IV Kwartały","-"))))</f>
        <v>IV Kwartały</v>
      </c>
    </row>
    <row r="91" spans="1:13" ht="13.5" customHeight="1" x14ac:dyDescent="0.2">
      <c r="A91" s="8" t="s">
        <v>9</v>
      </c>
      <c r="B91" s="8">
        <f>2024</f>
        <v>2024</v>
      </c>
      <c r="C91" s="9"/>
    </row>
    <row r="92" spans="1:13" ht="13.5" customHeight="1" x14ac:dyDescent="0.2">
      <c r="A92" s="8" t="s">
        <v>10</v>
      </c>
      <c r="B92" s="10" t="str">
        <f>"Mar 18 2025 12:00AM"</f>
        <v>Mar 18 2025 12:00AM</v>
      </c>
      <c r="C92" s="9"/>
    </row>
    <row r="93" spans="1:13" ht="13.5" customHeight="1" x14ac:dyDescent="0.2">
      <c r="A93" s="14" t="s">
        <v>75</v>
      </c>
      <c r="B93" s="10" t="str">
        <f>""</f>
        <v/>
      </c>
    </row>
  </sheetData>
  <mergeCells count="79">
    <mergeCell ref="O6:Q6"/>
    <mergeCell ref="O7:O10"/>
    <mergeCell ref="A63:M63"/>
    <mergeCell ref="L32:L35"/>
    <mergeCell ref="P32:P35"/>
    <mergeCell ref="Q32:Q35"/>
    <mergeCell ref="N32:N35"/>
    <mergeCell ref="O32:O35"/>
    <mergeCell ref="D32:D35"/>
    <mergeCell ref="H7:H10"/>
    <mergeCell ref="B78:E78"/>
    <mergeCell ref="I85:J85"/>
    <mergeCell ref="B64:M64"/>
    <mergeCell ref="I84:J84"/>
    <mergeCell ref="B72:E72"/>
    <mergeCell ref="B66:E70"/>
    <mergeCell ref="B79:E79"/>
    <mergeCell ref="A82:M82"/>
    <mergeCell ref="B75:E75"/>
    <mergeCell ref="B76:E76"/>
    <mergeCell ref="G87:H87"/>
    <mergeCell ref="I87:J87"/>
    <mergeCell ref="C84:F84"/>
    <mergeCell ref="C85:F85"/>
    <mergeCell ref="C86:F86"/>
    <mergeCell ref="C87:F87"/>
    <mergeCell ref="G85:H85"/>
    <mergeCell ref="G84:H84"/>
    <mergeCell ref="G86:H86"/>
    <mergeCell ref="I86:J86"/>
    <mergeCell ref="B77:E77"/>
    <mergeCell ref="B74:E74"/>
    <mergeCell ref="M32:M35"/>
    <mergeCell ref="B73:E73"/>
    <mergeCell ref="F66:F70"/>
    <mergeCell ref="G67:G70"/>
    <mergeCell ref="G66:L66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Q7:Q10"/>
    <mergeCell ref="C31:N31"/>
    <mergeCell ref="L7:L10"/>
    <mergeCell ref="M7:M10"/>
    <mergeCell ref="N7:N10"/>
    <mergeCell ref="P7:P10"/>
    <mergeCell ref="A27:M27"/>
    <mergeCell ref="O31:Q31"/>
    <mergeCell ref="A29:M29"/>
    <mergeCell ref="G7:G10"/>
    <mergeCell ref="F7:F10"/>
    <mergeCell ref="I7:I10"/>
    <mergeCell ref="J7:J10"/>
    <mergeCell ref="A31:A35"/>
    <mergeCell ref="C32:C35"/>
    <mergeCell ref="E32:E35"/>
    <mergeCell ref="B31:B35"/>
    <mergeCell ref="K67:K70"/>
    <mergeCell ref="H67:H70"/>
    <mergeCell ref="I67:I70"/>
    <mergeCell ref="J67:J70"/>
    <mergeCell ref="B12:Q12"/>
    <mergeCell ref="B37:Q37"/>
    <mergeCell ref="B71:E71"/>
    <mergeCell ref="F72:L72"/>
    <mergeCell ref="L67:L70"/>
    <mergeCell ref="F32:F35"/>
    <mergeCell ref="G32:G35"/>
    <mergeCell ref="H32:H35"/>
    <mergeCell ref="K32:K35"/>
    <mergeCell ref="I32:I35"/>
    <mergeCell ref="J32:J35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6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2009-11-20T13:10:55Z</cp:lastPrinted>
  <dcterms:created xsi:type="dcterms:W3CDTF">2001-05-17T08:58:03Z</dcterms:created>
  <dcterms:modified xsi:type="dcterms:W3CDTF">2025-03-28T13:57:10Z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2025-03-28T14:57:09.3642114+01:00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GRN-cda91641-b0df-401a-be20-0e6447a7920a</vt:lpwstr>
  </property>
  <property fmtid="{D5CDD505-2E9C-101B-9397-08002B2CF9AE}" pid="7" name="MFHash">
    <vt:lpwstr>bRZ/xIFVN3hJu0UcMAjHfokli8ZJG8KM5ATRMG+3ZNc=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