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F4FB528C-78BD-4000-9AAD-F740369C06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96" i="7" l="1"/>
  <c r="A34" i="7"/>
  <c r="A77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<sst xmlns="http://schemas.openxmlformats.org/spreadsheetml/2006/main" count="97" uniqueCount="81">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</sst>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 Kwartał 2025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41802275595.07</f>
        <v>41802275595.07</v>
      </c>
      <c r="C13" s="28">
        <f>41802273641.67</f>
        <v>41802273641.669998</v>
      </c>
      <c r="D13" s="28">
        <f>2567035979.9</f>
        <v>2567035979.9000001</v>
      </c>
      <c r="E13" s="28">
        <f>389280777.84</f>
        <v>389280777.83999997</v>
      </c>
      <c r="F13" s="28">
        <f>486303999.05</f>
        <v>486303999.05000001</v>
      </c>
      <c r="G13" s="28">
        <f>1689502608.03</f>
        <v>1689502608.03</v>
      </c>
      <c r="H13" s="28">
        <f>1948594.98</f>
        <v>1948594.98</v>
      </c>
      <c r="I13" s="28">
        <f>0</f>
        <v>0</v>
      </c>
      <c r="J13" s="28">
        <f>37147637290.88</f>
        <v>37147637290.879997</v>
      </c>
      <c r="K13" s="28">
        <f>1849540352.59</f>
        <v>1849540352.5899999</v>
      </c>
      <c r="L13" s="28">
        <f>216253388.23</f>
        <v>216253388.22999999</v>
      </c>
      <c r="M13" s="28">
        <f>9386013</f>
        <v>9386013</v>
      </c>
      <c r="N13" s="28">
        <f>12420617.07</f>
        <v>12420617.07</v>
      </c>
      <c r="O13" s="28">
        <f>1953.4</f>
        <v>1953.4</v>
      </c>
      <c r="P13" s="28">
        <f>0</f>
        <v>0</v>
      </c>
      <c r="Q13" s="28">
        <f>1953.4</f>
        <v>1953.4</v>
      </c>
    </row>
    <row r="14" spans="1:17" ht="26.25" customHeight="1" x14ac:dyDescent="0.2">
      <c r="A14" s="29" t="s">
        <v>47</v>
      </c>
      <c r="B14" s="28">
        <f>1241796445.15</f>
        <v>1241796445.1500001</v>
      </c>
      <c r="C14" s="28">
        <f>1241796445.15</f>
        <v>1241796445.1500001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1187846445.15</f>
        <v>1187846445.1500001</v>
      </c>
      <c r="K14" s="28">
        <f>53950000</f>
        <v>53950000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2148778.41</f>
        <v>2148778.41</v>
      </c>
      <c r="C15" s="33">
        <f>2148778.41</f>
        <v>2148778.41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2148778.41</f>
        <v>2148778.41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1239647666.74</f>
        <v>1239647666.74</v>
      </c>
      <c r="C16" s="33">
        <f>1239647666.74</f>
        <v>1239647666.74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1185697666.74</f>
        <v>1185697666.74</v>
      </c>
      <c r="K16" s="33">
        <f>53950000</f>
        <v>53950000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40514735038.71</f>
        <v>40514735038.709999</v>
      </c>
      <c r="C17" s="28">
        <f>40514735038.71</f>
        <v>40514735038.709999</v>
      </c>
      <c r="D17" s="28">
        <f>2556780742.86</f>
        <v>2556780742.8600001</v>
      </c>
      <c r="E17" s="28">
        <f>389121252.45</f>
        <v>389121252.44999999</v>
      </c>
      <c r="F17" s="28">
        <f>486261899.92</f>
        <v>486261899.92000002</v>
      </c>
      <c r="G17" s="28">
        <f>1681397590.49</f>
        <v>1681397590.49</v>
      </c>
      <c r="H17" s="28">
        <f>0</f>
        <v>0</v>
      </c>
      <c r="I17" s="28">
        <f>0</f>
        <v>0</v>
      </c>
      <c r="J17" s="28">
        <f>35959790845.73</f>
        <v>35959790845.730003</v>
      </c>
      <c r="K17" s="28">
        <f>1795587533.59</f>
        <v>1795587533.5899999</v>
      </c>
      <c r="L17" s="28">
        <f>188403810.63</f>
        <v>188403810.63</v>
      </c>
      <c r="M17" s="28">
        <f>3298335.89</f>
        <v>3298335.89</v>
      </c>
      <c r="N17" s="28">
        <f>10873770.01</f>
        <v>10873770.01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377384733.85</f>
        <v>377384733.85000002</v>
      </c>
      <c r="C18" s="33">
        <f>377384733.85</f>
        <v>377384733.85000002</v>
      </c>
      <c r="D18" s="33">
        <f>70081570.21</f>
        <v>70081570.209999993</v>
      </c>
      <c r="E18" s="33">
        <f>60082107.11</f>
        <v>60082107.109999999</v>
      </c>
      <c r="F18" s="33">
        <f>3945505</f>
        <v>3945505</v>
      </c>
      <c r="G18" s="33">
        <f>6053958.1</f>
        <v>6053958.0999999996</v>
      </c>
      <c r="H18" s="33">
        <f>0</f>
        <v>0</v>
      </c>
      <c r="I18" s="33">
        <f>0</f>
        <v>0</v>
      </c>
      <c r="J18" s="33">
        <f>305829682.67</f>
        <v>305829682.67000002</v>
      </c>
      <c r="K18" s="33">
        <f>245000</f>
        <v>245000</v>
      </c>
      <c r="L18" s="33">
        <f>8480.97</f>
        <v>8480.9699999999993</v>
      </c>
      <c r="M18" s="33">
        <f>20000</f>
        <v>20000</v>
      </c>
      <c r="N18" s="33">
        <f>1200000</f>
        <v>1200000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40137350304.86</f>
        <v>40137350304.860001</v>
      </c>
      <c r="C19" s="33">
        <f>40137350304.86</f>
        <v>40137350304.860001</v>
      </c>
      <c r="D19" s="33">
        <f>2486699172.65</f>
        <v>2486699172.6500001</v>
      </c>
      <c r="E19" s="33">
        <f>329039145.34</f>
        <v>329039145.33999997</v>
      </c>
      <c r="F19" s="33">
        <f>482316394.92</f>
        <v>482316394.92000002</v>
      </c>
      <c r="G19" s="33">
        <f>1675343632.39</f>
        <v>1675343632.3900001</v>
      </c>
      <c r="H19" s="33">
        <f>0</f>
        <v>0</v>
      </c>
      <c r="I19" s="33">
        <f>0</f>
        <v>0</v>
      </c>
      <c r="J19" s="33">
        <f>35653961163.06</f>
        <v>35653961163.059998</v>
      </c>
      <c r="K19" s="33">
        <f>1795342533.59</f>
        <v>1795342533.5899999</v>
      </c>
      <c r="L19" s="33">
        <f>188395329.66</f>
        <v>188395329.66</v>
      </c>
      <c r="M19" s="33">
        <f>3278335.89</f>
        <v>3278335.89</v>
      </c>
      <c r="N19" s="33">
        <f>9673770.01</f>
        <v>9673770.0099999998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0</f>
        <v>0</v>
      </c>
      <c r="C20" s="28">
        <f>0</f>
        <v>0</v>
      </c>
      <c r="D20" s="28">
        <f>0</f>
        <v>0</v>
      </c>
      <c r="E20" s="28">
        <f>0</f>
        <v>0</v>
      </c>
      <c r="F20" s="28">
        <f>0</f>
        <v>0</v>
      </c>
      <c r="G20" s="28">
        <f>0</f>
        <v>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45744111.21</f>
        <v>45744111.210000001</v>
      </c>
      <c r="C21" s="28">
        <f>45742157.81</f>
        <v>45742157.810000002</v>
      </c>
      <c r="D21" s="28">
        <f>10255237.04</f>
        <v>10255237.039999999</v>
      </c>
      <c r="E21" s="28">
        <f>159525.39</f>
        <v>159525.39000000001</v>
      </c>
      <c r="F21" s="28">
        <f>42099.13</f>
        <v>42099.13</v>
      </c>
      <c r="G21" s="28">
        <f>8105017.54</f>
        <v>8105017.54</v>
      </c>
      <c r="H21" s="28">
        <f>1948594.98</f>
        <v>1948594.98</v>
      </c>
      <c r="I21" s="28">
        <f>0</f>
        <v>0</v>
      </c>
      <c r="J21" s="28">
        <f>0</f>
        <v>0</v>
      </c>
      <c r="K21" s="28">
        <f>2819</f>
        <v>2819</v>
      </c>
      <c r="L21" s="28">
        <f>27849577.6</f>
        <v>27849577.600000001</v>
      </c>
      <c r="M21" s="28">
        <f>6087677.11</f>
        <v>6087677.1100000003</v>
      </c>
      <c r="N21" s="28">
        <f>1546847.06</f>
        <v>1546847.06</v>
      </c>
      <c r="O21" s="28">
        <f>1953.4</f>
        <v>1953.4</v>
      </c>
      <c r="P21" s="28">
        <f>0</f>
        <v>0</v>
      </c>
      <c r="Q21" s="28">
        <f>1953.4</f>
        <v>1953.4</v>
      </c>
    </row>
    <row r="22" spans="1:17" ht="27" customHeight="1" x14ac:dyDescent="0.2">
      <c r="A22" s="19" t="s">
        <v>55</v>
      </c>
      <c r="B22" s="33">
        <f>27730285.43</f>
        <v>27730285.43</v>
      </c>
      <c r="C22" s="33">
        <f>27730285.43</f>
        <v>27730285.43</v>
      </c>
      <c r="D22" s="33">
        <f>1893858.99</f>
        <v>1893858.99</v>
      </c>
      <c r="E22" s="33">
        <f>1560.95</f>
        <v>1560.95</v>
      </c>
      <c r="F22" s="33">
        <f>0</f>
        <v>0</v>
      </c>
      <c r="G22" s="33">
        <f>1892298.04</f>
        <v>1892298.04</v>
      </c>
      <c r="H22" s="33">
        <f>0</f>
        <v>0</v>
      </c>
      <c r="I22" s="33">
        <f>0</f>
        <v>0</v>
      </c>
      <c r="J22" s="33">
        <f>0</f>
        <v>0</v>
      </c>
      <c r="K22" s="33">
        <f>474</f>
        <v>474</v>
      </c>
      <c r="L22" s="33">
        <f>20875151.5</f>
        <v>20875151.5</v>
      </c>
      <c r="M22" s="33">
        <f>3511045.56</f>
        <v>3511045.56</v>
      </c>
      <c r="N22" s="33">
        <f>1449755.38</f>
        <v>1449755.38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18013825.78</f>
        <v>18013825.780000001</v>
      </c>
      <c r="C23" s="33">
        <f>18011872.38</f>
        <v>18011872.379999999</v>
      </c>
      <c r="D23" s="33">
        <f>8361378.05</f>
        <v>8361378.0499999998</v>
      </c>
      <c r="E23" s="33">
        <f>157964.44</f>
        <v>157964.44</v>
      </c>
      <c r="F23" s="33">
        <f>42099.13</f>
        <v>42099.13</v>
      </c>
      <c r="G23" s="33">
        <f>6212719.5</f>
        <v>6212719.5</v>
      </c>
      <c r="H23" s="33">
        <f>1948594.98</f>
        <v>1948594.98</v>
      </c>
      <c r="I23" s="33">
        <f>0</f>
        <v>0</v>
      </c>
      <c r="J23" s="33">
        <f>0</f>
        <v>0</v>
      </c>
      <c r="K23" s="33">
        <f>2345</f>
        <v>2345</v>
      </c>
      <c r="L23" s="33">
        <f>6974426.1</f>
        <v>6974426.0999999996</v>
      </c>
      <c r="M23" s="33">
        <f>2576631.55</f>
        <v>2576631.5499999998</v>
      </c>
      <c r="N23" s="33">
        <f>97091.68</f>
        <v>97091.68</v>
      </c>
      <c r="O23" s="33">
        <f>1953.4</f>
        <v>1953.4</v>
      </c>
      <c r="P23" s="33">
        <f>0</f>
        <v>0</v>
      </c>
      <c r="Q23" s="33">
        <f>1953.4</f>
        <v>1953.4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 Kwartał 2025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157865566.66</f>
        <v>157865566.66</v>
      </c>
      <c r="C44" s="35">
        <f>157865566.66</f>
        <v>157865566.66</v>
      </c>
      <c r="D44" s="35">
        <f>0</f>
        <v>0</v>
      </c>
      <c r="E44" s="35">
        <f>0</f>
        <v>0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157730566.66</f>
        <v>157730566.66</v>
      </c>
      <c r="K44" s="35">
        <f>0</f>
        <v>0</v>
      </c>
      <c r="L44" s="35">
        <f>135000</f>
        <v>135000</v>
      </c>
      <c r="M44" s="35">
        <f>0</f>
        <v>0</v>
      </c>
      <c r="N44" s="35">
        <f>0</f>
        <v>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0</f>
        <v>0</v>
      </c>
      <c r="C45" s="26">
        <f>0</f>
        <v>0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0</f>
        <v>0</v>
      </c>
      <c r="K45" s="26">
        <f>0</f>
        <v>0</v>
      </c>
      <c r="L45" s="26">
        <f>0</f>
        <v>0</v>
      </c>
      <c r="M45" s="26">
        <f>0</f>
        <v>0</v>
      </c>
      <c r="N45" s="26">
        <f>0</f>
        <v>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157865566.66</f>
        <v>157865566.66</v>
      </c>
      <c r="C46" s="26">
        <f>157865566.66</f>
        <v>157865566.66</v>
      </c>
      <c r="D46" s="26">
        <f>0</f>
        <v>0</v>
      </c>
      <c r="E46" s="26">
        <f>0</f>
        <v>0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157730566.66</f>
        <v>157730566.66</v>
      </c>
      <c r="K46" s="26">
        <f>0</f>
        <v>0</v>
      </c>
      <c r="L46" s="26">
        <f>135000</f>
        <v>135000</v>
      </c>
      <c r="M46" s="26">
        <f>0</f>
        <v>0</v>
      </c>
      <c r="N46" s="26">
        <f>0</f>
        <v>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491318136.13</f>
        <v>491318136.13</v>
      </c>
      <c r="C47" s="26">
        <f>491304459.91</f>
        <v>491304459.91000003</v>
      </c>
      <c r="D47" s="26">
        <f>30185918.16</f>
        <v>30185918.16</v>
      </c>
      <c r="E47" s="26">
        <f>43537.64</f>
        <v>43537.64</v>
      </c>
      <c r="F47" s="26">
        <f>523864</f>
        <v>523864</v>
      </c>
      <c r="G47" s="26">
        <f>25315932.52</f>
        <v>25315932.52</v>
      </c>
      <c r="H47" s="26">
        <f>4302584</f>
        <v>4302584</v>
      </c>
      <c r="I47" s="26">
        <f>0</f>
        <v>0</v>
      </c>
      <c r="J47" s="26">
        <f>3589247.92</f>
        <v>3589247.92</v>
      </c>
      <c r="K47" s="26">
        <f>0</f>
        <v>0</v>
      </c>
      <c r="L47" s="26">
        <f>201957799.57</f>
        <v>201957799.56999999</v>
      </c>
      <c r="M47" s="26">
        <f>232754886.47</f>
        <v>232754886.47</v>
      </c>
      <c r="N47" s="26">
        <f>22816607.79</f>
        <v>22816607.789999999</v>
      </c>
      <c r="O47" s="15">
        <f>13676.22</f>
        <v>13676.22</v>
      </c>
      <c r="P47" s="15">
        <f>13676.22</f>
        <v>13676.22</v>
      </c>
      <c r="Q47" s="15">
        <f>0</f>
        <v>0</v>
      </c>
    </row>
    <row r="48" spans="1:17" ht="24.75" customHeight="1" x14ac:dyDescent="0.2">
      <c r="A48" s="23" t="s">
        <v>31</v>
      </c>
      <c r="B48" s="26">
        <f>51932532.17</f>
        <v>51932532.170000002</v>
      </c>
      <c r="C48" s="26">
        <f>51932532.17</f>
        <v>51932532.170000002</v>
      </c>
      <c r="D48" s="26">
        <f>11610954.39</f>
        <v>11610954.390000001</v>
      </c>
      <c r="E48" s="26">
        <f>104</f>
        <v>104</v>
      </c>
      <c r="F48" s="26">
        <f>500000</f>
        <v>500000</v>
      </c>
      <c r="G48" s="26">
        <f>6810850.39</f>
        <v>6810850.3899999997</v>
      </c>
      <c r="H48" s="26">
        <f>4300000</f>
        <v>4300000</v>
      </c>
      <c r="I48" s="26">
        <f>0</f>
        <v>0</v>
      </c>
      <c r="J48" s="26">
        <f>3449690.06</f>
        <v>3449690.06</v>
      </c>
      <c r="K48" s="26">
        <f>0</f>
        <v>0</v>
      </c>
      <c r="L48" s="26">
        <f>26491122.76</f>
        <v>26491122.760000002</v>
      </c>
      <c r="M48" s="26">
        <f>2520984.45</f>
        <v>2520984.4500000002</v>
      </c>
      <c r="N48" s="26">
        <f>7859780.51</f>
        <v>7859780.5099999998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439385603.96</f>
        <v>439385603.95999998</v>
      </c>
      <c r="C49" s="26">
        <f>439371927.74</f>
        <v>439371927.74000001</v>
      </c>
      <c r="D49" s="26">
        <f>18574963.77</f>
        <v>18574963.77</v>
      </c>
      <c r="E49" s="26">
        <f>43433.64</f>
        <v>43433.64</v>
      </c>
      <c r="F49" s="26">
        <f>23864</f>
        <v>23864</v>
      </c>
      <c r="G49" s="26">
        <f>18505082.13</f>
        <v>18505082.129999999</v>
      </c>
      <c r="H49" s="26">
        <f>2584</f>
        <v>2584</v>
      </c>
      <c r="I49" s="26">
        <f>0</f>
        <v>0</v>
      </c>
      <c r="J49" s="26">
        <f>139557.86</f>
        <v>139557.85999999999</v>
      </c>
      <c r="K49" s="26">
        <f>0</f>
        <v>0</v>
      </c>
      <c r="L49" s="26">
        <f>175466676.81</f>
        <v>175466676.81</v>
      </c>
      <c r="M49" s="26">
        <f>230233902.02</f>
        <v>230233902.02000001</v>
      </c>
      <c r="N49" s="26">
        <f>14956827.28</f>
        <v>14956827.279999999</v>
      </c>
      <c r="O49" s="15">
        <f>13676.22</f>
        <v>13676.22</v>
      </c>
      <c r="P49" s="15">
        <f>13676.22</f>
        <v>13676.22</v>
      </c>
      <c r="Q49" s="15">
        <f>0</f>
        <v>0</v>
      </c>
    </row>
    <row r="50" spans="1:17" ht="24.75" customHeight="1" x14ac:dyDescent="0.2">
      <c r="A50" s="34" t="s">
        <v>43</v>
      </c>
      <c r="B50" s="35">
        <f>38970009154.31</f>
        <v>38970009154.309998</v>
      </c>
      <c r="C50" s="35">
        <f>38970009154.31</f>
        <v>38970009154.309998</v>
      </c>
      <c r="D50" s="35">
        <f>8870488.81</f>
        <v>8870488.8100000005</v>
      </c>
      <c r="E50" s="35">
        <f>401603.77</f>
        <v>401603.77</v>
      </c>
      <c r="F50" s="35">
        <f>6204.96</f>
        <v>6204.96</v>
      </c>
      <c r="G50" s="35">
        <f>8462680.08</f>
        <v>8462680.0800000001</v>
      </c>
      <c r="H50" s="35">
        <f>0</f>
        <v>0</v>
      </c>
      <c r="I50" s="35">
        <f>0</f>
        <v>0</v>
      </c>
      <c r="J50" s="35">
        <f>38948404891.47</f>
        <v>38948404891.470001</v>
      </c>
      <c r="K50" s="35">
        <f>12260507.92</f>
        <v>12260507.92</v>
      </c>
      <c r="L50" s="35">
        <f>309646.35</f>
        <v>309646.34999999998</v>
      </c>
      <c r="M50" s="35">
        <f>163619.76</f>
        <v>163619.76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8390729.88</f>
        <v>8390729.8800000008</v>
      </c>
      <c r="C51" s="26">
        <f>8390729.88</f>
        <v>8390729.8800000008</v>
      </c>
      <c r="D51" s="26">
        <f>8390729.88</f>
        <v>8390729.8800000008</v>
      </c>
      <c r="E51" s="26">
        <f>0</f>
        <v>0</v>
      </c>
      <c r="F51" s="26">
        <f>0</f>
        <v>0</v>
      </c>
      <c r="G51" s="26">
        <f>8390729.88</f>
        <v>8390729.8800000008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28072229469.16</f>
        <v>28072229469.16</v>
      </c>
      <c r="C52" s="26">
        <f>28072229469.16</f>
        <v>28072229469.16</v>
      </c>
      <c r="D52" s="26">
        <f>80575.08</f>
        <v>80575.08</v>
      </c>
      <c r="E52" s="26">
        <f>66775.08</f>
        <v>66775.08</v>
      </c>
      <c r="F52" s="26">
        <f>3300</f>
        <v>3300</v>
      </c>
      <c r="G52" s="26">
        <f>10500</f>
        <v>10500</v>
      </c>
      <c r="H52" s="26">
        <f>0</f>
        <v>0</v>
      </c>
      <c r="I52" s="26">
        <f>0</f>
        <v>0</v>
      </c>
      <c r="J52" s="26">
        <f>28071827371.54</f>
        <v>28071827371.540001</v>
      </c>
      <c r="K52" s="26">
        <f>257245.71</f>
        <v>257245.71</v>
      </c>
      <c r="L52" s="26">
        <f>30636.76</f>
        <v>30636.76</v>
      </c>
      <c r="M52" s="26">
        <f>33640.07</f>
        <v>33640.07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10889388955.27</f>
        <v>10889388955.27</v>
      </c>
      <c r="C53" s="26">
        <f>10889388955.27</f>
        <v>10889388955.27</v>
      </c>
      <c r="D53" s="26">
        <f>399183.85</f>
        <v>399183.85</v>
      </c>
      <c r="E53" s="26">
        <f>334828.69</f>
        <v>334828.69</v>
      </c>
      <c r="F53" s="26">
        <f>2904.96</f>
        <v>2904.96</v>
      </c>
      <c r="G53" s="26">
        <f>61450.2</f>
        <v>61450.2</v>
      </c>
      <c r="H53" s="26">
        <f>0</f>
        <v>0</v>
      </c>
      <c r="I53" s="26">
        <f>0</f>
        <v>0</v>
      </c>
      <c r="J53" s="26">
        <f>10876577519.93</f>
        <v>10876577519.93</v>
      </c>
      <c r="K53" s="26">
        <f>12003262.21</f>
        <v>12003262.210000001</v>
      </c>
      <c r="L53" s="26">
        <f>279009.59</f>
        <v>279009.59000000003</v>
      </c>
      <c r="M53" s="26">
        <f>129979.69</f>
        <v>129979.69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10645338856.84</f>
        <v>10645338856.84</v>
      </c>
      <c r="C54" s="35">
        <f>10616412005.04</f>
        <v>10616412005.040001</v>
      </c>
      <c r="D54" s="35">
        <f>85339892.63</f>
        <v>85339892.629999995</v>
      </c>
      <c r="E54" s="35">
        <f>52328379.95</f>
        <v>52328379.950000003</v>
      </c>
      <c r="F54" s="35">
        <f>799611.14</f>
        <v>799611.14</v>
      </c>
      <c r="G54" s="35">
        <f>31282021.8</f>
        <v>31282021.800000001</v>
      </c>
      <c r="H54" s="35">
        <f>929879.74</f>
        <v>929879.74</v>
      </c>
      <c r="I54" s="35">
        <f>0</f>
        <v>0</v>
      </c>
      <c r="J54" s="35">
        <f>16574934.66</f>
        <v>16574934.66</v>
      </c>
      <c r="K54" s="35">
        <f>11125964.9</f>
        <v>11125964.9</v>
      </c>
      <c r="L54" s="35">
        <f>2378776682.5</f>
        <v>2378776682.5</v>
      </c>
      <c r="M54" s="35">
        <f>8050041124.79</f>
        <v>8050041124.79</v>
      </c>
      <c r="N54" s="35">
        <f>74553405.56</f>
        <v>74553405.560000002</v>
      </c>
      <c r="O54" s="35">
        <f>28926851.8</f>
        <v>28926851.800000001</v>
      </c>
      <c r="P54" s="35">
        <f>19798281.62</f>
        <v>19798281.620000001</v>
      </c>
      <c r="Q54" s="35">
        <f>9128570.18</f>
        <v>9128570.1799999997</v>
      </c>
    </row>
    <row r="55" spans="1:17" ht="24.75" customHeight="1" x14ac:dyDescent="0.2">
      <c r="A55" s="22" t="s">
        <v>36</v>
      </c>
      <c r="B55" s="26">
        <f>1475328002.54</f>
        <v>1475328002.54</v>
      </c>
      <c r="C55" s="26">
        <f>1474738970.83</f>
        <v>1474738970.8299999</v>
      </c>
      <c r="D55" s="26">
        <f>6098318.91</f>
        <v>6098318.9100000001</v>
      </c>
      <c r="E55" s="26">
        <f>866771.17</f>
        <v>866771.17</v>
      </c>
      <c r="F55" s="26">
        <f>100443.84</f>
        <v>100443.84</v>
      </c>
      <c r="G55" s="26">
        <f>4619554.67</f>
        <v>4619554.67</v>
      </c>
      <c r="H55" s="26">
        <f>511549.23</f>
        <v>511549.23</v>
      </c>
      <c r="I55" s="26">
        <f>0</f>
        <v>0</v>
      </c>
      <c r="J55" s="26">
        <f>86593.87</f>
        <v>86593.87</v>
      </c>
      <c r="K55" s="26">
        <f>452464.82</f>
        <v>452464.82</v>
      </c>
      <c r="L55" s="26">
        <f>312418778.43</f>
        <v>312418778.43000001</v>
      </c>
      <c r="M55" s="26">
        <f>1125265784.52</f>
        <v>1125265784.52</v>
      </c>
      <c r="N55" s="26">
        <f>30417030.28</f>
        <v>30417030.280000001</v>
      </c>
      <c r="O55" s="15">
        <f>589031.71</f>
        <v>589031.71</v>
      </c>
      <c r="P55" s="15">
        <f>295208.65</f>
        <v>295208.65000000002</v>
      </c>
      <c r="Q55" s="15">
        <f>293823.06</f>
        <v>293823.06</v>
      </c>
    </row>
    <row r="56" spans="1:17" ht="24.75" customHeight="1" x14ac:dyDescent="0.2">
      <c r="A56" s="23" t="s">
        <v>37</v>
      </c>
      <c r="B56" s="26">
        <f>9170010854.3</f>
        <v>9170010854.2999992</v>
      </c>
      <c r="C56" s="26">
        <f>9141673034.21</f>
        <v>9141673034.2099991</v>
      </c>
      <c r="D56" s="26">
        <f>79241573.72</f>
        <v>79241573.719999999</v>
      </c>
      <c r="E56" s="26">
        <f>51461608.78</f>
        <v>51461608.780000001</v>
      </c>
      <c r="F56" s="26">
        <f>699167.3</f>
        <v>699167.3</v>
      </c>
      <c r="G56" s="26">
        <f>26662467.13</f>
        <v>26662467.129999999</v>
      </c>
      <c r="H56" s="26">
        <f>418330.51</f>
        <v>418330.51</v>
      </c>
      <c r="I56" s="26">
        <f>0</f>
        <v>0</v>
      </c>
      <c r="J56" s="26">
        <f>16488340.79</f>
        <v>16488340.789999999</v>
      </c>
      <c r="K56" s="26">
        <f>10673500.08</f>
        <v>10673500.08</v>
      </c>
      <c r="L56" s="26">
        <f>2066357904.07</f>
        <v>2066357904.0699999</v>
      </c>
      <c r="M56" s="26">
        <f>6924775340.27</f>
        <v>6924775340.2700005</v>
      </c>
      <c r="N56" s="26">
        <f>44136375.28</f>
        <v>44136375.280000001</v>
      </c>
      <c r="O56" s="15">
        <f>28337820.09</f>
        <v>28337820.09</v>
      </c>
      <c r="P56" s="15">
        <f>19503072.97</f>
        <v>19503072.969999999</v>
      </c>
      <c r="Q56" s="15">
        <f>8834747.12</f>
        <v>8834747.1199999992</v>
      </c>
    </row>
    <row r="57" spans="1:17" ht="24.75" customHeight="1" x14ac:dyDescent="0.2">
      <c r="A57" s="34" t="s">
        <v>45</v>
      </c>
      <c r="B57" s="35">
        <f>24765690067.69</f>
        <v>24765690067.689999</v>
      </c>
      <c r="C57" s="35">
        <f>24762775033.42</f>
        <v>24762775033.419998</v>
      </c>
      <c r="D57" s="35">
        <f>866854163.19</f>
        <v>866854163.19000006</v>
      </c>
      <c r="E57" s="35">
        <f>408517763.22</f>
        <v>408517763.22000003</v>
      </c>
      <c r="F57" s="35">
        <f>70179596.95</f>
        <v>70179596.950000003</v>
      </c>
      <c r="G57" s="35">
        <f>371865828.11</f>
        <v>371865828.11000001</v>
      </c>
      <c r="H57" s="35">
        <f>16290974.91</f>
        <v>16290974.91</v>
      </c>
      <c r="I57" s="35">
        <f>387308</f>
        <v>387308</v>
      </c>
      <c r="J57" s="35">
        <f>32367946.82</f>
        <v>32367946.82</v>
      </c>
      <c r="K57" s="35">
        <f>123452663.01</f>
        <v>123452663.01000001</v>
      </c>
      <c r="L57" s="35">
        <f>12999218570.55</f>
        <v>12999218570.549999</v>
      </c>
      <c r="M57" s="35">
        <f>10516007018.64</f>
        <v>10516007018.639999</v>
      </c>
      <c r="N57" s="35">
        <f>224487363.21</f>
        <v>224487363.21000001</v>
      </c>
      <c r="O57" s="35">
        <f>2915034.27</f>
        <v>2915034.27</v>
      </c>
      <c r="P57" s="35">
        <f>2059132.8</f>
        <v>2059132.8</v>
      </c>
      <c r="Q57" s="35">
        <f>855901.47</f>
        <v>855901.47</v>
      </c>
    </row>
    <row r="58" spans="1:17" ht="30" customHeight="1" x14ac:dyDescent="0.2">
      <c r="A58" s="22" t="s">
        <v>38</v>
      </c>
      <c r="B58" s="26">
        <f>1269650239.95</f>
        <v>1269650239.95</v>
      </c>
      <c r="C58" s="26">
        <f>1269106723.05</f>
        <v>1269106723.05</v>
      </c>
      <c r="D58" s="26">
        <f>62781534.03</f>
        <v>62781534.030000001</v>
      </c>
      <c r="E58" s="26">
        <f>8351882.8</f>
        <v>8351882.7999999998</v>
      </c>
      <c r="F58" s="26">
        <f>1284890.59</f>
        <v>1284890.5900000001</v>
      </c>
      <c r="G58" s="26">
        <f>48050325.97</f>
        <v>48050325.969999999</v>
      </c>
      <c r="H58" s="26">
        <f>5094434.67</f>
        <v>5094434.67</v>
      </c>
      <c r="I58" s="26">
        <f>0</f>
        <v>0</v>
      </c>
      <c r="J58" s="26">
        <f>680218.74</f>
        <v>680218.74</v>
      </c>
      <c r="K58" s="26">
        <f>966219.21</f>
        <v>966219.21</v>
      </c>
      <c r="L58" s="26">
        <f>445504997.64</f>
        <v>445504997.63999999</v>
      </c>
      <c r="M58" s="26">
        <f>735159293.96</f>
        <v>735159293.96000004</v>
      </c>
      <c r="N58" s="26">
        <f>24014459.47</f>
        <v>24014459.469999999</v>
      </c>
      <c r="O58" s="15">
        <f>543516.9</f>
        <v>543516.9</v>
      </c>
      <c r="P58" s="15">
        <f>279336.16</f>
        <v>279336.15999999997</v>
      </c>
      <c r="Q58" s="15">
        <f>264180.74</f>
        <v>264180.74</v>
      </c>
    </row>
    <row r="59" spans="1:17" ht="36" x14ac:dyDescent="0.2">
      <c r="A59" s="22" t="s">
        <v>39</v>
      </c>
      <c r="B59" s="26">
        <f>15726020111.16</f>
        <v>15726020111.16</v>
      </c>
      <c r="C59" s="26">
        <f>15723842366.9</f>
        <v>15723842366.9</v>
      </c>
      <c r="D59" s="26">
        <f>371286085.47</f>
        <v>371286085.47000003</v>
      </c>
      <c r="E59" s="26">
        <f>159755208</f>
        <v>159755208</v>
      </c>
      <c r="F59" s="26">
        <f>50957192.23</f>
        <v>50957192.229999997</v>
      </c>
      <c r="G59" s="26">
        <f>155671738.63</f>
        <v>155671738.63</v>
      </c>
      <c r="H59" s="26">
        <f>4901946.61</f>
        <v>4901946.6100000003</v>
      </c>
      <c r="I59" s="26">
        <f>387308</f>
        <v>387308</v>
      </c>
      <c r="J59" s="26">
        <f>25899094.53</f>
        <v>25899094.530000001</v>
      </c>
      <c r="K59" s="26">
        <f>45168734.32</f>
        <v>45168734.32</v>
      </c>
      <c r="L59" s="26">
        <f>9743777113.06</f>
        <v>9743777113.0599995</v>
      </c>
      <c r="M59" s="26">
        <f>5477139187.99</f>
        <v>5477139187.9899998</v>
      </c>
      <c r="N59" s="26">
        <f>60184843.53</f>
        <v>60184843.530000001</v>
      </c>
      <c r="O59" s="15">
        <f>2177744.26</f>
        <v>2177744.2599999998</v>
      </c>
      <c r="P59" s="15">
        <f>1622056.11</f>
        <v>1622056.11</v>
      </c>
      <c r="Q59" s="15">
        <f>555688.15</f>
        <v>555688.15</v>
      </c>
    </row>
    <row r="60" spans="1:17" ht="30.75" customHeight="1" x14ac:dyDescent="0.2">
      <c r="A60" s="22" t="s">
        <v>40</v>
      </c>
      <c r="B60" s="26">
        <f>7770019716.58</f>
        <v>7770019716.5799999</v>
      </c>
      <c r="C60" s="26">
        <f>7769825943.47</f>
        <v>7769825943.4700003</v>
      </c>
      <c r="D60" s="26">
        <f>432786543.69</f>
        <v>432786543.69</v>
      </c>
      <c r="E60" s="26">
        <f>240410672.42</f>
        <v>240410672.41999999</v>
      </c>
      <c r="F60" s="26">
        <f>17937514.13</f>
        <v>17937514.129999999</v>
      </c>
      <c r="G60" s="26">
        <f>168143763.51</f>
        <v>168143763.50999999</v>
      </c>
      <c r="H60" s="26">
        <f>6294593.63</f>
        <v>6294593.6299999999</v>
      </c>
      <c r="I60" s="26">
        <f>0</f>
        <v>0</v>
      </c>
      <c r="J60" s="26">
        <f>5788633.55</f>
        <v>5788633.5499999998</v>
      </c>
      <c r="K60" s="26">
        <f>77317709.48</f>
        <v>77317709.480000004</v>
      </c>
      <c r="L60" s="26">
        <f>2809936459.85</f>
        <v>2809936459.8499999</v>
      </c>
      <c r="M60" s="26">
        <f>4303708536.69</f>
        <v>4303708536.6899996</v>
      </c>
      <c r="N60" s="26">
        <f>140288060.21</f>
        <v>140288060.21000001</v>
      </c>
      <c r="O60" s="15">
        <f>193773.11</f>
        <v>193773.11</v>
      </c>
      <c r="P60" s="15">
        <f>157740.53</f>
        <v>157740.53</v>
      </c>
      <c r="Q60" s="15">
        <f>36032.58</f>
        <v>36032.58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 Kwartał 2025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1094969756.04</f>
        <v>1094969756.04</v>
      </c>
      <c r="G87" s="33">
        <f>409961889</f>
        <v>409961889</v>
      </c>
      <c r="H87" s="33">
        <f>17955356.06</f>
        <v>17955356.059999999</v>
      </c>
      <c r="I87" s="33">
        <f>146559781.5</f>
        <v>146559781.5</v>
      </c>
      <c r="J87" s="33">
        <f>222606213.6</f>
        <v>222606213.59999999</v>
      </c>
      <c r="K87" s="33">
        <f>22840537.84</f>
        <v>22840537.84</v>
      </c>
      <c r="L87" s="33">
        <f>685007867.04</f>
        <v>685007867.03999996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29151074.22</f>
        <v>29151074.219999999</v>
      </c>
      <c r="G88" s="33">
        <f>17239495</f>
        <v>17239495</v>
      </c>
      <c r="H88" s="33">
        <f>489495</f>
        <v>489495</v>
      </c>
      <c r="I88" s="33">
        <f>0</f>
        <v>0</v>
      </c>
      <c r="J88" s="33">
        <f>16750000</f>
        <v>16750000</v>
      </c>
      <c r="K88" s="33">
        <f>0</f>
        <v>0</v>
      </c>
      <c r="L88" s="33">
        <f>11911579.22</f>
        <v>11911579.220000001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35004820.75</f>
        <v>35004820.75</v>
      </c>
      <c r="G89" s="33">
        <f>2803551.01</f>
        <v>2803551.01</v>
      </c>
      <c r="H89" s="33">
        <f>20960</f>
        <v>20960</v>
      </c>
      <c r="I89" s="33">
        <f>0</f>
        <v>0</v>
      </c>
      <c r="J89" s="33">
        <f>2673004.97</f>
        <v>2673004.9700000002</v>
      </c>
      <c r="K89" s="33">
        <f>109586.04</f>
        <v>109586.04</v>
      </c>
      <c r="L89" s="33">
        <f>32201269.74</f>
        <v>32201269.739999998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27167925.16</f>
        <v>27167925.16</v>
      </c>
      <c r="G90" s="33">
        <f>19752000</f>
        <v>19752000</v>
      </c>
      <c r="H90" s="33">
        <f>0</f>
        <v>0</v>
      </c>
      <c r="I90" s="33">
        <f>0</f>
        <v>0</v>
      </c>
      <c r="J90" s="33">
        <f>19752000</f>
        <v>19752000</v>
      </c>
      <c r="K90" s="33">
        <f>0</f>
        <v>0</v>
      </c>
      <c r="L90" s="33">
        <f>7415925.16</f>
        <v>7415925.1600000001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28203.35</f>
        <v>28203.35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28203.35</f>
        <v>28203.35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669020.48</f>
        <v>669020.48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669020.48</f>
        <v>669020.48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30000</f>
        <v>30000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30000</f>
        <v>30000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 Kwartał 2025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2377</f>
        <v>2377</v>
      </c>
      <c r="H99" s="67"/>
      <c r="I99" s="68">
        <f>19995439568.61</f>
        <v>19995439568.610001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36</f>
        <v>36</v>
      </c>
      <c r="H100" s="77"/>
      <c r="I100" s="78">
        <f>-128389187.9</f>
        <v>-128389187.90000001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1</f>
        <v>1</v>
      </c>
      <c r="C104" s="8" t="str">
        <f>IF(B104=1,"I Kwartał",IF(B104=2,"II Kwartały",IF(B104=3,"III Kwartały",IF(B104=4,"IV Kwartały","-"))))</f>
        <v>I Kwartał</v>
      </c>
    </row>
    <row r="105" spans="1:11" ht="13.5" customHeight="1" x14ac:dyDescent="0.2">
      <c r="A105" s="8" t="s">
        <v>9</v>
      </c>
      <c r="B105" s="8">
        <f>2025</f>
        <v>2025</v>
      </c>
      <c r="C105" s="9"/>
    </row>
    <row r="106" spans="1:11" ht="13.5" customHeight="1" x14ac:dyDescent="0.2">
      <c r="A106" s="8" t="s">
        <v>10</v>
      </c>
      <c r="B106" s="10" t="str">
        <f>"May 17 2025 12:00AM"</f>
        <v>May 17 2025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2025-05-21T12:01:59Z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2025-05-21T14:01:58.2410310+02:00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GRN-c5ddff1d-eadc-4c61-982f-55c42b01b1d1</vt:lpwstr>
  </property>
  <property fmtid="{D5CDD505-2E9C-101B-9397-08002B2CF9AE}" pid="7" name="MFHash">
    <vt:lpwstr>9ZG+o6hyTuW6q9oVmdgaRsN7ELMlVeZJMvFfl8ZtaEc=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