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'doch_wyd'!$B$1:$L$102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<sst xmlns="http://schemas.openxmlformats.org/spreadsheetml/2006/main" count="121" uniqueCount="98">
  <si>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</si>
  <si>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</si>
  <si>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</si>
  <si>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</si>
  <si>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</si>
  <si>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</si>
  <si>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</si>
  <si>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</si>
  <si>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</si>
  <si>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</si>
  <si>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</si>
  <si>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</si>
  <si>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</si>
  <si>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</si>
  <si>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</si>
  <si>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</si>
  <si>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</si>
  <si>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</si>
  <si>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</si>
  <si>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</si>
  <si>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</si>
  <si>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</si>
  <si>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</si>
  <si>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</si>
  <si>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</si>
  <si>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</si>
  <si>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</si>
  <si>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</si>
  <si>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</si>
  <si>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</si>
  <si>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</si>
  <si>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</si>
  <si>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równoważąca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</si>
  <si>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</si>
  <si>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</si>
  <si>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</si>
  <si>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</si>
  <si>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</si>
  <si>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</si>
  <si>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</si>
  <si>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</si>
  <si>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</si>
  <si>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</si>
  <si>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</si>
  <si>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</si>
  <si>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</si>
  <si>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</si>
  <si>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</si>
  <si>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</si>
  <si>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</si>
  <si>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</si>
  <si>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</si>
  <si>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</si>
  <si>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</si>
  <si>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</si>
  <si>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  z tego:</t>
  </si>
  <si>
    <t>świadczenia na rzecz osób fizycznych</t>
  </si>
  <si>
    <t>w tym: inwestycyjne § 620</t>
  </si>
  <si>
    <t>majątkowe</t>
  </si>
  <si>
    <t>bieżące</t>
  </si>
  <si>
    <t>UE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</si>
  <si>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</si>
  <si>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</si>
  <si>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</si>
  <si>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</si>
  <si>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</si>
  <si>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</si>
  <si>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</si>
  <si>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</si>
  <si>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</si>
  <si>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</si>
  <si>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</si>
  <si>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</si>
  <si>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</si>
  <si>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</si>
  <si>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</si>
  <si>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</si>
  <si>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</si>
  <si>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</si>
  <si>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</si>
  <si>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</si>
  <si>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</si>
  <si>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</si>
  <si>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Dotacje §§ 205 i 625</t>
  </si>
  <si>
    <t>Dochody bieżące                minus                                       wydatki bieżące</t>
  </si>
  <si>
    <t>Wydatki ogółem UE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</si>
  <si>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</si>
  <si>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</si>
  <si>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</si>
  <si>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</si>
  <si>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</si>
  <si>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wykup papierów wartościowych</t>
  </si>
  <si>
    <t xml:space="preserve"> udzielone pożyczki</t>
  </si>
  <si>
    <t>spłaty kredytów i  pożyczek, wykup papierów wartościowych w tym: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</si>
  <si>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</si>
  <si>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</si>
  <si>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</si>
  <si>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 xml:space="preserve">Informacja z wykonania budżetów powiatów za IV Kwartały 2018 rok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</si>
</sst>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vertAlign val="subscript"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5" fillId="42" borderId="3" applyNumberFormat="0" applyAlignment="0" applyProtection="0"/>
    <xf numFmtId="0" fontId="46" fillId="43" borderId="4" applyNumberFormat="0" applyAlignment="0" applyProtection="0"/>
    <xf numFmtId="0" fontId="4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8" fillId="0" borderId="8" applyNumberFormat="0" applyFill="0" applyAlignment="0" applyProtection="0"/>
    <xf numFmtId="0" fontId="49" fillId="46" borderId="9" applyNumberFormat="0" applyAlignment="0" applyProtection="0"/>
    <xf numFmtId="0" fontId="26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53" fillId="47" borderId="0" applyNumberFormat="0" applyBorder="0" applyAlignment="0" applyProtection="0"/>
    <xf numFmtId="0" fontId="43" fillId="0" borderId="0">
      <alignment/>
      <protection/>
    </xf>
    <xf numFmtId="0" fontId="0" fillId="4" borderId="14" applyNumberFormat="0" applyFont="0" applyAlignment="0" applyProtection="0"/>
    <xf numFmtId="0" fontId="54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9" fillId="49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4" fontId="35" fillId="51" borderId="20" xfId="0" applyNumberFormat="1" applyFont="1" applyFill="1" applyBorder="1" applyAlignment="1">
      <alignment horizontal="right" vertical="center"/>
    </xf>
    <xf numFmtId="4" fontId="35" fillId="51" borderId="21" xfId="0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5" fillId="50" borderId="20" xfId="0" applyNumberFormat="1" applyFont="1" applyFill="1" applyBorder="1" applyAlignment="1">
      <alignment horizontal="right" vertical="center"/>
    </xf>
    <xf numFmtId="4" fontId="35" fillId="50" borderId="21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2"/>
    </xf>
    <xf numFmtId="0" fontId="60" fillId="0" borderId="19" xfId="89" applyFont="1" applyBorder="1" applyAlignment="1">
      <alignment horizontal="left" vertical="top" wrapText="1"/>
      <protection/>
    </xf>
    <xf numFmtId="0" fontId="60" fillId="51" borderId="19" xfId="89" applyFont="1" applyFill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52" borderId="19" xfId="0" applyFont="1" applyFill="1" applyBorder="1" applyAlignment="1">
      <alignment horizontal="left" vertical="top" wrapText="1"/>
    </xf>
    <xf numFmtId="0" fontId="13" fillId="51" borderId="19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top" wrapText="1" indent="2"/>
    </xf>
    <xf numFmtId="4" fontId="34" fillId="51" borderId="19" xfId="0" applyNumberFormat="1" applyFont="1" applyFill="1" applyBorder="1" applyAlignment="1">
      <alignment horizontal="right" vertical="center"/>
    </xf>
    <xf numFmtId="164" fontId="34" fillId="51" borderId="19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top" wrapText="1" indent="1"/>
    </xf>
    <xf numFmtId="0" fontId="13" fillId="51" borderId="19" xfId="0" applyFont="1" applyFill="1" applyBorder="1" applyAlignment="1">
      <alignment horizontal="lef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4" fontId="34" fillId="0" borderId="19" xfId="0" applyNumberFormat="1" applyFont="1" applyFill="1" applyBorder="1" applyAlignment="1">
      <alignment horizontal="right" vertical="center" wrapText="1"/>
    </xf>
    <xf numFmtId="164" fontId="35" fillId="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 wrapText="1"/>
    </xf>
    <xf numFmtId="164" fontId="35" fillId="51" borderId="19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/>
    </xf>
    <xf numFmtId="0" fontId="13" fillId="51" borderId="23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 wrapText="1"/>
    </xf>
    <xf numFmtId="0" fontId="12" fillId="51" borderId="24" xfId="0" applyFont="1" applyFill="1" applyBorder="1" applyAlignment="1">
      <alignment horizontal="center" vertical="top" wrapText="1"/>
    </xf>
    <xf numFmtId="4" fontId="33" fillId="40" borderId="24" xfId="0" applyNumberFormat="1" applyFont="1" applyFill="1" applyBorder="1" applyAlignment="1">
      <alignment horizontal="right" vertical="center" wrapText="1"/>
    </xf>
    <xf numFmtId="0" fontId="33" fillId="0" borderId="24" xfId="0" applyFont="1" applyBorder="1" applyAlignment="1">
      <alignment horizontal="left" vertical="center"/>
    </xf>
    <xf numFmtId="4" fontId="35" fillId="51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164" fontId="36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89" applyFont="1" applyFill="1" applyBorder="1" applyAlignment="1">
      <alignment horizontal="left" vertical="top" wrapText="1"/>
      <protection/>
    </xf>
    <xf numFmtId="0" fontId="60" fillId="0" borderId="19" xfId="89" applyFont="1" applyFill="1" applyBorder="1" applyAlignment="1">
      <alignment horizontal="left" vertical="top" wrapText="1"/>
      <protection/>
    </xf>
    <xf numFmtId="0" fontId="7" fillId="2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4" fontId="34" fillId="0" borderId="19" xfId="0" applyNumberFormat="1" applyFont="1" applyBorder="1" applyAlignment="1">
      <alignment horizontal="right" vertical="center"/>
    </xf>
    <xf numFmtId="4" fontId="34" fillId="29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4" fontId="33" fillId="51" borderId="19" xfId="0" applyNumberFormat="1" applyFont="1" applyFill="1" applyBorder="1" applyAlignment="1">
      <alignment horizontal="right" vertical="center" wrapText="1"/>
    </xf>
    <xf numFmtId="4" fontId="33" fillId="29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Border="1" applyAlignment="1">
      <alignment horizontal="right" vertical="center" wrapText="1"/>
    </xf>
    <xf numFmtId="0" fontId="37" fillId="0" borderId="21" xfId="0" applyFont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4" fontId="38" fillId="51" borderId="20" xfId="0" applyNumberFormat="1" applyFont="1" applyFill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1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4.25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6.625" style="1" customWidth="1"/>
    <col min="13" max="13" width="8.125" style="1" hidden="1" customWidth="1"/>
    <col min="14" max="16384" width="9.125" style="1" customWidth="1"/>
  </cols>
  <sheetData>
    <row r="1" spans="2:13" ht="21" customHeight="1">
      <c r="B1" s="112" t="s">
        <v>97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8" ht="57.75" customHeight="1">
      <c r="B2" s="109" t="s">
        <v>0</v>
      </c>
      <c r="C2" s="14" t="s">
        <v>28</v>
      </c>
      <c r="D2" s="14" t="s">
        <v>29</v>
      </c>
      <c r="E2" s="14" t="s">
        <v>30</v>
      </c>
      <c r="F2" s="16" t="s">
        <v>2</v>
      </c>
      <c r="G2" s="14" t="s">
        <v>18</v>
      </c>
      <c r="H2" s="14" t="s">
        <v>3</v>
      </c>
    </row>
    <row r="3" spans="2:8" ht="12.75">
      <c r="B3" s="109"/>
      <c r="C3" s="111" t="s">
        <v>63</v>
      </c>
      <c r="D3" s="111"/>
      <c r="E3" s="111"/>
      <c r="F3" s="111" t="s">
        <v>4</v>
      </c>
      <c r="G3" s="111"/>
      <c r="H3" s="111"/>
    </row>
    <row r="4" spans="2:8" ht="9" customHeight="1">
      <c r="B4" s="16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</row>
    <row r="5" spans="2:8" ht="12.75">
      <c r="B5" s="69" t="s">
        <v>5</v>
      </c>
      <c r="C5" s="70">
        <f>28453484186.74</f>
        <v>28453484186.74</v>
      </c>
      <c r="D5" s="70">
        <f>27959346951.27</f>
        <v>27959346951.27</v>
      </c>
      <c r="E5" s="70">
        <f>27948028060.26</f>
        <v>27948028060.26</v>
      </c>
      <c r="F5" s="71">
        <f aca="true" t="shared" si="0" ref="F5:F33">IF($D$5=0,"",100*$D5/$D$5)</f>
        <v>100</v>
      </c>
      <c r="G5" s="71">
        <f aca="true" t="shared" si="1" ref="G5:G36">IF(C5=0,"",100*D5/C5)</f>
        <v>98.26335069467422</v>
      </c>
      <c r="H5" s="71"/>
    </row>
    <row r="6" spans="2:8" ht="25.5" customHeight="1">
      <c r="B6" s="61" t="s">
        <v>47</v>
      </c>
      <c r="C6" s="30">
        <f>C5-C11-C29</f>
        <v>9789517162.73</v>
      </c>
      <c r="D6" s="30">
        <f>D5-D11-D29</f>
        <v>10076314220.309998</v>
      </c>
      <c r="E6" s="30">
        <f>E5-E11-E29</f>
        <v>10026796030.22</v>
      </c>
      <c r="F6" s="31">
        <f t="shared" si="0"/>
        <v>36.039161565081905</v>
      </c>
      <c r="G6" s="31">
        <f t="shared" si="1"/>
        <v>102.92963435083267</v>
      </c>
      <c r="H6" s="31">
        <f>IF($D$6=0,"",100*$D6/$D$6)</f>
        <v>100</v>
      </c>
    </row>
    <row r="7" spans="2:8" ht="22.5" customHeight="1">
      <c r="B7" s="62" t="s">
        <v>19</v>
      </c>
      <c r="C7" s="32">
        <f>5327495065.02</f>
        <v>5327495065.02</v>
      </c>
      <c r="D7" s="32">
        <f>5633654556</f>
        <v>5633654556</v>
      </c>
      <c r="E7" s="32">
        <f>5587400242.97</f>
        <v>5587400242.97</v>
      </c>
      <c r="F7" s="33">
        <f t="shared" si="0"/>
        <v>20.149449720048278</v>
      </c>
      <c r="G7" s="33">
        <f t="shared" si="1"/>
        <v>105.74678131548583</v>
      </c>
      <c r="H7" s="33">
        <f>IF($D$6=0,"",100*$D7/$D$6)</f>
        <v>55.909873717958355</v>
      </c>
    </row>
    <row r="8" spans="2:8" ht="22.5" customHeight="1">
      <c r="B8" s="62" t="s">
        <v>26</v>
      </c>
      <c r="C8" s="32">
        <f>188685145.77</f>
        <v>188685145.77</v>
      </c>
      <c r="D8" s="32">
        <f>199466693.97</f>
        <v>199466693.97</v>
      </c>
      <c r="E8" s="32">
        <f>200167752.34</f>
        <v>200167752.34</v>
      </c>
      <c r="F8" s="33">
        <f t="shared" si="0"/>
        <v>0.713416855971808</v>
      </c>
      <c r="G8" s="33">
        <f t="shared" si="1"/>
        <v>105.71404185316331</v>
      </c>
      <c r="H8" s="33">
        <f>IF($D$6=0,"",100*$D8/$D$6)</f>
        <v>1.9795600812840015</v>
      </c>
    </row>
    <row r="9" spans="2:8" ht="13.5" customHeight="1">
      <c r="B9" s="62" t="s">
        <v>20</v>
      </c>
      <c r="C9" s="32">
        <f>422040697.13</f>
        <v>422040697.13</v>
      </c>
      <c r="D9" s="72">
        <f>356194866.45</f>
        <v>356194866.45</v>
      </c>
      <c r="E9" s="32">
        <f>356089318.88</f>
        <v>356089318.88</v>
      </c>
      <c r="F9" s="33">
        <f t="shared" si="0"/>
        <v>1.2739741992930222</v>
      </c>
      <c r="G9" s="33">
        <f t="shared" si="1"/>
        <v>84.39822720231227</v>
      </c>
      <c r="H9" s="33">
        <f>IF($D$6=0,"",100*$D9/$D$6)</f>
        <v>3.53497180280511</v>
      </c>
    </row>
    <row r="10" spans="2:8" ht="13.5" customHeight="1">
      <c r="B10" s="62" t="s">
        <v>21</v>
      </c>
      <c r="C10" s="32">
        <f>C6-C8-C7-C9</f>
        <v>3851296254.8099985</v>
      </c>
      <c r="D10" s="32">
        <f>D6-D8-D7-D9</f>
        <v>3886998103.8899984</v>
      </c>
      <c r="E10" s="32">
        <f>E6-E8-E7-E9</f>
        <v>3883138716.029999</v>
      </c>
      <c r="F10" s="33">
        <f t="shared" si="0"/>
        <v>13.9023207897688</v>
      </c>
      <c r="G10" s="33">
        <f t="shared" si="1"/>
        <v>100.92700864119219</v>
      </c>
      <c r="H10" s="33">
        <f>IF($D$6=0,"",100*$D10/$D$6)</f>
        <v>38.575594397952536</v>
      </c>
    </row>
    <row r="11" spans="2:8" ht="26.25" customHeight="1">
      <c r="B11" s="69" t="s">
        <v>55</v>
      </c>
      <c r="C11" s="70">
        <f>C12+C25+C27</f>
        <v>8167429291.010001</v>
      </c>
      <c r="D11" s="70">
        <f>D12+D25+D27</f>
        <v>7377385303.960001</v>
      </c>
      <c r="E11" s="70">
        <f>E12+E25+E27</f>
        <v>7389396632.620001</v>
      </c>
      <c r="F11" s="71">
        <f t="shared" si="0"/>
        <v>26.38611451411206</v>
      </c>
      <c r="G11" s="71">
        <f t="shared" si="1"/>
        <v>90.32689529470905</v>
      </c>
      <c r="H11" s="73"/>
    </row>
    <row r="12" spans="2:8" ht="25.5" customHeight="1">
      <c r="B12" s="69" t="s">
        <v>48</v>
      </c>
      <c r="C12" s="70">
        <f>C13+C15+C17+C19+C21+C23</f>
        <v>5919571931.380001</v>
      </c>
      <c r="D12" s="70">
        <f>D13+D15+D17+D19+D21+D23</f>
        <v>5737718271.240001</v>
      </c>
      <c r="E12" s="70">
        <f>E13+E15+E17+E19+E21+E23</f>
        <v>5742625543.39</v>
      </c>
      <c r="F12" s="71">
        <f t="shared" si="0"/>
        <v>20.521646236016167</v>
      </c>
      <c r="G12" s="71">
        <f t="shared" si="1"/>
        <v>96.92792549447735</v>
      </c>
      <c r="H12" s="36"/>
    </row>
    <row r="13" spans="2:8" ht="22.5" customHeight="1">
      <c r="B13" s="62" t="s">
        <v>9</v>
      </c>
      <c r="C13" s="32">
        <f>2828261409.37</f>
        <v>2828261409.37</v>
      </c>
      <c r="D13" s="32">
        <f>2794322095.5</f>
        <v>2794322095.5</v>
      </c>
      <c r="E13" s="32">
        <f>2797216141.52</f>
        <v>2797216141.52</v>
      </c>
      <c r="F13" s="33">
        <f t="shared" si="0"/>
        <v>9.994232341585764</v>
      </c>
      <c r="G13" s="33">
        <f t="shared" si="1"/>
        <v>98.79999374323889</v>
      </c>
      <c r="H13" s="36"/>
    </row>
    <row r="14" spans="2:8" ht="12.75">
      <c r="B14" s="74" t="s">
        <v>6</v>
      </c>
      <c r="C14" s="32">
        <f>74771797.62</f>
        <v>74771797.62</v>
      </c>
      <c r="D14" s="32">
        <f>67417795.71</f>
        <v>67417795.71</v>
      </c>
      <c r="E14" s="32">
        <f>67421736.68</f>
        <v>67421736.68</v>
      </c>
      <c r="F14" s="33">
        <f t="shared" si="0"/>
        <v>0.241127934166351</v>
      </c>
      <c r="G14" s="33">
        <f t="shared" si="1"/>
        <v>90.16473838522111</v>
      </c>
      <c r="H14" s="36"/>
    </row>
    <row r="15" spans="2:8" ht="13.5" customHeight="1">
      <c r="B15" s="62" t="s">
        <v>7</v>
      </c>
      <c r="C15" s="32">
        <f>1685992399.2</f>
        <v>1685992399.2</v>
      </c>
      <c r="D15" s="32">
        <f>1647423148.7</f>
        <v>1647423148.7</v>
      </c>
      <c r="E15" s="32">
        <f>1647631297.32</f>
        <v>1647631297.32</v>
      </c>
      <c r="F15" s="33">
        <f t="shared" si="0"/>
        <v>5.892208968869242</v>
      </c>
      <c r="G15" s="33">
        <f t="shared" si="1"/>
        <v>97.71237103332724</v>
      </c>
      <c r="H15" s="36"/>
    </row>
    <row r="16" spans="2:8" ht="12.75">
      <c r="B16" s="74" t="s">
        <v>6</v>
      </c>
      <c r="C16" s="32">
        <f>796279403.09</f>
        <v>796279403.09</v>
      </c>
      <c r="D16" s="32">
        <f>761146919.1</f>
        <v>761146919.1</v>
      </c>
      <c r="E16" s="32">
        <f>761240222.02</f>
        <v>761240222.02</v>
      </c>
      <c r="F16" s="33">
        <f t="shared" si="0"/>
        <v>2.7223343965314837</v>
      </c>
      <c r="G16" s="33">
        <f t="shared" si="1"/>
        <v>95.58792003740562</v>
      </c>
      <c r="H16" s="36"/>
    </row>
    <row r="17" spans="2:8" ht="33" customHeight="1">
      <c r="B17" s="62" t="s">
        <v>10</v>
      </c>
      <c r="C17" s="32">
        <f>30088765.89</f>
        <v>30088765.89</v>
      </c>
      <c r="D17" s="32">
        <f>22967965.26</f>
        <v>22967965.26</v>
      </c>
      <c r="E17" s="32">
        <f>24514194.92</f>
        <v>24514194.92</v>
      </c>
      <c r="F17" s="33">
        <f t="shared" si="0"/>
        <v>0.08214771718391915</v>
      </c>
      <c r="G17" s="33">
        <f t="shared" si="1"/>
        <v>76.33402228581731</v>
      </c>
      <c r="H17" s="36"/>
    </row>
    <row r="18" spans="2:8" ht="12.75">
      <c r="B18" s="74" t="s">
        <v>6</v>
      </c>
      <c r="C18" s="32">
        <f>416225</f>
        <v>416225</v>
      </c>
      <c r="D18" s="32">
        <f>413836.87</f>
        <v>413836.87</v>
      </c>
      <c r="E18" s="32">
        <f>416225</f>
        <v>416225</v>
      </c>
      <c r="F18" s="33">
        <f t="shared" si="0"/>
        <v>0.00148013782554103</v>
      </c>
      <c r="G18" s="33">
        <f t="shared" si="1"/>
        <v>99.42624061505195</v>
      </c>
      <c r="H18" s="36"/>
    </row>
    <row r="19" spans="2:8" ht="25.5" customHeight="1">
      <c r="B19" s="62" t="s">
        <v>11</v>
      </c>
      <c r="C19" s="32">
        <f>402937534.98</f>
        <v>402937534.98</v>
      </c>
      <c r="D19" s="32">
        <f>389783869.73</f>
        <v>389783869.73</v>
      </c>
      <c r="E19" s="32">
        <f>390341229.6</f>
        <v>390341229.6</v>
      </c>
      <c r="F19" s="33">
        <f t="shared" si="0"/>
        <v>1.3941093488676595</v>
      </c>
      <c r="G19" s="33">
        <f t="shared" si="1"/>
        <v>96.7355572246073</v>
      </c>
      <c r="H19" s="36"/>
    </row>
    <row r="20" spans="2:8" ht="12.75">
      <c r="B20" s="74" t="s">
        <v>6</v>
      </c>
      <c r="C20" s="32">
        <f>84581801.13</f>
        <v>84581801.13</v>
      </c>
      <c r="D20" s="32">
        <f>75040629.94</f>
        <v>75040629.94</v>
      </c>
      <c r="E20" s="32">
        <f>75047358.4</f>
        <v>75047358.4</v>
      </c>
      <c r="F20" s="33">
        <f t="shared" si="0"/>
        <v>0.2683919265739196</v>
      </c>
      <c r="G20" s="33">
        <f t="shared" si="1"/>
        <v>88.71959326648121</v>
      </c>
      <c r="H20" s="36"/>
    </row>
    <row r="21" spans="2:8" ht="33.75">
      <c r="B21" s="62" t="s">
        <v>64</v>
      </c>
      <c r="C21" s="32">
        <f>887596757.67</f>
        <v>887596757.67</v>
      </c>
      <c r="D21" s="32">
        <f>808184783.24</f>
        <v>808184783.24</v>
      </c>
      <c r="E21" s="32">
        <f>807745787.53</f>
        <v>807745787.53</v>
      </c>
      <c r="F21" s="33">
        <f t="shared" si="0"/>
        <v>2.8905710303197543</v>
      </c>
      <c r="G21" s="33">
        <f t="shared" si="1"/>
        <v>91.05314730548795</v>
      </c>
      <c r="H21" s="36"/>
    </row>
    <row r="22" spans="2:8" ht="12.75">
      <c r="B22" s="74" t="s">
        <v>6</v>
      </c>
      <c r="C22" s="32">
        <f>792725519.04</f>
        <v>792725519.04</v>
      </c>
      <c r="D22" s="32">
        <f>720650845.85</f>
        <v>720650845.85</v>
      </c>
      <c r="E22" s="32">
        <f>720145204.5</f>
        <v>720145204.5</v>
      </c>
      <c r="F22" s="33">
        <f t="shared" si="0"/>
        <v>2.5774952723538695</v>
      </c>
      <c r="G22" s="33">
        <f t="shared" si="1"/>
        <v>90.90799129599318</v>
      </c>
      <c r="H22" s="36"/>
    </row>
    <row r="23" spans="2:8" ht="15" customHeight="1">
      <c r="B23" s="62" t="s">
        <v>8</v>
      </c>
      <c r="C23" s="32">
        <f>84695064.27</f>
        <v>84695064.27</v>
      </c>
      <c r="D23" s="32">
        <f>75036408.81</f>
        <v>75036408.81</v>
      </c>
      <c r="E23" s="32">
        <f>75176892.5</f>
        <v>75176892.5</v>
      </c>
      <c r="F23" s="33">
        <f t="shared" si="0"/>
        <v>0.2683768291898235</v>
      </c>
      <c r="G23" s="33">
        <f t="shared" si="1"/>
        <v>88.59596418840997</v>
      </c>
      <c r="H23" s="36"/>
    </row>
    <row r="24" spans="2:8" ht="12.75">
      <c r="B24" s="74" t="s">
        <v>6</v>
      </c>
      <c r="C24" s="32">
        <f>72163521.96</f>
        <v>72163521.96</v>
      </c>
      <c r="D24" s="32">
        <f>63226946.45</f>
        <v>63226946.45</v>
      </c>
      <c r="E24" s="32">
        <f>63351834.53</f>
        <v>63351834.53</v>
      </c>
      <c r="F24" s="33">
        <f t="shared" si="0"/>
        <v>0.22613885281440035</v>
      </c>
      <c r="G24" s="33">
        <f t="shared" si="1"/>
        <v>87.61621485859087</v>
      </c>
      <c r="H24" s="36"/>
    </row>
    <row r="25" spans="2:8" ht="13.5" customHeight="1">
      <c r="B25" s="69" t="s">
        <v>82</v>
      </c>
      <c r="C25" s="30">
        <f>230396839.47</f>
        <v>230396839.47</v>
      </c>
      <c r="D25" s="30">
        <f>180291918.37</f>
        <v>180291918.37</v>
      </c>
      <c r="E25" s="30">
        <f>184375099.54</f>
        <v>184375099.54</v>
      </c>
      <c r="F25" s="34">
        <f t="shared" si="0"/>
        <v>0.6448359422851634</v>
      </c>
      <c r="G25" s="34">
        <f t="shared" si="1"/>
        <v>78.2527741199661</v>
      </c>
      <c r="H25" s="20"/>
    </row>
    <row r="26" spans="2:8" ht="13.5" customHeight="1">
      <c r="B26" s="63" t="s">
        <v>57</v>
      </c>
      <c r="C26" s="35">
        <f>144132172.95</f>
        <v>144132172.95</v>
      </c>
      <c r="D26" s="35">
        <f>105281405.84</f>
        <v>105281405.84</v>
      </c>
      <c r="E26" s="35">
        <f>105281404.84</f>
        <v>105281404.84</v>
      </c>
      <c r="F26" s="33">
        <f t="shared" si="0"/>
        <v>0.3765517342858317</v>
      </c>
      <c r="G26" s="33">
        <f t="shared" si="1"/>
        <v>73.04504170385506</v>
      </c>
      <c r="H26" s="20"/>
    </row>
    <row r="27" spans="2:8" ht="13.5" customHeight="1">
      <c r="B27" s="69" t="s">
        <v>83</v>
      </c>
      <c r="C27" s="75">
        <f>2017460520.16</f>
        <v>2017460520.16</v>
      </c>
      <c r="D27" s="75">
        <f>1459375114.35</f>
        <v>1459375114.35</v>
      </c>
      <c r="E27" s="75">
        <f>1462395989.69</f>
        <v>1462395989.69</v>
      </c>
      <c r="F27" s="76">
        <f t="shared" si="0"/>
        <v>5.219632335810728</v>
      </c>
      <c r="G27" s="76">
        <f t="shared" si="1"/>
        <v>72.33723286115459</v>
      </c>
      <c r="H27" s="20"/>
    </row>
    <row r="28" spans="2:8" ht="10.5" customHeight="1">
      <c r="B28" s="63" t="s">
        <v>80</v>
      </c>
      <c r="C28" s="35">
        <f>1302713364.62</f>
        <v>1302713364.62</v>
      </c>
      <c r="D28" s="35">
        <f>898791871.03</f>
        <v>898791871.03</v>
      </c>
      <c r="E28" s="35">
        <f>898107790.96</f>
        <v>898107790.96</v>
      </c>
      <c r="F28" s="33">
        <f t="shared" si="0"/>
        <v>3.2146382839216283</v>
      </c>
      <c r="G28" s="33">
        <f t="shared" si="1"/>
        <v>68.99383206160448</v>
      </c>
      <c r="H28" s="20"/>
    </row>
    <row r="29" spans="2:8" s="5" customFormat="1" ht="23.25" customHeight="1">
      <c r="B29" s="61" t="s">
        <v>49</v>
      </c>
      <c r="C29" s="30">
        <f>C30+C31+C32+C33</f>
        <v>10496537733</v>
      </c>
      <c r="D29" s="30">
        <f>D30+D31+D32+D33</f>
        <v>10505647427</v>
      </c>
      <c r="E29" s="30">
        <f>E30+E31+E32+E33</f>
        <v>10531835397.42</v>
      </c>
      <c r="F29" s="31">
        <f t="shared" si="0"/>
        <v>37.57472392080603</v>
      </c>
      <c r="G29" s="31">
        <f t="shared" si="1"/>
        <v>100.08678760779719</v>
      </c>
      <c r="H29" s="21"/>
    </row>
    <row r="30" spans="2:8" ht="11.25" customHeight="1">
      <c r="B30" s="62" t="s">
        <v>33</v>
      </c>
      <c r="C30" s="32">
        <f>7640569365</f>
        <v>7640569365</v>
      </c>
      <c r="D30" s="32">
        <f>7640716654</f>
        <v>7640716654</v>
      </c>
      <c r="E30" s="32">
        <f>7666904624.42</f>
        <v>7666904624.42</v>
      </c>
      <c r="F30" s="33">
        <f t="shared" si="0"/>
        <v>27.327951068803255</v>
      </c>
      <c r="G30" s="33">
        <f t="shared" si="1"/>
        <v>100.00192772283012</v>
      </c>
      <c r="H30" s="20"/>
    </row>
    <row r="31" spans="2:8" ht="10.5" customHeight="1">
      <c r="B31" s="62" t="s">
        <v>32</v>
      </c>
      <c r="C31" s="32">
        <f>629527783</f>
        <v>629527783</v>
      </c>
      <c r="D31" s="32">
        <f>629527783</f>
        <v>629527783</v>
      </c>
      <c r="E31" s="32">
        <f>629527783</f>
        <v>629527783</v>
      </c>
      <c r="F31" s="33">
        <f t="shared" si="0"/>
        <v>2.25158257128536</v>
      </c>
      <c r="G31" s="33">
        <f t="shared" si="1"/>
        <v>100</v>
      </c>
      <c r="H31" s="20"/>
    </row>
    <row r="32" spans="2:8" ht="11.25" customHeight="1">
      <c r="B32" s="62" t="s">
        <v>34</v>
      </c>
      <c r="C32" s="32">
        <f>2005673066</f>
        <v>2005673066</v>
      </c>
      <c r="D32" s="32">
        <f>2005673066</f>
        <v>2005673066</v>
      </c>
      <c r="E32" s="32">
        <f>2005673066</f>
        <v>2005673066</v>
      </c>
      <c r="F32" s="33">
        <f t="shared" si="0"/>
        <v>7.1735333071107235</v>
      </c>
      <c r="G32" s="33">
        <f t="shared" si="1"/>
        <v>100</v>
      </c>
      <c r="H32" s="20"/>
    </row>
    <row r="33" spans="2:8" s="5" customFormat="1" ht="12" customHeight="1">
      <c r="B33" s="62" t="s">
        <v>31</v>
      </c>
      <c r="C33" s="32">
        <f>220767519</f>
        <v>220767519</v>
      </c>
      <c r="D33" s="32">
        <f>229729924</f>
        <v>229729924</v>
      </c>
      <c r="E33" s="32">
        <f>229729924</f>
        <v>229729924</v>
      </c>
      <c r="F33" s="33">
        <f t="shared" si="0"/>
        <v>0.821656973606692</v>
      </c>
      <c r="G33" s="33">
        <f t="shared" si="1"/>
        <v>104.05965743538569</v>
      </c>
      <c r="H33" s="21"/>
    </row>
    <row r="34" spans="2:7" s="5" customFormat="1" ht="12.75">
      <c r="B34" s="77" t="s">
        <v>5</v>
      </c>
      <c r="C34" s="75">
        <f>+C5</f>
        <v>28453484186.74</v>
      </c>
      <c r="D34" s="75">
        <f>+D5</f>
        <v>27959346951.27</v>
      </c>
      <c r="E34" s="75">
        <f>+E5</f>
        <v>27948028060.26</v>
      </c>
      <c r="F34" s="76">
        <f>IF($D$5=0,"",100*$D34/$D$34)</f>
        <v>100</v>
      </c>
      <c r="G34" s="76">
        <f t="shared" si="1"/>
        <v>98.26335069467422</v>
      </c>
    </row>
    <row r="35" spans="2:7" s="5" customFormat="1" ht="13.5" customHeight="1">
      <c r="B35" s="62" t="s">
        <v>58</v>
      </c>
      <c r="C35" s="32">
        <f>3889503296.5</f>
        <v>3889503296.5</v>
      </c>
      <c r="D35" s="32">
        <f>3227846289.06</f>
        <v>3227846289.06</v>
      </c>
      <c r="E35" s="32">
        <f>3226839714.67</f>
        <v>3226839714.67</v>
      </c>
      <c r="F35" s="33">
        <f>IF($D$5=0,"",100*$D35/$D$34)</f>
        <v>11.544784270840708</v>
      </c>
      <c r="G35" s="33">
        <f t="shared" si="1"/>
        <v>82.98865029795971</v>
      </c>
    </row>
    <row r="36" spans="1:13" s="5" customFormat="1" ht="14.25" customHeight="1">
      <c r="A36" s="2"/>
      <c r="B36" s="62" t="s">
        <v>59</v>
      </c>
      <c r="C36" s="32">
        <f>C34-C35</f>
        <v>24563980890.24</v>
      </c>
      <c r="D36" s="32">
        <f>D34-D35</f>
        <v>24731500662.21</v>
      </c>
      <c r="E36" s="32">
        <f>E34-E35</f>
        <v>24721188345.589996</v>
      </c>
      <c r="F36" s="33">
        <f>IF($D$5=0,"",100*$D36/$D$34)</f>
        <v>88.45521572915929</v>
      </c>
      <c r="G36" s="33">
        <f t="shared" si="1"/>
        <v>100.6819732221684</v>
      </c>
      <c r="I36" s="15"/>
      <c r="J36" s="15"/>
      <c r="K36" s="9"/>
      <c r="L36" s="9"/>
      <c r="M36" s="3"/>
    </row>
    <row r="37" spans="2:13" ht="32.25" customHeight="1">
      <c r="B37" s="112" t="s">
        <v>97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2:13" s="5" customFormat="1" ht="9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109" t="s">
        <v>0</v>
      </c>
      <c r="C39" s="110" t="s">
        <v>43</v>
      </c>
      <c r="D39" s="110" t="s">
        <v>44</v>
      </c>
      <c r="E39" s="110" t="s">
        <v>45</v>
      </c>
      <c r="F39" s="110" t="s">
        <v>12</v>
      </c>
      <c r="G39" s="110"/>
      <c r="H39" s="110"/>
      <c r="I39" s="110" t="s">
        <v>81</v>
      </c>
      <c r="J39" s="110"/>
      <c r="K39" s="110" t="s">
        <v>2</v>
      </c>
      <c r="L39" s="108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109"/>
      <c r="C40" s="110"/>
      <c r="D40" s="113"/>
      <c r="E40" s="110"/>
      <c r="F40" s="100" t="s">
        <v>46</v>
      </c>
      <c r="G40" s="114" t="s">
        <v>25</v>
      </c>
      <c r="H40" s="113"/>
      <c r="I40" s="110"/>
      <c r="J40" s="110"/>
      <c r="K40" s="110"/>
      <c r="L40" s="108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109"/>
      <c r="C41" s="110"/>
      <c r="D41" s="113"/>
      <c r="E41" s="110"/>
      <c r="F41" s="113"/>
      <c r="G41" s="17" t="s">
        <v>41</v>
      </c>
      <c r="H41" s="17" t="s">
        <v>42</v>
      </c>
      <c r="I41" s="110"/>
      <c r="J41" s="110"/>
      <c r="K41" s="110"/>
      <c r="L41" s="108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109"/>
      <c r="C42" s="111" t="s">
        <v>63</v>
      </c>
      <c r="D42" s="111"/>
      <c r="E42" s="111"/>
      <c r="F42" s="111"/>
      <c r="G42" s="111"/>
      <c r="H42" s="111"/>
      <c r="I42" s="111"/>
      <c r="J42" s="111"/>
      <c r="K42" s="111" t="s">
        <v>4</v>
      </c>
      <c r="L42" s="11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6">
        <v>1</v>
      </c>
      <c r="C43" s="18">
        <v>2</v>
      </c>
      <c r="D43" s="18">
        <v>3</v>
      </c>
      <c r="E43" s="18">
        <v>4</v>
      </c>
      <c r="F43" s="16">
        <v>5</v>
      </c>
      <c r="G43" s="16">
        <v>6</v>
      </c>
      <c r="H43" s="18">
        <v>7</v>
      </c>
      <c r="I43" s="113">
        <v>8</v>
      </c>
      <c r="J43" s="113"/>
      <c r="K43" s="16">
        <v>9</v>
      </c>
      <c r="L43" s="18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2" ht="25.5" customHeight="1">
      <c r="B44" s="78" t="s">
        <v>50</v>
      </c>
      <c r="C44" s="79">
        <f>30736449973.89</f>
        <v>30736449973.89</v>
      </c>
      <c r="D44" s="79">
        <f>28676583508.69</f>
        <v>28676583508.69</v>
      </c>
      <c r="E44" s="79">
        <f>28656570529.95</f>
        <v>28656570529.95</v>
      </c>
      <c r="F44" s="79">
        <f>1414539218.34</f>
        <v>1414539218.34</v>
      </c>
      <c r="G44" s="79">
        <f>2089980.07</f>
        <v>2089980.07</v>
      </c>
      <c r="H44" s="79">
        <f>1699312.64</f>
        <v>1699312.64</v>
      </c>
      <c r="I44" s="119">
        <f>149182323.66</f>
        <v>149182323.66</v>
      </c>
      <c r="J44" s="119"/>
      <c r="K44" s="55">
        <f aca="true" t="shared" si="2" ref="K44:K55">IF($E$44=0,"",100*$E44/$E$44)</f>
        <v>100</v>
      </c>
      <c r="L44" s="55">
        <f aca="true" t="shared" si="3" ref="L44:L55">IF(C44=0,"",100*E44/C44)</f>
        <v>93.23318260336892</v>
      </c>
    </row>
    <row r="45" spans="2:12" ht="12.75">
      <c r="B45" s="29" t="s">
        <v>14</v>
      </c>
      <c r="C45" s="39">
        <f>6973032192.69</f>
        <v>6973032192.69</v>
      </c>
      <c r="D45" s="39">
        <f>5990624479.25</f>
        <v>5990624479.25</v>
      </c>
      <c r="E45" s="39">
        <f>5982783770.43</f>
        <v>5982783770.43</v>
      </c>
      <c r="F45" s="39">
        <f>119477428.73</f>
        <v>119477428.73</v>
      </c>
      <c r="G45" s="39">
        <f>0</f>
        <v>0</v>
      </c>
      <c r="H45" s="39">
        <f>47760.9</f>
        <v>47760.9</v>
      </c>
      <c r="I45" s="120">
        <f>133122250.82</f>
        <v>133122250.82</v>
      </c>
      <c r="J45" s="121"/>
      <c r="K45" s="40">
        <f t="shared" si="2"/>
        <v>20.87752881726437</v>
      </c>
      <c r="L45" s="40">
        <f t="shared" si="3"/>
        <v>85.79888354311484</v>
      </c>
    </row>
    <row r="46" spans="2:12" ht="22.5" customHeight="1">
      <c r="B46" s="19" t="s">
        <v>13</v>
      </c>
      <c r="C46" s="35">
        <f>6913625386.08</f>
        <v>6913625386.08</v>
      </c>
      <c r="D46" s="35">
        <f>5941540827.1</f>
        <v>5941540827.1</v>
      </c>
      <c r="E46" s="35">
        <f>5933700118.28</f>
        <v>5933700118.28</v>
      </c>
      <c r="F46" s="35">
        <f>115996928.73</f>
        <v>115996928.73</v>
      </c>
      <c r="G46" s="35">
        <f>0</f>
        <v>0</v>
      </c>
      <c r="H46" s="35">
        <f>47760.9</f>
        <v>47760.9</v>
      </c>
      <c r="I46" s="115">
        <f>133122250.82</f>
        <v>133122250.82</v>
      </c>
      <c r="J46" s="116"/>
      <c r="K46" s="41">
        <f t="shared" si="2"/>
        <v>20.70624645080429</v>
      </c>
      <c r="L46" s="41">
        <f t="shared" si="3"/>
        <v>85.82617348962823</v>
      </c>
    </row>
    <row r="47" spans="2:12" ht="25.5" customHeight="1">
      <c r="B47" s="29" t="s">
        <v>51</v>
      </c>
      <c r="C47" s="39">
        <f aca="true" t="shared" si="4" ref="C47:I47">C44-C45</f>
        <v>23763417781.2</v>
      </c>
      <c r="D47" s="39">
        <f t="shared" si="4"/>
        <v>22685959029.44</v>
      </c>
      <c r="E47" s="39">
        <f t="shared" si="4"/>
        <v>22673786759.52</v>
      </c>
      <c r="F47" s="39">
        <f t="shared" si="4"/>
        <v>1295061789.61</v>
      </c>
      <c r="G47" s="39">
        <f t="shared" si="4"/>
        <v>2089980.07</v>
      </c>
      <c r="H47" s="39">
        <f t="shared" si="4"/>
        <v>1651551.74</v>
      </c>
      <c r="I47" s="120">
        <f t="shared" si="4"/>
        <v>16060072.840000004</v>
      </c>
      <c r="J47" s="120"/>
      <c r="K47" s="40">
        <f t="shared" si="2"/>
        <v>79.12247118273562</v>
      </c>
      <c r="L47" s="40">
        <f t="shared" si="3"/>
        <v>95.41467043287838</v>
      </c>
    </row>
    <row r="48" spans="2:12" ht="13.5" customHeight="1">
      <c r="B48" s="19" t="s">
        <v>40</v>
      </c>
      <c r="C48" s="35">
        <f>11976477204.81</f>
        <v>11976477204.81</v>
      </c>
      <c r="D48" s="35">
        <f>11809300523.12</f>
        <v>11809300523.12</v>
      </c>
      <c r="E48" s="35">
        <f>11805052485.78</f>
        <v>11805052485.78</v>
      </c>
      <c r="F48" s="35">
        <f>912959579.25</f>
        <v>912959579.25</v>
      </c>
      <c r="G48" s="35">
        <f>0</f>
        <v>0</v>
      </c>
      <c r="H48" s="35">
        <f>348289.04</f>
        <v>348289.04</v>
      </c>
      <c r="I48" s="115">
        <f>57801.46</f>
        <v>57801.46</v>
      </c>
      <c r="J48" s="116"/>
      <c r="K48" s="41">
        <f t="shared" si="2"/>
        <v>41.194924121998895</v>
      </c>
      <c r="L48" s="41">
        <f t="shared" si="3"/>
        <v>98.56865490495693</v>
      </c>
    </row>
    <row r="49" spans="2:12" ht="22.5" customHeight="1">
      <c r="B49" s="80" t="s">
        <v>35</v>
      </c>
      <c r="C49" s="81">
        <f>10767001809.33</f>
        <v>10767001809.33</v>
      </c>
      <c r="D49" s="81">
        <f>10632960505</f>
        <v>10632960505</v>
      </c>
      <c r="E49" s="81">
        <f>10629713897.97</f>
        <v>10629713897.97</v>
      </c>
      <c r="F49" s="81">
        <f>101164493.25</f>
        <v>101164493.25</v>
      </c>
      <c r="G49" s="81">
        <f>0</f>
        <v>0</v>
      </c>
      <c r="H49" s="81">
        <f>347343.19</f>
        <v>347343.19</v>
      </c>
      <c r="I49" s="118">
        <f>48530.53</f>
        <v>48530.53</v>
      </c>
      <c r="J49" s="118"/>
      <c r="K49" s="82">
        <f t="shared" si="2"/>
        <v>37.093461294890496</v>
      </c>
      <c r="L49" s="82">
        <f t="shared" si="3"/>
        <v>98.724919770692</v>
      </c>
    </row>
    <row r="50" spans="2:12" ht="13.5" customHeight="1">
      <c r="B50" s="22" t="s">
        <v>39</v>
      </c>
      <c r="C50" s="32">
        <f>1999210448.42</f>
        <v>1999210448.42</v>
      </c>
      <c r="D50" s="32">
        <f>1949344398.44</f>
        <v>1949344398.44</v>
      </c>
      <c r="E50" s="32">
        <f>1947858039.82</f>
        <v>1947858039.82</v>
      </c>
      <c r="F50" s="32">
        <f>197327605.56</f>
        <v>197327605.56</v>
      </c>
      <c r="G50" s="32">
        <f>0</f>
        <v>0</v>
      </c>
      <c r="H50" s="32">
        <f>186842.41</f>
        <v>186842.41</v>
      </c>
      <c r="I50" s="117">
        <f>10580.84</f>
        <v>10580.84</v>
      </c>
      <c r="J50" s="117"/>
      <c r="K50" s="82">
        <f t="shared" si="2"/>
        <v>6.797247555440119</v>
      </c>
      <c r="L50" s="82">
        <f t="shared" si="3"/>
        <v>97.43136553529997</v>
      </c>
    </row>
    <row r="51" spans="2:12" ht="13.5" customHeight="1">
      <c r="B51" s="22" t="s">
        <v>38</v>
      </c>
      <c r="C51" s="81">
        <f>1851435099.9</f>
        <v>1851435099.9</v>
      </c>
      <c r="D51" s="81">
        <f>1756552999.28</f>
        <v>1756552999.28</v>
      </c>
      <c r="E51" s="81">
        <f>1755819790.36</f>
        <v>1755819790.36</v>
      </c>
      <c r="F51" s="81">
        <f>1095293.57</f>
        <v>1095293.57</v>
      </c>
      <c r="G51" s="81">
        <f>0</f>
        <v>0</v>
      </c>
      <c r="H51" s="81">
        <f>61136.38</f>
        <v>61136.38</v>
      </c>
      <c r="I51" s="118">
        <f>0</f>
        <v>0</v>
      </c>
      <c r="J51" s="118"/>
      <c r="K51" s="82">
        <f t="shared" si="2"/>
        <v>6.127110669174214</v>
      </c>
      <c r="L51" s="82">
        <f t="shared" si="3"/>
        <v>94.83561105948762</v>
      </c>
    </row>
    <row r="52" spans="2:12" ht="13.5" customHeight="1">
      <c r="B52" s="22" t="s">
        <v>37</v>
      </c>
      <c r="C52" s="32">
        <f>178172763.81</f>
        <v>178172763.81</v>
      </c>
      <c r="D52" s="32">
        <f>155062837.73</f>
        <v>155062837.73</v>
      </c>
      <c r="E52" s="32">
        <f>155062174.08</f>
        <v>155062174.08</v>
      </c>
      <c r="F52" s="32">
        <f>3201042.98</f>
        <v>3201042.98</v>
      </c>
      <c r="G52" s="32">
        <f>0</f>
        <v>0</v>
      </c>
      <c r="H52" s="32">
        <f>0</f>
        <v>0</v>
      </c>
      <c r="I52" s="117">
        <f>0</f>
        <v>0</v>
      </c>
      <c r="J52" s="117"/>
      <c r="K52" s="82">
        <f t="shared" si="2"/>
        <v>0.5411051330023564</v>
      </c>
      <c r="L52" s="82">
        <f t="shared" si="3"/>
        <v>87.0291119496554</v>
      </c>
    </row>
    <row r="53" spans="2:12" ht="22.5" customHeight="1">
      <c r="B53" s="22" t="s">
        <v>54</v>
      </c>
      <c r="C53" s="81">
        <f>23081999.64</f>
        <v>23081999.64</v>
      </c>
      <c r="D53" s="81">
        <f>6875353.89</f>
        <v>6875353.89</v>
      </c>
      <c r="E53" s="81">
        <f>6797801.7</f>
        <v>6797801.7</v>
      </c>
      <c r="F53" s="81">
        <f>0</f>
        <v>0</v>
      </c>
      <c r="G53" s="81">
        <f>0</f>
        <v>0</v>
      </c>
      <c r="H53" s="81">
        <f>0</f>
        <v>0</v>
      </c>
      <c r="I53" s="118">
        <f>0</f>
        <v>0</v>
      </c>
      <c r="J53" s="118"/>
      <c r="K53" s="82">
        <f t="shared" si="2"/>
        <v>0.023721616279573216</v>
      </c>
      <c r="L53" s="82">
        <f t="shared" si="3"/>
        <v>29.450662013787294</v>
      </c>
    </row>
    <row r="54" spans="2:12" ht="22.5" customHeight="1">
      <c r="B54" s="22" t="s">
        <v>56</v>
      </c>
      <c r="C54" s="81">
        <f>1122317595.51</f>
        <v>1122317595.51</v>
      </c>
      <c r="D54" s="81">
        <f>1063493509.69</f>
        <v>1063493509.69</v>
      </c>
      <c r="E54" s="81">
        <f>1062825701.45</f>
        <v>1062825701.45</v>
      </c>
      <c r="F54" s="81">
        <f>5451382.95</f>
        <v>5451382.95</v>
      </c>
      <c r="G54" s="81">
        <f>853</f>
        <v>853</v>
      </c>
      <c r="H54" s="81">
        <f>4000.33</f>
        <v>4000.33</v>
      </c>
      <c r="I54" s="124">
        <f>18000</f>
        <v>18000</v>
      </c>
      <c r="J54" s="125"/>
      <c r="K54" s="82">
        <f t="shared" si="2"/>
        <v>3.7088377352733226</v>
      </c>
      <c r="L54" s="82">
        <f t="shared" si="3"/>
        <v>94.69919260840192</v>
      </c>
    </row>
    <row r="55" spans="2:12" ht="13.5" customHeight="1">
      <c r="B55" s="19" t="s">
        <v>36</v>
      </c>
      <c r="C55" s="35">
        <f aca="true" t="shared" si="5" ref="C55:I55">C47-C48-C50-C51-C52-C53-C54</f>
        <v>6612722669.110001</v>
      </c>
      <c r="D55" s="35">
        <f t="shared" si="5"/>
        <v>5945329407.289997</v>
      </c>
      <c r="E55" s="35">
        <f t="shared" si="5"/>
        <v>5940370766.330001</v>
      </c>
      <c r="F55" s="35">
        <f t="shared" si="5"/>
        <v>175026885.29999992</v>
      </c>
      <c r="G55" s="35">
        <f t="shared" si="5"/>
        <v>2089127.07</v>
      </c>
      <c r="H55" s="35">
        <f t="shared" si="5"/>
        <v>1051283.58</v>
      </c>
      <c r="I55" s="122">
        <f t="shared" si="5"/>
        <v>15973690.540000003</v>
      </c>
      <c r="J55" s="123"/>
      <c r="K55" s="41">
        <f t="shared" si="2"/>
        <v>20.72952435156715</v>
      </c>
      <c r="L55" s="41">
        <f t="shared" si="3"/>
        <v>89.83244971211698</v>
      </c>
    </row>
    <row r="56" spans="2:13" ht="12.75">
      <c r="B56" s="78" t="s">
        <v>15</v>
      </c>
      <c r="C56" s="87">
        <f>C5-C44</f>
        <v>-2282965787.1499977</v>
      </c>
      <c r="D56" s="87"/>
      <c r="E56" s="87">
        <f>D5-E44</f>
        <v>-697223578.6800003</v>
      </c>
      <c r="F56" s="87"/>
      <c r="G56" s="87"/>
      <c r="H56" s="87"/>
      <c r="I56" s="120"/>
      <c r="J56" s="120"/>
      <c r="K56" s="91"/>
      <c r="L56" s="91"/>
      <c r="M56" s="13"/>
    </row>
    <row r="57" spans="2:13" ht="39" customHeight="1">
      <c r="B57" s="88" t="s">
        <v>84</v>
      </c>
      <c r="C57" s="89">
        <f>C36-C47</f>
        <v>800563109.0400009</v>
      </c>
      <c r="D57" s="90"/>
      <c r="E57" s="89">
        <f>D36-E47</f>
        <v>2057713902.6899986</v>
      </c>
      <c r="F57" s="90"/>
      <c r="G57" s="90"/>
      <c r="H57" s="90"/>
      <c r="I57" s="90"/>
      <c r="J57" s="90"/>
      <c r="K57" s="42"/>
      <c r="L57" s="43"/>
      <c r="M57" s="10"/>
    </row>
    <row r="58" spans="2:13" ht="12" customHeight="1" thickBot="1">
      <c r="B58" s="37"/>
      <c r="C58" s="44"/>
      <c r="D58" s="44"/>
      <c r="E58" s="44"/>
      <c r="F58" s="45"/>
      <c r="G58" s="45"/>
      <c r="H58" s="45"/>
      <c r="I58" s="45"/>
      <c r="J58" s="42"/>
      <c r="K58" s="42"/>
      <c r="L58" s="43"/>
      <c r="M58" s="10"/>
    </row>
    <row r="59" spans="2:13" ht="12" customHeight="1" thickBot="1">
      <c r="B59" s="38" t="s">
        <v>60</v>
      </c>
      <c r="C59" s="44"/>
      <c r="D59" s="44"/>
      <c r="E59" s="44"/>
      <c r="F59" s="45"/>
      <c r="G59" s="45"/>
      <c r="H59" s="45"/>
      <c r="I59" s="45"/>
      <c r="J59" s="42"/>
      <c r="K59" s="42"/>
      <c r="L59" s="43"/>
      <c r="M59" s="10"/>
    </row>
    <row r="60" spans="2:13" ht="30" customHeight="1" thickBot="1">
      <c r="B60" s="86" t="s">
        <v>85</v>
      </c>
      <c r="C60" s="83">
        <f>3148115737.78</f>
        <v>3148115737.78</v>
      </c>
      <c r="D60" s="83">
        <f>2382636909.52</f>
        <v>2382636909.52</v>
      </c>
      <c r="E60" s="83">
        <f>2375962811.39</f>
        <v>2375962811.39</v>
      </c>
      <c r="F60" s="83">
        <f>75348989.07</f>
        <v>75348989.07</v>
      </c>
      <c r="G60" s="83">
        <f>0</f>
        <v>0</v>
      </c>
      <c r="H60" s="83">
        <f>38588.02</f>
        <v>38588.02</v>
      </c>
      <c r="I60" s="83">
        <f>12570466.66</f>
        <v>12570466.66</v>
      </c>
      <c r="J60" s="83">
        <f>0</f>
        <v>0</v>
      </c>
      <c r="K60" s="55">
        <f>IF($E$44=0,"",100*$E60/$E$60)</f>
        <v>100</v>
      </c>
      <c r="L60" s="84">
        <f>IF(C60=0,"",100*E60/C60)</f>
        <v>75.47253688536529</v>
      </c>
      <c r="M60" s="10"/>
    </row>
    <row r="61" spans="2:12" ht="13.5" thickBot="1">
      <c r="B61" s="85" t="s">
        <v>61</v>
      </c>
      <c r="C61" s="81">
        <f>2150179091.65</f>
        <v>2150179091.65</v>
      </c>
      <c r="D61" s="81">
        <f>1663976850.13</f>
        <v>1663976850.13</v>
      </c>
      <c r="E61" s="81">
        <f>1659168685.39</f>
        <v>1659168685.39</v>
      </c>
      <c r="F61" s="81">
        <f>68581300.15</f>
        <v>68581300.15</v>
      </c>
      <c r="G61" s="81">
        <f>0</f>
        <v>0</v>
      </c>
      <c r="H61" s="81">
        <f>0</f>
        <v>0</v>
      </c>
      <c r="I61" s="81">
        <f>11908989.94</f>
        <v>11908989.94</v>
      </c>
      <c r="J61" s="81">
        <f>0</f>
        <v>0</v>
      </c>
      <c r="K61" s="82">
        <f>IF($E$44=0,"",100*$E61/$E$60)</f>
        <v>69.8314248622159</v>
      </c>
      <c r="L61" s="82">
        <f>IF(C61=0,"",100*E61/C61)</f>
        <v>77.16420887140106</v>
      </c>
    </row>
    <row r="62" spans="2:12" ht="13.5" thickBot="1">
      <c r="B62" s="85" t="s">
        <v>62</v>
      </c>
      <c r="C62" s="81">
        <f>C60-C61</f>
        <v>997936646.1300001</v>
      </c>
      <c r="D62" s="81">
        <f aca="true" t="shared" si="6" ref="D62:J62">D60-D61</f>
        <v>718660059.3899999</v>
      </c>
      <c r="E62" s="81">
        <f t="shared" si="6"/>
        <v>716794125.9999998</v>
      </c>
      <c r="F62" s="81">
        <f t="shared" si="6"/>
        <v>6767688.919999987</v>
      </c>
      <c r="G62" s="81">
        <f t="shared" si="6"/>
        <v>0</v>
      </c>
      <c r="H62" s="81">
        <f t="shared" si="6"/>
        <v>38588.02</v>
      </c>
      <c r="I62" s="81">
        <f t="shared" si="6"/>
        <v>661476.7200000007</v>
      </c>
      <c r="J62" s="81">
        <f t="shared" si="6"/>
        <v>0</v>
      </c>
      <c r="K62" s="82">
        <f>IF($E$44=0,"",100*$E62/$E$60)</f>
        <v>30.168575137784103</v>
      </c>
      <c r="L62" s="82">
        <f>IF(C62=0,"",100*E62/C62)</f>
        <v>71.8276183943869</v>
      </c>
    </row>
    <row r="63" spans="2:13" ht="25.5" customHeight="1">
      <c r="B63" s="112" t="s">
        <v>97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</row>
    <row r="64" spans="2:8" ht="12.75">
      <c r="B64" s="26" t="s">
        <v>16</v>
      </c>
      <c r="C64" s="103" t="s">
        <v>17</v>
      </c>
      <c r="D64" s="104"/>
      <c r="E64" s="103" t="s">
        <v>1</v>
      </c>
      <c r="F64" s="104"/>
      <c r="G64" s="18" t="s">
        <v>22</v>
      </c>
      <c r="H64" s="18" t="s">
        <v>23</v>
      </c>
    </row>
    <row r="65" spans="2:8" ht="12.75">
      <c r="B65" s="26"/>
      <c r="C65" s="100" t="s">
        <v>63</v>
      </c>
      <c r="D65" s="101"/>
      <c r="E65" s="101"/>
      <c r="F65" s="102"/>
      <c r="G65" s="105" t="s">
        <v>4</v>
      </c>
      <c r="H65" s="106"/>
    </row>
    <row r="66" spans="2:8" ht="12.75">
      <c r="B66" s="24">
        <v>1</v>
      </c>
      <c r="C66" s="27">
        <v>2</v>
      </c>
      <c r="D66" s="28"/>
      <c r="E66" s="27">
        <v>3</v>
      </c>
      <c r="F66" s="28"/>
      <c r="G66" s="25">
        <v>4</v>
      </c>
      <c r="H66" s="25">
        <v>5</v>
      </c>
    </row>
    <row r="67" spans="2:8" ht="22.5">
      <c r="B67" s="66" t="s">
        <v>52</v>
      </c>
      <c r="C67" s="46">
        <f>3099138013.07</f>
        <v>3099138013.07</v>
      </c>
      <c r="D67" s="47"/>
      <c r="E67" s="46">
        <f>3388325251.3</f>
        <v>3388325251.3</v>
      </c>
      <c r="F67" s="47"/>
      <c r="G67" s="48">
        <f>IF($E$67=0,"",100*$E67/$E$67)</f>
        <v>100</v>
      </c>
      <c r="H67" s="40">
        <f>IF(C67=0,"",100*E67/C67)</f>
        <v>109.33121522857033</v>
      </c>
    </row>
    <row r="68" spans="2:8" ht="25.5" customHeight="1">
      <c r="B68" s="67" t="s">
        <v>86</v>
      </c>
      <c r="C68" s="49">
        <f>1764247243.73</f>
        <v>1764247243.73</v>
      </c>
      <c r="D68" s="50"/>
      <c r="E68" s="49">
        <f>1595410466.72</f>
        <v>1595410466.72</v>
      </c>
      <c r="F68" s="50"/>
      <c r="G68" s="51">
        <f aca="true" t="shared" si="7" ref="G68:G74">IF($E$67=0,"",100*$E68/$E$67)</f>
        <v>47.08551713292247</v>
      </c>
      <c r="H68" s="52">
        <f aca="true" t="shared" si="8" ref="H68:H79">IF(C68=0,"",100*E68/C68)</f>
        <v>90.43009546365833</v>
      </c>
    </row>
    <row r="69" spans="2:8" ht="24" customHeight="1">
      <c r="B69" s="92" t="s">
        <v>87</v>
      </c>
      <c r="C69" s="93">
        <f>45835000</f>
        <v>45835000</v>
      </c>
      <c r="D69" s="94"/>
      <c r="E69" s="93">
        <f>45835000</f>
        <v>45835000</v>
      </c>
      <c r="F69" s="94"/>
      <c r="G69" s="95">
        <f t="shared" si="7"/>
        <v>1.352733182341762</v>
      </c>
      <c r="H69" s="96">
        <f t="shared" si="8"/>
        <v>100</v>
      </c>
    </row>
    <row r="70" spans="2:8" ht="12.75">
      <c r="B70" s="97" t="s">
        <v>88</v>
      </c>
      <c r="C70" s="93">
        <f>25994282.12</f>
        <v>25994282.12</v>
      </c>
      <c r="D70" s="94"/>
      <c r="E70" s="93">
        <f>33232347.31</f>
        <v>33232347.31</v>
      </c>
      <c r="F70" s="94"/>
      <c r="G70" s="95">
        <f t="shared" si="7"/>
        <v>0.9807897661905312</v>
      </c>
      <c r="H70" s="96">
        <f t="shared" si="8"/>
        <v>127.84483586269548</v>
      </c>
    </row>
    <row r="71" spans="2:8" ht="16.5" customHeight="1">
      <c r="B71" s="97" t="s">
        <v>89</v>
      </c>
      <c r="C71" s="93">
        <f>250210940.37</f>
        <v>250210940.37</v>
      </c>
      <c r="D71" s="94"/>
      <c r="E71" s="93">
        <f>340964971.12</f>
        <v>340964971.12</v>
      </c>
      <c r="F71" s="94"/>
      <c r="G71" s="95">
        <f t="shared" si="7"/>
        <v>10.06293510309206</v>
      </c>
      <c r="H71" s="96">
        <f t="shared" si="8"/>
        <v>136.27100822042283</v>
      </c>
    </row>
    <row r="72" spans="2:8" ht="12.75">
      <c r="B72" s="97" t="s">
        <v>90</v>
      </c>
      <c r="C72" s="93">
        <f>0</f>
        <v>0</v>
      </c>
      <c r="D72" s="94"/>
      <c r="E72" s="93">
        <f>0</f>
        <v>0</v>
      </c>
      <c r="F72" s="94"/>
      <c r="G72" s="95">
        <f t="shared" si="7"/>
        <v>0</v>
      </c>
      <c r="H72" s="96">
        <f t="shared" si="8"/>
      </c>
    </row>
    <row r="73" spans="2:8" ht="33.75">
      <c r="B73" s="97" t="s">
        <v>65</v>
      </c>
      <c r="C73" s="93">
        <f>1048996488.85</f>
        <v>1048996488.85</v>
      </c>
      <c r="D73" s="94"/>
      <c r="E73" s="93">
        <f>1409503442.58</f>
        <v>1409503442.58</v>
      </c>
      <c r="F73" s="94"/>
      <c r="G73" s="95">
        <f t="shared" si="7"/>
        <v>41.598823549752645</v>
      </c>
      <c r="H73" s="96">
        <f t="shared" si="8"/>
        <v>134.36684083902117</v>
      </c>
    </row>
    <row r="74" spans="2:8" ht="12.75">
      <c r="B74" s="92" t="s">
        <v>66</v>
      </c>
      <c r="C74" s="93">
        <f>9689058</f>
        <v>9689058</v>
      </c>
      <c r="D74" s="94"/>
      <c r="E74" s="93">
        <f>9214023.57</f>
        <v>9214023.57</v>
      </c>
      <c r="F74" s="94"/>
      <c r="G74" s="95">
        <f t="shared" si="7"/>
        <v>0.27193444804228434</v>
      </c>
      <c r="H74" s="96">
        <f t="shared" si="8"/>
        <v>95.0972072826894</v>
      </c>
    </row>
    <row r="75" spans="2:8" ht="22.5">
      <c r="B75" s="66" t="s">
        <v>53</v>
      </c>
      <c r="C75" s="58">
        <f>804534101.37</f>
        <v>804534101.37</v>
      </c>
      <c r="D75" s="59"/>
      <c r="E75" s="58">
        <f>803923725.7</f>
        <v>803923725.7</v>
      </c>
      <c r="F75" s="59"/>
      <c r="G75" s="48">
        <f>IF($E$75=0,"",100*$E75/$E$75)</f>
        <v>100</v>
      </c>
      <c r="H75" s="40">
        <f t="shared" si="8"/>
        <v>99.92413302693315</v>
      </c>
    </row>
    <row r="76" spans="2:8" ht="33.75" customHeight="1">
      <c r="B76" s="67" t="s">
        <v>93</v>
      </c>
      <c r="C76" s="49">
        <f>738929218.48</f>
        <v>738929218.48</v>
      </c>
      <c r="D76" s="57"/>
      <c r="E76" s="56">
        <f>736363171.04</f>
        <v>736363171.04</v>
      </c>
      <c r="F76" s="57"/>
      <c r="G76" s="51">
        <f>IF($E$75=0,"",100*$E76/$E$75)</f>
        <v>91.59614867676991</v>
      </c>
      <c r="H76" s="52">
        <f t="shared" si="8"/>
        <v>99.65273433830666</v>
      </c>
    </row>
    <row r="77" spans="2:8" ht="12" customHeight="1">
      <c r="B77" s="97" t="s">
        <v>91</v>
      </c>
      <c r="C77" s="93">
        <f>26681772.34</f>
        <v>26681772.34</v>
      </c>
      <c r="D77" s="94"/>
      <c r="E77" s="93">
        <f>26681772.34</f>
        <v>26681772.34</v>
      </c>
      <c r="F77" s="94"/>
      <c r="G77" s="95">
        <f>IF($E$75=0,"",100*$E77/$E$75)</f>
        <v>3.3189432637738605</v>
      </c>
      <c r="H77" s="96">
        <f t="shared" si="8"/>
        <v>100</v>
      </c>
    </row>
    <row r="78" spans="2:8" ht="12.75">
      <c r="B78" s="97" t="s">
        <v>92</v>
      </c>
      <c r="C78" s="93">
        <f>45017816.5</f>
        <v>45017816.5</v>
      </c>
      <c r="D78" s="94"/>
      <c r="E78" s="93">
        <f>52746014.33</f>
        <v>52746014.33</v>
      </c>
      <c r="F78" s="94"/>
      <c r="G78" s="95">
        <f>IF($E$75=0,"",100*$E78/$E$75)</f>
        <v>6.561071982801912</v>
      </c>
      <c r="H78" s="96">
        <f t="shared" si="8"/>
        <v>117.16697616820221</v>
      </c>
    </row>
    <row r="79" spans="2:8" ht="12.75">
      <c r="B79" s="68" t="s">
        <v>24</v>
      </c>
      <c r="C79" s="93">
        <f>20587066.39</f>
        <v>20587066.39</v>
      </c>
      <c r="D79" s="94"/>
      <c r="E79" s="93">
        <f>14814540.33</f>
        <v>14814540.33</v>
      </c>
      <c r="F79" s="94"/>
      <c r="G79" s="95">
        <f>IF($E$75=0,"",100*$E79/$E$75)</f>
        <v>1.842779340428166</v>
      </c>
      <c r="H79" s="96">
        <f t="shared" si="8"/>
        <v>71.9604243234774</v>
      </c>
    </row>
    <row r="80" ht="12.75">
      <c r="B80" s="23"/>
    </row>
    <row r="81" spans="2:8" ht="12.75">
      <c r="B81" s="60" t="s">
        <v>16</v>
      </c>
      <c r="C81" s="103" t="s">
        <v>17</v>
      </c>
      <c r="D81" s="104"/>
      <c r="E81" s="103" t="s">
        <v>1</v>
      </c>
      <c r="F81" s="104"/>
      <c r="G81" s="18" t="s">
        <v>22</v>
      </c>
      <c r="H81" s="18" t="s">
        <v>23</v>
      </c>
    </row>
    <row r="82" spans="2:8" ht="12.75">
      <c r="B82" s="60"/>
      <c r="C82" s="100" t="s">
        <v>63</v>
      </c>
      <c r="D82" s="101"/>
      <c r="E82" s="101"/>
      <c r="F82" s="102"/>
      <c r="G82" s="105" t="s">
        <v>4</v>
      </c>
      <c r="H82" s="106"/>
    </row>
    <row r="83" spans="2:8" ht="12.75">
      <c r="B83" s="24">
        <v>1</v>
      </c>
      <c r="C83" s="27">
        <v>2</v>
      </c>
      <c r="D83" s="28"/>
      <c r="E83" s="27">
        <v>3</v>
      </c>
      <c r="F83" s="28"/>
      <c r="G83" s="25">
        <v>4</v>
      </c>
      <c r="H83" s="25">
        <v>5</v>
      </c>
    </row>
    <row r="84" spans="2:8" ht="22.5">
      <c r="B84" s="65" t="s">
        <v>67</v>
      </c>
      <c r="C84" s="53">
        <f>2296630467.03</f>
        <v>2296630467.03</v>
      </c>
      <c r="D84" s="54"/>
      <c r="E84" s="53">
        <f>982255447.01</f>
        <v>982255447.01</v>
      </c>
      <c r="F84" s="47"/>
      <c r="G84" s="48"/>
      <c r="H84" s="40"/>
    </row>
    <row r="85" spans="2:8" ht="56.25">
      <c r="B85" s="98" t="s">
        <v>68</v>
      </c>
      <c r="C85" s="93">
        <f>42772749.48</f>
        <v>42772749.48</v>
      </c>
      <c r="D85" s="94"/>
      <c r="E85" s="93">
        <f>29174053.7</f>
        <v>29174053.7</v>
      </c>
      <c r="F85" s="94"/>
      <c r="G85" s="95"/>
      <c r="H85" s="96"/>
    </row>
    <row r="86" spans="2:8" ht="12.75">
      <c r="B86" s="98" t="s">
        <v>69</v>
      </c>
      <c r="C86" s="93">
        <f>1327297696.88</f>
        <v>1327297696.88</v>
      </c>
      <c r="D86" s="94"/>
      <c r="E86" s="93">
        <f>720515671.5</f>
        <v>720515671.5</v>
      </c>
      <c r="F86" s="94"/>
      <c r="G86" s="95"/>
      <c r="H86" s="96"/>
    </row>
    <row r="87" spans="2:8" ht="22.5">
      <c r="B87" s="98" t="s">
        <v>70</v>
      </c>
      <c r="C87" s="93">
        <f>0</f>
        <v>0</v>
      </c>
      <c r="D87" s="94"/>
      <c r="E87" s="93">
        <f>0</f>
        <v>0</v>
      </c>
      <c r="F87" s="94"/>
      <c r="G87" s="95"/>
      <c r="H87" s="96"/>
    </row>
    <row r="88" spans="2:8" ht="33.75">
      <c r="B88" s="98" t="s">
        <v>71</v>
      </c>
      <c r="C88" s="93">
        <f>208941218.62</f>
        <v>208941218.62</v>
      </c>
      <c r="D88" s="94"/>
      <c r="E88" s="93">
        <f>51876480.64</f>
        <v>51876480.64</v>
      </c>
      <c r="F88" s="94"/>
      <c r="G88" s="95"/>
      <c r="H88" s="96"/>
    </row>
    <row r="89" spans="2:8" ht="101.25">
      <c r="B89" s="98" t="s">
        <v>72</v>
      </c>
      <c r="C89" s="93">
        <f>717618802.05</f>
        <v>717618802.05</v>
      </c>
      <c r="D89" s="94"/>
      <c r="E89" s="93">
        <f>180689241.17</f>
        <v>180689241.17</v>
      </c>
      <c r="F89" s="94"/>
      <c r="G89" s="95"/>
      <c r="H89" s="96"/>
    </row>
    <row r="90" spans="2:6" ht="12.75">
      <c r="B90" s="60" t="s">
        <v>16</v>
      </c>
      <c r="C90" s="103" t="s">
        <v>96</v>
      </c>
      <c r="D90" s="107"/>
      <c r="E90" s="107"/>
      <c r="F90" s="104"/>
    </row>
    <row r="91" spans="2:6" ht="12.75">
      <c r="B91" s="60"/>
      <c r="C91" s="100" t="s">
        <v>63</v>
      </c>
      <c r="D91" s="101"/>
      <c r="E91" s="101"/>
      <c r="F91" s="102"/>
    </row>
    <row r="92" spans="2:6" ht="12.75">
      <c r="B92" s="24">
        <v>1</v>
      </c>
      <c r="C92" s="129">
        <v>2</v>
      </c>
      <c r="D92" s="130"/>
      <c r="E92" s="130"/>
      <c r="F92" s="131"/>
    </row>
    <row r="93" spans="2:6" ht="56.25">
      <c r="B93" s="65" t="s">
        <v>73</v>
      </c>
      <c r="C93" s="126">
        <f>49166134.25</f>
        <v>49166134.25</v>
      </c>
      <c r="D93" s="127"/>
      <c r="E93" s="127"/>
      <c r="F93" s="128"/>
    </row>
    <row r="94" spans="2:6" ht="33.75">
      <c r="B94" s="64" t="s">
        <v>74</v>
      </c>
      <c r="C94" s="126">
        <f>28348990.58</f>
        <v>28348990.58</v>
      </c>
      <c r="D94" s="127"/>
      <c r="E94" s="127"/>
      <c r="F94" s="128"/>
    </row>
    <row r="95" spans="2:6" ht="36" customHeight="1">
      <c r="B95" s="64" t="s">
        <v>75</v>
      </c>
      <c r="C95" s="126">
        <f>13964206.11</f>
        <v>13964206.11</v>
      </c>
      <c r="D95" s="127"/>
      <c r="E95" s="127"/>
      <c r="F95" s="128"/>
    </row>
    <row r="96" spans="2:6" ht="69" customHeight="1">
      <c r="B96" s="64" t="s">
        <v>76</v>
      </c>
      <c r="C96" s="126">
        <f>6733922</f>
        <v>6733922</v>
      </c>
      <c r="D96" s="127"/>
      <c r="E96" s="127"/>
      <c r="F96" s="128"/>
    </row>
    <row r="97" spans="2:6" ht="45">
      <c r="B97" s="64" t="s">
        <v>77</v>
      </c>
      <c r="C97" s="126">
        <f>0</f>
        <v>0</v>
      </c>
      <c r="D97" s="127"/>
      <c r="E97" s="127"/>
      <c r="F97" s="128"/>
    </row>
    <row r="98" spans="2:6" ht="56.25">
      <c r="B98" s="99" t="s">
        <v>78</v>
      </c>
      <c r="C98" s="126">
        <f>0</f>
        <v>0</v>
      </c>
      <c r="D98" s="127"/>
      <c r="E98" s="127"/>
      <c r="F98" s="128"/>
    </row>
    <row r="99" spans="2:6" ht="45">
      <c r="B99" s="99" t="s">
        <v>79</v>
      </c>
      <c r="C99" s="126">
        <f>31654946.52</f>
        <v>31654946.52</v>
      </c>
      <c r="D99" s="127"/>
      <c r="E99" s="127"/>
      <c r="F99" s="128"/>
    </row>
    <row r="100" spans="2:6" ht="90">
      <c r="B100" s="99" t="s">
        <v>94</v>
      </c>
      <c r="C100" s="126">
        <f>4603217.53</f>
        <v>4603217.53</v>
      </c>
      <c r="D100" s="127"/>
      <c r="E100" s="127"/>
      <c r="F100" s="128"/>
    </row>
    <row r="101" spans="2:6" ht="90">
      <c r="B101" s="99" t="s">
        <v>95</v>
      </c>
      <c r="C101" s="126">
        <f>4128419.15</f>
        <v>4128419.15</v>
      </c>
      <c r="D101" s="127"/>
      <c r="E101" s="127"/>
      <c r="F101" s="128"/>
    </row>
  </sheetData>
  <sheetProtection/>
  <mergeCells count="52"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C97:F97"/>
    <mergeCell ref="I52:J52"/>
    <mergeCell ref="I53:J53"/>
    <mergeCell ref="I55:J55"/>
    <mergeCell ref="I56:J56"/>
    <mergeCell ref="I54:J54"/>
    <mergeCell ref="I49:J49"/>
    <mergeCell ref="F40:F41"/>
    <mergeCell ref="F39:H39"/>
    <mergeCell ref="G40:H40"/>
    <mergeCell ref="I48:J48"/>
    <mergeCell ref="I50:J50"/>
    <mergeCell ref="I51:J51"/>
    <mergeCell ref="I44:J44"/>
    <mergeCell ref="I45:J45"/>
    <mergeCell ref="I46:J46"/>
    <mergeCell ref="I47:J47"/>
    <mergeCell ref="C64:D64"/>
    <mergeCell ref="E64:F64"/>
    <mergeCell ref="C65:F65"/>
    <mergeCell ref="G65:H65"/>
    <mergeCell ref="I43:J43"/>
    <mergeCell ref="B1:M1"/>
    <mergeCell ref="B63:M63"/>
    <mergeCell ref="I39:J41"/>
    <mergeCell ref="D39:D41"/>
    <mergeCell ref="E39:E41"/>
    <mergeCell ref="L39:L41"/>
    <mergeCell ref="B2:B3"/>
    <mergeCell ref="C39:C41"/>
    <mergeCell ref="B39:B42"/>
    <mergeCell ref="K39:K41"/>
    <mergeCell ref="K42:L42"/>
    <mergeCell ref="F3:H3"/>
    <mergeCell ref="B37:M37"/>
    <mergeCell ref="C42:J42"/>
    <mergeCell ref="C3:E3"/>
    <mergeCell ref="C91:F91"/>
    <mergeCell ref="C81:D81"/>
    <mergeCell ref="E81:F81"/>
    <mergeCell ref="C82:F82"/>
    <mergeCell ref="G82:H82"/>
    <mergeCell ref="C90:F90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85" r:id="rId3"/>
  <headerFooter alignWithMargins="0">
    <oddFooter>&amp;RStrona &amp;P z &amp;N</oddFooter>
  </headerFooter>
  <rowBreaks count="3" manualBreakCount="3">
    <brk id="36" max="255" man="1"/>
    <brk id="62" max="255" man="1"/>
    <brk id="89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2017-03-30T11:49:59Z</cp:lastPrinted>
  <dcterms:created xsi:type="dcterms:W3CDTF">2001-05-17T08:58:03Z</dcterms:created>
  <dcterms:modified xsi:type="dcterms:W3CDTF">2019-04-08T09:41:50Z</dcterms:modified>
  <cp:category/>
  <cp:version/>
  <cp:contentType/>
  <cp:contentStatus/>
</cp:coreProperties>
</file>