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'doch_wyd'!$A$1:$L$79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<sst xmlns="http://schemas.openxmlformats.org/spreadsheetml/2006/main" count="96" uniqueCount="75">
  <si>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</si>
  <si>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</si>
  <si>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</si>
  <si>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</si>
  <si>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</si>
  <si>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</si>
  <si>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</si>
  <si>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</si>
  <si>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</si>
  <si>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</si>
  <si>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</si>
  <si>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</si>
  <si>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</si>
  <si>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</si>
  <si>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</si>
  <si>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</si>
  <si>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</si>
  <si>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</si>
  <si>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</si>
  <si>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</si>
  <si>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</si>
  <si>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</si>
  <si>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</si>
  <si>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</si>
  <si>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</si>
  <si>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</si>
  <si>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</si>
  <si>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</si>
  <si>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</si>
  <si>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</si>
  <si>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</si>
  <si>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</si>
  <si>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</si>
  <si>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</si>
  <si>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</si>
  <si>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</si>
  <si>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</si>
  <si>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</si>
  <si>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</si>
  <si>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</si>
  <si>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</si>
  <si>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</si>
  <si>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</si>
  <si>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</si>
  <si>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</si>
  <si>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</si>
  <si>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</si>
  <si>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</si>
  <si>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</si>
  <si>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</si>
  <si>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</si>
  <si>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</si>
  <si>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</si>
  <si>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</si>
  <si>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</si>
  <si>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</si>
  <si>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</si>
  <si>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</si>
  <si>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</si>
  <si>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</si>
  <si>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</si>
  <si>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</si>
  <si>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</si>
  <si>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</si>
  <si>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</si>
  <si>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</si>
  <si>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</si>
  <si>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</si>
  <si>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</si>
  <si>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</si>
  <si>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</si>
  <si>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</si>
  <si>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 xml:space="preserve">wydatki na wynagrodzenia i pochodne od wynagrodzeń </t>
  </si>
  <si>
    <t>niewykorzystane środki pieniężne o których mowa w art..217 ust.2 pkt.8 ustawy o finansach publicznych</t>
  </si>
  <si>
    <t xml:space="preserve">Informacja z wykonania budżetów związków jednostek samorządu terytorialnego za I Kwartał 2021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</si>
</sst>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0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8.75" customHeight="1">
      <c r="B1" s="98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ht="13.5" customHeight="1"/>
    <row r="3" spans="2:8" ht="66.75" customHeight="1">
      <c r="B3" s="89" t="s">
        <v>0</v>
      </c>
      <c r="C3" s="49" t="s">
        <v>59</v>
      </c>
      <c r="D3" s="49" t="s">
        <v>60</v>
      </c>
      <c r="E3" s="49" t="s">
        <v>61</v>
      </c>
      <c r="F3" s="51" t="s">
        <v>2</v>
      </c>
      <c r="G3" s="49" t="s">
        <v>18</v>
      </c>
      <c r="H3" s="49" t="s">
        <v>3</v>
      </c>
    </row>
    <row r="4" spans="2:8" ht="12.75">
      <c r="B4" s="89"/>
      <c r="C4" s="105" t="s">
        <v>39</v>
      </c>
      <c r="D4" s="105"/>
      <c r="E4" s="105"/>
      <c r="F4" s="105" t="s">
        <v>4</v>
      </c>
      <c r="G4" s="105"/>
      <c r="H4" s="105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3312663338.76</f>
        <v>3312663338.76</v>
      </c>
      <c r="D6" s="65">
        <f>700362305.02</f>
        <v>700362305.02</v>
      </c>
      <c r="E6" s="65">
        <f>686018008.07</f>
        <v>686018008.07</v>
      </c>
      <c r="F6" s="66">
        <f aca="true" t="shared" si="0" ref="F6:F31">IF($D$6=0,"",100*$D6/$D$6)</f>
        <v>100</v>
      </c>
      <c r="G6" s="66">
        <f>IF(C6=0,"",100*D6/C6)</f>
        <v>21.141970475096947</v>
      </c>
      <c r="H6" s="66"/>
    </row>
    <row r="7" spans="2:8" ht="22.5">
      <c r="B7" s="52" t="s">
        <v>29</v>
      </c>
      <c r="C7" s="15">
        <f>C6-C10</f>
        <v>2997687376.9300003</v>
      </c>
      <c r="D7" s="15">
        <f>D6-D10</f>
        <v>674432018.85</v>
      </c>
      <c r="E7" s="15">
        <f>E6-E10</f>
        <v>660372645.9000001</v>
      </c>
      <c r="F7" s="19">
        <f t="shared" si="0"/>
        <v>96.29758969262923</v>
      </c>
      <c r="G7" s="19">
        <f aca="true" t="shared" si="1" ref="G7:G31">IF(C7=0,"",100*D7/C7)</f>
        <v>22.49841074290746</v>
      </c>
      <c r="H7" s="19">
        <f>IF($D$7=0,"",100*$D7/$D$7)</f>
        <v>100</v>
      </c>
    </row>
    <row r="8" spans="2:8" ht="12.75">
      <c r="B8" s="67" t="s">
        <v>19</v>
      </c>
      <c r="C8" s="68">
        <f>67920099.88</f>
        <v>67920099.88</v>
      </c>
      <c r="D8" s="69">
        <f>16051468.57</f>
        <v>16051468.57</v>
      </c>
      <c r="E8" s="68">
        <f>16049191.83</f>
        <v>16049191.83</v>
      </c>
      <c r="F8" s="20">
        <f t="shared" si="0"/>
        <v>2.2918807101620957</v>
      </c>
      <c r="G8" s="20">
        <f t="shared" si="1"/>
        <v>23.632869501604745</v>
      </c>
      <c r="H8" s="20">
        <f>IF($D$7=0,"",100*$D8/$D$7)</f>
        <v>2.379998001484268</v>
      </c>
    </row>
    <row r="9" spans="2:8" ht="12.75">
      <c r="B9" s="67" t="s">
        <v>20</v>
      </c>
      <c r="C9" s="68">
        <f>C7-C8</f>
        <v>2929767277.05</v>
      </c>
      <c r="D9" s="68">
        <f>D7-D8</f>
        <v>658380550.28</v>
      </c>
      <c r="E9" s="68">
        <f>E7-E8</f>
        <v>644323454.07</v>
      </c>
      <c r="F9" s="20">
        <f t="shared" si="0"/>
        <v>94.00570898246714</v>
      </c>
      <c r="G9" s="20">
        <f t="shared" si="1"/>
        <v>22.472110854583892</v>
      </c>
      <c r="H9" s="20">
        <f>IF($D$7=0,"",100*$D9/$D$7)</f>
        <v>97.62000199851573</v>
      </c>
    </row>
    <row r="10" spans="2:8" ht="22.5">
      <c r="B10" s="64" t="s">
        <v>62</v>
      </c>
      <c r="C10" s="65">
        <f>C11+C24+C26</f>
        <v>314975961.83000004</v>
      </c>
      <c r="D10" s="65">
        <f>D11+D24+D26</f>
        <v>25930286.17</v>
      </c>
      <c r="E10" s="65">
        <f>E11+E24+E26</f>
        <v>25645362.17</v>
      </c>
      <c r="F10" s="66">
        <f t="shared" si="0"/>
        <v>3.7024103073707715</v>
      </c>
      <c r="G10" s="66">
        <f t="shared" si="1"/>
        <v>8.232465112367905</v>
      </c>
      <c r="H10" s="70"/>
    </row>
    <row r="11" spans="2:8" ht="22.5">
      <c r="B11" s="64" t="s">
        <v>30</v>
      </c>
      <c r="C11" s="65">
        <f>C12+C14+C16+C18+C20+C22</f>
        <v>18374443.35</v>
      </c>
      <c r="D11" s="65">
        <f>D12+D14+D16+D18+D20+D22</f>
        <v>4132495</v>
      </c>
      <c r="E11" s="65">
        <f>E12+E14+E16+E18+E20+E22</f>
        <v>3847571</v>
      </c>
      <c r="F11" s="66">
        <f t="shared" si="0"/>
        <v>0.5900510307849863</v>
      </c>
      <c r="G11" s="66">
        <f t="shared" si="1"/>
        <v>22.49045003042228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122430</f>
        <v>122430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  <v>0</v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14535930.35</f>
        <v>14535930.35</v>
      </c>
      <c r="D18" s="68">
        <f>4030415.77</f>
        <v>4030415.77</v>
      </c>
      <c r="E18" s="68">
        <f>3745491.77</f>
        <v>3745491.77</v>
      </c>
      <c r="F18" s="20">
        <f t="shared" si="0"/>
        <v>0.5754758274554632</v>
      </c>
      <c r="G18" s="20">
        <f t="shared" si="1"/>
        <v>27.727263910562147</v>
      </c>
      <c r="H18" s="17"/>
    </row>
    <row r="19" spans="2:8" ht="13.5" customHeight="1">
      <c r="B19" s="71" t="s">
        <v>6</v>
      </c>
      <c r="C19" s="68">
        <f>116960</f>
        <v>116960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3649373</f>
        <v>3649373</v>
      </c>
      <c r="D20" s="68">
        <f>35369.65</f>
        <v>35369.65</v>
      </c>
      <c r="E20" s="68">
        <f>35369.65</f>
        <v>35369.65</v>
      </c>
      <c r="F20" s="20">
        <f t="shared" si="0"/>
        <v>0.005050193270894264</v>
      </c>
      <c r="G20" s="20">
        <f t="shared" si="1"/>
        <v>0.9691979964777511</v>
      </c>
      <c r="H20" s="17"/>
    </row>
    <row r="21" spans="2:8" ht="12.75">
      <c r="B21" s="71" t="s">
        <v>6</v>
      </c>
      <c r="C21" s="68">
        <f>3333600</f>
        <v>3333600</v>
      </c>
      <c r="D21" s="68">
        <f>0</f>
        <v>0</v>
      </c>
      <c r="E21" s="68">
        <f>0</f>
        <v>0</v>
      </c>
      <c r="F21" s="20">
        <f t="shared" si="0"/>
        <v>0</v>
      </c>
      <c r="G21" s="20">
        <f t="shared" si="1"/>
        <v>0</v>
      </c>
      <c r="H21" s="17"/>
    </row>
    <row r="22" spans="2:8" ht="12.75">
      <c r="B22" s="67" t="s">
        <v>8</v>
      </c>
      <c r="C22" s="68">
        <f>66710</f>
        <v>66710</v>
      </c>
      <c r="D22" s="68">
        <f>66709.58</f>
        <v>66709.58</v>
      </c>
      <c r="E22" s="68">
        <f>66709.58</f>
        <v>66709.58</v>
      </c>
      <c r="F22" s="20">
        <f t="shared" si="0"/>
        <v>0.00952501005862887</v>
      </c>
      <c r="G22" s="20">
        <f t="shared" si="1"/>
        <v>99.999370409234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6760977.62</f>
        <v>6760977.62</v>
      </c>
      <c r="D24" s="15">
        <f>0</f>
        <v>0</v>
      </c>
      <c r="E24" s="15">
        <f>0</f>
        <v>0</v>
      </c>
      <c r="F24" s="19">
        <f t="shared" si="0"/>
        <v>0</v>
      </c>
      <c r="G24" s="19">
        <f t="shared" si="1"/>
        <v>0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6715977.62</f>
        <v>6715977.62</v>
      </c>
      <c r="D25" s="14">
        <f>0</f>
        <v>0</v>
      </c>
      <c r="E25" s="14">
        <f>0</f>
        <v>0</v>
      </c>
      <c r="F25" s="20">
        <f t="shared" si="0"/>
        <v>0</v>
      </c>
      <c r="G25" s="20">
        <f t="shared" si="1"/>
        <v>0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48</v>
      </c>
      <c r="C26" s="73">
        <f>289840540.86</f>
        <v>289840540.86</v>
      </c>
      <c r="D26" s="73">
        <f>21797791.17</f>
        <v>21797791.17</v>
      </c>
      <c r="E26" s="73">
        <f>21797791.17</f>
        <v>21797791.17</v>
      </c>
      <c r="F26" s="74">
        <f t="shared" si="0"/>
        <v>3.112359276585785</v>
      </c>
      <c r="G26" s="74">
        <f t="shared" si="1"/>
        <v>7.520614992410209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49</v>
      </c>
      <c r="C27" s="14">
        <f>260412456.41</f>
        <v>260412456.41</v>
      </c>
      <c r="D27" s="14">
        <f>19394134.34</f>
        <v>19394134.34</v>
      </c>
      <c r="E27" s="14">
        <f>19394134.34</f>
        <v>19394134.34</v>
      </c>
      <c r="F27" s="20">
        <f t="shared" si="0"/>
        <v>2.7691573634086675</v>
      </c>
      <c r="G27" s="20">
        <f t="shared" si="1"/>
        <v>7.447467992646781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3312663338.76</v>
      </c>
      <c r="D29" s="73">
        <f>+D6</f>
        <v>700362305.02</v>
      </c>
      <c r="E29" s="73">
        <f>+E6</f>
        <v>686018008.07</v>
      </c>
      <c r="F29" s="74">
        <f t="shared" si="0"/>
        <v>100</v>
      </c>
      <c r="G29" s="74">
        <f t="shared" si="1"/>
        <v>21.141970475096947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50</v>
      </c>
      <c r="C30" s="14">
        <f>356596643.1</f>
        <v>356596643.1</v>
      </c>
      <c r="D30" s="14">
        <f>29926203.08</f>
        <v>29926203.08</v>
      </c>
      <c r="E30" s="14">
        <f>29505203.08</f>
        <v>29505203.08</v>
      </c>
      <c r="F30" s="20">
        <f t="shared" si="0"/>
        <v>4.272960275774038</v>
      </c>
      <c r="G30" s="20">
        <f t="shared" si="1"/>
        <v>8.392171844312013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51</v>
      </c>
      <c r="C31" s="14">
        <f>C29-C30</f>
        <v>2956066695.6600003</v>
      </c>
      <c r="D31" s="14">
        <f>D29-D30</f>
        <v>670436101.9399999</v>
      </c>
      <c r="E31" s="14">
        <f>E29-E30</f>
        <v>656512804.99</v>
      </c>
      <c r="F31" s="20">
        <f t="shared" si="0"/>
        <v>95.72703972422596</v>
      </c>
      <c r="G31" s="20">
        <f t="shared" si="1"/>
        <v>22.68000593235302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98" t="s">
        <v>74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89" t="s">
        <v>0</v>
      </c>
      <c r="C35" s="90" t="s">
        <v>52</v>
      </c>
      <c r="D35" s="90" t="s">
        <v>53</v>
      </c>
      <c r="E35" s="90" t="s">
        <v>54</v>
      </c>
      <c r="F35" s="90" t="s">
        <v>12</v>
      </c>
      <c r="G35" s="90"/>
      <c r="H35" s="90"/>
      <c r="I35" s="90" t="s">
        <v>55</v>
      </c>
      <c r="J35" s="90"/>
      <c r="K35" s="90" t="s">
        <v>2</v>
      </c>
      <c r="L35" s="88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89"/>
      <c r="C36" s="90"/>
      <c r="D36" s="106"/>
      <c r="E36" s="90"/>
      <c r="F36" s="102" t="s">
        <v>56</v>
      </c>
      <c r="G36" s="107" t="s">
        <v>24</v>
      </c>
      <c r="H36" s="106"/>
      <c r="I36" s="90"/>
      <c r="J36" s="90"/>
      <c r="K36" s="90"/>
      <c r="L36" s="88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89"/>
      <c r="C37" s="90"/>
      <c r="D37" s="106"/>
      <c r="E37" s="90"/>
      <c r="F37" s="106"/>
      <c r="G37" s="48" t="s">
        <v>57</v>
      </c>
      <c r="H37" s="48" t="s">
        <v>58</v>
      </c>
      <c r="I37" s="90"/>
      <c r="J37" s="90"/>
      <c r="K37" s="90"/>
      <c r="L37" s="88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89"/>
      <c r="C38" s="105" t="s">
        <v>39</v>
      </c>
      <c r="D38" s="105"/>
      <c r="E38" s="105"/>
      <c r="F38" s="105"/>
      <c r="G38" s="105"/>
      <c r="H38" s="105"/>
      <c r="I38" s="105"/>
      <c r="J38" s="105"/>
      <c r="K38" s="105" t="s">
        <v>4</v>
      </c>
      <c r="L38" s="105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106">
        <v>8</v>
      </c>
      <c r="J39" s="106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3655259904.76</f>
        <v>3655259904.76</v>
      </c>
      <c r="D40" s="75">
        <f>1673629731.77</f>
        <v>1673629731.77</v>
      </c>
      <c r="E40" s="75">
        <f>619064017.82</f>
        <v>619064017.82</v>
      </c>
      <c r="F40" s="75">
        <f>192108978.16</f>
        <v>192108978.16</v>
      </c>
      <c r="G40" s="75">
        <f>0</f>
        <v>0</v>
      </c>
      <c r="H40" s="75">
        <f>0</f>
        <v>0</v>
      </c>
      <c r="I40" s="113">
        <f>0</f>
        <v>0</v>
      </c>
      <c r="J40" s="113"/>
      <c r="K40" s="42">
        <f aca="true" t="shared" si="2" ref="K40:K49">IF($E$40=0,"",100*$E40/$E$40)</f>
        <v>100</v>
      </c>
      <c r="L40" s="42">
        <f aca="true" t="shared" si="3" ref="L40:L49">IF(C40=0,"",100*E40/C40)</f>
        <v>16.936251701659696</v>
      </c>
      <c r="M40" s="22"/>
    </row>
    <row r="41" spans="2:13" ht="12.75">
      <c r="B41" s="52" t="s">
        <v>14</v>
      </c>
      <c r="C41" s="16">
        <f>775324578.06</f>
        <v>775324578.06</v>
      </c>
      <c r="D41" s="16">
        <f>275747566.67</f>
        <v>275747566.67</v>
      </c>
      <c r="E41" s="16">
        <f>49084412.24</f>
        <v>49084412.24</v>
      </c>
      <c r="F41" s="16">
        <f>4616934.11</f>
        <v>4616934.11</v>
      </c>
      <c r="G41" s="16">
        <f>0</f>
        <v>0</v>
      </c>
      <c r="H41" s="16">
        <f>0</f>
        <v>0</v>
      </c>
      <c r="I41" s="109">
        <f>0</f>
        <v>0</v>
      </c>
      <c r="J41" s="114"/>
      <c r="K41" s="21">
        <f t="shared" si="2"/>
        <v>7.928810402007867</v>
      </c>
      <c r="L41" s="21">
        <f t="shared" si="3"/>
        <v>6.330821133365581</v>
      </c>
      <c r="M41" s="22"/>
    </row>
    <row r="42" spans="2:13" ht="12.75">
      <c r="B42" s="67" t="s">
        <v>13</v>
      </c>
      <c r="C42" s="68">
        <f>719276028.06</f>
        <v>719276028.06</v>
      </c>
      <c r="D42" s="68">
        <f>263841098.67</f>
        <v>263841098.67</v>
      </c>
      <c r="E42" s="68">
        <f>37182967.24</f>
        <v>37182967.24</v>
      </c>
      <c r="F42" s="68">
        <f>4616934.11</f>
        <v>4616934.11</v>
      </c>
      <c r="G42" s="68">
        <f>0</f>
        <v>0</v>
      </c>
      <c r="H42" s="68">
        <f>0</f>
        <v>0</v>
      </c>
      <c r="I42" s="108">
        <f>0</f>
        <v>0</v>
      </c>
      <c r="J42" s="108"/>
      <c r="K42" s="77">
        <f t="shared" si="2"/>
        <v>6.006320214012402</v>
      </c>
      <c r="L42" s="77">
        <f t="shared" si="3"/>
        <v>5.169499022550256</v>
      </c>
      <c r="M42" s="22"/>
    </row>
    <row r="43" spans="2:13" ht="22.5">
      <c r="B43" s="64" t="s">
        <v>32</v>
      </c>
      <c r="C43" s="76">
        <f aca="true" t="shared" si="4" ref="C43:I43">C40-C41</f>
        <v>2879935326.7000003</v>
      </c>
      <c r="D43" s="76">
        <f t="shared" si="4"/>
        <v>1397882165.1</v>
      </c>
      <c r="E43" s="76">
        <f t="shared" si="4"/>
        <v>569979605.58</v>
      </c>
      <c r="F43" s="76">
        <f t="shared" si="4"/>
        <v>187492044.04999998</v>
      </c>
      <c r="G43" s="76">
        <f t="shared" si="4"/>
        <v>0</v>
      </c>
      <c r="H43" s="76">
        <f t="shared" si="4"/>
        <v>0</v>
      </c>
      <c r="I43" s="109">
        <f t="shared" si="4"/>
        <v>0</v>
      </c>
      <c r="J43" s="109"/>
      <c r="K43" s="42">
        <f t="shared" si="2"/>
        <v>92.07118959799213</v>
      </c>
      <c r="L43" s="42">
        <f t="shared" si="3"/>
        <v>19.791402962965712</v>
      </c>
      <c r="M43" s="22"/>
    </row>
    <row r="44" spans="2:13" ht="22.5">
      <c r="B44" s="67" t="s">
        <v>72</v>
      </c>
      <c r="C44" s="68">
        <f>219947320.15</f>
        <v>219947320.15</v>
      </c>
      <c r="D44" s="68">
        <f>156845492.76</f>
        <v>156845492.76</v>
      </c>
      <c r="E44" s="68">
        <f>52164450.44</f>
        <v>52164450.44</v>
      </c>
      <c r="F44" s="68">
        <f>7406345.13</f>
        <v>7406345.13</v>
      </c>
      <c r="G44" s="68">
        <f>0</f>
        <v>0</v>
      </c>
      <c r="H44" s="68">
        <f>0</f>
        <v>0</v>
      </c>
      <c r="I44" s="108">
        <f>0</f>
        <v>0</v>
      </c>
      <c r="J44" s="108"/>
      <c r="K44" s="77">
        <f t="shared" si="2"/>
        <v>8.426341854545875</v>
      </c>
      <c r="L44" s="77">
        <f t="shared" si="3"/>
        <v>23.716792914059972</v>
      </c>
      <c r="M44" s="22"/>
    </row>
    <row r="45" spans="2:13" ht="12.75">
      <c r="B45" s="67" t="s">
        <v>28</v>
      </c>
      <c r="C45" s="79">
        <f>21464750.95</f>
        <v>21464750.95</v>
      </c>
      <c r="D45" s="79">
        <f>11667818.68</f>
        <v>11667818.68</v>
      </c>
      <c r="E45" s="79">
        <f>3374962.51</f>
        <v>3374962.51</v>
      </c>
      <c r="F45" s="79">
        <f>375871.8</f>
        <v>375871.8</v>
      </c>
      <c r="G45" s="79">
        <f>0</f>
        <v>0</v>
      </c>
      <c r="H45" s="79">
        <f>0</f>
        <v>0</v>
      </c>
      <c r="I45" s="110">
        <f>0</f>
        <v>0</v>
      </c>
      <c r="J45" s="110"/>
      <c r="K45" s="77">
        <f t="shared" si="2"/>
        <v>0.5451718098371708</v>
      </c>
      <c r="L45" s="77">
        <f t="shared" si="3"/>
        <v>15.723278214881875</v>
      </c>
      <c r="M45" s="22"/>
    </row>
    <row r="46" spans="2:13" ht="12.75">
      <c r="B46" s="67" t="s">
        <v>27</v>
      </c>
      <c r="C46" s="68">
        <f>11279675.82</f>
        <v>11279675.82</v>
      </c>
      <c r="D46" s="68">
        <f>4071696.04</f>
        <v>4071696.04</v>
      </c>
      <c r="E46" s="68">
        <f>1544813.35</f>
        <v>1544813.35</v>
      </c>
      <c r="F46" s="68">
        <f>73671.18</f>
        <v>73671.18</v>
      </c>
      <c r="G46" s="68">
        <f>0</f>
        <v>0</v>
      </c>
      <c r="H46" s="68">
        <f>0</f>
        <v>0</v>
      </c>
      <c r="I46" s="108">
        <f>0</f>
        <v>0</v>
      </c>
      <c r="J46" s="108"/>
      <c r="K46" s="77">
        <f t="shared" si="2"/>
        <v>0.24954016152319358</v>
      </c>
      <c r="L46" s="77">
        <f t="shared" si="3"/>
        <v>13.695547413347558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110">
        <f>0</f>
        <v>0</v>
      </c>
      <c r="J47" s="110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2609413</f>
        <v>2609413</v>
      </c>
      <c r="D48" s="79">
        <f>1337736.36</f>
        <v>1337736.36</v>
      </c>
      <c r="E48" s="79">
        <f>282231.66</f>
        <v>282231.66</v>
      </c>
      <c r="F48" s="79">
        <f>67703.58</f>
        <v>67703.58</v>
      </c>
      <c r="G48" s="79">
        <f>0</f>
        <v>0</v>
      </c>
      <c r="H48" s="79">
        <f>0</f>
        <v>0</v>
      </c>
      <c r="I48" s="111">
        <f>0</f>
        <v>0</v>
      </c>
      <c r="J48" s="112"/>
      <c r="K48" s="77">
        <f t="shared" si="2"/>
        <v>0.04559006045834537</v>
      </c>
      <c r="L48" s="77">
        <f t="shared" si="3"/>
        <v>10.815906106085926</v>
      </c>
      <c r="M48" s="22"/>
    </row>
    <row r="49" spans="2:13" ht="12.75">
      <c r="B49" s="67" t="s">
        <v>26</v>
      </c>
      <c r="C49" s="68">
        <f aca="true" t="shared" si="5" ref="C49:I49">C43-C44-C45-C46-C47-C48</f>
        <v>2624634166.78</v>
      </c>
      <c r="D49" s="68">
        <f t="shared" si="5"/>
        <v>1223959421.26</v>
      </c>
      <c r="E49" s="68">
        <f t="shared" si="5"/>
        <v>512613147.62</v>
      </c>
      <c r="F49" s="68">
        <f t="shared" si="5"/>
        <v>179568452.35999995</v>
      </c>
      <c r="G49" s="68">
        <f t="shared" si="5"/>
        <v>0</v>
      </c>
      <c r="H49" s="68">
        <f t="shared" si="5"/>
        <v>0</v>
      </c>
      <c r="I49" s="111">
        <f t="shared" si="5"/>
        <v>0</v>
      </c>
      <c r="J49" s="112"/>
      <c r="K49" s="77">
        <f t="shared" si="2"/>
        <v>82.80454571162754</v>
      </c>
      <c r="L49" s="77">
        <f t="shared" si="3"/>
        <v>19.530841825811216</v>
      </c>
      <c r="M49" s="22"/>
    </row>
    <row r="50" spans="2:13" ht="12.75">
      <c r="B50" s="64" t="s">
        <v>15</v>
      </c>
      <c r="C50" s="76">
        <f>C6-C40</f>
        <v>-342596566</v>
      </c>
      <c r="D50" s="76"/>
      <c r="E50" s="76">
        <f>D6-E40</f>
        <v>81298287.19999993</v>
      </c>
      <c r="F50" s="76"/>
      <c r="G50" s="76"/>
      <c r="H50" s="76"/>
      <c r="I50" s="109"/>
      <c r="J50" s="109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98" t="s">
        <v>74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63"/>
    </row>
    <row r="53" spans="2:13" ht="12.75">
      <c r="B53" s="58" t="s">
        <v>16</v>
      </c>
      <c r="C53" s="100" t="s">
        <v>17</v>
      </c>
      <c r="D53" s="101"/>
      <c r="E53" s="100" t="s">
        <v>1</v>
      </c>
      <c r="F53" s="101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102" t="s">
        <v>39</v>
      </c>
      <c r="D54" s="103"/>
      <c r="E54" s="103"/>
      <c r="F54" s="104"/>
      <c r="G54" s="86" t="s">
        <v>4</v>
      </c>
      <c r="H54" s="87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432223409.11</f>
        <v>432223409.11</v>
      </c>
      <c r="D56" s="30"/>
      <c r="E56" s="29">
        <f>901348820.15</f>
        <v>901348820.15</v>
      </c>
      <c r="F56" s="30"/>
      <c r="G56" s="26">
        <f>IF($E$56=0,"",100*$E56/$E$56)</f>
        <v>100</v>
      </c>
      <c r="H56" s="21">
        <f>IF(C56=0,"",100*E56/C56)</f>
        <v>208.53771479105808</v>
      </c>
      <c r="I56" s="47"/>
      <c r="J56" s="47"/>
      <c r="K56" s="47"/>
      <c r="L56" s="47"/>
      <c r="M56" s="47"/>
    </row>
    <row r="57" spans="2:13" ht="22.5">
      <c r="B57" s="23" t="s">
        <v>63</v>
      </c>
      <c r="C57" s="31">
        <f>56095311</f>
        <v>56095311</v>
      </c>
      <c r="D57" s="32"/>
      <c r="E57" s="31">
        <f>10879774.72</f>
        <v>10879774.72</v>
      </c>
      <c r="F57" s="32"/>
      <c r="G57" s="40">
        <f aca="true" t="shared" si="6" ref="G57:G64">IF($E$56=0,"",100*$E57/$E$56)</f>
        <v>1.2070548578728286</v>
      </c>
      <c r="H57" s="41">
        <f aca="true" t="shared" si="7" ref="H57:H69">IF(C57=0,"",100*E57/C57)</f>
        <v>19.395158928702614</v>
      </c>
      <c r="I57" s="47"/>
      <c r="J57" s="47"/>
      <c r="K57" s="47"/>
      <c r="L57" s="47"/>
      <c r="M57" s="47"/>
    </row>
    <row r="58" spans="2:13" ht="22.5">
      <c r="B58" s="81" t="s">
        <v>64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65</v>
      </c>
      <c r="C59" s="82">
        <f>100000</f>
        <v>100000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  <v>0</v>
      </c>
      <c r="I59" s="47"/>
      <c r="J59" s="47"/>
      <c r="K59" s="47"/>
      <c r="L59" s="47"/>
      <c r="M59" s="47"/>
    </row>
    <row r="60" spans="2:13" ht="12.75">
      <c r="B60" s="85" t="s">
        <v>66</v>
      </c>
      <c r="C60" s="82">
        <f>336763713.48</f>
        <v>336763713.48</v>
      </c>
      <c r="D60" s="83"/>
      <c r="E60" s="82">
        <f>815426736.19</f>
        <v>815426736.19</v>
      </c>
      <c r="F60" s="83"/>
      <c r="G60" s="84">
        <f t="shared" si="6"/>
        <v>90.46738820319295</v>
      </c>
      <c r="H60" s="78">
        <f t="shared" si="7"/>
        <v>242.1361635918732</v>
      </c>
      <c r="I60" s="47"/>
      <c r="J60" s="47"/>
      <c r="K60" s="47"/>
      <c r="L60" s="47"/>
      <c r="M60" s="47"/>
    </row>
    <row r="61" spans="2:13" ht="35.25" customHeight="1">
      <c r="B61" s="85" t="s">
        <v>73</v>
      </c>
      <c r="C61" s="82">
        <f>3847674</f>
        <v>3847674</v>
      </c>
      <c r="D61" s="83"/>
      <c r="E61" s="82">
        <f>5281612.08</f>
        <v>5281612.08</v>
      </c>
      <c r="F61" s="83"/>
      <c r="G61" s="84">
        <f t="shared" si="6"/>
        <v>0.5859676034324923</v>
      </c>
      <c r="H61" s="78">
        <f t="shared" si="7"/>
        <v>137.2676604098996</v>
      </c>
      <c r="I61" s="47"/>
      <c r="J61" s="47"/>
      <c r="K61" s="47"/>
      <c r="L61" s="47"/>
      <c r="M61" s="47"/>
    </row>
    <row r="62" spans="2:13" ht="12.75">
      <c r="B62" s="85" t="s">
        <v>67</v>
      </c>
      <c r="C62" s="82">
        <f>0</f>
        <v>0</v>
      </c>
      <c r="D62" s="83"/>
      <c r="E62" s="82">
        <f>0</f>
        <v>0</v>
      </c>
      <c r="F62" s="83"/>
      <c r="G62" s="84">
        <f t="shared" si="6"/>
        <v>0</v>
      </c>
      <c r="H62" s="78">
        <f t="shared" si="7"/>
      </c>
      <c r="I62" s="47"/>
      <c r="J62" s="47"/>
      <c r="K62" s="47"/>
      <c r="L62" s="47"/>
      <c r="M62" s="47"/>
    </row>
    <row r="63" spans="2:13" ht="33.75">
      <c r="B63" s="85" t="s">
        <v>68</v>
      </c>
      <c r="C63" s="82">
        <f>35266710.63</f>
        <v>35266710.63</v>
      </c>
      <c r="D63" s="83"/>
      <c r="E63" s="82">
        <f>69760697.16</f>
        <v>69760697.16</v>
      </c>
      <c r="F63" s="83"/>
      <c r="G63" s="84">
        <f t="shared" si="6"/>
        <v>7.739589335501723</v>
      </c>
      <c r="H63" s="78">
        <f t="shared" si="7"/>
        <v>197.8089136009677</v>
      </c>
      <c r="I63" s="47"/>
      <c r="J63" s="47"/>
      <c r="K63" s="47"/>
      <c r="L63" s="47"/>
      <c r="M63" s="47"/>
    </row>
    <row r="64" spans="2:13" ht="12.75">
      <c r="B64" s="81" t="s">
        <v>41</v>
      </c>
      <c r="C64" s="82">
        <f>150000</f>
        <v>150000</v>
      </c>
      <c r="D64" s="83"/>
      <c r="E64" s="82">
        <f>0</f>
        <v>0</v>
      </c>
      <c r="F64" s="83"/>
      <c r="G64" s="84">
        <f t="shared" si="6"/>
        <v>0</v>
      </c>
      <c r="H64" s="78">
        <f t="shared" si="7"/>
        <v>0</v>
      </c>
      <c r="I64" s="47"/>
      <c r="J64" s="47"/>
      <c r="K64" s="47"/>
      <c r="L64" s="47"/>
      <c r="M64" s="47"/>
    </row>
    <row r="65" spans="2:13" ht="22.5">
      <c r="B65" s="56" t="s">
        <v>34</v>
      </c>
      <c r="C65" s="37">
        <f>89626843.11</f>
        <v>89626843.11</v>
      </c>
      <c r="D65" s="38"/>
      <c r="E65" s="37">
        <f>13060088.69</f>
        <v>13060088.69</v>
      </c>
      <c r="F65" s="38"/>
      <c r="G65" s="26">
        <f>IF($E$65=0,"",100*$E65/$E$65)</f>
        <v>100</v>
      </c>
      <c r="H65" s="21">
        <f t="shared" si="7"/>
        <v>14.571626353023738</v>
      </c>
      <c r="I65" s="47"/>
      <c r="J65" s="47"/>
      <c r="K65" s="47"/>
      <c r="L65" s="47"/>
      <c r="M65" s="47"/>
    </row>
    <row r="66" spans="2:13" ht="33.75">
      <c r="B66" s="23" t="s">
        <v>69</v>
      </c>
      <c r="C66" s="31">
        <f>36683341.71</f>
        <v>36683341.71</v>
      </c>
      <c r="D66" s="35"/>
      <c r="E66" s="36">
        <f>8915543.91</f>
        <v>8915543.91</v>
      </c>
      <c r="F66" s="35"/>
      <c r="G66" s="40">
        <f>IF($E$65=0,"",100*$E66/$E$65)</f>
        <v>68.26556941245397</v>
      </c>
      <c r="H66" s="41">
        <f t="shared" si="7"/>
        <v>24.30406689903497</v>
      </c>
      <c r="I66" s="47"/>
      <c r="J66" s="47"/>
      <c r="K66" s="47"/>
      <c r="L66" s="47"/>
      <c r="M66" s="47"/>
    </row>
    <row r="67" spans="2:13" ht="12.75">
      <c r="B67" s="85" t="s">
        <v>70</v>
      </c>
      <c r="C67" s="82">
        <f>0</f>
        <v>0</v>
      </c>
      <c r="D67" s="83"/>
      <c r="E67" s="82">
        <f>0</f>
        <v>0</v>
      </c>
      <c r="F67" s="83"/>
      <c r="G67" s="84">
        <f>IF($E$65=0,"",100*$E67/$E$65)</f>
        <v>0</v>
      </c>
      <c r="H67" s="78">
        <f t="shared" si="7"/>
      </c>
      <c r="I67" s="47"/>
      <c r="J67" s="47"/>
      <c r="K67" s="47"/>
      <c r="L67" s="47"/>
      <c r="M67" s="47"/>
    </row>
    <row r="68" spans="2:13" ht="12.75">
      <c r="B68" s="85" t="s">
        <v>71</v>
      </c>
      <c r="C68" s="82">
        <f>50250000</f>
        <v>50250000</v>
      </c>
      <c r="D68" s="83"/>
      <c r="E68" s="82">
        <f>150000</f>
        <v>150000</v>
      </c>
      <c r="F68" s="83"/>
      <c r="G68" s="84">
        <f>IF($E$65=0,"",100*$E68/$E$65)</f>
        <v>1.1485373764333908</v>
      </c>
      <c r="H68" s="78">
        <f t="shared" si="7"/>
        <v>0.29850746268656714</v>
      </c>
      <c r="I68" s="47"/>
      <c r="J68" s="47"/>
      <c r="K68" s="47"/>
      <c r="L68" s="47"/>
      <c r="M68" s="47"/>
    </row>
    <row r="69" spans="2:13" ht="12.75">
      <c r="B69" s="85" t="s">
        <v>23</v>
      </c>
      <c r="C69" s="82">
        <f>2693501.4</f>
        <v>2693501.4</v>
      </c>
      <c r="D69" s="83"/>
      <c r="E69" s="82">
        <f>3994544.78</f>
        <v>3994544.78</v>
      </c>
      <c r="F69" s="83"/>
      <c r="G69" s="84">
        <f>IF($E$65=0,"",100*$E69/$E$65)</f>
        <v>30.585893211112644</v>
      </c>
      <c r="H69" s="78">
        <f t="shared" si="7"/>
        <v>148.30305193084362</v>
      </c>
      <c r="I69" s="47"/>
      <c r="J69" s="47"/>
      <c r="K69" s="47"/>
      <c r="L69" s="47"/>
      <c r="M69" s="47"/>
    </row>
    <row r="70" spans="2:13" ht="12.75">
      <c r="B70" s="22"/>
      <c r="C70" s="22"/>
      <c r="D70" s="22"/>
      <c r="E70" s="22"/>
      <c r="F70" s="22"/>
      <c r="G70" s="22"/>
      <c r="H70" s="22"/>
      <c r="I70" s="47"/>
      <c r="J70" s="47"/>
      <c r="K70" s="47"/>
      <c r="L70" s="47"/>
      <c r="M70" s="47"/>
    </row>
    <row r="71" spans="2:13" ht="12.75">
      <c r="B71" s="55" t="s">
        <v>16</v>
      </c>
      <c r="C71" s="91" t="s">
        <v>17</v>
      </c>
      <c r="D71" s="92"/>
      <c r="E71" s="91" t="s">
        <v>1</v>
      </c>
      <c r="F71" s="92"/>
      <c r="G71" s="13" t="s">
        <v>21</v>
      </c>
      <c r="H71" s="13" t="s">
        <v>22</v>
      </c>
      <c r="I71" s="47"/>
      <c r="J71" s="47"/>
      <c r="K71" s="47"/>
      <c r="L71" s="47"/>
      <c r="M71" s="47"/>
    </row>
    <row r="72" spans="2:13" ht="12.75">
      <c r="B72" s="55"/>
      <c r="C72" s="93" t="s">
        <v>39</v>
      </c>
      <c r="D72" s="94"/>
      <c r="E72" s="94"/>
      <c r="F72" s="95"/>
      <c r="G72" s="96" t="s">
        <v>4</v>
      </c>
      <c r="H72" s="97"/>
      <c r="I72" s="47"/>
      <c r="J72" s="47"/>
      <c r="K72" s="47"/>
      <c r="L72" s="47"/>
      <c r="M72" s="47"/>
    </row>
    <row r="73" spans="2:13" ht="12.75">
      <c r="B73" s="24">
        <v>1</v>
      </c>
      <c r="C73" s="27">
        <v>2</v>
      </c>
      <c r="D73" s="28"/>
      <c r="E73" s="27">
        <v>3</v>
      </c>
      <c r="F73" s="28"/>
      <c r="G73" s="25">
        <v>4</v>
      </c>
      <c r="H73" s="25">
        <v>5</v>
      </c>
      <c r="I73" s="47"/>
      <c r="J73" s="47"/>
      <c r="K73" s="47"/>
      <c r="L73" s="47"/>
      <c r="M73" s="47"/>
    </row>
    <row r="74" spans="2:13" ht="22.5">
      <c r="B74" s="39" t="s">
        <v>42</v>
      </c>
      <c r="C74" s="34">
        <f>346078125</f>
        <v>346078125</v>
      </c>
      <c r="D74" s="33"/>
      <c r="E74" s="34">
        <f>0</f>
        <v>0</v>
      </c>
      <c r="F74" s="30"/>
      <c r="G74" s="26"/>
      <c r="H74" s="21"/>
      <c r="I74" s="47"/>
      <c r="J74" s="47"/>
      <c r="K74" s="47"/>
      <c r="L74" s="47"/>
      <c r="M74" s="47"/>
    </row>
    <row r="75" spans="2:13" ht="45">
      <c r="B75" s="44" t="s">
        <v>43</v>
      </c>
      <c r="C75" s="36">
        <f>0</f>
        <v>0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12.75">
      <c r="B76" s="44" t="s">
        <v>44</v>
      </c>
      <c r="C76" s="36">
        <f>43522893.4</f>
        <v>43522893.4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22.5">
      <c r="B77" s="44" t="s">
        <v>45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33.75">
      <c r="B78" s="44" t="s">
        <v>46</v>
      </c>
      <c r="C78" s="36">
        <f>15537761.13</f>
        <v>15537761.13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98.25" customHeight="1">
      <c r="B79" s="44" t="s">
        <v>47</v>
      </c>
      <c r="C79" s="36">
        <f>15537761.13</f>
        <v>15537761.13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13.5" customHeigh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</sheetData>
  <sheetProtection/>
  <mergeCells count="38">
    <mergeCell ref="I39:J39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B3:B4"/>
    <mergeCell ref="F36:F37"/>
    <mergeCell ref="F35:H35"/>
    <mergeCell ref="G36:H36"/>
    <mergeCell ref="C4:E4"/>
    <mergeCell ref="C38:J38"/>
    <mergeCell ref="C35:C37"/>
    <mergeCell ref="C72:F72"/>
    <mergeCell ref="G72:H72"/>
    <mergeCell ref="B1:L1"/>
    <mergeCell ref="B33:L33"/>
    <mergeCell ref="B52:L52"/>
    <mergeCell ref="C53:D53"/>
    <mergeCell ref="E53:F53"/>
    <mergeCell ref="C54:F54"/>
    <mergeCell ref="F4:H4"/>
    <mergeCell ref="I35:J37"/>
    <mergeCell ref="G54:H54"/>
    <mergeCell ref="L35:L37"/>
    <mergeCell ref="B35:B38"/>
    <mergeCell ref="K35:K37"/>
    <mergeCell ref="C71:D71"/>
    <mergeCell ref="E71:F71"/>
    <mergeCell ref="D35:D37"/>
    <mergeCell ref="I42:J42"/>
    <mergeCell ref="I43:J43"/>
    <mergeCell ref="I45:J45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2" manualBreakCount="2">
    <brk id="31" max="11" man="1"/>
    <brk id="5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2021-05-31T09:48:36Z</dcterms:modified>
  <cp:category/>
  <cp:version/>
  <cp:contentType/>
  <cp:contentStatus/>
</cp:coreProperties>
</file>