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'doch_wyd'!$A$1:$M$116</definedName>
  </definedNames>
  <calcPr fullCalcOnLoad="1"/>
</workbook>
</file>

<file path=xl/sharedStrings.xml><?xml version="1.0" encoding="utf-8"?>
<sst xmlns="http://schemas.openxmlformats.org/spreadsheetml/2006/main" count="458" uniqueCount="114">
  <si>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</si>
  <si>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</si>
  <si>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</si>
  <si>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</si>
  <si>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</si>
  <si>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</si>
  <si>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</si>
  <si>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</si>
  <si>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</si>
  <si>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</si>
  <si>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</si>
  <si>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</si>
  <si>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</si>
  <si>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</si>
  <si>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</si>
  <si>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</si>
  <si>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</si>
  <si>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</si>
  <si>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</si>
  <si>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</si>
  <si>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</si>
  <si>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</si>
  <si>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</si>
  <si>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</si>
  <si>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</si>
  <si>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</si>
  <si>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</si>
  <si>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</si>
  <si>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</si>
  <si>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</si>
  <si>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</si>
  <si>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</si>
  <si>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</si>
  <si>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</si>
  <si>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</si>
  <si>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</si>
  <si>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</si>
  <si>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</si>
  <si>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</si>
  <si>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</si>
  <si>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</si>
  <si>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</si>
  <si>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</si>
  <si>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</si>
  <si>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</si>
  <si>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</si>
  <si>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</si>
  <si>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</si>
  <si>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</si>
  <si>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</si>
  <si>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</si>
  <si>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</si>
  <si>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</si>
  <si>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</si>
  <si>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</si>
  <si>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</si>
  <si>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</si>
  <si>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</si>
  <si>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</si>
  <si>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</si>
  <si>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</si>
  <si>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</si>
  <si>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</si>
  <si>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</si>
  <si>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</si>
  <si>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</si>
  <si>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</si>
  <si>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</si>
  <si>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</si>
  <si>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</si>
  <si>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z tego:</t>
  </si>
  <si>
    <t>świadczenia na rzecz osób fizycznych</t>
  </si>
  <si>
    <r>
      <t xml:space="preserve">Dotacje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</si>
  <si>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620</t>
    </r>
  </si>
  <si>
    <t>UE</t>
  </si>
  <si>
    <t>WYDATKI OGÓŁEM UE
z tego:</t>
  </si>
  <si>
    <t>majątkowe</t>
  </si>
  <si>
    <t>bieżące</t>
  </si>
  <si>
    <t>wydatki majątkowe</t>
  </si>
  <si>
    <t>wydatki bieżące</t>
  </si>
  <si>
    <t>Dochody bieżące 
minus 
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</si>
  <si>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</si>
  <si>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</si>
  <si>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</si>
  <si>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</si>
  <si>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</si>
  <si>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</si>
  <si>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</si>
  <si>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</si>
  <si>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</si>
  <si>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</si>
  <si>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</si>
  <si>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</si>
  <si>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</si>
  <si>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</si>
  <si>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</si>
  <si>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</si>
  <si>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Dotacje </t>
    </r>
    <r>
      <rPr>
        <b/>
        <sz val="10"/>
        <color indexed="8"/>
        <rFont val="Arial"/>
        <family val="0"/>
      </rPr>
      <t>§§ 205 i 625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</si>
  <si>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625</t>
    </r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</si>
  <si>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</si>
  <si>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</si>
  <si>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</si>
  <si>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</si>
  <si>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</si>
  <si>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</si>
  <si>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 , o których mowa w art. 217 ust.2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</si>
  <si>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</si>
  <si>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</si>
  <si>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</si>
  <si>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</si>
  <si>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</si>
  <si>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</si>
  <si>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wydatki na wynagrodzenia i pochodne od wynagrodzeń</t>
  </si>
  <si>
    <t>Informacja z wykonania budżetów jednostek samorządu terytorialnego za GRUDZIEŃ  2020 rok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</si>
</sst>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6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17" fillId="22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22" borderId="0" applyNumberFormat="0" applyBorder="0" applyAlignment="0" applyProtection="0"/>
    <xf numFmtId="0" fontId="17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19" fillId="40" borderId="1" applyNumberFormat="0" applyAlignment="0" applyProtection="0"/>
    <xf numFmtId="0" fontId="20" fillId="41" borderId="2" applyNumberFormat="0" applyAlignment="0" applyProtection="0"/>
    <xf numFmtId="0" fontId="50" fillId="42" borderId="3" applyNumberFormat="0" applyAlignment="0" applyProtection="0"/>
    <xf numFmtId="0" fontId="51" fillId="43" borderId="4" applyNumberFormat="0" applyAlignment="0" applyProtection="0"/>
    <xf numFmtId="0" fontId="5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6" borderId="1" applyNumberFormat="0" applyAlignment="0" applyProtection="0"/>
    <xf numFmtId="0" fontId="53" fillId="0" borderId="8" applyNumberFormat="0" applyFill="0" applyAlignment="0" applyProtection="0"/>
    <xf numFmtId="0" fontId="54" fillId="46" borderId="9" applyNumberFormat="0" applyAlignment="0" applyProtection="0"/>
    <xf numFmtId="0" fontId="27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9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60" fillId="43" borderId="3" applyNumberFormat="0" applyAlignment="0" applyProtection="0"/>
    <xf numFmtId="0" fontId="2" fillId="0" borderId="0" applyNumberFormat="0" applyFill="0" applyBorder="0" applyAlignment="0" applyProtection="0"/>
    <xf numFmtId="0" fontId="29" fillId="40" borderId="15" applyNumberFormat="0" applyAlignment="0" applyProtection="0"/>
    <xf numFmtId="9" fontId="0" fillId="0" borderId="0" applyFont="0" applyFill="0" applyBorder="0" applyAlignment="0" applyProtection="0"/>
    <xf numFmtId="0" fontId="61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64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5" fillId="49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left" vertical="center" wrapText="1" indent="1"/>
    </xf>
    <xf numFmtId="164" fontId="14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5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40" borderId="19" xfId="0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164" fontId="12" fillId="40" borderId="19" xfId="72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0" fontId="66" fillId="0" borderId="19" xfId="91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1" borderId="21" xfId="0" applyNumberFormat="1" applyFont="1" applyFill="1" applyBorder="1" applyAlignment="1">
      <alignment horizontal="right" vertical="center"/>
    </xf>
    <xf numFmtId="4" fontId="7" fillId="51" borderId="20" xfId="0" applyNumberFormat="1" applyFont="1" applyFill="1" applyBorder="1" applyAlignment="1">
      <alignment horizontal="right" vertical="center"/>
    </xf>
    <xf numFmtId="4" fontId="12" fillId="52" borderId="20" xfId="0" applyNumberFormat="1" applyFont="1" applyFill="1" applyBorder="1" applyAlignment="1">
      <alignment horizontal="right" vertical="center"/>
    </xf>
    <xf numFmtId="4" fontId="12" fillId="52" borderId="21" xfId="0" applyNumberFormat="1" applyFont="1" applyFill="1" applyBorder="1" applyAlignment="1">
      <alignment horizontal="right" vertical="center"/>
    </xf>
    <xf numFmtId="0" fontId="66" fillId="52" borderId="19" xfId="91" applyFont="1" applyFill="1" applyBorder="1" applyAlignment="1">
      <alignment horizontal="left" vertical="center" wrapText="1"/>
      <protection/>
    </xf>
    <xf numFmtId="164" fontId="12" fillId="51" borderId="19" xfId="72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164" fontId="12" fillId="52" borderId="19" xfId="0" applyNumberFormat="1" applyFont="1" applyFill="1" applyBorder="1" applyAlignment="1">
      <alignment horizontal="right" vertical="center"/>
    </xf>
    <xf numFmtId="0" fontId="11" fillId="40" borderId="19" xfId="0" applyFont="1" applyFill="1" applyBorder="1" applyAlignment="1">
      <alignment horizontal="center" vertical="center" wrapText="1"/>
    </xf>
    <xf numFmtId="4" fontId="12" fillId="40" borderId="19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0" fontId="8" fillId="52" borderId="19" xfId="0" applyFont="1" applyFill="1" applyBorder="1" applyAlignment="1">
      <alignment horizontal="left" vertical="center" wrapText="1"/>
    </xf>
    <xf numFmtId="4" fontId="14" fillId="52" borderId="19" xfId="0" applyNumberFormat="1" applyFont="1" applyFill="1" applyBorder="1" applyAlignment="1">
      <alignment horizontal="right" vertical="center"/>
    </xf>
    <xf numFmtId="164" fontId="14" fillId="52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4" fontId="5" fillId="52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1" fillId="52" borderId="19" xfId="0" applyFont="1" applyFill="1" applyBorder="1" applyAlignment="1">
      <alignment horizontal="lef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164" fontId="7" fillId="52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64" fontId="12" fillId="0" borderId="19" xfId="0" applyNumberFormat="1" applyFont="1" applyFill="1" applyBorder="1" applyAlignment="1">
      <alignment horizontal="right" vertical="center"/>
    </xf>
    <xf numFmtId="0" fontId="11" fillId="52" borderId="23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2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66" fillId="0" borderId="19" xfId="91" applyFont="1" applyFill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" fontId="12" fillId="40" borderId="20" xfId="0" applyNumberFormat="1" applyFont="1" applyFill="1" applyBorder="1" applyAlignment="1">
      <alignment vertical="center" wrapText="1"/>
    </xf>
    <xf numFmtId="4" fontId="12" fillId="40" borderId="21" xfId="0" applyNumberFormat="1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rmalny 2 2" xfId="91"/>
    <cellStyle name="Note" xfId="92"/>
    <cellStyle name="Note 2" xfId="93"/>
    <cellStyle name="Obliczenia" xfId="94"/>
    <cellStyle name="Followed Hyperlink" xfId="95"/>
    <cellStyle name="Output" xfId="96"/>
    <cellStyle name="Percent" xfId="97"/>
    <cellStyle name="Suma" xfId="98"/>
    <cellStyle name="Tekst objaśnienia" xfId="99"/>
    <cellStyle name="Tekst ostrzeżenia" xfId="100"/>
    <cellStyle name="Title" xfId="101"/>
    <cellStyle name="Total" xfId="102"/>
    <cellStyle name="Tytuł" xfId="103"/>
    <cellStyle name="Uwaga" xfId="104"/>
    <cellStyle name="Currency" xfId="105"/>
    <cellStyle name="Currency [0]" xfId="106"/>
    <cellStyle name="Warning Text" xfId="107"/>
    <cellStyle name="Zły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5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0.37109375" style="1" customWidth="1"/>
    <col min="2" max="2" width="22.875" style="1" customWidth="1"/>
    <col min="3" max="5" width="14.625" style="1" customWidth="1"/>
    <col min="6" max="6" width="13.875" style="1" customWidth="1"/>
    <col min="7" max="8" width="13.00390625" style="1" customWidth="1"/>
    <col min="9" max="9" width="12.00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62.25" customHeight="1">
      <c r="B1" s="102" t="s">
        <v>113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2:13" ht="66.75" customHeight="1">
      <c r="B3" s="98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98"/>
      <c r="C4" s="99" t="s">
        <v>81</v>
      </c>
      <c r="D4" s="99"/>
      <c r="E4" s="99"/>
      <c r="F4" s="99"/>
      <c r="G4" s="99"/>
      <c r="H4" s="99"/>
      <c r="I4" s="99"/>
      <c r="J4" s="99"/>
      <c r="K4" s="99" t="s">
        <v>4</v>
      </c>
      <c r="L4" s="99"/>
      <c r="M4" s="99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25.5" customHeight="1">
      <c r="B6" s="68" t="s">
        <v>5</v>
      </c>
      <c r="C6" s="69">
        <f>303743483674.2</f>
        <v>303743483674.2</v>
      </c>
      <c r="D6" s="69">
        <f>304301337280.16</f>
        <v>304301337280.16</v>
      </c>
      <c r="E6" s="72" t="s">
        <v>61</v>
      </c>
      <c r="F6" s="72" t="s">
        <v>61</v>
      </c>
      <c r="G6" s="72" t="s">
        <v>61</v>
      </c>
      <c r="H6" s="72" t="s">
        <v>61</v>
      </c>
      <c r="I6" s="72" t="s">
        <v>61</v>
      </c>
      <c r="J6" s="72" t="s">
        <v>61</v>
      </c>
      <c r="K6" s="70">
        <f aca="true" t="shared" si="0" ref="K6:K46">IF($D$6=0,"",100*$D6/$D$6)</f>
        <v>100</v>
      </c>
      <c r="L6" s="70">
        <f aca="true" t="shared" si="1" ref="L6:L50">IF(C6=0,"",100*D6/C6)</f>
        <v>100.18365944816723</v>
      </c>
      <c r="M6" s="70"/>
    </row>
    <row r="7" spans="2:13" ht="38.25" customHeight="1">
      <c r="B7" s="20" t="s">
        <v>62</v>
      </c>
      <c r="C7" s="25">
        <f>C6-C22-C40</f>
        <v>140915444052.52002</v>
      </c>
      <c r="D7" s="25">
        <f>D6-D22-D40</f>
        <v>145389624353.65997</v>
      </c>
      <c r="E7" s="72" t="s">
        <v>61</v>
      </c>
      <c r="F7" s="72" t="s">
        <v>61</v>
      </c>
      <c r="G7" s="72" t="s">
        <v>61</v>
      </c>
      <c r="H7" s="72" t="s">
        <v>61</v>
      </c>
      <c r="I7" s="72" t="s">
        <v>61</v>
      </c>
      <c r="J7" s="72" t="s">
        <v>61</v>
      </c>
      <c r="K7" s="31">
        <f t="shared" si="0"/>
        <v>47.778174638715</v>
      </c>
      <c r="L7" s="31">
        <f t="shared" si="1"/>
        <v>103.17508157549602</v>
      </c>
      <c r="M7" s="31">
        <f aca="true" t="shared" si="2" ref="M7:M21">IF($D$7=0,"",100*$D7/$D$7)</f>
        <v>100</v>
      </c>
    </row>
    <row r="8" spans="2:13" ht="32.25" customHeight="1">
      <c r="B8" s="21" t="s">
        <v>35</v>
      </c>
      <c r="C8" s="23">
        <f>10314791918.2</f>
        <v>10314791918.2</v>
      </c>
      <c r="D8" s="23">
        <f>11127520804.17</f>
        <v>11127520804.17</v>
      </c>
      <c r="E8" s="24" t="s">
        <v>61</v>
      </c>
      <c r="F8" s="24" t="s">
        <v>61</v>
      </c>
      <c r="G8" s="24" t="s">
        <v>61</v>
      </c>
      <c r="H8" s="24" t="s">
        <v>61</v>
      </c>
      <c r="I8" s="24" t="s">
        <v>61</v>
      </c>
      <c r="J8" s="24" t="s">
        <v>61</v>
      </c>
      <c r="K8" s="32">
        <f t="shared" si="0"/>
        <v>3.6567439708374554</v>
      </c>
      <c r="L8" s="32">
        <f t="shared" si="1"/>
        <v>107.87925624108786</v>
      </c>
      <c r="M8" s="32">
        <f t="shared" si="2"/>
        <v>7.6535865978319935</v>
      </c>
    </row>
    <row r="9" spans="2:13" ht="32.25" customHeight="1">
      <c r="B9" s="21" t="s">
        <v>19</v>
      </c>
      <c r="C9" s="23">
        <f>54896696864.35</f>
        <v>54896696864.35</v>
      </c>
      <c r="D9" s="23">
        <f>54758665718.06</f>
        <v>54758665718.06</v>
      </c>
      <c r="E9" s="24" t="s">
        <v>61</v>
      </c>
      <c r="F9" s="24" t="s">
        <v>61</v>
      </c>
      <c r="G9" s="24" t="s">
        <v>61</v>
      </c>
      <c r="H9" s="24" t="s">
        <v>61</v>
      </c>
      <c r="I9" s="24" t="s">
        <v>61</v>
      </c>
      <c r="J9" s="24" t="s">
        <v>61</v>
      </c>
      <c r="K9" s="32">
        <f t="shared" si="0"/>
        <v>17.994881720695673</v>
      </c>
      <c r="L9" s="32">
        <f t="shared" si="1"/>
        <v>99.74856201889328</v>
      </c>
      <c r="M9" s="32">
        <f t="shared" si="2"/>
        <v>37.66339308014144</v>
      </c>
    </row>
    <row r="10" spans="2:13" ht="32.25" customHeight="1">
      <c r="B10" s="21" t="s">
        <v>20</v>
      </c>
      <c r="C10" s="23">
        <f>1641216826.03</f>
        <v>1641216826.03</v>
      </c>
      <c r="D10" s="23">
        <f>1628683033.96</f>
        <v>1628683033.96</v>
      </c>
      <c r="E10" s="24" t="s">
        <v>61</v>
      </c>
      <c r="F10" s="24" t="s">
        <v>61</v>
      </c>
      <c r="G10" s="24" t="s">
        <v>61</v>
      </c>
      <c r="H10" s="24" t="s">
        <v>61</v>
      </c>
      <c r="I10" s="24" t="s">
        <v>61</v>
      </c>
      <c r="J10" s="24" t="s">
        <v>61</v>
      </c>
      <c r="K10" s="32">
        <f t="shared" si="0"/>
        <v>0.5352204655152489</v>
      </c>
      <c r="L10" s="32">
        <f t="shared" si="1"/>
        <v>99.23631101806832</v>
      </c>
      <c r="M10" s="32">
        <f t="shared" si="2"/>
        <v>1.1202195763283849</v>
      </c>
    </row>
    <row r="11" spans="2:13" ht="32.25" customHeight="1">
      <c r="B11" s="21" t="s">
        <v>21</v>
      </c>
      <c r="C11" s="23">
        <f>24092816123.5</f>
        <v>24092816123.5</v>
      </c>
      <c r="D11" s="23">
        <f>24096086216.32</f>
        <v>24096086216.32</v>
      </c>
      <c r="E11" s="24" t="s">
        <v>61</v>
      </c>
      <c r="F11" s="24" t="s">
        <v>61</v>
      </c>
      <c r="G11" s="24" t="s">
        <v>61</v>
      </c>
      <c r="H11" s="24" t="s">
        <v>61</v>
      </c>
      <c r="I11" s="24" t="s">
        <v>61</v>
      </c>
      <c r="J11" s="24" t="s">
        <v>61</v>
      </c>
      <c r="K11" s="32">
        <f t="shared" si="0"/>
        <v>7.918495012769381</v>
      </c>
      <c r="L11" s="32">
        <f t="shared" si="1"/>
        <v>100.01357289576792</v>
      </c>
      <c r="M11" s="32">
        <f t="shared" si="2"/>
        <v>16.573456547151068</v>
      </c>
    </row>
    <row r="12" spans="2:13" ht="32.25" customHeight="1">
      <c r="B12" s="21" t="s">
        <v>22</v>
      </c>
      <c r="C12" s="23">
        <f>302971228.11</f>
        <v>302971228.11</v>
      </c>
      <c r="D12" s="23">
        <f>300948069.88</f>
        <v>300948069.88</v>
      </c>
      <c r="E12" s="24" t="s">
        <v>61</v>
      </c>
      <c r="F12" s="24" t="s">
        <v>61</v>
      </c>
      <c r="G12" s="24" t="s">
        <v>61</v>
      </c>
      <c r="H12" s="24" t="s">
        <v>61</v>
      </c>
      <c r="I12" s="24" t="s">
        <v>61</v>
      </c>
      <c r="J12" s="24" t="s">
        <v>61</v>
      </c>
      <c r="K12" s="32">
        <f t="shared" si="0"/>
        <v>0.09889804381731233</v>
      </c>
      <c r="L12" s="32">
        <f t="shared" si="1"/>
        <v>99.33222760371639</v>
      </c>
      <c r="M12" s="32">
        <f t="shared" si="2"/>
        <v>0.20699418628934924</v>
      </c>
    </row>
    <row r="13" spans="2:13" ht="32.25" customHeight="1">
      <c r="B13" s="21" t="s">
        <v>23</v>
      </c>
      <c r="C13" s="23">
        <f>1174094914.69</f>
        <v>1174094914.69</v>
      </c>
      <c r="D13" s="23">
        <f>1167879639.13</f>
        <v>1167879639.13</v>
      </c>
      <c r="E13" s="24" t="s">
        <v>61</v>
      </c>
      <c r="F13" s="24" t="s">
        <v>61</v>
      </c>
      <c r="G13" s="24" t="s">
        <v>61</v>
      </c>
      <c r="H13" s="24" t="s">
        <v>61</v>
      </c>
      <c r="I13" s="24" t="s">
        <v>61</v>
      </c>
      <c r="J13" s="24" t="s">
        <v>61</v>
      </c>
      <c r="K13" s="32">
        <f t="shared" si="0"/>
        <v>0.3837905050199542</v>
      </c>
      <c r="L13" s="32">
        <f t="shared" si="1"/>
        <v>99.47063261391938</v>
      </c>
      <c r="M13" s="32">
        <f t="shared" si="2"/>
        <v>0.8032757800440664</v>
      </c>
    </row>
    <row r="14" spans="2:13" ht="43.5" customHeight="1">
      <c r="B14" s="21" t="s">
        <v>46</v>
      </c>
      <c r="C14" s="23">
        <f>64320962.61</f>
        <v>64320962.61</v>
      </c>
      <c r="D14" s="23">
        <f>63354795.93</f>
        <v>63354795.93</v>
      </c>
      <c r="E14" s="24" t="s">
        <v>61</v>
      </c>
      <c r="F14" s="24" t="s">
        <v>61</v>
      </c>
      <c r="G14" s="24" t="s">
        <v>61</v>
      </c>
      <c r="H14" s="24" t="s">
        <v>61</v>
      </c>
      <c r="I14" s="24" t="s">
        <v>61</v>
      </c>
      <c r="J14" s="24" t="s">
        <v>61</v>
      </c>
      <c r="K14" s="32">
        <f t="shared" si="0"/>
        <v>0.020819756001161236</v>
      </c>
      <c r="L14" s="32">
        <f t="shared" si="1"/>
        <v>98.49789766695781</v>
      </c>
      <c r="M14" s="32">
        <f t="shared" si="2"/>
        <v>0.043575871532544566</v>
      </c>
    </row>
    <row r="15" spans="2:13" ht="32.25" customHeight="1">
      <c r="B15" s="21" t="s">
        <v>28</v>
      </c>
      <c r="C15" s="23">
        <f>270364484.89</f>
        <v>270364484.89</v>
      </c>
      <c r="D15" s="23">
        <f>294851067.36</f>
        <v>294851067.36</v>
      </c>
      <c r="E15" s="24" t="s">
        <v>61</v>
      </c>
      <c r="F15" s="24" t="s">
        <v>61</v>
      </c>
      <c r="G15" s="24" t="s">
        <v>61</v>
      </c>
      <c r="H15" s="24" t="s">
        <v>61</v>
      </c>
      <c r="I15" s="24" t="s">
        <v>61</v>
      </c>
      <c r="J15" s="24" t="s">
        <v>61</v>
      </c>
      <c r="K15" s="32">
        <f t="shared" si="0"/>
        <v>0.0968944369404925</v>
      </c>
      <c r="L15" s="32">
        <f t="shared" si="1"/>
        <v>109.0568783396098</v>
      </c>
      <c r="M15" s="32">
        <f t="shared" si="2"/>
        <v>0.20280062533401652</v>
      </c>
    </row>
    <row r="16" spans="2:13" ht="32.25" customHeight="1">
      <c r="B16" s="21" t="s">
        <v>29</v>
      </c>
      <c r="C16" s="23">
        <f>2621063360.13</f>
        <v>2621063360.13</v>
      </c>
      <c r="D16" s="23">
        <f>2882928046.04</f>
        <v>2882928046.04</v>
      </c>
      <c r="E16" s="24" t="s">
        <v>61</v>
      </c>
      <c r="F16" s="24" t="s">
        <v>61</v>
      </c>
      <c r="G16" s="24" t="s">
        <v>61</v>
      </c>
      <c r="H16" s="24" t="s">
        <v>61</v>
      </c>
      <c r="I16" s="24" t="s">
        <v>61</v>
      </c>
      <c r="J16" s="24" t="s">
        <v>61</v>
      </c>
      <c r="K16" s="32">
        <f t="shared" si="0"/>
        <v>0.9473924997528964</v>
      </c>
      <c r="L16" s="32">
        <f t="shared" si="1"/>
        <v>109.99078045549467</v>
      </c>
      <c r="M16" s="32">
        <f t="shared" si="2"/>
        <v>1.9828980636384914</v>
      </c>
    </row>
    <row r="17" spans="2:13" ht="32.25" customHeight="1">
      <c r="B17" s="21" t="s">
        <v>30</v>
      </c>
      <c r="C17" s="23">
        <f>475023074.14</f>
        <v>475023074.14</v>
      </c>
      <c r="D17" s="23">
        <f>478297953.18</f>
        <v>478297953.18</v>
      </c>
      <c r="E17" s="24" t="s">
        <v>61</v>
      </c>
      <c r="F17" s="24" t="s">
        <v>61</v>
      </c>
      <c r="G17" s="24" t="s">
        <v>61</v>
      </c>
      <c r="H17" s="24" t="s">
        <v>61</v>
      </c>
      <c r="I17" s="24" t="s">
        <v>61</v>
      </c>
      <c r="J17" s="24" t="s">
        <v>61</v>
      </c>
      <c r="K17" s="32">
        <f t="shared" si="0"/>
        <v>0.15717905069199456</v>
      </c>
      <c r="L17" s="32">
        <f t="shared" si="1"/>
        <v>100.68941472915374</v>
      </c>
      <c r="M17" s="32">
        <f t="shared" si="2"/>
        <v>0.3289766758159724</v>
      </c>
    </row>
    <row r="18" spans="2:13" ht="32.25" customHeight="1">
      <c r="B18" s="21" t="s">
        <v>31</v>
      </c>
      <c r="C18" s="23">
        <f>431352217.6</f>
        <v>431352217.6</v>
      </c>
      <c r="D18" s="23">
        <f>420439383.15</f>
        <v>420439383.15</v>
      </c>
      <c r="E18" s="24" t="s">
        <v>61</v>
      </c>
      <c r="F18" s="24" t="s">
        <v>61</v>
      </c>
      <c r="G18" s="24" t="s">
        <v>61</v>
      </c>
      <c r="H18" s="24" t="s">
        <v>61</v>
      </c>
      <c r="I18" s="24" t="s">
        <v>61</v>
      </c>
      <c r="J18" s="24" t="s">
        <v>61</v>
      </c>
      <c r="K18" s="32">
        <f t="shared" si="0"/>
        <v>0.13816547337842147</v>
      </c>
      <c r="L18" s="32">
        <f t="shared" si="1"/>
        <v>97.47008731965772</v>
      </c>
      <c r="M18" s="32">
        <f t="shared" si="2"/>
        <v>0.2891811468796989</v>
      </c>
    </row>
    <row r="19" spans="2:13" ht="32.25" customHeight="1">
      <c r="B19" s="21" t="s">
        <v>32</v>
      </c>
      <c r="C19" s="23">
        <f>129916434.92</f>
        <v>129916434.92</v>
      </c>
      <c r="D19" s="23">
        <f>115353273.94</f>
        <v>115353273.94</v>
      </c>
      <c r="E19" s="24" t="s">
        <v>61</v>
      </c>
      <c r="F19" s="24" t="s">
        <v>61</v>
      </c>
      <c r="G19" s="24" t="s">
        <v>61</v>
      </c>
      <c r="H19" s="24" t="s">
        <v>61</v>
      </c>
      <c r="I19" s="24" t="s">
        <v>61</v>
      </c>
      <c r="J19" s="24" t="s">
        <v>61</v>
      </c>
      <c r="K19" s="32">
        <f t="shared" si="0"/>
        <v>0.037907580351445556</v>
      </c>
      <c r="L19" s="32">
        <f t="shared" si="1"/>
        <v>88.79036282902335</v>
      </c>
      <c r="M19" s="32">
        <f t="shared" si="2"/>
        <v>0.07934078821154623</v>
      </c>
    </row>
    <row r="20" spans="2:13" ht="32.25" customHeight="1">
      <c r="B20" s="21" t="s">
        <v>24</v>
      </c>
      <c r="C20" s="23">
        <f>8323817436.69</f>
        <v>8323817436.69</v>
      </c>
      <c r="D20" s="23">
        <f>8029739874.91</f>
        <v>8029739874.91</v>
      </c>
      <c r="E20" s="24" t="s">
        <v>61</v>
      </c>
      <c r="F20" s="24" t="s">
        <v>61</v>
      </c>
      <c r="G20" s="24" t="s">
        <v>61</v>
      </c>
      <c r="H20" s="24" t="s">
        <v>61</v>
      </c>
      <c r="I20" s="24" t="s">
        <v>61</v>
      </c>
      <c r="J20" s="24" t="s">
        <v>61</v>
      </c>
      <c r="K20" s="32">
        <f t="shared" si="0"/>
        <v>2.6387461674272203</v>
      </c>
      <c r="L20" s="32">
        <f t="shared" si="1"/>
        <v>96.4670349389962</v>
      </c>
      <c r="M20" s="32">
        <f t="shared" si="2"/>
        <v>5.52291121915115</v>
      </c>
    </row>
    <row r="21" spans="2:13" ht="32.25" customHeight="1">
      <c r="B21" s="21" t="s">
        <v>25</v>
      </c>
      <c r="C21" s="23">
        <f>C7-C8-C9-C10-C11-C12-C13-C14-C15-C16-C17-C18-C19-C20</f>
        <v>36176998206.660034</v>
      </c>
      <c r="D21" s="23">
        <f>D7-D8-D9-D10-D11-D12-D13-D14-D15-D16-D17-D18-D19-D20</f>
        <v>40024876477.629974</v>
      </c>
      <c r="E21" s="24" t="s">
        <v>61</v>
      </c>
      <c r="F21" s="24" t="s">
        <v>61</v>
      </c>
      <c r="G21" s="24" t="s">
        <v>61</v>
      </c>
      <c r="H21" s="24" t="s">
        <v>61</v>
      </c>
      <c r="I21" s="24" t="s">
        <v>61</v>
      </c>
      <c r="J21" s="24" t="s">
        <v>61</v>
      </c>
      <c r="K21" s="32">
        <f t="shared" si="0"/>
        <v>13.153039955516338</v>
      </c>
      <c r="L21" s="32">
        <f t="shared" si="1"/>
        <v>110.63625635545837</v>
      </c>
      <c r="M21" s="32">
        <f t="shared" si="2"/>
        <v>27.529389841650282</v>
      </c>
    </row>
    <row r="22" spans="2:13" ht="36.75" customHeight="1">
      <c r="B22" s="68" t="s">
        <v>70</v>
      </c>
      <c r="C22" s="69">
        <f>C23+C36+C38</f>
        <v>95823402212.07</v>
      </c>
      <c r="D22" s="69">
        <f>D23+D36+D38</f>
        <v>91870426273.23999</v>
      </c>
      <c r="E22" s="72" t="s">
        <v>61</v>
      </c>
      <c r="F22" s="72" t="s">
        <v>61</v>
      </c>
      <c r="G22" s="72" t="s">
        <v>61</v>
      </c>
      <c r="H22" s="72" t="s">
        <v>61</v>
      </c>
      <c r="I22" s="72" t="s">
        <v>61</v>
      </c>
      <c r="J22" s="72" t="s">
        <v>61</v>
      </c>
      <c r="K22" s="70">
        <f t="shared" si="0"/>
        <v>30.190608787452682</v>
      </c>
      <c r="L22" s="70">
        <f t="shared" si="1"/>
        <v>95.87472804390566</v>
      </c>
      <c r="M22" s="73"/>
    </row>
    <row r="23" spans="2:13" ht="36.75" customHeight="1">
      <c r="B23" s="68" t="s">
        <v>63</v>
      </c>
      <c r="C23" s="69">
        <f>C24+C26+C28+C30+C32+C34</f>
        <v>74180439505.7</v>
      </c>
      <c r="D23" s="69">
        <f>D24+D26+D28+D30+D32+D34</f>
        <v>73292819290.43</v>
      </c>
      <c r="E23" s="72" t="s">
        <v>61</v>
      </c>
      <c r="F23" s="72" t="s">
        <v>61</v>
      </c>
      <c r="G23" s="72" t="s">
        <v>61</v>
      </c>
      <c r="H23" s="72" t="s">
        <v>61</v>
      </c>
      <c r="I23" s="72" t="s">
        <v>61</v>
      </c>
      <c r="J23" s="72" t="s">
        <v>61</v>
      </c>
      <c r="K23" s="70">
        <f t="shared" si="0"/>
        <v>24.085605388895075</v>
      </c>
      <c r="L23" s="70">
        <f t="shared" si="1"/>
        <v>98.80343090283012</v>
      </c>
      <c r="M23" s="73"/>
    </row>
    <row r="24" spans="2:13" ht="33.75" customHeight="1">
      <c r="B24" s="71" t="s">
        <v>9</v>
      </c>
      <c r="C24" s="24">
        <f>64171084612.28</f>
        <v>64171084612.28</v>
      </c>
      <c r="D24" s="24">
        <f>63682189074.77</f>
        <v>63682189074.77</v>
      </c>
      <c r="E24" s="24" t="s">
        <v>61</v>
      </c>
      <c r="F24" s="24" t="s">
        <v>61</v>
      </c>
      <c r="G24" s="24" t="s">
        <v>61</v>
      </c>
      <c r="H24" s="24" t="s">
        <v>61</v>
      </c>
      <c r="I24" s="24" t="s">
        <v>61</v>
      </c>
      <c r="J24" s="24" t="s">
        <v>61</v>
      </c>
      <c r="K24" s="32">
        <f t="shared" si="0"/>
        <v>20.92734446846678</v>
      </c>
      <c r="L24" s="32">
        <f t="shared" si="1"/>
        <v>99.23813733169091</v>
      </c>
      <c r="M24" s="28"/>
    </row>
    <row r="25" spans="2:13" ht="21" customHeight="1">
      <c r="B25" s="74" t="s">
        <v>6</v>
      </c>
      <c r="C25" s="24">
        <f>372989174.27</f>
        <v>372989174.27</v>
      </c>
      <c r="D25" s="24">
        <f>266112088.06</f>
        <v>266112088.06</v>
      </c>
      <c r="E25" s="24" t="s">
        <v>61</v>
      </c>
      <c r="F25" s="24" t="s">
        <v>61</v>
      </c>
      <c r="G25" s="24" t="s">
        <v>61</v>
      </c>
      <c r="H25" s="24" t="s">
        <v>61</v>
      </c>
      <c r="I25" s="24" t="s">
        <v>61</v>
      </c>
      <c r="J25" s="24" t="s">
        <v>61</v>
      </c>
      <c r="K25" s="32">
        <f t="shared" si="0"/>
        <v>0.08745018685704939</v>
      </c>
      <c r="L25" s="32">
        <f t="shared" si="1"/>
        <v>71.34579403834556</v>
      </c>
      <c r="M25" s="28"/>
    </row>
    <row r="26" spans="2:13" ht="33.75" customHeight="1">
      <c r="B26" s="71" t="s">
        <v>7</v>
      </c>
      <c r="C26" s="24">
        <f>6423837306.18</f>
        <v>6423837306.18</v>
      </c>
      <c r="D26" s="24">
        <f>6200981617.16</f>
        <v>6200981617.16</v>
      </c>
      <c r="E26" s="24" t="s">
        <v>61</v>
      </c>
      <c r="F26" s="24" t="s">
        <v>61</v>
      </c>
      <c r="G26" s="24" t="s">
        <v>61</v>
      </c>
      <c r="H26" s="24" t="s">
        <v>61</v>
      </c>
      <c r="I26" s="24" t="s">
        <v>61</v>
      </c>
      <c r="J26" s="24" t="s">
        <v>61</v>
      </c>
      <c r="K26" s="32">
        <f t="shared" si="0"/>
        <v>2.037776656712805</v>
      </c>
      <c r="L26" s="32">
        <f t="shared" si="1"/>
        <v>96.5308011645064</v>
      </c>
      <c r="M26" s="28"/>
    </row>
    <row r="27" spans="2:13" ht="21" customHeight="1">
      <c r="B27" s="74" t="s">
        <v>6</v>
      </c>
      <c r="C27" s="24">
        <f>593154731.48</f>
        <v>593154731.48</v>
      </c>
      <c r="D27" s="24">
        <f>516837974.7</f>
        <v>516837974.7</v>
      </c>
      <c r="E27" s="24" t="s">
        <v>61</v>
      </c>
      <c r="F27" s="24" t="s">
        <v>61</v>
      </c>
      <c r="G27" s="24" t="s">
        <v>61</v>
      </c>
      <c r="H27" s="24" t="s">
        <v>61</v>
      </c>
      <c r="I27" s="24" t="s">
        <v>61</v>
      </c>
      <c r="J27" s="24" t="s">
        <v>61</v>
      </c>
      <c r="K27" s="32">
        <f t="shared" si="0"/>
        <v>0.16984413519818506</v>
      </c>
      <c r="L27" s="32">
        <f t="shared" si="1"/>
        <v>87.13375233649751</v>
      </c>
      <c r="M27" s="28"/>
    </row>
    <row r="28" spans="2:13" ht="39.75" customHeight="1">
      <c r="B28" s="71" t="s">
        <v>10</v>
      </c>
      <c r="C28" s="24">
        <f>181076434.24</f>
        <v>181076434.24</v>
      </c>
      <c r="D28" s="24">
        <f>151852604.94</f>
        <v>151852604.94</v>
      </c>
      <c r="E28" s="24" t="s">
        <v>61</v>
      </c>
      <c r="F28" s="24" t="s">
        <v>61</v>
      </c>
      <c r="G28" s="24" t="s">
        <v>61</v>
      </c>
      <c r="H28" s="24" t="s">
        <v>61</v>
      </c>
      <c r="I28" s="24" t="s">
        <v>61</v>
      </c>
      <c r="J28" s="24" t="s">
        <v>61</v>
      </c>
      <c r="K28" s="32">
        <f t="shared" si="0"/>
        <v>0.049902049822473975</v>
      </c>
      <c r="L28" s="32">
        <f t="shared" si="1"/>
        <v>83.86105324933308</v>
      </c>
      <c r="M28" s="28"/>
    </row>
    <row r="29" spans="2:13" ht="21" customHeight="1">
      <c r="B29" s="74" t="s">
        <v>6</v>
      </c>
      <c r="C29" s="24">
        <f>20528271.54</f>
        <v>20528271.54</v>
      </c>
      <c r="D29" s="24">
        <f>16997558.34</f>
        <v>16997558.34</v>
      </c>
      <c r="E29" s="24" t="s">
        <v>61</v>
      </c>
      <c r="F29" s="24" t="s">
        <v>61</v>
      </c>
      <c r="G29" s="24" t="s">
        <v>61</v>
      </c>
      <c r="H29" s="24" t="s">
        <v>61</v>
      </c>
      <c r="I29" s="24" t="s">
        <v>61</v>
      </c>
      <c r="J29" s="24" t="s">
        <v>61</v>
      </c>
      <c r="K29" s="32">
        <f t="shared" si="0"/>
        <v>0.005585765245701474</v>
      </c>
      <c r="L29" s="32">
        <f t="shared" si="1"/>
        <v>82.80072828771632</v>
      </c>
      <c r="M29" s="28"/>
    </row>
    <row r="30" spans="2:13" ht="39.75" customHeight="1">
      <c r="B30" s="71" t="s">
        <v>11</v>
      </c>
      <c r="C30" s="24">
        <f>1456876729.28</f>
        <v>1456876729.28</v>
      </c>
      <c r="D30" s="24">
        <f>1379087947.23</f>
        <v>1379087947.23</v>
      </c>
      <c r="E30" s="24" t="s">
        <v>61</v>
      </c>
      <c r="F30" s="24" t="s">
        <v>61</v>
      </c>
      <c r="G30" s="24" t="s">
        <v>61</v>
      </c>
      <c r="H30" s="24" t="s">
        <v>61</v>
      </c>
      <c r="I30" s="24" t="s">
        <v>61</v>
      </c>
      <c r="J30" s="24" t="s">
        <v>61</v>
      </c>
      <c r="K30" s="32">
        <f t="shared" si="0"/>
        <v>0.4531981224782855</v>
      </c>
      <c r="L30" s="32">
        <f t="shared" si="1"/>
        <v>94.66057899844115</v>
      </c>
      <c r="M30" s="28"/>
    </row>
    <row r="31" spans="2:13" ht="21" customHeight="1">
      <c r="B31" s="74" t="s">
        <v>6</v>
      </c>
      <c r="C31" s="24">
        <f>317534289.43</f>
        <v>317534289.43</v>
      </c>
      <c r="D31" s="24">
        <f>256476471.48</f>
        <v>256476471.48</v>
      </c>
      <c r="E31" s="24" t="s">
        <v>61</v>
      </c>
      <c r="F31" s="24" t="s">
        <v>61</v>
      </c>
      <c r="G31" s="24" t="s">
        <v>61</v>
      </c>
      <c r="H31" s="24" t="s">
        <v>61</v>
      </c>
      <c r="I31" s="24" t="s">
        <v>61</v>
      </c>
      <c r="J31" s="24" t="s">
        <v>61</v>
      </c>
      <c r="K31" s="32">
        <f t="shared" si="0"/>
        <v>0.08428371487696447</v>
      </c>
      <c r="L31" s="32">
        <f t="shared" si="1"/>
        <v>80.77126786540005</v>
      </c>
      <c r="M31" s="28"/>
    </row>
    <row r="32" spans="2:13" ht="39.75" customHeight="1">
      <c r="B32" s="71" t="s">
        <v>82</v>
      </c>
      <c r="C32" s="24">
        <f>1300106209.56</f>
        <v>1300106209.56</v>
      </c>
      <c r="D32" s="24">
        <f>1213323633.47</f>
        <v>1213323633.47</v>
      </c>
      <c r="E32" s="24" t="s">
        <v>61</v>
      </c>
      <c r="F32" s="24" t="s">
        <v>61</v>
      </c>
      <c r="G32" s="24" t="s">
        <v>61</v>
      </c>
      <c r="H32" s="24" t="s">
        <v>61</v>
      </c>
      <c r="I32" s="24" t="s">
        <v>61</v>
      </c>
      <c r="J32" s="24" t="s">
        <v>61</v>
      </c>
      <c r="K32" s="32">
        <f t="shared" si="0"/>
        <v>0.39872438429441864</v>
      </c>
      <c r="L32" s="32">
        <f t="shared" si="1"/>
        <v>93.32496257214477</v>
      </c>
      <c r="M32" s="28"/>
    </row>
    <row r="33" spans="2:13" ht="24" customHeight="1">
      <c r="B33" s="74" t="s">
        <v>6</v>
      </c>
      <c r="C33" s="24">
        <f>1031221893.35</f>
        <v>1031221893.35</v>
      </c>
      <c r="D33" s="24">
        <f>960554248.95</f>
        <v>960554248.95</v>
      </c>
      <c r="E33" s="24" t="s">
        <v>61</v>
      </c>
      <c r="F33" s="24" t="s">
        <v>61</v>
      </c>
      <c r="G33" s="24" t="s">
        <v>61</v>
      </c>
      <c r="H33" s="24" t="s">
        <v>61</v>
      </c>
      <c r="I33" s="24" t="s">
        <v>61</v>
      </c>
      <c r="J33" s="24" t="s">
        <v>61</v>
      </c>
      <c r="K33" s="32">
        <f t="shared" si="0"/>
        <v>0.31565889835891525</v>
      </c>
      <c r="L33" s="32">
        <f t="shared" si="1"/>
        <v>93.14719316417624</v>
      </c>
      <c r="M33" s="28"/>
    </row>
    <row r="34" spans="2:13" ht="22.5" customHeight="1">
      <c r="B34" s="71" t="s">
        <v>8</v>
      </c>
      <c r="C34" s="24">
        <f>647458214.16</f>
        <v>647458214.16</v>
      </c>
      <c r="D34" s="24">
        <f>665384412.86</f>
        <v>665384412.86</v>
      </c>
      <c r="E34" s="24" t="s">
        <v>61</v>
      </c>
      <c r="F34" s="24" t="s">
        <v>61</v>
      </c>
      <c r="G34" s="24" t="s">
        <v>61</v>
      </c>
      <c r="H34" s="24" t="s">
        <v>61</v>
      </c>
      <c r="I34" s="24" t="s">
        <v>61</v>
      </c>
      <c r="J34" s="24" t="s">
        <v>61</v>
      </c>
      <c r="K34" s="32">
        <f t="shared" si="0"/>
        <v>0.2186597071203151</v>
      </c>
      <c r="L34" s="32">
        <f t="shared" si="1"/>
        <v>102.7687035715899</v>
      </c>
      <c r="M34" s="28"/>
    </row>
    <row r="35" spans="2:13" ht="21" customHeight="1">
      <c r="B35" s="74" t="s">
        <v>6</v>
      </c>
      <c r="C35" s="24">
        <f>520569818.43</f>
        <v>520569818.43</v>
      </c>
      <c r="D35" s="24">
        <f>544711536.53</f>
        <v>544711536.53</v>
      </c>
      <c r="E35" s="24" t="s">
        <v>61</v>
      </c>
      <c r="F35" s="24" t="s">
        <v>61</v>
      </c>
      <c r="G35" s="24" t="s">
        <v>61</v>
      </c>
      <c r="H35" s="24" t="s">
        <v>61</v>
      </c>
      <c r="I35" s="24" t="s">
        <v>61</v>
      </c>
      <c r="J35" s="24" t="s">
        <v>61</v>
      </c>
      <c r="K35" s="32">
        <f t="shared" si="0"/>
        <v>0.17900399038618173</v>
      </c>
      <c r="L35" s="32">
        <f t="shared" si="1"/>
        <v>104.637556240354</v>
      </c>
      <c r="M35" s="28"/>
    </row>
    <row r="36" spans="2:13" ht="25.5" customHeight="1">
      <c r="B36" s="68" t="s">
        <v>72</v>
      </c>
      <c r="C36" s="69">
        <f>3000338121.69</f>
        <v>3000338121.69</v>
      </c>
      <c r="D36" s="69">
        <f>2504487901.23</f>
        <v>2504487901.23</v>
      </c>
      <c r="E36" s="72" t="s">
        <v>61</v>
      </c>
      <c r="F36" s="72" t="s">
        <v>61</v>
      </c>
      <c r="G36" s="72" t="s">
        <v>61</v>
      </c>
      <c r="H36" s="72" t="s">
        <v>61</v>
      </c>
      <c r="I36" s="72" t="s">
        <v>61</v>
      </c>
      <c r="J36" s="72" t="s">
        <v>61</v>
      </c>
      <c r="K36" s="70">
        <f t="shared" si="0"/>
        <v>0.8230288843338873</v>
      </c>
      <c r="L36" s="70">
        <f t="shared" si="1"/>
        <v>83.47352197156025</v>
      </c>
      <c r="M36" s="28"/>
    </row>
    <row r="37" spans="2:13" ht="19.5" customHeight="1">
      <c r="B37" s="29" t="s">
        <v>73</v>
      </c>
      <c r="C37" s="23">
        <f>1956127516.44</f>
        <v>1956127516.44</v>
      </c>
      <c r="D37" s="23">
        <f>1535318803.77</f>
        <v>1535318803.77</v>
      </c>
      <c r="E37" s="24" t="s">
        <v>61</v>
      </c>
      <c r="F37" s="23" t="s">
        <v>61</v>
      </c>
      <c r="G37" s="23" t="s">
        <v>61</v>
      </c>
      <c r="H37" s="23" t="s">
        <v>61</v>
      </c>
      <c r="I37" s="23" t="s">
        <v>61</v>
      </c>
      <c r="J37" s="23" t="s">
        <v>61</v>
      </c>
      <c r="K37" s="32">
        <f t="shared" si="0"/>
        <v>0.5045389604569774</v>
      </c>
      <c r="L37" s="32">
        <f t="shared" si="1"/>
        <v>78.48766457537292</v>
      </c>
      <c r="M37" s="28"/>
    </row>
    <row r="38" spans="2:13" ht="25.5" customHeight="1">
      <c r="B38" s="68" t="s">
        <v>97</v>
      </c>
      <c r="C38" s="69">
        <f>18642624584.68</f>
        <v>18642624584.68</v>
      </c>
      <c r="D38" s="69">
        <f>16073119081.58</f>
        <v>16073119081.58</v>
      </c>
      <c r="E38" s="72" t="s">
        <v>61</v>
      </c>
      <c r="F38" s="72" t="s">
        <v>61</v>
      </c>
      <c r="G38" s="72" t="s">
        <v>61</v>
      </c>
      <c r="H38" s="72" t="s">
        <v>61</v>
      </c>
      <c r="I38" s="72" t="s">
        <v>61</v>
      </c>
      <c r="J38" s="72" t="s">
        <v>61</v>
      </c>
      <c r="K38" s="70">
        <f t="shared" si="0"/>
        <v>5.281974514223716</v>
      </c>
      <c r="L38" s="70">
        <f t="shared" si="1"/>
        <v>86.21703992681616</v>
      </c>
      <c r="M38" s="28"/>
    </row>
    <row r="39" spans="2:13" ht="21" customHeight="1">
      <c r="B39" s="29" t="s">
        <v>98</v>
      </c>
      <c r="C39" s="23">
        <f>13538162255.53</f>
        <v>13538162255.53</v>
      </c>
      <c r="D39" s="23">
        <f>11383758310.4</f>
        <v>11383758310.4</v>
      </c>
      <c r="E39" s="24" t="s">
        <v>61</v>
      </c>
      <c r="F39" s="23" t="s">
        <v>61</v>
      </c>
      <c r="G39" s="23" t="s">
        <v>61</v>
      </c>
      <c r="H39" s="23" t="s">
        <v>61</v>
      </c>
      <c r="I39" s="23" t="s">
        <v>61</v>
      </c>
      <c r="J39" s="23" t="s">
        <v>61</v>
      </c>
      <c r="K39" s="32">
        <f t="shared" si="0"/>
        <v>3.7409491565656046</v>
      </c>
      <c r="L39" s="32">
        <f t="shared" si="1"/>
        <v>84.0864372544362</v>
      </c>
      <c r="M39" s="28"/>
    </row>
    <row r="40" spans="2:13" ht="35.25" customHeight="1">
      <c r="B40" s="68" t="s">
        <v>64</v>
      </c>
      <c r="C40" s="69">
        <f>C41+C42+C43+C44+C45+C46</f>
        <v>67004637409.61</v>
      </c>
      <c r="D40" s="69">
        <f>D41+D42+D43+D44+D45+D46</f>
        <v>67041286653.26</v>
      </c>
      <c r="E40" s="72" t="s">
        <v>61</v>
      </c>
      <c r="F40" s="72" t="s">
        <v>61</v>
      </c>
      <c r="G40" s="72" t="s">
        <v>61</v>
      </c>
      <c r="H40" s="72" t="s">
        <v>61</v>
      </c>
      <c r="I40" s="72" t="s">
        <v>61</v>
      </c>
      <c r="J40" s="72" t="s">
        <v>61</v>
      </c>
      <c r="K40" s="70">
        <f t="shared" si="0"/>
        <v>22.03121657383232</v>
      </c>
      <c r="L40" s="70">
        <f t="shared" si="1"/>
        <v>100.05469657782932</v>
      </c>
      <c r="M40" s="28"/>
    </row>
    <row r="41" spans="2:13" ht="26.25" customHeight="1">
      <c r="B41" s="21" t="s">
        <v>50</v>
      </c>
      <c r="C41" s="23">
        <f>13235465090</f>
        <v>13235465090</v>
      </c>
      <c r="D41" s="23">
        <f>13231907023.94</f>
        <v>13231907023.94</v>
      </c>
      <c r="E41" s="24" t="s">
        <v>61</v>
      </c>
      <c r="F41" s="23" t="s">
        <v>61</v>
      </c>
      <c r="G41" s="23" t="s">
        <v>61</v>
      </c>
      <c r="H41" s="23" t="s">
        <v>61</v>
      </c>
      <c r="I41" s="23" t="s">
        <v>61</v>
      </c>
      <c r="J41" s="23" t="s">
        <v>61</v>
      </c>
      <c r="K41" s="32">
        <f t="shared" si="0"/>
        <v>4.348290790374618</v>
      </c>
      <c r="L41" s="32">
        <f t="shared" si="1"/>
        <v>99.97311718148319</v>
      </c>
      <c r="M41" s="28"/>
    </row>
    <row r="42" spans="2:13" ht="26.25" customHeight="1">
      <c r="B42" s="21" t="s">
        <v>49</v>
      </c>
      <c r="C42" s="23">
        <f>50154272749.61</f>
        <v>50154272749.61</v>
      </c>
      <c r="D42" s="23">
        <f>50202697852.32</f>
        <v>50202697852.32</v>
      </c>
      <c r="E42" s="24" t="s">
        <v>61</v>
      </c>
      <c r="F42" s="23" t="s">
        <v>61</v>
      </c>
      <c r="G42" s="23" t="s">
        <v>61</v>
      </c>
      <c r="H42" s="23" t="s">
        <v>61</v>
      </c>
      <c r="I42" s="23" t="s">
        <v>61</v>
      </c>
      <c r="J42" s="23" t="s">
        <v>61</v>
      </c>
      <c r="K42" s="32">
        <f t="shared" si="0"/>
        <v>16.4976921564101</v>
      </c>
      <c r="L42" s="32">
        <f t="shared" si="1"/>
        <v>100.0965522976512</v>
      </c>
      <c r="M42" s="28"/>
    </row>
    <row r="43" spans="2:13" ht="26.25" customHeight="1">
      <c r="B43" s="21" t="s">
        <v>48</v>
      </c>
      <c r="C43" s="23">
        <f>11190438</f>
        <v>11190438</v>
      </c>
      <c r="D43" s="23">
        <f>11190438</f>
        <v>11190438</v>
      </c>
      <c r="E43" s="24" t="s">
        <v>61</v>
      </c>
      <c r="F43" s="23" t="s">
        <v>61</v>
      </c>
      <c r="G43" s="23" t="s">
        <v>61</v>
      </c>
      <c r="H43" s="23" t="s">
        <v>61</v>
      </c>
      <c r="I43" s="23" t="s">
        <v>61</v>
      </c>
      <c r="J43" s="23" t="s">
        <v>61</v>
      </c>
      <c r="K43" s="32">
        <f t="shared" si="0"/>
        <v>0.003677419921982578</v>
      </c>
      <c r="L43" s="32">
        <f t="shared" si="1"/>
        <v>100</v>
      </c>
      <c r="M43" s="28"/>
    </row>
    <row r="44" spans="2:13" ht="26.25" customHeight="1">
      <c r="B44" s="21" t="s">
        <v>47</v>
      </c>
      <c r="C44" s="23">
        <f>2013840159</f>
        <v>2013840159</v>
      </c>
      <c r="D44" s="23">
        <f>2013568492</f>
        <v>2013568492</v>
      </c>
      <c r="E44" s="24" t="s">
        <v>61</v>
      </c>
      <c r="F44" s="23" t="s">
        <v>61</v>
      </c>
      <c r="G44" s="23" t="s">
        <v>61</v>
      </c>
      <c r="H44" s="23" t="s">
        <v>61</v>
      </c>
      <c r="I44" s="23" t="s">
        <v>61</v>
      </c>
      <c r="J44" s="23" t="s">
        <v>61</v>
      </c>
      <c r="K44" s="32">
        <f t="shared" si="0"/>
        <v>0.6617021502426641</v>
      </c>
      <c r="L44" s="32">
        <f t="shared" si="1"/>
        <v>99.98651000185959</v>
      </c>
      <c r="M44" s="28"/>
    </row>
    <row r="45" spans="2:13" ht="26.25" customHeight="1">
      <c r="B45" s="21" t="s">
        <v>60</v>
      </c>
      <c r="C45" s="23">
        <f>592596922</f>
        <v>592596922</v>
      </c>
      <c r="D45" s="23">
        <f>592596922</f>
        <v>592596922</v>
      </c>
      <c r="E45" s="24" t="s">
        <v>61</v>
      </c>
      <c r="F45" s="23" t="s">
        <v>61</v>
      </c>
      <c r="G45" s="23" t="s">
        <v>61</v>
      </c>
      <c r="H45" s="23" t="s">
        <v>61</v>
      </c>
      <c r="I45" s="23" t="s">
        <v>61</v>
      </c>
      <c r="J45" s="23" t="s">
        <v>61</v>
      </c>
      <c r="K45" s="32">
        <f t="shared" si="0"/>
        <v>0.19474016358147517</v>
      </c>
      <c r="L45" s="32">
        <f t="shared" si="1"/>
        <v>100</v>
      </c>
      <c r="M45" s="28"/>
    </row>
    <row r="46" spans="2:13" ht="26.25" customHeight="1">
      <c r="B46" s="21" t="s">
        <v>45</v>
      </c>
      <c r="C46" s="23">
        <f>997272051</f>
        <v>997272051</v>
      </c>
      <c r="D46" s="23">
        <f>989325925</f>
        <v>989325925</v>
      </c>
      <c r="E46" s="24" t="s">
        <v>61</v>
      </c>
      <c r="F46" s="23" t="s">
        <v>61</v>
      </c>
      <c r="G46" s="23" t="s">
        <v>61</v>
      </c>
      <c r="H46" s="23" t="s">
        <v>61</v>
      </c>
      <c r="I46" s="23" t="s">
        <v>61</v>
      </c>
      <c r="J46" s="23" t="s">
        <v>61</v>
      </c>
      <c r="K46" s="32">
        <f t="shared" si="0"/>
        <v>0.32511389330148127</v>
      </c>
      <c r="L46" s="32">
        <f t="shared" si="1"/>
        <v>99.20321380790406</v>
      </c>
      <c r="M46" s="28"/>
    </row>
    <row r="47" spans="1:13" s="6" customFormat="1" ht="13.5" customHeight="1">
      <c r="A47" s="3"/>
      <c r="B47" s="22"/>
      <c r="C47" s="8"/>
      <c r="D47" s="9"/>
      <c r="E47" s="9"/>
      <c r="F47" s="16"/>
      <c r="G47" s="16"/>
      <c r="H47" s="16"/>
      <c r="I47" s="16"/>
      <c r="J47" s="16"/>
      <c r="K47" s="10"/>
      <c r="L47" s="10"/>
      <c r="M47" s="4"/>
    </row>
    <row r="48" spans="1:13" s="6" customFormat="1" ht="18.75" customHeight="1">
      <c r="A48" s="3"/>
      <c r="B48" s="75" t="s">
        <v>5</v>
      </c>
      <c r="C48" s="76">
        <f>+C6</f>
        <v>303743483674.2</v>
      </c>
      <c r="D48" s="76">
        <f>+D6</f>
        <v>304301337280.16</v>
      </c>
      <c r="E48" s="72" t="s">
        <v>61</v>
      </c>
      <c r="F48" s="72" t="s">
        <v>61</v>
      </c>
      <c r="G48" s="72" t="s">
        <v>61</v>
      </c>
      <c r="H48" s="72" t="s">
        <v>61</v>
      </c>
      <c r="I48" s="72" t="s">
        <v>61</v>
      </c>
      <c r="J48" s="72" t="s">
        <v>61</v>
      </c>
      <c r="K48" s="77">
        <f>IF($D$48=0,"",100*$D48/$D$48)</f>
        <v>100</v>
      </c>
      <c r="L48" s="77">
        <f t="shared" si="1"/>
        <v>100.18365944816723</v>
      </c>
      <c r="M48" s="4"/>
    </row>
    <row r="49" spans="1:13" s="6" customFormat="1" ht="24.75" customHeight="1">
      <c r="A49" s="3"/>
      <c r="B49" s="66" t="s">
        <v>76</v>
      </c>
      <c r="C49" s="67">
        <f>31063015336.17</f>
        <v>31063015336.17</v>
      </c>
      <c r="D49" s="67">
        <f>32939688458.21</f>
        <v>32939688458.21</v>
      </c>
      <c r="E49" s="24" t="s">
        <v>61</v>
      </c>
      <c r="F49" s="24" t="s">
        <v>61</v>
      </c>
      <c r="G49" s="24" t="s">
        <v>61</v>
      </c>
      <c r="H49" s="24" t="s">
        <v>61</v>
      </c>
      <c r="I49" s="24" t="s">
        <v>61</v>
      </c>
      <c r="J49" s="24" t="s">
        <v>61</v>
      </c>
      <c r="K49" s="33">
        <f>IF($D$48=0,"",100*$D49/$D$48)</f>
        <v>10.824693953902523</v>
      </c>
      <c r="L49" s="33">
        <f t="shared" si="1"/>
        <v>106.04150338185228</v>
      </c>
      <c r="M49" s="4"/>
    </row>
    <row r="50" spans="1:13" s="6" customFormat="1" ht="24.75" customHeight="1">
      <c r="A50" s="3"/>
      <c r="B50" s="66" t="s">
        <v>77</v>
      </c>
      <c r="C50" s="67">
        <f>+C48-C49</f>
        <v>272680468338.03003</v>
      </c>
      <c r="D50" s="67">
        <f>+D48-D49</f>
        <v>271361648821.94998</v>
      </c>
      <c r="E50" s="24" t="s">
        <v>61</v>
      </c>
      <c r="F50" s="24" t="s">
        <v>61</v>
      </c>
      <c r="G50" s="24" t="s">
        <v>61</v>
      </c>
      <c r="H50" s="24" t="s">
        <v>61</v>
      </c>
      <c r="I50" s="24" t="s">
        <v>61</v>
      </c>
      <c r="J50" s="24" t="s">
        <v>61</v>
      </c>
      <c r="K50" s="33">
        <f>IF($D$48=0,"",100*$D50/$D$48)</f>
        <v>89.17530604609749</v>
      </c>
      <c r="L50" s="33">
        <f t="shared" si="1"/>
        <v>99.51634984195306</v>
      </c>
      <c r="M50" s="4"/>
    </row>
    <row r="51" spans="1:13" s="6" customFormat="1" ht="13.5" customHeight="1">
      <c r="A51" s="3"/>
      <c r="B51" s="22"/>
      <c r="C51" s="8"/>
      <c r="D51" s="9"/>
      <c r="E51" s="9"/>
      <c r="F51" s="16"/>
      <c r="G51" s="16"/>
      <c r="H51" s="16"/>
      <c r="I51" s="16"/>
      <c r="J51" s="16"/>
      <c r="K51" s="10"/>
      <c r="L51" s="10"/>
      <c r="M51" s="4"/>
    </row>
    <row r="52" spans="2:13" ht="58.5" customHeight="1">
      <c r="B52" s="102" t="s">
        <v>113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2:13" s="6" customFormat="1" ht="13.5" customHeight="1">
      <c r="B53" s="7"/>
      <c r="C53" s="8"/>
      <c r="D53" s="9"/>
      <c r="E53" s="9"/>
      <c r="F53" s="5"/>
      <c r="G53" s="5"/>
      <c r="H53" s="5"/>
      <c r="I53" s="5"/>
      <c r="J53" s="5"/>
      <c r="K53" s="10"/>
      <c r="L53" s="10"/>
      <c r="M53" s="4"/>
    </row>
    <row r="54" spans="2:27" ht="29.25" customHeight="1">
      <c r="B54" s="98" t="s">
        <v>0</v>
      </c>
      <c r="C54" s="97" t="s">
        <v>56</v>
      </c>
      <c r="D54" s="97" t="s">
        <v>57</v>
      </c>
      <c r="E54" s="97" t="s">
        <v>58</v>
      </c>
      <c r="F54" s="97" t="s">
        <v>12</v>
      </c>
      <c r="G54" s="97"/>
      <c r="H54" s="97"/>
      <c r="I54" s="97" t="s">
        <v>99</v>
      </c>
      <c r="J54" s="97"/>
      <c r="K54" s="97" t="s">
        <v>2</v>
      </c>
      <c r="L54" s="105" t="s">
        <v>36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ht="18" customHeight="1">
      <c r="B55" s="98"/>
      <c r="C55" s="97"/>
      <c r="D55" s="103"/>
      <c r="E55" s="97"/>
      <c r="F55" s="94" t="s">
        <v>59</v>
      </c>
      <c r="G55" s="104" t="s">
        <v>34</v>
      </c>
      <c r="H55" s="103"/>
      <c r="I55" s="97"/>
      <c r="J55" s="97"/>
      <c r="K55" s="97"/>
      <c r="L55" s="105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ht="36" customHeight="1">
      <c r="B56" s="98"/>
      <c r="C56" s="97"/>
      <c r="D56" s="103"/>
      <c r="E56" s="97"/>
      <c r="F56" s="103"/>
      <c r="G56" s="18" t="s">
        <v>54</v>
      </c>
      <c r="H56" s="18" t="s">
        <v>55</v>
      </c>
      <c r="I56" s="97"/>
      <c r="J56" s="97"/>
      <c r="K56" s="97"/>
      <c r="L56" s="105"/>
      <c r="M56" s="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13.5" customHeight="1">
      <c r="B57" s="98"/>
      <c r="C57" s="99" t="s">
        <v>81</v>
      </c>
      <c r="D57" s="99"/>
      <c r="E57" s="99"/>
      <c r="F57" s="99"/>
      <c r="G57" s="99"/>
      <c r="H57" s="99"/>
      <c r="I57" s="99"/>
      <c r="J57" s="99"/>
      <c r="K57" s="99" t="s">
        <v>4</v>
      </c>
      <c r="L57" s="99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11.25" customHeight="1">
      <c r="B58" s="17">
        <v>1</v>
      </c>
      <c r="C58" s="19">
        <v>2</v>
      </c>
      <c r="D58" s="19">
        <v>3</v>
      </c>
      <c r="E58" s="19">
        <v>4</v>
      </c>
      <c r="F58" s="17">
        <v>5</v>
      </c>
      <c r="G58" s="17">
        <v>6</v>
      </c>
      <c r="H58" s="19">
        <v>7</v>
      </c>
      <c r="I58" s="103">
        <v>8</v>
      </c>
      <c r="J58" s="103"/>
      <c r="K58" s="17">
        <v>9</v>
      </c>
      <c r="L58" s="19">
        <v>10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12" ht="44.25" customHeight="1">
      <c r="B59" s="68" t="s">
        <v>65</v>
      </c>
      <c r="C59" s="76">
        <f>324910218992.44</f>
        <v>324910218992.44</v>
      </c>
      <c r="D59" s="24" t="s">
        <v>61</v>
      </c>
      <c r="E59" s="76">
        <f>298740150205.34</f>
        <v>298740150205.34</v>
      </c>
      <c r="F59" s="24" t="s">
        <v>61</v>
      </c>
      <c r="G59" s="24" t="s">
        <v>61</v>
      </c>
      <c r="H59" s="24" t="s">
        <v>61</v>
      </c>
      <c r="I59" s="108" t="s">
        <v>61</v>
      </c>
      <c r="J59" s="109"/>
      <c r="K59" s="60">
        <f aca="true" t="shared" si="3" ref="K59:K68">IF($E$59=0,"",100*$E59/$E$59)</f>
        <v>100</v>
      </c>
      <c r="L59" s="60">
        <f aca="true" t="shared" si="4" ref="L59:L68">IF(C59=0,"",100*E59/C59)</f>
        <v>91.94544607791825</v>
      </c>
    </row>
    <row r="60" spans="2:12" ht="24" customHeight="1">
      <c r="B60" s="20" t="s">
        <v>14</v>
      </c>
      <c r="C60" s="26">
        <f>59603009478.99</f>
        <v>59603009478.99</v>
      </c>
      <c r="D60" s="24" t="s">
        <v>61</v>
      </c>
      <c r="E60" s="26">
        <f>48344293375.12</f>
        <v>48344293375.12</v>
      </c>
      <c r="F60" s="24" t="s">
        <v>61</v>
      </c>
      <c r="G60" s="24" t="s">
        <v>61</v>
      </c>
      <c r="H60" s="24" t="s">
        <v>61</v>
      </c>
      <c r="I60" s="108" t="s">
        <v>61</v>
      </c>
      <c r="J60" s="109"/>
      <c r="K60" s="34">
        <f t="shared" si="3"/>
        <v>16.182723795877585</v>
      </c>
      <c r="L60" s="34">
        <f t="shared" si="4"/>
        <v>81.11049055695973</v>
      </c>
    </row>
    <row r="61" spans="2:12" ht="22.5" customHeight="1">
      <c r="B61" s="21" t="s">
        <v>13</v>
      </c>
      <c r="C61" s="23">
        <f>57311120003.6</f>
        <v>57311120003.6</v>
      </c>
      <c r="D61" s="24" t="s">
        <v>61</v>
      </c>
      <c r="E61" s="23">
        <f>46225886873.48</f>
        <v>46225886873.48</v>
      </c>
      <c r="F61" s="24" t="s">
        <v>61</v>
      </c>
      <c r="G61" s="24" t="s">
        <v>61</v>
      </c>
      <c r="H61" s="24" t="s">
        <v>61</v>
      </c>
      <c r="I61" s="108" t="s">
        <v>61</v>
      </c>
      <c r="J61" s="109"/>
      <c r="K61" s="35">
        <f t="shared" si="3"/>
        <v>15.473610374001112</v>
      </c>
      <c r="L61" s="35">
        <f t="shared" si="4"/>
        <v>80.65779707424375</v>
      </c>
    </row>
    <row r="62" spans="2:12" ht="44.25" customHeight="1">
      <c r="B62" s="68" t="s">
        <v>66</v>
      </c>
      <c r="C62" s="76">
        <f>C59-C60</f>
        <v>265307209513.45</v>
      </c>
      <c r="D62" s="24" t="s">
        <v>61</v>
      </c>
      <c r="E62" s="76">
        <f>E59-E60</f>
        <v>250395856830.22003</v>
      </c>
      <c r="F62" s="24" t="s">
        <v>61</v>
      </c>
      <c r="G62" s="24" t="s">
        <v>61</v>
      </c>
      <c r="H62" s="24" t="s">
        <v>61</v>
      </c>
      <c r="I62" s="108" t="s">
        <v>61</v>
      </c>
      <c r="J62" s="109"/>
      <c r="K62" s="60">
        <f t="shared" si="3"/>
        <v>83.81727620412242</v>
      </c>
      <c r="L62" s="60">
        <f t="shared" si="4"/>
        <v>94.37959009460162</v>
      </c>
    </row>
    <row r="63" spans="2:12" ht="22.5" customHeight="1">
      <c r="B63" s="21" t="s">
        <v>112</v>
      </c>
      <c r="C63" s="23">
        <f>100119315748.96</f>
        <v>100119315748.96</v>
      </c>
      <c r="D63" s="24" t="s">
        <v>61</v>
      </c>
      <c r="E63" s="23">
        <f>96433781415.41</f>
        <v>96433781415.41</v>
      </c>
      <c r="F63" s="24" t="s">
        <v>61</v>
      </c>
      <c r="G63" s="24" t="s">
        <v>61</v>
      </c>
      <c r="H63" s="24" t="s">
        <v>61</v>
      </c>
      <c r="I63" s="108" t="s">
        <v>61</v>
      </c>
      <c r="J63" s="109"/>
      <c r="K63" s="35">
        <f t="shared" si="3"/>
        <v>32.28015429098697</v>
      </c>
      <c r="L63" s="35">
        <f t="shared" si="4"/>
        <v>96.31885784877801</v>
      </c>
    </row>
    <row r="64" spans="2:12" ht="22.5" customHeight="1">
      <c r="B64" s="21" t="s">
        <v>53</v>
      </c>
      <c r="C64" s="23">
        <f>27345147588.1</f>
        <v>27345147588.1</v>
      </c>
      <c r="D64" s="24" t="s">
        <v>61</v>
      </c>
      <c r="E64" s="23">
        <f>26238160093.57</f>
        <v>26238160093.57</v>
      </c>
      <c r="F64" s="24" t="s">
        <v>61</v>
      </c>
      <c r="G64" s="24" t="s">
        <v>61</v>
      </c>
      <c r="H64" s="24" t="s">
        <v>61</v>
      </c>
      <c r="I64" s="108" t="s">
        <v>61</v>
      </c>
      <c r="J64" s="109"/>
      <c r="K64" s="35">
        <f t="shared" si="3"/>
        <v>8.782937303718672</v>
      </c>
      <c r="L64" s="35">
        <f t="shared" si="4"/>
        <v>95.95179550242496</v>
      </c>
    </row>
    <row r="65" spans="2:12" ht="22.5" customHeight="1">
      <c r="B65" s="21" t="s">
        <v>52</v>
      </c>
      <c r="C65" s="23">
        <f>2176297767.08</f>
        <v>2176297767.08</v>
      </c>
      <c r="D65" s="24" t="s">
        <v>61</v>
      </c>
      <c r="E65" s="23">
        <f>1638251859.07</f>
        <v>1638251859.07</v>
      </c>
      <c r="F65" s="24" t="s">
        <v>61</v>
      </c>
      <c r="G65" s="24" t="s">
        <v>61</v>
      </c>
      <c r="H65" s="24" t="s">
        <v>61</v>
      </c>
      <c r="I65" s="108" t="s">
        <v>61</v>
      </c>
      <c r="J65" s="109"/>
      <c r="K65" s="35">
        <f t="shared" si="3"/>
        <v>0.5483869034490149</v>
      </c>
      <c r="L65" s="35">
        <f t="shared" si="4"/>
        <v>75.2770086819548</v>
      </c>
    </row>
    <row r="66" spans="2:12" ht="33.75" customHeight="1">
      <c r="B66" s="21" t="s">
        <v>69</v>
      </c>
      <c r="C66" s="23">
        <f>219350242.9</f>
        <v>219350242.9</v>
      </c>
      <c r="D66" s="24" t="s">
        <v>61</v>
      </c>
      <c r="E66" s="23">
        <f>21423724.24</f>
        <v>21423724.24</v>
      </c>
      <c r="F66" s="24" t="s">
        <v>61</v>
      </c>
      <c r="G66" s="24" t="s">
        <v>61</v>
      </c>
      <c r="H66" s="24" t="s">
        <v>61</v>
      </c>
      <c r="I66" s="108" t="s">
        <v>61</v>
      </c>
      <c r="J66" s="109"/>
      <c r="K66" s="35">
        <f t="shared" si="3"/>
        <v>0.007171357524348277</v>
      </c>
      <c r="L66" s="35">
        <f t="shared" si="4"/>
        <v>9.76690244640709</v>
      </c>
    </row>
    <row r="67" spans="2:12" ht="30" customHeight="1">
      <c r="B67" s="21" t="s">
        <v>71</v>
      </c>
      <c r="C67" s="23">
        <f>61486684948.8</f>
        <v>61486684948.8</v>
      </c>
      <c r="D67" s="24" t="s">
        <v>61</v>
      </c>
      <c r="E67" s="23">
        <f>60699857853.77</f>
        <v>60699857853.77</v>
      </c>
      <c r="F67" s="24" t="s">
        <v>61</v>
      </c>
      <c r="G67" s="24" t="s">
        <v>61</v>
      </c>
      <c r="H67" s="24" t="s">
        <v>61</v>
      </c>
      <c r="I67" s="108" t="s">
        <v>61</v>
      </c>
      <c r="J67" s="109"/>
      <c r="K67" s="35">
        <f t="shared" si="3"/>
        <v>20.318613956660247</v>
      </c>
      <c r="L67" s="35">
        <f t="shared" si="4"/>
        <v>98.72032929456972</v>
      </c>
    </row>
    <row r="68" spans="2:12" ht="22.5" customHeight="1">
      <c r="B68" s="21" t="s">
        <v>51</v>
      </c>
      <c r="C68" s="23">
        <f>C62-C63-C64-C65-C66-C67</f>
        <v>73960413217.60999</v>
      </c>
      <c r="D68" s="24" t="s">
        <v>61</v>
      </c>
      <c r="E68" s="23">
        <f>E62-E63-E64-E65-E66-E67</f>
        <v>65364381884.16001</v>
      </c>
      <c r="F68" s="24" t="s">
        <v>61</v>
      </c>
      <c r="G68" s="24" t="s">
        <v>61</v>
      </c>
      <c r="H68" s="24" t="s">
        <v>61</v>
      </c>
      <c r="I68" s="108" t="s">
        <v>61</v>
      </c>
      <c r="J68" s="109"/>
      <c r="K68" s="35">
        <f t="shared" si="3"/>
        <v>21.880012391783154</v>
      </c>
      <c r="L68" s="35">
        <f t="shared" si="4"/>
        <v>88.37752392194145</v>
      </c>
    </row>
    <row r="69" spans="2:13" ht="24" customHeight="1">
      <c r="B69" s="20" t="s">
        <v>15</v>
      </c>
      <c r="C69" s="26">
        <f>C6-C59</f>
        <v>-21166735318.23999</v>
      </c>
      <c r="D69" s="24" t="s">
        <v>61</v>
      </c>
      <c r="E69" s="26">
        <f>D6-E59</f>
        <v>5561187074.819946</v>
      </c>
      <c r="F69" s="24"/>
      <c r="G69" s="24"/>
      <c r="H69" s="24"/>
      <c r="I69" s="110"/>
      <c r="J69" s="110"/>
      <c r="K69" s="27"/>
      <c r="L69" s="27"/>
      <c r="M69" s="14"/>
    </row>
    <row r="70" spans="2:13" ht="38.25">
      <c r="B70" s="61" t="s">
        <v>80</v>
      </c>
      <c r="C70" s="62">
        <f>+C50-C62</f>
        <v>7373258824.580017</v>
      </c>
      <c r="D70" s="24" t="s">
        <v>61</v>
      </c>
      <c r="E70" s="62">
        <f>+D50-E62</f>
        <v>20965791991.72995</v>
      </c>
      <c r="F70" s="24"/>
      <c r="G70" s="24"/>
      <c r="H70" s="24"/>
      <c r="I70" s="106"/>
      <c r="J70" s="107"/>
      <c r="K70" s="27"/>
      <c r="L70" s="27"/>
      <c r="M70" s="14"/>
    </row>
    <row r="71" spans="2:13" ht="12" customHeight="1" thickBot="1">
      <c r="B71" s="63"/>
      <c r="C71" s="64"/>
      <c r="D71" s="64"/>
      <c r="E71" s="64"/>
      <c r="F71" s="2"/>
      <c r="G71" s="2"/>
      <c r="H71" s="2"/>
      <c r="I71" s="2"/>
      <c r="L71" s="11"/>
      <c r="M71" s="11"/>
    </row>
    <row r="72" spans="2:13" ht="12" customHeight="1" thickBot="1">
      <c r="B72" s="65" t="s">
        <v>74</v>
      </c>
      <c r="C72" s="64"/>
      <c r="D72" s="64"/>
      <c r="E72" s="64"/>
      <c r="F72" s="2"/>
      <c r="G72" s="2"/>
      <c r="H72" s="2"/>
      <c r="I72" s="2"/>
      <c r="L72" s="11"/>
      <c r="M72" s="11"/>
    </row>
    <row r="73" spans="2:13" ht="35.25" customHeight="1">
      <c r="B73" s="81" t="s">
        <v>75</v>
      </c>
      <c r="C73" s="76">
        <f>29842397252.07</f>
        <v>29842397252.07</v>
      </c>
      <c r="D73" s="24" t="s">
        <v>61</v>
      </c>
      <c r="E73" s="76">
        <f>23885761076.35</f>
        <v>23885761076.35</v>
      </c>
      <c r="F73" s="76"/>
      <c r="G73" s="76"/>
      <c r="H73" s="76"/>
      <c r="I73" s="108" t="s">
        <v>61</v>
      </c>
      <c r="J73" s="109"/>
      <c r="K73" s="60">
        <f>IF($E$73=0,"",100*$E73/$E$73)</f>
        <v>100</v>
      </c>
      <c r="L73" s="60">
        <f>IF(C73=0,"",100*E73/C73)</f>
        <v>80.03968607010343</v>
      </c>
      <c r="M73" s="11"/>
    </row>
    <row r="74" spans="2:13" ht="21.75" customHeight="1">
      <c r="B74" s="78" t="s">
        <v>78</v>
      </c>
      <c r="C74" s="79">
        <f>22683895661.62</f>
        <v>22683895661.62</v>
      </c>
      <c r="D74" s="24" t="s">
        <v>61</v>
      </c>
      <c r="E74" s="79">
        <f>18345326835.83</f>
        <v>18345326835.83</v>
      </c>
      <c r="F74" s="79"/>
      <c r="G74" s="79"/>
      <c r="H74" s="79"/>
      <c r="I74" s="108" t="s">
        <v>61</v>
      </c>
      <c r="J74" s="109"/>
      <c r="K74" s="80">
        <f>IF($E$73=0,"",100*$E74/$E$73)</f>
        <v>76.80444754173756</v>
      </c>
      <c r="L74" s="80">
        <f>IF(C74=0,"",100*E74/C74)</f>
        <v>80.87379306222681</v>
      </c>
      <c r="M74" s="11"/>
    </row>
    <row r="75" spans="2:12" ht="24" customHeight="1">
      <c r="B75" s="78" t="s">
        <v>79</v>
      </c>
      <c r="C75" s="79">
        <f>C73-C74</f>
        <v>7158501590.450001</v>
      </c>
      <c r="D75" s="24" t="s">
        <v>61</v>
      </c>
      <c r="E75" s="79">
        <f>E73-E74</f>
        <v>5540434240.519997</v>
      </c>
      <c r="F75" s="79"/>
      <c r="G75" s="79"/>
      <c r="H75" s="79"/>
      <c r="I75" s="108" t="s">
        <v>61</v>
      </c>
      <c r="J75" s="109"/>
      <c r="K75" s="80">
        <f>IF($E$73=0,"",100*$E75/$E$73)</f>
        <v>23.195552458262444</v>
      </c>
      <c r="L75" s="80">
        <f>IF(C75=0,"",100*E75/C75)</f>
        <v>77.39656365951456</v>
      </c>
    </row>
    <row r="76" spans="2:13" ht="20.25">
      <c r="B76" s="102" t="s">
        <v>113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2:8" ht="12.75">
      <c r="B77" s="41" t="s">
        <v>16</v>
      </c>
      <c r="C77" s="90" t="s">
        <v>17</v>
      </c>
      <c r="D77" s="89"/>
      <c r="E77" s="90" t="s">
        <v>1</v>
      </c>
      <c r="F77" s="89"/>
      <c r="G77" s="19" t="s">
        <v>26</v>
      </c>
      <c r="H77" s="19" t="s">
        <v>27</v>
      </c>
    </row>
    <row r="78" spans="2:8" ht="12.75">
      <c r="B78" s="41"/>
      <c r="C78" s="94" t="s">
        <v>81</v>
      </c>
      <c r="D78" s="95"/>
      <c r="E78" s="95"/>
      <c r="F78" s="96"/>
      <c r="G78" s="100" t="s">
        <v>4</v>
      </c>
      <c r="H78" s="101"/>
    </row>
    <row r="79" spans="2:8" ht="12.75">
      <c r="B79" s="39">
        <v>1</v>
      </c>
      <c r="C79" s="43">
        <v>2</v>
      </c>
      <c r="D79" s="44"/>
      <c r="E79" s="43">
        <v>3</v>
      </c>
      <c r="F79" s="44"/>
      <c r="G79" s="40">
        <v>4</v>
      </c>
      <c r="H79" s="40">
        <v>5</v>
      </c>
    </row>
    <row r="80" spans="2:8" ht="25.5">
      <c r="B80" s="38" t="s">
        <v>67</v>
      </c>
      <c r="C80" s="45">
        <f>0</f>
        <v>0</v>
      </c>
      <c r="D80" s="46"/>
      <c r="E80" s="45">
        <f>0</f>
        <v>0</v>
      </c>
      <c r="F80" s="46"/>
      <c r="G80" s="42">
        <f>IF($E$80=0,"",100*$E80/$E$80)</f>
      </c>
      <c r="H80" s="34">
        <f>IF(C80=0,"",100*E80/C80)</f>
      </c>
    </row>
    <row r="81" spans="2:8" ht="33.75">
      <c r="B81" s="37" t="s">
        <v>100</v>
      </c>
      <c r="C81" s="47">
        <f>0</f>
        <v>0</v>
      </c>
      <c r="D81" s="48"/>
      <c r="E81" s="47">
        <f>0</f>
        <v>0</v>
      </c>
      <c r="F81" s="48"/>
      <c r="G81" s="58">
        <f aca="true" t="shared" si="5" ref="G81:G87">IF($E$80=0,"",100*$E81/$E$80)</f>
      </c>
      <c r="H81" s="59">
        <f aca="true" t="shared" si="6" ref="H81:H92">IF(C81=0,"",100*E81/C81)</f>
      </c>
    </row>
    <row r="82" spans="2:8" ht="22.5">
      <c r="B82" s="30" t="s">
        <v>101</v>
      </c>
      <c r="C82" s="82">
        <f>0</f>
        <v>0</v>
      </c>
      <c r="D82" s="83"/>
      <c r="E82" s="82">
        <f>0</f>
        <v>0</v>
      </c>
      <c r="F82" s="83"/>
      <c r="G82" s="84">
        <f t="shared" si="5"/>
      </c>
      <c r="H82" s="80">
        <f t="shared" si="6"/>
      </c>
    </row>
    <row r="83" spans="2:8" ht="12.75">
      <c r="B83" s="85" t="s">
        <v>102</v>
      </c>
      <c r="C83" s="82">
        <f>0</f>
        <v>0</v>
      </c>
      <c r="D83" s="83"/>
      <c r="E83" s="82">
        <f>0</f>
        <v>0</v>
      </c>
      <c r="F83" s="83"/>
      <c r="G83" s="84">
        <f t="shared" si="5"/>
      </c>
      <c r="H83" s="80">
        <f t="shared" si="6"/>
      </c>
    </row>
    <row r="84" spans="2:8" ht="12.75">
      <c r="B84" s="85" t="s">
        <v>103</v>
      </c>
      <c r="C84" s="82">
        <f>0</f>
        <v>0</v>
      </c>
      <c r="D84" s="83"/>
      <c r="E84" s="82">
        <f>0</f>
        <v>0</v>
      </c>
      <c r="F84" s="83"/>
      <c r="G84" s="84">
        <f t="shared" si="5"/>
      </c>
      <c r="H84" s="80">
        <f t="shared" si="6"/>
      </c>
    </row>
    <row r="85" spans="2:8" ht="12.75">
      <c r="B85" s="85" t="s">
        <v>104</v>
      </c>
      <c r="C85" s="82">
        <f>0</f>
        <v>0</v>
      </c>
      <c r="D85" s="83"/>
      <c r="E85" s="82">
        <f>0</f>
        <v>0</v>
      </c>
      <c r="F85" s="83"/>
      <c r="G85" s="84">
        <f t="shared" si="5"/>
      </c>
      <c r="H85" s="80">
        <f t="shared" si="6"/>
      </c>
    </row>
    <row r="86" spans="2:8" ht="33.75">
      <c r="B86" s="85" t="s">
        <v>105</v>
      </c>
      <c r="C86" s="82">
        <f>0</f>
        <v>0</v>
      </c>
      <c r="D86" s="83"/>
      <c r="E86" s="82">
        <f>0</f>
        <v>0</v>
      </c>
      <c r="F86" s="83"/>
      <c r="G86" s="84">
        <f t="shared" si="5"/>
      </c>
      <c r="H86" s="80">
        <f t="shared" si="6"/>
      </c>
    </row>
    <row r="87" spans="2:8" ht="12.75">
      <c r="B87" s="85" t="s">
        <v>83</v>
      </c>
      <c r="C87" s="82">
        <f>0</f>
        <v>0</v>
      </c>
      <c r="D87" s="83"/>
      <c r="E87" s="82">
        <f>0</f>
        <v>0</v>
      </c>
      <c r="F87" s="83"/>
      <c r="G87" s="84">
        <f t="shared" si="5"/>
      </c>
      <c r="H87" s="80">
        <f t="shared" si="6"/>
      </c>
    </row>
    <row r="88" spans="2:8" ht="25.5">
      <c r="B88" s="38" t="s">
        <v>68</v>
      </c>
      <c r="C88" s="55">
        <f>0</f>
        <v>0</v>
      </c>
      <c r="D88" s="56"/>
      <c r="E88" s="55">
        <f>0</f>
        <v>0</v>
      </c>
      <c r="F88" s="56"/>
      <c r="G88" s="42">
        <f>IF($E$88=0,"",100*$E88/$E$88)</f>
      </c>
      <c r="H88" s="34">
        <f t="shared" si="6"/>
      </c>
    </row>
    <row r="89" spans="2:8" ht="33.75">
      <c r="B89" s="37" t="s">
        <v>106</v>
      </c>
      <c r="C89" s="47">
        <f>0</f>
        <v>0</v>
      </c>
      <c r="D89" s="53"/>
      <c r="E89" s="54">
        <f>0</f>
        <v>0</v>
      </c>
      <c r="F89" s="53"/>
      <c r="G89" s="58">
        <f>IF($E$88=0,"",100*$E89/$E$88)</f>
      </c>
      <c r="H89" s="59">
        <f t="shared" si="6"/>
      </c>
    </row>
    <row r="90" spans="2:8" ht="22.5">
      <c r="B90" s="30" t="s">
        <v>107</v>
      </c>
      <c r="C90" s="82">
        <f>0</f>
        <v>0</v>
      </c>
      <c r="D90" s="83"/>
      <c r="E90" s="82">
        <f>0</f>
        <v>0</v>
      </c>
      <c r="F90" s="83"/>
      <c r="G90" s="84">
        <f>IF($E$88=0,"",100*$E90/$E$88)</f>
      </c>
      <c r="H90" s="80">
        <f t="shared" si="6"/>
      </c>
    </row>
    <row r="91" spans="2:8" ht="12.75">
      <c r="B91" s="85" t="s">
        <v>108</v>
      </c>
      <c r="C91" s="82">
        <f>0</f>
        <v>0</v>
      </c>
      <c r="D91" s="83"/>
      <c r="E91" s="82">
        <f>0</f>
        <v>0</v>
      </c>
      <c r="F91" s="83"/>
      <c r="G91" s="84">
        <f>IF($E$88=0,"",100*$E91/$E$88)</f>
      </c>
      <c r="H91" s="80">
        <f t="shared" si="6"/>
      </c>
    </row>
    <row r="92" spans="2:8" ht="12.75">
      <c r="B92" s="36" t="s">
        <v>33</v>
      </c>
      <c r="C92" s="47">
        <f>0</f>
        <v>0</v>
      </c>
      <c r="D92" s="50"/>
      <c r="E92" s="47">
        <f>0</f>
        <v>0</v>
      </c>
      <c r="F92" s="50"/>
      <c r="G92" s="58">
        <f>IF($E$88=0,"",100*$E92/$E$88)</f>
      </c>
      <c r="H92" s="59">
        <f t="shared" si="6"/>
      </c>
    </row>
    <row r="94" spans="2:8" ht="12.75">
      <c r="B94" s="41" t="s">
        <v>16</v>
      </c>
      <c r="C94" s="90" t="s">
        <v>17</v>
      </c>
      <c r="D94" s="89"/>
      <c r="E94" s="90" t="s">
        <v>1</v>
      </c>
      <c r="F94" s="89"/>
      <c r="G94" s="19" t="s">
        <v>26</v>
      </c>
      <c r="H94" s="19" t="s">
        <v>27</v>
      </c>
    </row>
    <row r="95" spans="2:8" ht="12.75">
      <c r="B95" s="41"/>
      <c r="C95" s="94" t="s">
        <v>81</v>
      </c>
      <c r="D95" s="95"/>
      <c r="E95" s="95"/>
      <c r="F95" s="96"/>
      <c r="G95" s="100" t="s">
        <v>4</v>
      </c>
      <c r="H95" s="101"/>
    </row>
    <row r="96" spans="2:8" ht="12.75">
      <c r="B96" s="39">
        <v>1</v>
      </c>
      <c r="C96" s="43">
        <v>2</v>
      </c>
      <c r="D96" s="44"/>
      <c r="E96" s="43">
        <v>3</v>
      </c>
      <c r="F96" s="44"/>
      <c r="G96" s="40">
        <v>4</v>
      </c>
      <c r="H96" s="40">
        <v>5</v>
      </c>
    </row>
    <row r="97" spans="2:8" ht="22.5">
      <c r="B97" s="57" t="s">
        <v>84</v>
      </c>
      <c r="C97" s="52">
        <f>0</f>
        <v>0</v>
      </c>
      <c r="D97" s="49"/>
      <c r="E97" s="52">
        <f>0</f>
        <v>0</v>
      </c>
      <c r="F97" s="46"/>
      <c r="G97" s="42"/>
      <c r="H97" s="34"/>
    </row>
    <row r="98" spans="2:8" ht="56.25">
      <c r="B98" s="51" t="s">
        <v>85</v>
      </c>
      <c r="C98" s="54">
        <f>0</f>
        <v>0</v>
      </c>
      <c r="D98" s="53"/>
      <c r="E98" s="54">
        <f>0</f>
        <v>0</v>
      </c>
      <c r="F98" s="53"/>
      <c r="G98" s="58"/>
      <c r="H98" s="59"/>
    </row>
    <row r="99" spans="2:8" ht="12.75">
      <c r="B99" s="51" t="s">
        <v>86</v>
      </c>
      <c r="C99" s="54">
        <f>0</f>
        <v>0</v>
      </c>
      <c r="D99" s="53"/>
      <c r="E99" s="54">
        <f>0</f>
        <v>0</v>
      </c>
      <c r="F99" s="53"/>
      <c r="G99" s="58"/>
      <c r="H99" s="59"/>
    </row>
    <row r="100" spans="2:8" ht="33.75">
      <c r="B100" s="51" t="s">
        <v>87</v>
      </c>
      <c r="C100" s="54">
        <f>0</f>
        <v>0</v>
      </c>
      <c r="D100" s="53"/>
      <c r="E100" s="54">
        <f>0</f>
        <v>0</v>
      </c>
      <c r="F100" s="53"/>
      <c r="G100" s="58"/>
      <c r="H100" s="59"/>
    </row>
    <row r="101" spans="2:8" ht="33.75">
      <c r="B101" s="51" t="s">
        <v>88</v>
      </c>
      <c r="C101" s="54">
        <f>0</f>
        <v>0</v>
      </c>
      <c r="D101" s="53"/>
      <c r="E101" s="54">
        <f>0</f>
        <v>0</v>
      </c>
      <c r="F101" s="53"/>
      <c r="G101" s="58"/>
      <c r="H101" s="59"/>
    </row>
    <row r="102" spans="2:8" ht="101.25">
      <c r="B102" s="51" t="s">
        <v>89</v>
      </c>
      <c r="C102" s="54">
        <f>0</f>
        <v>0</v>
      </c>
      <c r="D102" s="53"/>
      <c r="E102" s="54">
        <f>0</f>
        <v>0</v>
      </c>
      <c r="F102" s="53"/>
      <c r="G102" s="58"/>
      <c r="H102" s="59"/>
    </row>
    <row r="104" spans="2:6" ht="12.75">
      <c r="B104" s="41" t="s">
        <v>16</v>
      </c>
      <c r="C104" s="90" t="s">
        <v>111</v>
      </c>
      <c r="D104" s="88"/>
      <c r="E104" s="88"/>
      <c r="F104" s="89"/>
    </row>
    <row r="105" spans="2:6" ht="12.75">
      <c r="B105" s="41"/>
      <c r="C105" s="94" t="s">
        <v>81</v>
      </c>
      <c r="D105" s="95"/>
      <c r="E105" s="95"/>
      <c r="F105" s="96"/>
    </row>
    <row r="106" spans="2:6" ht="12.75">
      <c r="B106" s="39">
        <v>1</v>
      </c>
      <c r="C106" s="91">
        <v>2</v>
      </c>
      <c r="D106" s="92"/>
      <c r="E106" s="92"/>
      <c r="F106" s="93"/>
    </row>
    <row r="107" spans="2:6" ht="56.25">
      <c r="B107" s="57" t="s">
        <v>90</v>
      </c>
      <c r="C107" s="87">
        <f>0</f>
        <v>0</v>
      </c>
      <c r="D107" s="88"/>
      <c r="E107" s="88"/>
      <c r="F107" s="89"/>
    </row>
    <row r="108" spans="2:6" ht="45">
      <c r="B108" s="86" t="s">
        <v>91</v>
      </c>
      <c r="C108" s="87">
        <f>0</f>
        <v>0</v>
      </c>
      <c r="D108" s="88"/>
      <c r="E108" s="88"/>
      <c r="F108" s="89"/>
    </row>
    <row r="109" spans="2:6" ht="45">
      <c r="B109" s="86" t="s">
        <v>92</v>
      </c>
      <c r="C109" s="87">
        <f>0</f>
        <v>0</v>
      </c>
      <c r="D109" s="88"/>
      <c r="E109" s="88"/>
      <c r="F109" s="89"/>
    </row>
    <row r="110" spans="2:6" ht="78.75">
      <c r="B110" s="86" t="s">
        <v>93</v>
      </c>
      <c r="C110" s="87">
        <f>0</f>
        <v>0</v>
      </c>
      <c r="D110" s="88"/>
      <c r="E110" s="88"/>
      <c r="F110" s="89"/>
    </row>
    <row r="111" spans="2:6" ht="56.25">
      <c r="B111" s="86" t="s">
        <v>94</v>
      </c>
      <c r="C111" s="87">
        <f>0</f>
        <v>0</v>
      </c>
      <c r="D111" s="88"/>
      <c r="E111" s="88"/>
      <c r="F111" s="89"/>
    </row>
    <row r="112" spans="2:6" ht="56.25">
      <c r="B112" s="86" t="s">
        <v>95</v>
      </c>
      <c r="C112" s="87">
        <f>0</f>
        <v>0</v>
      </c>
      <c r="D112" s="88"/>
      <c r="E112" s="88"/>
      <c r="F112" s="89"/>
    </row>
    <row r="113" spans="2:6" ht="56.25">
      <c r="B113" s="86" t="s">
        <v>96</v>
      </c>
      <c r="C113" s="87">
        <f>0</f>
        <v>0</v>
      </c>
      <c r="D113" s="88"/>
      <c r="E113" s="88"/>
      <c r="F113" s="89"/>
    </row>
    <row r="114" spans="2:6" ht="112.5">
      <c r="B114" s="86" t="s">
        <v>109</v>
      </c>
      <c r="C114" s="87">
        <f>0</f>
        <v>0</v>
      </c>
      <c r="D114" s="88"/>
      <c r="E114" s="88"/>
      <c r="F114" s="89"/>
    </row>
    <row r="115" spans="2:6" ht="112.5">
      <c r="B115" s="86" t="s">
        <v>110</v>
      </c>
      <c r="C115" s="87">
        <f>0</f>
        <v>0</v>
      </c>
      <c r="D115" s="88"/>
      <c r="E115" s="88"/>
      <c r="F115" s="89"/>
    </row>
  </sheetData>
  <sheetProtection/>
  <mergeCells count="54">
    <mergeCell ref="I58:J58"/>
    <mergeCell ref="I75:J75"/>
    <mergeCell ref="I67:J67"/>
    <mergeCell ref="I65:J65"/>
    <mergeCell ref="I66:J66"/>
    <mergeCell ref="I68:J68"/>
    <mergeCell ref="I69:J69"/>
    <mergeCell ref="I73:J73"/>
    <mergeCell ref="I74:J74"/>
    <mergeCell ref="I63:J63"/>
    <mergeCell ref="I64:J64"/>
    <mergeCell ref="I59:J59"/>
    <mergeCell ref="I60:J60"/>
    <mergeCell ref="I61:J61"/>
    <mergeCell ref="I62:J62"/>
    <mergeCell ref="B1:M1"/>
    <mergeCell ref="B3:B4"/>
    <mergeCell ref="K4:M4"/>
    <mergeCell ref="C4:J4"/>
    <mergeCell ref="B52:M52"/>
    <mergeCell ref="B76:M76"/>
    <mergeCell ref="I54:J56"/>
    <mergeCell ref="D54:D56"/>
    <mergeCell ref="E54:E56"/>
    <mergeCell ref="F55:F56"/>
    <mergeCell ref="F54:H54"/>
    <mergeCell ref="G55:H55"/>
    <mergeCell ref="L54:L56"/>
    <mergeCell ref="I70:J70"/>
    <mergeCell ref="C57:J57"/>
    <mergeCell ref="C54:C56"/>
    <mergeCell ref="B54:B57"/>
    <mergeCell ref="K54:K56"/>
    <mergeCell ref="K57:L57"/>
    <mergeCell ref="G78:H78"/>
    <mergeCell ref="C105:F105"/>
    <mergeCell ref="C94:D94"/>
    <mergeCell ref="E94:F94"/>
    <mergeCell ref="C95:F95"/>
    <mergeCell ref="G95:H95"/>
    <mergeCell ref="C104:F104"/>
    <mergeCell ref="C106:F106"/>
    <mergeCell ref="C107:F107"/>
    <mergeCell ref="C77:D77"/>
    <mergeCell ref="E77:F77"/>
    <mergeCell ref="C78:F78"/>
    <mergeCell ref="C112:F112"/>
    <mergeCell ref="C113:F113"/>
    <mergeCell ref="C114:F114"/>
    <mergeCell ref="C115:F115"/>
    <mergeCell ref="C111:F111"/>
    <mergeCell ref="C108:F108"/>
    <mergeCell ref="C109:F109"/>
    <mergeCell ref="C110:F110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55" r:id="rId1"/>
  <headerFooter alignWithMargins="0">
    <oddFooter>&amp;RStrona &amp;P z &amp;N</oddFooter>
  </headerFooter>
  <rowBreaks count="4" manualBreakCount="4">
    <brk id="21" max="255" man="1"/>
    <brk id="51" max="255" man="1"/>
    <brk id="75" max="12" man="1"/>
    <brk id="10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2018-03-19T09:12:59Z</cp:lastPrinted>
  <dcterms:created xsi:type="dcterms:W3CDTF">2001-05-17T08:58:03Z</dcterms:created>
  <dcterms:modified xsi:type="dcterms:W3CDTF">2021-02-08T10:20:33Z</dcterms:modified>
  <cp:category/>
  <cp:version/>
  <cp:contentType/>
  <cp:contentStatus/>
</cp:coreProperties>
</file>