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HCY\Documents\```ST7\Besti@\2023\IV kwartał\2024.03.15 ostateczne\BIP MF\Zbiorówki\"/>
    </mc:Choice>
  </mc:AlternateContent>
  <xr:revisionPtr revIDLastSave="0" documentId="13_ncr:1_{1821AC16-F464-4751-B78F-095EF8ACEF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ob_nal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6" i="7" l="1"/>
  <c r="B95" i="7"/>
  <c r="B94" i="7"/>
  <c r="I91" i="7"/>
  <c r="G91" i="7"/>
  <c r="I90" i="7"/>
  <c r="G90" i="7"/>
  <c r="I89" i="7"/>
  <c r="G89" i="7"/>
  <c r="L83" i="7"/>
  <c r="K83" i="7"/>
  <c r="J83" i="7"/>
  <c r="I83" i="7"/>
  <c r="H83" i="7"/>
  <c r="G83" i="7"/>
  <c r="F83" i="7"/>
  <c r="L82" i="7"/>
  <c r="K82" i="7"/>
  <c r="J82" i="7"/>
  <c r="I82" i="7"/>
  <c r="H82" i="7"/>
  <c r="G82" i="7"/>
  <c r="F82" i="7"/>
  <c r="L81" i="7"/>
  <c r="K81" i="7"/>
  <c r="J81" i="7"/>
  <c r="I81" i="7"/>
  <c r="H81" i="7"/>
  <c r="G81" i="7"/>
  <c r="F81" i="7"/>
  <c r="L80" i="7"/>
  <c r="K80" i="7"/>
  <c r="J80" i="7"/>
  <c r="I80" i="7"/>
  <c r="H80" i="7"/>
  <c r="G80" i="7"/>
  <c r="F80" i="7"/>
  <c r="L79" i="7"/>
  <c r="K79" i="7"/>
  <c r="J79" i="7"/>
  <c r="I79" i="7"/>
  <c r="H79" i="7"/>
  <c r="G79" i="7"/>
  <c r="F79" i="7"/>
  <c r="L78" i="7"/>
  <c r="K78" i="7"/>
  <c r="J78" i="7"/>
  <c r="I78" i="7"/>
  <c r="H78" i="7"/>
  <c r="G78" i="7"/>
  <c r="F78" i="7"/>
  <c r="L77" i="7"/>
  <c r="K77" i="7"/>
  <c r="J77" i="7"/>
  <c r="I77" i="7"/>
  <c r="H77" i="7"/>
  <c r="G77" i="7"/>
  <c r="F77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C94" i="7" l="1"/>
  <c r="A1" i="7" l="1"/>
  <c r="A86" i="7"/>
  <c r="A30" i="7"/>
  <c r="A67" i="7"/>
</calcChain>
</file>

<file path=xl/sharedStrings.xml><?xml version="1.0" encoding="utf-8"?>
<sst xmlns="http://schemas.openxmlformats.org/spreadsheetml/2006/main" count="93" uniqueCount="79">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</sst>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:mm;@"/>
  </numFmts>
  <fonts count="31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6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7" applyNumberFormat="0" applyFill="0" applyAlignment="0" applyProtection="0"/>
    <xf numFmtId="0" fontId="22" fillId="8" borderId="0" applyNumberFormat="0" applyBorder="0" applyAlignment="0" applyProtection="0"/>
    <xf numFmtId="0" fontId="4" fillId="0" borderId="0"/>
    <xf numFmtId="0" fontId="1" fillId="4" borderId="8" applyNumberFormat="0" applyFont="0" applyAlignment="0" applyProtection="0"/>
    <xf numFmtId="0" fontId="23" fillId="16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37" applyFont="1" applyAlignment="1">
      <alignment horizontal="center" vertical="center" wrapText="1"/>
    </xf>
    <xf numFmtId="0" fontId="4" fillId="0" borderId="0" xfId="37" applyAlignment="1">
      <alignment horizontal="center" vertical="center" wrapText="1"/>
    </xf>
    <xf numFmtId="0" fontId="4" fillId="0" borderId="0" xfId="37" applyFill="1" applyBorder="1" applyAlignment="1">
      <alignment horizontal="center" vertical="center" wrapText="1"/>
    </xf>
    <xf numFmtId="0" fontId="5" fillId="0" borderId="0" xfId="37" applyFont="1" applyFill="1" applyBorder="1" applyAlignment="1">
      <alignment horizontal="center" vertical="center" wrapText="1"/>
    </xf>
    <xf numFmtId="0" fontId="2" fillId="0" borderId="0" xfId="37" applyFont="1" applyFill="1" applyBorder="1" applyAlignment="1">
      <alignment horizontal="left" vertical="center" wrapText="1"/>
    </xf>
    <xf numFmtId="0" fontId="2" fillId="0" borderId="0" xfId="37" applyFont="1" applyFill="1" applyBorder="1" applyAlignment="1">
      <alignment horizontal="center" vertical="center" wrapText="1"/>
    </xf>
    <xf numFmtId="0" fontId="9" fillId="0" borderId="10" xfId="0" applyFont="1" applyBorder="1"/>
    <xf numFmtId="0" fontId="9" fillId="0" borderId="0" xfId="0" applyFont="1"/>
    <xf numFmtId="164" fontId="9" fillId="0" borderId="10" xfId="0" applyNumberFormat="1" applyFont="1" applyBorder="1"/>
    <xf numFmtId="0" fontId="27" fillId="0" borderId="0" xfId="37" applyFont="1" applyAlignment="1">
      <alignment horizontal="center" vertical="center" wrapText="1"/>
    </xf>
    <xf numFmtId="0" fontId="27" fillId="0" borderId="0" xfId="37" applyFont="1" applyFill="1" applyBorder="1" applyAlignment="1">
      <alignment horizontal="center" vertical="center" wrapText="1"/>
    </xf>
    <xf numFmtId="0" fontId="7" fillId="19" borderId="10" xfId="37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indent="1"/>
    </xf>
    <xf numFmtId="4" fontId="7" fillId="0" borderId="0" xfId="37" applyNumberFormat="1" applyFont="1" applyBorder="1" applyAlignment="1">
      <alignment horizontal="right" vertical="center" wrapText="1"/>
    </xf>
    <xf numFmtId="0" fontId="2" fillId="19" borderId="10" xfId="37" applyFont="1" applyFill="1" applyBorder="1" applyAlignment="1">
      <alignment horizontal="center" vertical="center" wrapText="1"/>
    </xf>
    <xf numFmtId="0" fontId="2" fillId="0" borderId="10" xfId="37" applyFont="1" applyBorder="1" applyAlignment="1">
      <alignment horizontal="left" vertical="center" wrapText="1"/>
    </xf>
    <xf numFmtId="0" fontId="2" fillId="0" borderId="10" xfId="37" applyFont="1" applyBorder="1" applyAlignment="1">
      <alignment horizontal="left" vertical="top" wrapText="1"/>
    </xf>
    <xf numFmtId="0" fontId="29" fillId="0" borderId="17" xfId="0" applyFont="1" applyFill="1" applyBorder="1" applyAlignment="1">
      <alignment vertical="top" wrapText="1"/>
    </xf>
    <xf numFmtId="0" fontId="8" fillId="20" borderId="10" xfId="37" applyFont="1" applyFill="1" applyBorder="1" applyAlignment="1">
      <alignment horizontal="left" vertical="top" wrapText="1"/>
    </xf>
    <xf numFmtId="0" fontId="2" fillId="20" borderId="10" xfId="37" applyFont="1" applyFill="1" applyBorder="1" applyAlignment="1">
      <alignment horizontal="left" vertical="top" wrapText="1"/>
    </xf>
    <xf numFmtId="4" fontId="7" fillId="20" borderId="10" xfId="37" applyNumberFormat="1" applyFont="1" applyFill="1" applyBorder="1" applyAlignment="1">
      <alignment horizontal="right" vertical="center" wrapText="1"/>
    </xf>
    <xf numFmtId="4" fontId="7" fillId="0" borderId="10" xfId="37" applyNumberFormat="1" applyFont="1" applyBorder="1" applyAlignment="1">
      <alignment horizontal="right" vertical="center" wrapText="1"/>
    </xf>
    <xf numFmtId="4" fontId="7" fillId="20" borderId="10" xfId="37" applyNumberFormat="1" applyFont="1" applyFill="1" applyBorder="1" applyAlignment="1">
      <alignment vertical="center" wrapText="1"/>
    </xf>
    <xf numFmtId="4" fontId="7" fillId="0" borderId="10" xfId="37" applyNumberFormat="1" applyFont="1" applyFill="1" applyBorder="1" applyAlignment="1">
      <alignment vertical="center" wrapText="1"/>
    </xf>
    <xf numFmtId="4" fontId="7" fillId="0" borderId="10" xfId="37" applyNumberFormat="1" applyFont="1" applyFill="1" applyBorder="1" applyAlignment="1">
      <alignment horizontal="right" vertical="center" wrapText="1"/>
    </xf>
    <xf numFmtId="0" fontId="8" fillId="21" borderId="10" xfId="37" applyFont="1" applyFill="1" applyBorder="1" applyAlignment="1">
      <alignment horizontal="left" vertical="center" wrapText="1"/>
    </xf>
    <xf numFmtId="4" fontId="7" fillId="21" borderId="10" xfId="37" applyNumberFormat="1" applyFont="1" applyFill="1" applyBorder="1" applyAlignment="1">
      <alignment horizontal="right" vertical="center" wrapText="1"/>
    </xf>
    <xf numFmtId="0" fontId="28" fillId="21" borderId="17" xfId="0" applyFont="1" applyFill="1" applyBorder="1" applyAlignment="1">
      <alignment vertical="top" wrapText="1"/>
    </xf>
    <xf numFmtId="0" fontId="2" fillId="19" borderId="15" xfId="37" applyFont="1" applyFill="1" applyBorder="1" applyAlignment="1">
      <alignment horizontal="center" vertical="center" wrapText="1"/>
    </xf>
    <xf numFmtId="0" fontId="2" fillId="19" borderId="14" xfId="37" applyFont="1" applyFill="1" applyBorder="1" applyAlignment="1">
      <alignment horizontal="center" vertical="center" wrapText="1"/>
    </xf>
    <xf numFmtId="0" fontId="2" fillId="19" borderId="11" xfId="37" applyFont="1" applyFill="1" applyBorder="1" applyAlignment="1">
      <alignment horizontal="center" vertical="center" wrapText="1"/>
    </xf>
    <xf numFmtId="0" fontId="2" fillId="19" borderId="10" xfId="37" applyFont="1" applyFill="1" applyBorder="1" applyAlignment="1">
      <alignment horizontal="center" vertical="center" wrapText="1"/>
    </xf>
    <xf numFmtId="0" fontId="30" fillId="0" borderId="0" xfId="37" applyFont="1" applyAlignment="1">
      <alignment horizontal="center" vertical="center" wrapText="1"/>
    </xf>
    <xf numFmtId="0" fontId="2" fillId="19" borderId="19" xfId="37" applyFont="1" applyFill="1" applyBorder="1" applyAlignment="1">
      <alignment horizontal="center" vertical="center" wrapText="1"/>
    </xf>
    <xf numFmtId="0" fontId="2" fillId="19" borderId="20" xfId="37" applyFont="1" applyFill="1" applyBorder="1" applyAlignment="1">
      <alignment horizontal="center" vertical="center" wrapText="1"/>
    </xf>
    <xf numFmtId="0" fontId="2" fillId="19" borderId="12" xfId="37" applyFont="1" applyFill="1" applyBorder="1" applyAlignment="1">
      <alignment horizontal="center" vertical="center" wrapText="1"/>
    </xf>
    <xf numFmtId="0" fontId="2" fillId="19" borderId="10" xfId="37" applyNumberFormat="1" applyFont="1" applyFill="1" applyBorder="1" applyAlignment="1">
      <alignment horizontal="center" vertical="center" wrapText="1"/>
    </xf>
    <xf numFmtId="0" fontId="2" fillId="0" borderId="15" xfId="37" applyFont="1" applyFill="1" applyBorder="1" applyAlignment="1">
      <alignment horizontal="left" vertical="center" wrapText="1"/>
    </xf>
    <xf numFmtId="0" fontId="2" fillId="0" borderId="14" xfId="37" applyFont="1" applyFill="1" applyBorder="1" applyAlignment="1">
      <alignment horizontal="left" vertical="center" wrapText="1"/>
    </xf>
    <xf numFmtId="0" fontId="2" fillId="0" borderId="11" xfId="37" applyFont="1" applyFill="1" applyBorder="1" applyAlignment="1">
      <alignment horizontal="left" vertical="center" wrapText="1"/>
    </xf>
    <xf numFmtId="4" fontId="7" fillId="0" borderId="15" xfId="37" applyNumberFormat="1" applyFont="1" applyBorder="1" applyAlignment="1">
      <alignment horizontal="right" vertical="center" wrapText="1"/>
    </xf>
    <xf numFmtId="4" fontId="7" fillId="0" borderId="11" xfId="37" applyNumberFormat="1" applyFont="1" applyBorder="1" applyAlignment="1">
      <alignment horizontal="right" vertical="center" wrapText="1"/>
    </xf>
    <xf numFmtId="0" fontId="6" fillId="0" borderId="0" xfId="37" applyFont="1" applyAlignment="1">
      <alignment horizontal="left" vertical="center" wrapText="1"/>
    </xf>
    <xf numFmtId="0" fontId="5" fillId="19" borderId="15" xfId="37" applyFont="1" applyFill="1" applyBorder="1" applyAlignment="1">
      <alignment horizontal="center" vertical="center" wrapText="1"/>
    </xf>
    <xf numFmtId="0" fontId="5" fillId="19" borderId="11" xfId="37" applyFont="1" applyFill="1" applyBorder="1" applyAlignment="1">
      <alignment horizontal="center" vertical="center" wrapText="1"/>
    </xf>
    <xf numFmtId="0" fontId="8" fillId="19" borderId="21" xfId="37" applyFont="1" applyFill="1" applyBorder="1" applyAlignment="1">
      <alignment horizontal="center" vertical="center" wrapText="1"/>
    </xf>
    <xf numFmtId="0" fontId="8" fillId="19" borderId="18" xfId="37" applyFont="1" applyFill="1" applyBorder="1" applyAlignment="1">
      <alignment horizontal="center" vertical="center" wrapText="1"/>
    </xf>
    <xf numFmtId="0" fontId="8" fillId="19" borderId="22" xfId="37" applyFont="1" applyFill="1" applyBorder="1" applyAlignment="1">
      <alignment horizontal="center" vertical="center" wrapText="1"/>
    </xf>
    <xf numFmtId="0" fontId="8" fillId="19" borderId="23" xfId="37" applyFont="1" applyFill="1" applyBorder="1" applyAlignment="1">
      <alignment horizontal="center" vertical="center" wrapText="1"/>
    </xf>
    <xf numFmtId="0" fontId="8" fillId="19" borderId="0" xfId="37" applyFont="1" applyFill="1" applyBorder="1" applyAlignment="1">
      <alignment horizontal="center" vertical="center" wrapText="1"/>
    </xf>
    <xf numFmtId="0" fontId="8" fillId="19" borderId="24" xfId="37" applyFont="1" applyFill="1" applyBorder="1" applyAlignment="1">
      <alignment horizontal="center" vertical="center" wrapText="1"/>
    </xf>
    <xf numFmtId="0" fontId="8" fillId="19" borderId="13" xfId="37" applyFont="1" applyFill="1" applyBorder="1" applyAlignment="1">
      <alignment horizontal="center" vertical="center" wrapText="1"/>
    </xf>
    <xf numFmtId="0" fontId="8" fillId="19" borderId="25" xfId="37" applyFont="1" applyFill="1" applyBorder="1" applyAlignment="1">
      <alignment horizontal="center" vertical="center" wrapText="1"/>
    </xf>
    <xf numFmtId="0" fontId="8" fillId="19" borderId="16" xfId="37" applyFont="1" applyFill="1" applyBorder="1" applyAlignment="1">
      <alignment horizontal="center" vertical="center" wrapText="1"/>
    </xf>
    <xf numFmtId="0" fontId="2" fillId="0" borderId="15" xfId="37" applyFont="1" applyBorder="1" applyAlignment="1">
      <alignment horizontal="left" vertical="center" wrapText="1"/>
    </xf>
    <xf numFmtId="0" fontId="2" fillId="0" borderId="14" xfId="37" applyFont="1" applyBorder="1" applyAlignment="1">
      <alignment horizontal="left" vertical="center" wrapText="1"/>
    </xf>
    <xf numFmtId="0" fontId="2" fillId="0" borderId="11" xfId="37" applyFont="1" applyBorder="1" applyAlignment="1">
      <alignment horizontal="left" vertical="center" wrapText="1"/>
    </xf>
    <xf numFmtId="3" fontId="7" fillId="0" borderId="15" xfId="37" applyNumberFormat="1" applyFont="1" applyBorder="1" applyAlignment="1">
      <alignment horizontal="right" vertical="center" wrapText="1"/>
    </xf>
    <xf numFmtId="3" fontId="7" fillId="0" borderId="11" xfId="37" applyNumberFormat="1" applyFont="1" applyBorder="1" applyAlignment="1">
      <alignment horizontal="right" vertical="center" wrapText="1"/>
    </xf>
    <xf numFmtId="0" fontId="5" fillId="19" borderId="14" xfId="37" applyFont="1" applyFill="1" applyBorder="1" applyAlignment="1">
      <alignment horizontal="center" vertical="center" wrapText="1"/>
    </xf>
    <xf numFmtId="3" fontId="7" fillId="0" borderId="15" xfId="37" applyNumberFormat="1" applyFont="1" applyFill="1" applyBorder="1" applyAlignment="1">
      <alignment horizontal="right" vertical="center" wrapText="1"/>
    </xf>
    <xf numFmtId="3" fontId="7" fillId="0" borderId="11" xfId="37" applyNumberFormat="1" applyFont="1" applyFill="1" applyBorder="1" applyAlignment="1">
      <alignment horizontal="right" vertical="center" wrapText="1"/>
    </xf>
    <xf numFmtId="4" fontId="7" fillId="0" borderId="15" xfId="37" applyNumberFormat="1" applyFont="1" applyFill="1" applyBorder="1" applyAlignment="1">
      <alignment horizontal="right" vertical="center" wrapText="1"/>
    </xf>
    <xf numFmtId="4" fontId="7" fillId="0" borderId="11" xfId="37" applyNumberFormat="1" applyFont="1" applyFill="1" applyBorder="1" applyAlignment="1">
      <alignment horizontal="right" vertical="center" wrapText="1"/>
    </xf>
    <xf numFmtId="0" fontId="2" fillId="19" borderId="21" xfId="37" applyFont="1" applyFill="1" applyBorder="1" applyAlignment="1">
      <alignment horizontal="center" vertical="center" wrapText="1"/>
    </xf>
    <xf numFmtId="0" fontId="2" fillId="19" borderId="23" xfId="37" applyFont="1" applyFill="1" applyBorder="1" applyAlignment="1">
      <alignment horizontal="center" vertical="center" wrapText="1"/>
    </xf>
    <xf numFmtId="0" fontId="2" fillId="19" borderId="13" xfId="37" applyFont="1" applyFill="1" applyBorder="1" applyAlignment="1">
      <alignment horizontal="center" vertical="center" wrapText="1"/>
    </xf>
    <xf numFmtId="0" fontId="27" fillId="0" borderId="0" xfId="37" applyFont="1" applyFill="1" applyBorder="1" applyAlignment="1">
      <alignment horizontal="center" vertical="center" wrapText="1"/>
    </xf>
    <xf numFmtId="0" fontId="8" fillId="19" borderId="19" xfId="37" applyFont="1" applyFill="1" applyBorder="1" applyAlignment="1">
      <alignment horizontal="center" vertical="center" wrapText="1"/>
    </xf>
    <xf numFmtId="0" fontId="8" fillId="19" borderId="20" xfId="37" applyFont="1" applyFill="1" applyBorder="1" applyAlignment="1">
      <alignment horizontal="center" vertical="center" wrapText="1"/>
    </xf>
    <xf numFmtId="0" fontId="8" fillId="19" borderId="12" xfId="37" applyFont="1" applyFill="1" applyBorder="1" applyAlignment="1">
      <alignment horizontal="center" vertical="center" wrapText="1"/>
    </xf>
    <xf numFmtId="0" fontId="8" fillId="19" borderId="15" xfId="37" applyFont="1" applyFill="1" applyBorder="1" applyAlignment="1">
      <alignment horizontal="center" vertical="center" wrapText="1"/>
    </xf>
    <xf numFmtId="0" fontId="8" fillId="19" borderId="14" xfId="37" applyFont="1" applyFill="1" applyBorder="1" applyAlignment="1">
      <alignment horizontal="center" vertical="center" wrapText="1"/>
    </xf>
    <xf numFmtId="0" fontId="8" fillId="19" borderId="11" xfId="37" applyFont="1" applyFill="1" applyBorder="1" applyAlignment="1">
      <alignment horizontal="center" vertical="center" wrapText="1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y" xfId="0" builtinId="0"/>
    <cellStyle name="Normalny_Zeszyt1" xfId="37" xr:uid="{00000000-0005-0000-0000-000025000000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96"/>
  <sheetViews>
    <sheetView tabSelected="1" zoomScaleNormal="100" zoomScaleSheetLayoutView="50" workbookViewId="0">
      <selection sqref="A1:M1"/>
    </sheetView>
  </sheetViews>
  <sheetFormatPr defaultRowHeight="13.5" customHeight="1" x14ac:dyDescent="0.2"/>
  <cols>
    <col min="1" max="1" width="16.42578125" style="2" customWidth="1"/>
    <col min="2" max="2" width="14.7109375" style="2" customWidth="1"/>
    <col min="3" max="3" width="15.140625" style="2" customWidth="1"/>
    <col min="4" max="4" width="12.5703125" style="2" customWidth="1"/>
    <col min="5" max="5" width="11.42578125" style="2" customWidth="1"/>
    <col min="6" max="7" width="12.5703125" style="2" customWidth="1"/>
    <col min="8" max="8" width="12" style="2" customWidth="1"/>
    <col min="9" max="9" width="11.7109375" style="2" customWidth="1"/>
    <col min="10" max="10" width="13" style="2" customWidth="1"/>
    <col min="11" max="11" width="12.140625" style="2" customWidth="1"/>
    <col min="12" max="12" width="13.28515625" style="2" customWidth="1"/>
    <col min="13" max="13" width="12.85546875" style="2" customWidth="1"/>
    <col min="14" max="14" width="12" style="2" customWidth="1"/>
    <col min="15" max="17" width="11.7109375" style="2" customWidth="1"/>
    <col min="18" max="16384" width="9.140625" style="2"/>
  </cols>
  <sheetData>
    <row r="1" spans="1:17" ht="75" customHeight="1" x14ac:dyDescent="0.2">
      <c r="A1" s="33" t="str">
        <f>CONCATENATE("Informacja z wykonania budżetów jednostek samorządu terytorialnego za ",$C$94," ",$B$95," roku")</f>
        <v>Informacja z wykonania budżetów jednostek samorządu terytorialnego za IV Kwartały 2023 roku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7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3.5" customHeight="1" x14ac:dyDescent="0.2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5" spans="1:17" ht="13.5" customHeight="1" x14ac:dyDescent="0.2">
      <c r="B5" s="11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0"/>
      <c r="O5" s="10"/>
      <c r="P5" s="10"/>
      <c r="Q5" s="10"/>
    </row>
    <row r="6" spans="1:17" ht="13.5" customHeight="1" x14ac:dyDescent="0.2">
      <c r="A6" s="69" t="s">
        <v>0</v>
      </c>
      <c r="B6" s="34" t="s">
        <v>61</v>
      </c>
      <c r="C6" s="29" t="s">
        <v>65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29" t="s">
        <v>64</v>
      </c>
      <c r="P6" s="30"/>
      <c r="Q6" s="31"/>
    </row>
    <row r="7" spans="1:17" ht="13.5" customHeight="1" x14ac:dyDescent="0.2">
      <c r="A7" s="70"/>
      <c r="B7" s="35"/>
      <c r="C7" s="36" t="s">
        <v>62</v>
      </c>
      <c r="D7" s="36" t="s">
        <v>73</v>
      </c>
      <c r="E7" s="36" t="s">
        <v>66</v>
      </c>
      <c r="F7" s="36" t="s">
        <v>67</v>
      </c>
      <c r="G7" s="36" t="s">
        <v>27</v>
      </c>
      <c r="H7" s="36" t="s">
        <v>28</v>
      </c>
      <c r="I7" s="66" t="s">
        <v>63</v>
      </c>
      <c r="J7" s="36" t="s">
        <v>16</v>
      </c>
      <c r="K7" s="36" t="s">
        <v>17</v>
      </c>
      <c r="L7" s="36" t="s">
        <v>18</v>
      </c>
      <c r="M7" s="36" t="s">
        <v>19</v>
      </c>
      <c r="N7" s="35" t="s">
        <v>20</v>
      </c>
      <c r="O7" s="32" t="s">
        <v>21</v>
      </c>
      <c r="P7" s="32" t="s">
        <v>22</v>
      </c>
      <c r="Q7" s="32" t="s">
        <v>23</v>
      </c>
    </row>
    <row r="8" spans="1:17" ht="13.5" customHeight="1" x14ac:dyDescent="0.2">
      <c r="A8" s="70"/>
      <c r="B8" s="35"/>
      <c r="C8" s="32"/>
      <c r="D8" s="32"/>
      <c r="E8" s="32"/>
      <c r="F8" s="32"/>
      <c r="G8" s="32"/>
      <c r="H8" s="32"/>
      <c r="I8" s="66"/>
      <c r="J8" s="32"/>
      <c r="K8" s="32"/>
      <c r="L8" s="32"/>
      <c r="M8" s="32"/>
      <c r="N8" s="35"/>
      <c r="O8" s="32"/>
      <c r="P8" s="32"/>
      <c r="Q8" s="32"/>
    </row>
    <row r="9" spans="1:17" ht="13.5" customHeight="1" x14ac:dyDescent="0.2">
      <c r="A9" s="70"/>
      <c r="B9" s="35"/>
      <c r="C9" s="32"/>
      <c r="D9" s="32"/>
      <c r="E9" s="32"/>
      <c r="F9" s="32"/>
      <c r="G9" s="32"/>
      <c r="H9" s="32"/>
      <c r="I9" s="66"/>
      <c r="J9" s="32"/>
      <c r="K9" s="32"/>
      <c r="L9" s="32"/>
      <c r="M9" s="32"/>
      <c r="N9" s="35"/>
      <c r="O9" s="32"/>
      <c r="P9" s="32"/>
      <c r="Q9" s="32"/>
    </row>
    <row r="10" spans="1:17" ht="11.25" customHeight="1" x14ac:dyDescent="0.2">
      <c r="A10" s="70"/>
      <c r="B10" s="35"/>
      <c r="C10" s="32"/>
      <c r="D10" s="32"/>
      <c r="E10" s="32"/>
      <c r="F10" s="32"/>
      <c r="G10" s="32"/>
      <c r="H10" s="32"/>
      <c r="I10" s="66"/>
      <c r="J10" s="32"/>
      <c r="K10" s="32"/>
      <c r="L10" s="32"/>
      <c r="M10" s="32"/>
      <c r="N10" s="35"/>
      <c r="O10" s="32"/>
      <c r="P10" s="32"/>
      <c r="Q10" s="32"/>
    </row>
    <row r="11" spans="1:17" ht="27.75" customHeight="1" x14ac:dyDescent="0.2">
      <c r="A11" s="71"/>
      <c r="B11" s="36"/>
      <c r="C11" s="32"/>
      <c r="D11" s="32"/>
      <c r="E11" s="32"/>
      <c r="F11" s="32"/>
      <c r="G11" s="32"/>
      <c r="H11" s="32"/>
      <c r="I11" s="67"/>
      <c r="J11" s="32"/>
      <c r="K11" s="32"/>
      <c r="L11" s="32"/>
      <c r="M11" s="32"/>
      <c r="N11" s="36"/>
      <c r="O11" s="32"/>
      <c r="P11" s="32"/>
      <c r="Q11" s="32"/>
    </row>
    <row r="12" spans="1:17" ht="13.5" customHeight="1" x14ac:dyDescent="0.2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</row>
    <row r="13" spans="1:17" ht="52.5" customHeight="1" x14ac:dyDescent="0.2">
      <c r="A13" s="19" t="s">
        <v>45</v>
      </c>
      <c r="B13" s="21">
        <f>102723749907.47</f>
        <v>102723749907.47</v>
      </c>
      <c r="C13" s="21">
        <f>77353144152.06</f>
        <v>77353144152.059998</v>
      </c>
      <c r="D13" s="21">
        <f>3420595914.37</f>
        <v>3420595914.3699999</v>
      </c>
      <c r="E13" s="21">
        <f>612755707.42</f>
        <v>612755707.41999996</v>
      </c>
      <c r="F13" s="21">
        <f>740459073.01</f>
        <v>740459073.00999999</v>
      </c>
      <c r="G13" s="21">
        <f>2062717916.92</f>
        <v>2062717916.9200001</v>
      </c>
      <c r="H13" s="21">
        <f>4663217.02</f>
        <v>4663217.0199999996</v>
      </c>
      <c r="I13" s="21">
        <f>0</f>
        <v>0</v>
      </c>
      <c r="J13" s="21">
        <f>68535392247.32</f>
        <v>68535392247.32</v>
      </c>
      <c r="K13" s="21">
        <f>3575798966.25</f>
        <v>3575798966.25</v>
      </c>
      <c r="L13" s="21">
        <f>1764325872.71</f>
        <v>1764325872.71</v>
      </c>
      <c r="M13" s="21">
        <f>38081047.33</f>
        <v>38081047.329999998</v>
      </c>
      <c r="N13" s="21">
        <f>18950104.08</f>
        <v>18950104.079999998</v>
      </c>
      <c r="O13" s="21">
        <f>25370605755.41</f>
        <v>25370605755.41</v>
      </c>
      <c r="P13" s="21">
        <f>25329288919.96</f>
        <v>25329288919.959999</v>
      </c>
      <c r="Q13" s="21">
        <f>41316835.45</f>
        <v>41316835.450000003</v>
      </c>
    </row>
    <row r="14" spans="1:17" ht="41.25" customHeight="1" x14ac:dyDescent="0.2">
      <c r="A14" s="19" t="s">
        <v>75</v>
      </c>
      <c r="B14" s="21">
        <f>6239316600</f>
        <v>6239316600</v>
      </c>
      <c r="C14" s="21">
        <f>6239316600</f>
        <v>6239316600</v>
      </c>
      <c r="D14" s="21">
        <f>0</f>
        <v>0</v>
      </c>
      <c r="E14" s="21">
        <f>0</f>
        <v>0</v>
      </c>
      <c r="F14" s="21">
        <f>0</f>
        <v>0</v>
      </c>
      <c r="G14" s="21">
        <f>0</f>
        <v>0</v>
      </c>
      <c r="H14" s="21">
        <f>0</f>
        <v>0</v>
      </c>
      <c r="I14" s="21">
        <f>0</f>
        <v>0</v>
      </c>
      <c r="J14" s="21">
        <f>5995266600</f>
        <v>5995266600</v>
      </c>
      <c r="K14" s="21">
        <f>244050000</f>
        <v>244050000</v>
      </c>
      <c r="L14" s="21">
        <f>0</f>
        <v>0</v>
      </c>
      <c r="M14" s="21">
        <f>0</f>
        <v>0</v>
      </c>
      <c r="N14" s="21">
        <f>0</f>
        <v>0</v>
      </c>
      <c r="O14" s="21">
        <f>0</f>
        <v>0</v>
      </c>
      <c r="P14" s="21">
        <f>0</f>
        <v>0</v>
      </c>
      <c r="Q14" s="21">
        <f>0</f>
        <v>0</v>
      </c>
    </row>
    <row r="15" spans="1:17" ht="22.5" x14ac:dyDescent="0.2">
      <c r="A15" s="16" t="s">
        <v>46</v>
      </c>
      <c r="B15" s="22">
        <f>300000</f>
        <v>300000</v>
      </c>
      <c r="C15" s="22">
        <f>300000</f>
        <v>300000</v>
      </c>
      <c r="D15" s="22">
        <f>0</f>
        <v>0</v>
      </c>
      <c r="E15" s="22">
        <f>0</f>
        <v>0</v>
      </c>
      <c r="F15" s="22">
        <f>0</f>
        <v>0</v>
      </c>
      <c r="G15" s="22">
        <f>0</f>
        <v>0</v>
      </c>
      <c r="H15" s="22">
        <f>0</f>
        <v>0</v>
      </c>
      <c r="I15" s="22">
        <f>0</f>
        <v>0</v>
      </c>
      <c r="J15" s="22">
        <f>0</f>
        <v>0</v>
      </c>
      <c r="K15" s="22">
        <f>300000</f>
        <v>300000</v>
      </c>
      <c r="L15" s="22">
        <f>0</f>
        <v>0</v>
      </c>
      <c r="M15" s="22">
        <f>0</f>
        <v>0</v>
      </c>
      <c r="N15" s="22">
        <f>0</f>
        <v>0</v>
      </c>
      <c r="O15" s="22">
        <f>0</f>
        <v>0</v>
      </c>
      <c r="P15" s="22">
        <f>0</f>
        <v>0</v>
      </c>
      <c r="Q15" s="22">
        <f>0</f>
        <v>0</v>
      </c>
    </row>
    <row r="16" spans="1:17" ht="23.25" customHeight="1" x14ac:dyDescent="0.2">
      <c r="A16" s="16" t="s">
        <v>47</v>
      </c>
      <c r="B16" s="22">
        <f>6239016600</f>
        <v>6239016600</v>
      </c>
      <c r="C16" s="22">
        <f>6239016600</f>
        <v>6239016600</v>
      </c>
      <c r="D16" s="22">
        <f>0</f>
        <v>0</v>
      </c>
      <c r="E16" s="22">
        <f>0</f>
        <v>0</v>
      </c>
      <c r="F16" s="22">
        <f>0</f>
        <v>0</v>
      </c>
      <c r="G16" s="22">
        <f>0</f>
        <v>0</v>
      </c>
      <c r="H16" s="22">
        <f>0</f>
        <v>0</v>
      </c>
      <c r="I16" s="22">
        <f>0</f>
        <v>0</v>
      </c>
      <c r="J16" s="22">
        <f>5995266600</f>
        <v>5995266600</v>
      </c>
      <c r="K16" s="22">
        <f>243750000</f>
        <v>243750000</v>
      </c>
      <c r="L16" s="22">
        <f>0</f>
        <v>0</v>
      </c>
      <c r="M16" s="22">
        <f>0</f>
        <v>0</v>
      </c>
      <c r="N16" s="22">
        <f>0</f>
        <v>0</v>
      </c>
      <c r="O16" s="22">
        <f>0</f>
        <v>0</v>
      </c>
      <c r="P16" s="22">
        <f>0</f>
        <v>0</v>
      </c>
      <c r="Q16" s="22">
        <f>0</f>
        <v>0</v>
      </c>
    </row>
    <row r="17" spans="1:17" ht="33" customHeight="1" x14ac:dyDescent="0.2">
      <c r="A17" s="19" t="s">
        <v>76</v>
      </c>
      <c r="B17" s="21">
        <f>96379415605.91</f>
        <v>96379415605.910004</v>
      </c>
      <c r="C17" s="21">
        <f>71008810895.95</f>
        <v>71008810895.949997</v>
      </c>
      <c r="D17" s="21">
        <f>3388686374.97</f>
        <v>3388686374.9699998</v>
      </c>
      <c r="E17" s="21">
        <f>601595325.75</f>
        <v>601595325.75</v>
      </c>
      <c r="F17" s="21">
        <f>740350110.71</f>
        <v>740350110.71000004</v>
      </c>
      <c r="G17" s="21">
        <f>2046740938.51</f>
        <v>2046740938.51</v>
      </c>
      <c r="H17" s="21">
        <f>0</f>
        <v>0</v>
      </c>
      <c r="I17" s="21">
        <f>0</f>
        <v>0</v>
      </c>
      <c r="J17" s="21">
        <f>62539813902.63</f>
        <v>62539813902.629997</v>
      </c>
      <c r="K17" s="21">
        <f>3331188348.41</f>
        <v>3331188348.4099998</v>
      </c>
      <c r="L17" s="21">
        <f>1721548597.01</f>
        <v>1721548597.01</v>
      </c>
      <c r="M17" s="21">
        <f>12017027.17</f>
        <v>12017027.17</v>
      </c>
      <c r="N17" s="21">
        <f>15556645.76</f>
        <v>15556645.76</v>
      </c>
      <c r="O17" s="21">
        <f>25370604709.96</f>
        <v>25370604709.959999</v>
      </c>
      <c r="P17" s="21">
        <f>25329288919.96</f>
        <v>25329288919.959999</v>
      </c>
      <c r="Q17" s="21">
        <f>41315790</f>
        <v>41315790</v>
      </c>
    </row>
    <row r="18" spans="1:17" ht="22.5" x14ac:dyDescent="0.2">
      <c r="A18" s="16" t="s">
        <v>48</v>
      </c>
      <c r="B18" s="22">
        <f>285862660.58</f>
        <v>285862660.57999998</v>
      </c>
      <c r="C18" s="22">
        <f>265862660.58</f>
        <v>265862660.58000001</v>
      </c>
      <c r="D18" s="22">
        <f>35536173.48</f>
        <v>35536173.479999997</v>
      </c>
      <c r="E18" s="22">
        <f>22251433.83</f>
        <v>22251433.829999998</v>
      </c>
      <c r="F18" s="22">
        <f>1060581.4</f>
        <v>1060581.3999999999</v>
      </c>
      <c r="G18" s="22">
        <f>12224158.25</f>
        <v>12224158.25</v>
      </c>
      <c r="H18" s="22">
        <f>0</f>
        <v>0</v>
      </c>
      <c r="I18" s="22">
        <f>0</f>
        <v>0</v>
      </c>
      <c r="J18" s="22">
        <f>178178894.17</f>
        <v>178178894.16999999</v>
      </c>
      <c r="K18" s="22">
        <f>45292374.88</f>
        <v>45292374.880000003</v>
      </c>
      <c r="L18" s="22">
        <f>2859142.23</f>
        <v>2859142.23</v>
      </c>
      <c r="M18" s="22">
        <f>3996075.82</f>
        <v>3996075.82</v>
      </c>
      <c r="N18" s="22">
        <f>0</f>
        <v>0</v>
      </c>
      <c r="O18" s="22">
        <f>20000000</f>
        <v>20000000</v>
      </c>
      <c r="P18" s="22">
        <f>0</f>
        <v>0</v>
      </c>
      <c r="Q18" s="22">
        <f>20000000</f>
        <v>20000000</v>
      </c>
    </row>
    <row r="19" spans="1:17" ht="24" customHeight="1" x14ac:dyDescent="0.2">
      <c r="A19" s="16" t="s">
        <v>49</v>
      </c>
      <c r="B19" s="22">
        <f>96093552945.33</f>
        <v>96093552945.330002</v>
      </c>
      <c r="C19" s="22">
        <f>70742948235.37</f>
        <v>70742948235.369995</v>
      </c>
      <c r="D19" s="22">
        <f>3353150201.49</f>
        <v>3353150201.4899998</v>
      </c>
      <c r="E19" s="22">
        <f>579343891.92</f>
        <v>579343891.91999996</v>
      </c>
      <c r="F19" s="22">
        <f>739289529.31</f>
        <v>739289529.30999994</v>
      </c>
      <c r="G19" s="22">
        <f>2034516780.26</f>
        <v>2034516780.26</v>
      </c>
      <c r="H19" s="22">
        <f>0</f>
        <v>0</v>
      </c>
      <c r="I19" s="22">
        <f>0</f>
        <v>0</v>
      </c>
      <c r="J19" s="22">
        <f>62361635008.46</f>
        <v>62361635008.459999</v>
      </c>
      <c r="K19" s="22">
        <f>3285895973.53</f>
        <v>3285895973.5300002</v>
      </c>
      <c r="L19" s="22">
        <f>1718689454.78</f>
        <v>1718689454.78</v>
      </c>
      <c r="M19" s="22">
        <f>8020951.35</f>
        <v>8020951.3499999996</v>
      </c>
      <c r="N19" s="22">
        <f>15556645.76</f>
        <v>15556645.76</v>
      </c>
      <c r="O19" s="22">
        <f>25350604709.96</f>
        <v>25350604709.959999</v>
      </c>
      <c r="P19" s="22">
        <f>25329288919.96</f>
        <v>25329288919.959999</v>
      </c>
      <c r="Q19" s="22">
        <f>21315790</f>
        <v>21315790</v>
      </c>
    </row>
    <row r="20" spans="1:17" ht="24.75" customHeight="1" x14ac:dyDescent="0.2">
      <c r="A20" s="26" t="s">
        <v>50</v>
      </c>
      <c r="B20" s="27">
        <f>1500000</f>
        <v>1500000</v>
      </c>
      <c r="C20" s="27">
        <f>1500000</f>
        <v>1500000</v>
      </c>
      <c r="D20" s="27">
        <f>1500000</f>
        <v>1500000</v>
      </c>
      <c r="E20" s="27">
        <f>0</f>
        <v>0</v>
      </c>
      <c r="F20" s="27">
        <f>0</f>
        <v>0</v>
      </c>
      <c r="G20" s="27">
        <f>1500000</f>
        <v>1500000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</row>
    <row r="21" spans="1:17" ht="38.25" customHeight="1" x14ac:dyDescent="0.2">
      <c r="A21" s="20" t="s">
        <v>77</v>
      </c>
      <c r="B21" s="21">
        <f>103517701.56</f>
        <v>103517701.56</v>
      </c>
      <c r="C21" s="21">
        <f>103516656.11</f>
        <v>103516656.11</v>
      </c>
      <c r="D21" s="21">
        <f>30409539.4</f>
        <v>30409539.399999999</v>
      </c>
      <c r="E21" s="21">
        <f>11160381.67</f>
        <v>11160381.67</v>
      </c>
      <c r="F21" s="21">
        <f>108962.3</f>
        <v>108962.3</v>
      </c>
      <c r="G21" s="21">
        <f>14476978.41</f>
        <v>14476978.41</v>
      </c>
      <c r="H21" s="21">
        <f>4663217.02</f>
        <v>4663217.0199999996</v>
      </c>
      <c r="I21" s="21">
        <f>0</f>
        <v>0</v>
      </c>
      <c r="J21" s="21">
        <f>311744.69</f>
        <v>311744.69</v>
      </c>
      <c r="K21" s="21">
        <f>560617.84</f>
        <v>560617.84</v>
      </c>
      <c r="L21" s="21">
        <f>42777275.7</f>
        <v>42777275.700000003</v>
      </c>
      <c r="M21" s="21">
        <f>26064020.16</f>
        <v>26064020.16</v>
      </c>
      <c r="N21" s="21">
        <f>3393458.32</f>
        <v>3393458.32</v>
      </c>
      <c r="O21" s="21">
        <f>1045.45</f>
        <v>1045.45</v>
      </c>
      <c r="P21" s="21">
        <f>0</f>
        <v>0</v>
      </c>
      <c r="Q21" s="21">
        <f>1045.45</f>
        <v>1045.45</v>
      </c>
    </row>
    <row r="22" spans="1:17" ht="33" customHeight="1" x14ac:dyDescent="0.2">
      <c r="A22" s="17" t="s">
        <v>51</v>
      </c>
      <c r="B22" s="22">
        <f>64327312.36</f>
        <v>64327312.359999999</v>
      </c>
      <c r="C22" s="22">
        <f>64327312.36</f>
        <v>64327312.359999999</v>
      </c>
      <c r="D22" s="22">
        <f>4030005.71</f>
        <v>4030005.71</v>
      </c>
      <c r="E22" s="22">
        <f>4999.51</f>
        <v>4999.51</v>
      </c>
      <c r="F22" s="22">
        <f>16027.3</f>
        <v>16027.3</v>
      </c>
      <c r="G22" s="22">
        <f>4008978.9</f>
        <v>4008978.9</v>
      </c>
      <c r="H22" s="22">
        <f>0</f>
        <v>0</v>
      </c>
      <c r="I22" s="22">
        <f>0</f>
        <v>0</v>
      </c>
      <c r="J22" s="22">
        <f>168550.47</f>
        <v>168550.47</v>
      </c>
      <c r="K22" s="22">
        <f>559752.52</f>
        <v>559752.52</v>
      </c>
      <c r="L22" s="22">
        <f>36513419.68</f>
        <v>36513419.68</v>
      </c>
      <c r="M22" s="22">
        <f>20167899.06</f>
        <v>20167899.059999999</v>
      </c>
      <c r="N22" s="22">
        <f>2887684.92</f>
        <v>2887684.92</v>
      </c>
      <c r="O22" s="22">
        <f>0</f>
        <v>0</v>
      </c>
      <c r="P22" s="22">
        <f>0</f>
        <v>0</v>
      </c>
      <c r="Q22" s="22">
        <f>0</f>
        <v>0</v>
      </c>
    </row>
    <row r="23" spans="1:17" ht="23.25" customHeight="1" x14ac:dyDescent="0.2">
      <c r="A23" s="17" t="s">
        <v>52</v>
      </c>
      <c r="B23" s="22">
        <f>39190389.2</f>
        <v>39190389.200000003</v>
      </c>
      <c r="C23" s="22">
        <f>39189343.75</f>
        <v>39189343.75</v>
      </c>
      <c r="D23" s="22">
        <f>26379533.69</f>
        <v>26379533.690000001</v>
      </c>
      <c r="E23" s="22">
        <f>11155382.16</f>
        <v>11155382.16</v>
      </c>
      <c r="F23" s="22">
        <f>92935</f>
        <v>92935</v>
      </c>
      <c r="G23" s="22">
        <f>10467999.51</f>
        <v>10467999.51</v>
      </c>
      <c r="H23" s="22">
        <f>4663217.02</f>
        <v>4663217.0199999996</v>
      </c>
      <c r="I23" s="22">
        <f>0</f>
        <v>0</v>
      </c>
      <c r="J23" s="22">
        <f>143194.22</f>
        <v>143194.22</v>
      </c>
      <c r="K23" s="22">
        <f>865.32</f>
        <v>865.32</v>
      </c>
      <c r="L23" s="22">
        <f>6263856.02</f>
        <v>6263856.0199999996</v>
      </c>
      <c r="M23" s="22">
        <f>5896121.1</f>
        <v>5896121.0999999996</v>
      </c>
      <c r="N23" s="22">
        <f>505773.4</f>
        <v>505773.4</v>
      </c>
      <c r="O23" s="22">
        <f>1045.45</f>
        <v>1045.45</v>
      </c>
      <c r="P23" s="22">
        <f>0</f>
        <v>0</v>
      </c>
      <c r="Q23" s="22">
        <f>1045.45</f>
        <v>1045.45</v>
      </c>
    </row>
    <row r="24" spans="1:17" ht="19.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9.5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9.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9.5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45.75" customHeight="1" x14ac:dyDescent="0.2">
      <c r="A30" s="33" t="str">
        <f>CONCATENATE("Informacja z wykonania budżetów jednostek samorządu terytorialnego za ",$C$94," ",$B$95," roku")</f>
        <v>Informacja z wykonania budżetów jednostek samorządu terytorialnego za IV Kwartały 2023 roku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2" spans="1:17" ht="13.5" customHeight="1" x14ac:dyDescent="0.2">
      <c r="A32" s="43" t="s">
        <v>11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4" spans="1:17" ht="13.5" customHeight="1" x14ac:dyDescent="0.2">
      <c r="A34" s="69" t="s">
        <v>0</v>
      </c>
      <c r="B34" s="34" t="s">
        <v>12</v>
      </c>
      <c r="C34" s="72" t="s">
        <v>14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72" t="s">
        <v>24</v>
      </c>
      <c r="P34" s="73"/>
      <c r="Q34" s="74"/>
    </row>
    <row r="35" spans="1:17" ht="13.5" customHeight="1" x14ac:dyDescent="0.2">
      <c r="A35" s="70"/>
      <c r="B35" s="35"/>
      <c r="C35" s="35" t="s">
        <v>13</v>
      </c>
      <c r="D35" s="32" t="s">
        <v>15</v>
      </c>
      <c r="E35" s="32" t="s">
        <v>25</v>
      </c>
      <c r="F35" s="32" t="s">
        <v>26</v>
      </c>
      <c r="G35" s="32" t="s">
        <v>70</v>
      </c>
      <c r="H35" s="32" t="s">
        <v>28</v>
      </c>
      <c r="I35" s="32" t="s">
        <v>1</v>
      </c>
      <c r="J35" s="32" t="s">
        <v>16</v>
      </c>
      <c r="K35" s="32" t="s">
        <v>17</v>
      </c>
      <c r="L35" s="32" t="s">
        <v>18</v>
      </c>
      <c r="M35" s="32" t="s">
        <v>19</v>
      </c>
      <c r="N35" s="37" t="s">
        <v>20</v>
      </c>
      <c r="O35" s="32" t="s">
        <v>21</v>
      </c>
      <c r="P35" s="32" t="s">
        <v>22</v>
      </c>
      <c r="Q35" s="34" t="s">
        <v>23</v>
      </c>
    </row>
    <row r="36" spans="1:17" ht="13.5" customHeight="1" x14ac:dyDescent="0.2">
      <c r="A36" s="70"/>
      <c r="B36" s="35"/>
      <c r="C36" s="3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7"/>
      <c r="O36" s="32"/>
      <c r="P36" s="32"/>
      <c r="Q36" s="35"/>
    </row>
    <row r="37" spans="1:17" ht="11.25" customHeight="1" x14ac:dyDescent="0.2">
      <c r="A37" s="70"/>
      <c r="B37" s="35"/>
      <c r="C37" s="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7"/>
      <c r="O37" s="32"/>
      <c r="P37" s="32"/>
      <c r="Q37" s="35"/>
    </row>
    <row r="38" spans="1:17" ht="32.25" customHeight="1" x14ac:dyDescent="0.2">
      <c r="A38" s="71"/>
      <c r="B38" s="36"/>
      <c r="C38" s="3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7"/>
      <c r="O38" s="32"/>
      <c r="P38" s="32"/>
      <c r="Q38" s="36"/>
    </row>
    <row r="39" spans="1:17" ht="13.5" customHeight="1" x14ac:dyDescent="0.2">
      <c r="A39" s="12">
        <v>1</v>
      </c>
      <c r="B39" s="12">
        <v>2</v>
      </c>
      <c r="C39" s="12">
        <v>3</v>
      </c>
      <c r="D39" s="12">
        <v>4</v>
      </c>
      <c r="E39" s="12">
        <v>5</v>
      </c>
      <c r="F39" s="12">
        <v>6</v>
      </c>
      <c r="G39" s="12">
        <v>7</v>
      </c>
      <c r="H39" s="12">
        <v>8</v>
      </c>
      <c r="I39" s="12">
        <v>9</v>
      </c>
      <c r="J39" s="12">
        <v>10</v>
      </c>
      <c r="K39" s="12">
        <v>11</v>
      </c>
      <c r="L39" s="12">
        <v>12</v>
      </c>
      <c r="M39" s="12">
        <v>13</v>
      </c>
      <c r="N39" s="12">
        <v>14</v>
      </c>
      <c r="O39" s="12">
        <v>15</v>
      </c>
      <c r="P39" s="12">
        <v>16</v>
      </c>
      <c r="Q39" s="12">
        <v>17</v>
      </c>
    </row>
    <row r="40" spans="1:17" ht="35.25" customHeight="1" x14ac:dyDescent="0.2">
      <c r="A40" s="28" t="s">
        <v>40</v>
      </c>
      <c r="B40" s="23">
        <f>61446912.21</f>
        <v>61446912.210000001</v>
      </c>
      <c r="C40" s="23">
        <f>61446912.21</f>
        <v>61446912.210000001</v>
      </c>
      <c r="D40" s="23">
        <f>50138</f>
        <v>50138</v>
      </c>
      <c r="E40" s="23">
        <f>50000</f>
        <v>50000</v>
      </c>
      <c r="F40" s="23">
        <f>0</f>
        <v>0</v>
      </c>
      <c r="G40" s="23">
        <f>0</f>
        <v>0</v>
      </c>
      <c r="H40" s="23">
        <f>138</f>
        <v>138</v>
      </c>
      <c r="I40" s="23">
        <f>0</f>
        <v>0</v>
      </c>
      <c r="J40" s="23">
        <f>200160.2</f>
        <v>200160.2</v>
      </c>
      <c r="K40" s="23">
        <f>26620</f>
        <v>26620</v>
      </c>
      <c r="L40" s="23">
        <f>60798805.12</f>
        <v>60798805.119999997</v>
      </c>
      <c r="M40" s="23">
        <f>271188.89</f>
        <v>271188.89</v>
      </c>
      <c r="N40" s="23">
        <f>100000</f>
        <v>100000</v>
      </c>
      <c r="O40" s="23">
        <f>0</f>
        <v>0</v>
      </c>
      <c r="P40" s="23">
        <f>0</f>
        <v>0</v>
      </c>
      <c r="Q40" s="23">
        <f>0</f>
        <v>0</v>
      </c>
    </row>
    <row r="41" spans="1:17" ht="28.5" customHeight="1" x14ac:dyDescent="0.2">
      <c r="A41" s="18" t="s">
        <v>29</v>
      </c>
      <c r="B41" s="24">
        <f>435479.48</f>
        <v>435479.48</v>
      </c>
      <c r="C41" s="24">
        <f>435479.48</f>
        <v>435479.48</v>
      </c>
      <c r="D41" s="24">
        <f>0</f>
        <v>0</v>
      </c>
      <c r="E41" s="24">
        <f>0</f>
        <v>0</v>
      </c>
      <c r="F41" s="24">
        <f>0</f>
        <v>0</v>
      </c>
      <c r="G41" s="24">
        <f>0</f>
        <v>0</v>
      </c>
      <c r="H41" s="24">
        <f>0</f>
        <v>0</v>
      </c>
      <c r="I41" s="24">
        <f>0</f>
        <v>0</v>
      </c>
      <c r="J41" s="24">
        <f>0</f>
        <v>0</v>
      </c>
      <c r="K41" s="24">
        <f>0</f>
        <v>0</v>
      </c>
      <c r="L41" s="24">
        <f>370479.48</f>
        <v>370479.48</v>
      </c>
      <c r="M41" s="24">
        <f>0</f>
        <v>0</v>
      </c>
      <c r="N41" s="24">
        <f>65000</f>
        <v>65000</v>
      </c>
      <c r="O41" s="24">
        <f>0</f>
        <v>0</v>
      </c>
      <c r="P41" s="24">
        <f>0</f>
        <v>0</v>
      </c>
      <c r="Q41" s="24">
        <f>0</f>
        <v>0</v>
      </c>
    </row>
    <row r="42" spans="1:17" ht="28.5" customHeight="1" x14ac:dyDescent="0.2">
      <c r="A42" s="18" t="s">
        <v>30</v>
      </c>
      <c r="B42" s="24">
        <f>61011432.73</f>
        <v>61011432.729999997</v>
      </c>
      <c r="C42" s="24">
        <f>61011432.73</f>
        <v>61011432.729999997</v>
      </c>
      <c r="D42" s="24">
        <f>50138</f>
        <v>50138</v>
      </c>
      <c r="E42" s="24">
        <f>50000</f>
        <v>50000</v>
      </c>
      <c r="F42" s="24">
        <f>0</f>
        <v>0</v>
      </c>
      <c r="G42" s="24">
        <f>0</f>
        <v>0</v>
      </c>
      <c r="H42" s="24">
        <f>138</f>
        <v>138</v>
      </c>
      <c r="I42" s="24">
        <f>0</f>
        <v>0</v>
      </c>
      <c r="J42" s="24">
        <f>200160.2</f>
        <v>200160.2</v>
      </c>
      <c r="K42" s="24">
        <f>26620</f>
        <v>26620</v>
      </c>
      <c r="L42" s="24">
        <f>60428325.64</f>
        <v>60428325.640000001</v>
      </c>
      <c r="M42" s="24">
        <f>271188.89</f>
        <v>271188.89</v>
      </c>
      <c r="N42" s="24">
        <f>35000</f>
        <v>35000</v>
      </c>
      <c r="O42" s="24">
        <f>0</f>
        <v>0</v>
      </c>
      <c r="P42" s="24">
        <f>0</f>
        <v>0</v>
      </c>
      <c r="Q42" s="24">
        <f>0</f>
        <v>0</v>
      </c>
    </row>
    <row r="43" spans="1:17" ht="28.5" customHeight="1" x14ac:dyDescent="0.2">
      <c r="A43" s="28" t="s">
        <v>41</v>
      </c>
      <c r="B43" s="23">
        <f>1497669660.9</f>
        <v>1497669660.9000001</v>
      </c>
      <c r="C43" s="23">
        <f>1497516777.24</f>
        <v>1497516777.24</v>
      </c>
      <c r="D43" s="23">
        <f>732501206.03</f>
        <v>732501206.02999997</v>
      </c>
      <c r="E43" s="23">
        <f>177658.44</f>
        <v>177658.44</v>
      </c>
      <c r="F43" s="23">
        <f>2256758.18</f>
        <v>2256758.1800000002</v>
      </c>
      <c r="G43" s="23">
        <f>719763901.41</f>
        <v>719763901.40999997</v>
      </c>
      <c r="H43" s="23">
        <f>10302888</f>
        <v>10302888</v>
      </c>
      <c r="I43" s="23">
        <f>0</f>
        <v>0</v>
      </c>
      <c r="J43" s="23">
        <f>1589791</f>
        <v>1589791</v>
      </c>
      <c r="K43" s="23">
        <f>1098855</f>
        <v>1098855</v>
      </c>
      <c r="L43" s="23">
        <f>382473196.69</f>
        <v>382473196.69</v>
      </c>
      <c r="M43" s="23">
        <f>315010407.25</f>
        <v>315010407.25</v>
      </c>
      <c r="N43" s="23">
        <f>64843321.27</f>
        <v>64843321.270000003</v>
      </c>
      <c r="O43" s="23">
        <f>152883.66</f>
        <v>152883.66</v>
      </c>
      <c r="P43" s="23">
        <f>3883.66</f>
        <v>3883.66</v>
      </c>
      <c r="Q43" s="23">
        <f>149000</f>
        <v>149000</v>
      </c>
    </row>
    <row r="44" spans="1:17" ht="32.25" customHeight="1" x14ac:dyDescent="0.2">
      <c r="A44" s="18" t="s">
        <v>31</v>
      </c>
      <c r="B44" s="24">
        <f>131890053.29</f>
        <v>131890053.29000001</v>
      </c>
      <c r="C44" s="24">
        <f>131890053.29</f>
        <v>131890053.29000001</v>
      </c>
      <c r="D44" s="24">
        <f>57819962.54</f>
        <v>57819962.539999999</v>
      </c>
      <c r="E44" s="24">
        <f>2839.8</f>
        <v>2839.8</v>
      </c>
      <c r="F44" s="24">
        <f>740000</f>
        <v>740000</v>
      </c>
      <c r="G44" s="24">
        <f>57077122.74</f>
        <v>57077122.740000002</v>
      </c>
      <c r="H44" s="24">
        <f>0</f>
        <v>0</v>
      </c>
      <c r="I44" s="24">
        <f>0</f>
        <v>0</v>
      </c>
      <c r="J44" s="24">
        <f>176795</f>
        <v>176795</v>
      </c>
      <c r="K44" s="24">
        <f>4560</f>
        <v>4560</v>
      </c>
      <c r="L44" s="24">
        <f>32310556.29</f>
        <v>32310556.289999999</v>
      </c>
      <c r="M44" s="24">
        <f>22815797.48</f>
        <v>22815797.48</v>
      </c>
      <c r="N44" s="24">
        <f>18762381.98</f>
        <v>18762381.98</v>
      </c>
      <c r="O44" s="24">
        <f>0</f>
        <v>0</v>
      </c>
      <c r="P44" s="24">
        <f>0</f>
        <v>0</v>
      </c>
      <c r="Q44" s="24">
        <f>0</f>
        <v>0</v>
      </c>
    </row>
    <row r="45" spans="1:17" ht="32.25" customHeight="1" x14ac:dyDescent="0.2">
      <c r="A45" s="18" t="s">
        <v>32</v>
      </c>
      <c r="B45" s="24">
        <f>1365779607.61</f>
        <v>1365779607.6099999</v>
      </c>
      <c r="C45" s="24">
        <f>1365626723.95</f>
        <v>1365626723.95</v>
      </c>
      <c r="D45" s="24">
        <f>674681243.49</f>
        <v>674681243.49000001</v>
      </c>
      <c r="E45" s="24">
        <f>174818.64</f>
        <v>174818.64</v>
      </c>
      <c r="F45" s="24">
        <f>1516758.18</f>
        <v>1516758.18</v>
      </c>
      <c r="G45" s="24">
        <f>662686778.67</f>
        <v>662686778.66999996</v>
      </c>
      <c r="H45" s="24">
        <f>10302888</f>
        <v>10302888</v>
      </c>
      <c r="I45" s="24">
        <f>0</f>
        <v>0</v>
      </c>
      <c r="J45" s="24">
        <f>1412996</f>
        <v>1412996</v>
      </c>
      <c r="K45" s="24">
        <f>1094295</f>
        <v>1094295</v>
      </c>
      <c r="L45" s="24">
        <f>350162640.4</f>
        <v>350162640.39999998</v>
      </c>
      <c r="M45" s="24">
        <f>292194609.77</f>
        <v>292194609.76999998</v>
      </c>
      <c r="N45" s="24">
        <f>46080939.29</f>
        <v>46080939.289999999</v>
      </c>
      <c r="O45" s="24">
        <f>152883.66</f>
        <v>152883.66</v>
      </c>
      <c r="P45" s="24">
        <f>3883.66</f>
        <v>3883.66</v>
      </c>
      <c r="Q45" s="24">
        <f>149000</f>
        <v>149000</v>
      </c>
    </row>
    <row r="46" spans="1:17" ht="35.25" customHeight="1" x14ac:dyDescent="0.2">
      <c r="A46" s="28" t="s">
        <v>42</v>
      </c>
      <c r="B46" s="23">
        <f>37520468505.98</f>
        <v>37520468505.980003</v>
      </c>
      <c r="C46" s="23">
        <f>37520199327.52</f>
        <v>37520199327.519997</v>
      </c>
      <c r="D46" s="23">
        <f>6444307.56</f>
        <v>6444307.5599999996</v>
      </c>
      <c r="E46" s="23">
        <f>454474.58</f>
        <v>454474.58</v>
      </c>
      <c r="F46" s="23">
        <f>87757.78</f>
        <v>87757.78</v>
      </c>
      <c r="G46" s="23">
        <f>5902075.2</f>
        <v>5902075.2000000002</v>
      </c>
      <c r="H46" s="23">
        <f>0</f>
        <v>0</v>
      </c>
      <c r="I46" s="23">
        <f>8896354.82</f>
        <v>8896354.8200000003</v>
      </c>
      <c r="J46" s="23">
        <f>37487549782.88</f>
        <v>37487549782.879997</v>
      </c>
      <c r="K46" s="23">
        <f>575863.09</f>
        <v>575863.09</v>
      </c>
      <c r="L46" s="23">
        <f>16431364.49</f>
        <v>16431364.49</v>
      </c>
      <c r="M46" s="23">
        <f>181568.04</f>
        <v>181568.04</v>
      </c>
      <c r="N46" s="23">
        <f>120086.64</f>
        <v>120086.64</v>
      </c>
      <c r="O46" s="23">
        <f>269178.46</f>
        <v>269178.46000000002</v>
      </c>
      <c r="P46" s="23">
        <f>269178.46</f>
        <v>269178.46000000002</v>
      </c>
      <c r="Q46" s="23">
        <f>0</f>
        <v>0</v>
      </c>
    </row>
    <row r="47" spans="1:17" ht="28.5" customHeight="1" x14ac:dyDescent="0.2">
      <c r="A47" s="18" t="s">
        <v>33</v>
      </c>
      <c r="B47" s="24">
        <f>5612141.01</f>
        <v>5612141.0099999998</v>
      </c>
      <c r="C47" s="24">
        <f>5612141.01</f>
        <v>5612141.0099999998</v>
      </c>
      <c r="D47" s="24">
        <f>5612141.01</f>
        <v>5612141.0099999998</v>
      </c>
      <c r="E47" s="24">
        <f>0</f>
        <v>0</v>
      </c>
      <c r="F47" s="24">
        <f>0</f>
        <v>0</v>
      </c>
      <c r="G47" s="24">
        <f>5612141.01</f>
        <v>5612141.0099999998</v>
      </c>
      <c r="H47" s="24">
        <f>0</f>
        <v>0</v>
      </c>
      <c r="I47" s="24">
        <f>0</f>
        <v>0</v>
      </c>
      <c r="J47" s="24">
        <f>0</f>
        <v>0</v>
      </c>
      <c r="K47" s="24">
        <f>0</f>
        <v>0</v>
      </c>
      <c r="L47" s="24">
        <f>0</f>
        <v>0</v>
      </c>
      <c r="M47" s="24">
        <f>0</f>
        <v>0</v>
      </c>
      <c r="N47" s="24">
        <f>0</f>
        <v>0</v>
      </c>
      <c r="O47" s="24">
        <f>0</f>
        <v>0</v>
      </c>
      <c r="P47" s="24">
        <f>0</f>
        <v>0</v>
      </c>
      <c r="Q47" s="24">
        <f>0</f>
        <v>0</v>
      </c>
    </row>
    <row r="48" spans="1:17" ht="28.5" customHeight="1" x14ac:dyDescent="0.2">
      <c r="A48" s="18" t="s">
        <v>34</v>
      </c>
      <c r="B48" s="24">
        <f>35071481130.37</f>
        <v>35071481130.370003</v>
      </c>
      <c r="C48" s="24">
        <f>35071481130.37</f>
        <v>35071481130.370003</v>
      </c>
      <c r="D48" s="24">
        <f>107627.12</f>
        <v>107627.12</v>
      </c>
      <c r="E48" s="24">
        <f>26066.45</f>
        <v>26066.45</v>
      </c>
      <c r="F48" s="24">
        <f>6743</f>
        <v>6743</v>
      </c>
      <c r="G48" s="24">
        <f>74817.67</f>
        <v>74817.67</v>
      </c>
      <c r="H48" s="24">
        <f>0</f>
        <v>0</v>
      </c>
      <c r="I48" s="24">
        <f>8812570.29</f>
        <v>8812570.2899999991</v>
      </c>
      <c r="J48" s="24">
        <f>35046969439.41</f>
        <v>35046969439.410004</v>
      </c>
      <c r="K48" s="24">
        <f>564024.97</f>
        <v>564024.97</v>
      </c>
      <c r="L48" s="24">
        <f>14887571.83</f>
        <v>14887571.83</v>
      </c>
      <c r="M48" s="24">
        <f>20459.02</f>
        <v>20459.02</v>
      </c>
      <c r="N48" s="24">
        <f>119437.73</f>
        <v>119437.73</v>
      </c>
      <c r="O48" s="24">
        <f>0</f>
        <v>0</v>
      </c>
      <c r="P48" s="24">
        <f>0</f>
        <v>0</v>
      </c>
      <c r="Q48" s="24">
        <f>0</f>
        <v>0</v>
      </c>
    </row>
    <row r="49" spans="1:17" ht="28.5" customHeight="1" x14ac:dyDescent="0.2">
      <c r="A49" s="18" t="s">
        <v>35</v>
      </c>
      <c r="B49" s="24">
        <f>2443375234.6</f>
        <v>2443375234.5999999</v>
      </c>
      <c r="C49" s="24">
        <f>2443106056.14</f>
        <v>2443106056.1399999</v>
      </c>
      <c r="D49" s="24">
        <f>724539.43</f>
        <v>724539.43</v>
      </c>
      <c r="E49" s="24">
        <f>428408.13</f>
        <v>428408.13</v>
      </c>
      <c r="F49" s="24">
        <f>81014.78</f>
        <v>81014.78</v>
      </c>
      <c r="G49" s="24">
        <f>215116.52</f>
        <v>215116.52</v>
      </c>
      <c r="H49" s="24">
        <f>0</f>
        <v>0</v>
      </c>
      <c r="I49" s="24">
        <f>83784.53</f>
        <v>83784.53</v>
      </c>
      <c r="J49" s="24">
        <f>2440580343.47</f>
        <v>2440580343.4699998</v>
      </c>
      <c r="K49" s="24">
        <f>11838.12</f>
        <v>11838.12</v>
      </c>
      <c r="L49" s="24">
        <f>1543792.66</f>
        <v>1543792.66</v>
      </c>
      <c r="M49" s="24">
        <f>161109.02</f>
        <v>161109.01999999999</v>
      </c>
      <c r="N49" s="24">
        <f>648.91</f>
        <v>648.91</v>
      </c>
      <c r="O49" s="24">
        <f>269178.46</f>
        <v>269178.46000000002</v>
      </c>
      <c r="P49" s="24">
        <f>269178.46</f>
        <v>269178.46000000002</v>
      </c>
      <c r="Q49" s="24">
        <f>0</f>
        <v>0</v>
      </c>
    </row>
    <row r="50" spans="1:17" ht="35.25" customHeight="1" x14ac:dyDescent="0.2">
      <c r="A50" s="28" t="s">
        <v>43</v>
      </c>
      <c r="B50" s="23">
        <f>29483017086.62</f>
        <v>29483017086.619999</v>
      </c>
      <c r="C50" s="23">
        <f>29427831562.68</f>
        <v>29427831562.68</v>
      </c>
      <c r="D50" s="23">
        <f>472036495.89</f>
        <v>472036495.88999999</v>
      </c>
      <c r="E50" s="23">
        <f>140365032.87</f>
        <v>140365032.87</v>
      </c>
      <c r="F50" s="23">
        <f>11662605.42</f>
        <v>11662605.42</v>
      </c>
      <c r="G50" s="23">
        <f>319281365.04</f>
        <v>319281365.04000002</v>
      </c>
      <c r="H50" s="23">
        <f>727492.56</f>
        <v>727492.56</v>
      </c>
      <c r="I50" s="23">
        <f>56000</f>
        <v>56000</v>
      </c>
      <c r="J50" s="23">
        <f>13660952.69</f>
        <v>13660952.689999999</v>
      </c>
      <c r="K50" s="23">
        <f>43379649.18</f>
        <v>43379649.18</v>
      </c>
      <c r="L50" s="23">
        <f>6957529557.09</f>
        <v>6957529557.0900002</v>
      </c>
      <c r="M50" s="23">
        <f>21748807961.73</f>
        <v>21748807961.73</v>
      </c>
      <c r="N50" s="23">
        <f>192360946.1</f>
        <v>192360946.09999999</v>
      </c>
      <c r="O50" s="23">
        <f>55185523.94</f>
        <v>55185523.939999998</v>
      </c>
      <c r="P50" s="23">
        <f>34155523.02</f>
        <v>34155523.020000003</v>
      </c>
      <c r="Q50" s="23">
        <f>21030000.92</f>
        <v>21030000.920000002</v>
      </c>
    </row>
    <row r="51" spans="1:17" ht="28.5" customHeight="1" x14ac:dyDescent="0.2">
      <c r="A51" s="18" t="s">
        <v>36</v>
      </c>
      <c r="B51" s="24">
        <f>6798690204.37</f>
        <v>6798690204.3699999</v>
      </c>
      <c r="C51" s="24">
        <f>6795340356.62</f>
        <v>6795340356.6199999</v>
      </c>
      <c r="D51" s="24">
        <f>78768638.89</f>
        <v>78768638.890000001</v>
      </c>
      <c r="E51" s="24">
        <f>2807840.75</f>
        <v>2807840.75</v>
      </c>
      <c r="F51" s="24">
        <f>3417399.14</f>
        <v>3417399.14</v>
      </c>
      <c r="G51" s="24">
        <f>72205711.26</f>
        <v>72205711.260000005</v>
      </c>
      <c r="H51" s="24">
        <f>337687.74</f>
        <v>337687.74</v>
      </c>
      <c r="I51" s="24">
        <f>0</f>
        <v>0</v>
      </c>
      <c r="J51" s="24">
        <f>285427.2</f>
        <v>285427.20000000001</v>
      </c>
      <c r="K51" s="24">
        <f>2130001.79</f>
        <v>2130001.79</v>
      </c>
      <c r="L51" s="24">
        <f>1096598332.44</f>
        <v>1096598332.4400001</v>
      </c>
      <c r="M51" s="24">
        <f>5546767344.34</f>
        <v>5546767344.3400002</v>
      </c>
      <c r="N51" s="24">
        <f>70790611.96</f>
        <v>70790611.959999993</v>
      </c>
      <c r="O51" s="24">
        <f>3349847.75</f>
        <v>3349847.75</v>
      </c>
      <c r="P51" s="24">
        <f>1154004.25</f>
        <v>1154004.25</v>
      </c>
      <c r="Q51" s="24">
        <f>2195843.5</f>
        <v>2195843.5</v>
      </c>
    </row>
    <row r="52" spans="1:17" ht="28.5" customHeight="1" x14ac:dyDescent="0.2">
      <c r="A52" s="18" t="s">
        <v>37</v>
      </c>
      <c r="B52" s="24">
        <f>22684326882.25</f>
        <v>22684326882.25</v>
      </c>
      <c r="C52" s="24">
        <f>22632491206.06</f>
        <v>22632491206.060001</v>
      </c>
      <c r="D52" s="24">
        <f>393267857</f>
        <v>393267857</v>
      </c>
      <c r="E52" s="24">
        <f>137557192.12</f>
        <v>137557192.12</v>
      </c>
      <c r="F52" s="24">
        <f>8245206.28</f>
        <v>8245206.2800000003</v>
      </c>
      <c r="G52" s="24">
        <f>247075653.78</f>
        <v>247075653.78</v>
      </c>
      <c r="H52" s="24">
        <f>389804.82</f>
        <v>389804.82</v>
      </c>
      <c r="I52" s="24">
        <f>56000</f>
        <v>56000</v>
      </c>
      <c r="J52" s="24">
        <f>13375525.49</f>
        <v>13375525.49</v>
      </c>
      <c r="K52" s="24">
        <f>41249647.39</f>
        <v>41249647.390000001</v>
      </c>
      <c r="L52" s="24">
        <f>5860931224.65</f>
        <v>5860931224.6499996</v>
      </c>
      <c r="M52" s="24">
        <f>16202040617.39</f>
        <v>16202040617.389999</v>
      </c>
      <c r="N52" s="24">
        <f>121570334.14</f>
        <v>121570334.14</v>
      </c>
      <c r="O52" s="24">
        <f>51835676.19</f>
        <v>51835676.189999998</v>
      </c>
      <c r="P52" s="24">
        <f>33001518.77</f>
        <v>33001518.77</v>
      </c>
      <c r="Q52" s="24">
        <f>18834157.42</f>
        <v>18834157.420000002</v>
      </c>
    </row>
    <row r="53" spans="1:17" ht="35.25" customHeight="1" x14ac:dyDescent="0.2">
      <c r="A53" s="28" t="s">
        <v>44</v>
      </c>
      <c r="B53" s="23">
        <f>8784362656.73</f>
        <v>8784362656.7299995</v>
      </c>
      <c r="C53" s="23">
        <f>8755884120.58</f>
        <v>8755884120.5799999</v>
      </c>
      <c r="D53" s="23">
        <f>1816786350.32</f>
        <v>1816786350.3199999</v>
      </c>
      <c r="E53" s="23">
        <f>1061754709.42</f>
        <v>1061754709.42</v>
      </c>
      <c r="F53" s="23">
        <f>22032283.99</f>
        <v>22032283.989999998</v>
      </c>
      <c r="G53" s="23">
        <f>708310039.49</f>
        <v>708310039.49000001</v>
      </c>
      <c r="H53" s="23">
        <f>24689317.42</f>
        <v>24689317.420000002</v>
      </c>
      <c r="I53" s="23">
        <f>56754.05</f>
        <v>56754.05</v>
      </c>
      <c r="J53" s="23">
        <f>9221790.11</f>
        <v>9221790.1099999994</v>
      </c>
      <c r="K53" s="23">
        <f>16302273.75</f>
        <v>16302273.75</v>
      </c>
      <c r="L53" s="23">
        <f>4274566784.41</f>
        <v>4274566784.4099998</v>
      </c>
      <c r="M53" s="23">
        <f>2299618959.87</f>
        <v>2299618959.8699999</v>
      </c>
      <c r="N53" s="23">
        <f>339331208.07</f>
        <v>339331208.06999999</v>
      </c>
      <c r="O53" s="23">
        <f>28478536.15</f>
        <v>28478536.149999999</v>
      </c>
      <c r="P53" s="23">
        <f>4233697.44</f>
        <v>4233697.4400000004</v>
      </c>
      <c r="Q53" s="23">
        <f>24244838.71</f>
        <v>24244838.710000001</v>
      </c>
    </row>
    <row r="54" spans="1:17" ht="28.5" customHeight="1" x14ac:dyDescent="0.2">
      <c r="A54" s="18" t="s">
        <v>38</v>
      </c>
      <c r="B54" s="24">
        <f>1405871746.06</f>
        <v>1405871746.0599999</v>
      </c>
      <c r="C54" s="24">
        <f>1405070019.75</f>
        <v>1405070019.75</v>
      </c>
      <c r="D54" s="24">
        <f>93895173.52</f>
        <v>93895173.519999996</v>
      </c>
      <c r="E54" s="24">
        <f>8566363.45</f>
        <v>8566363.4499999993</v>
      </c>
      <c r="F54" s="24">
        <f>4391780.51</f>
        <v>4391780.51</v>
      </c>
      <c r="G54" s="24">
        <f>76649912.3</f>
        <v>76649912.299999997</v>
      </c>
      <c r="H54" s="24">
        <f>4287117.26</f>
        <v>4287117.26</v>
      </c>
      <c r="I54" s="24">
        <f>0</f>
        <v>0</v>
      </c>
      <c r="J54" s="24">
        <f>664486.43</f>
        <v>664486.43000000005</v>
      </c>
      <c r="K54" s="24">
        <f>3681724.95</f>
        <v>3681724.95</v>
      </c>
      <c r="L54" s="24">
        <f>597608383.77</f>
        <v>597608383.76999998</v>
      </c>
      <c r="M54" s="24">
        <f>683609583.51</f>
        <v>683609583.50999999</v>
      </c>
      <c r="N54" s="24">
        <f>25610667.57</f>
        <v>25610667.57</v>
      </c>
      <c r="O54" s="24">
        <f>801726.31</f>
        <v>801726.31</v>
      </c>
      <c r="P54" s="24">
        <f>123221.8</f>
        <v>123221.8</v>
      </c>
      <c r="Q54" s="24">
        <f>678504.51</f>
        <v>678504.51</v>
      </c>
    </row>
    <row r="55" spans="1:17" ht="47.25" customHeight="1" x14ac:dyDescent="0.2">
      <c r="A55" s="18" t="s">
        <v>78</v>
      </c>
      <c r="B55" s="24">
        <f>649824126.68</f>
        <v>649824126.67999995</v>
      </c>
      <c r="C55" s="24">
        <f>649823900.68</f>
        <v>649823900.67999995</v>
      </c>
      <c r="D55" s="24">
        <f>146345447.48</f>
        <v>146345447.47999999</v>
      </c>
      <c r="E55" s="24">
        <f>122386380.01</f>
        <v>122386380.01000001</v>
      </c>
      <c r="F55" s="24">
        <f>3317013.48</f>
        <v>3317013.48</v>
      </c>
      <c r="G55" s="24">
        <f>17737211.33</f>
        <v>17737211.329999998</v>
      </c>
      <c r="H55" s="24">
        <f>2904842.66</f>
        <v>2904842.66</v>
      </c>
      <c r="I55" s="24">
        <f>0</f>
        <v>0</v>
      </c>
      <c r="J55" s="24">
        <f>28627.71</f>
        <v>28627.71</v>
      </c>
      <c r="K55" s="24">
        <f>4292231.06</f>
        <v>4292231.0599999996</v>
      </c>
      <c r="L55" s="24">
        <f>330158908.35</f>
        <v>330158908.35000002</v>
      </c>
      <c r="M55" s="24">
        <f>165493767.86</f>
        <v>165493767.86000001</v>
      </c>
      <c r="N55" s="24">
        <f>3504918.22</f>
        <v>3504918.22</v>
      </c>
      <c r="O55" s="24">
        <f>226</f>
        <v>226</v>
      </c>
      <c r="P55" s="24">
        <f>226</f>
        <v>226</v>
      </c>
      <c r="Q55" s="24">
        <f>0</f>
        <v>0</v>
      </c>
    </row>
    <row r="56" spans="1:17" ht="35.25" customHeight="1" x14ac:dyDescent="0.2">
      <c r="A56" s="18" t="s">
        <v>39</v>
      </c>
      <c r="B56" s="24">
        <f>6728666783.99</f>
        <v>6728666783.9899998</v>
      </c>
      <c r="C56" s="24">
        <f>6700990200.15</f>
        <v>6700990200.1499996</v>
      </c>
      <c r="D56" s="24">
        <f>1576545729.32</f>
        <v>1576545729.3199999</v>
      </c>
      <c r="E56" s="24">
        <f>930801965.96</f>
        <v>930801965.96000004</v>
      </c>
      <c r="F56" s="24">
        <f>14323490</f>
        <v>14323490</v>
      </c>
      <c r="G56" s="24">
        <f>613922915.86</f>
        <v>613922915.86000001</v>
      </c>
      <c r="H56" s="24">
        <f>17497357.5</f>
        <v>17497357.5</v>
      </c>
      <c r="I56" s="24">
        <f>56754.05</f>
        <v>56754.05</v>
      </c>
      <c r="J56" s="24">
        <f>8528675.97</f>
        <v>8528675.9700000007</v>
      </c>
      <c r="K56" s="24">
        <f>8328317.74</f>
        <v>8328317.7400000002</v>
      </c>
      <c r="L56" s="24">
        <f>3346799492.29</f>
        <v>3346799492.29</v>
      </c>
      <c r="M56" s="24">
        <f>1450515608.5</f>
        <v>1450515608.5</v>
      </c>
      <c r="N56" s="24">
        <f>310215622.28</f>
        <v>310215622.27999997</v>
      </c>
      <c r="O56" s="24">
        <f>27676583.84</f>
        <v>27676583.84</v>
      </c>
      <c r="P56" s="24">
        <f>4110249.64</f>
        <v>4110249.64</v>
      </c>
      <c r="Q56" s="24">
        <f>23566334.2</f>
        <v>23566334.199999999</v>
      </c>
    </row>
    <row r="67" spans="1:13" ht="75" customHeight="1" x14ac:dyDescent="0.2">
      <c r="A67" s="33" t="str">
        <f>CONCATENATE("Informacja z wykonania budżetów jednostek samorządu terytorialnego za ",$C$94," ",$B$95," roku")</f>
        <v>Informacja z wykonania budżetów jednostek samorządu terytorialnego za IV Kwartały 2023 roku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 customHeight="1" x14ac:dyDescent="0.2">
      <c r="B69" s="43" t="s">
        <v>2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1" spans="1:13" ht="13.5" customHeight="1" x14ac:dyDescent="0.2">
      <c r="B71" s="46" t="s">
        <v>0</v>
      </c>
      <c r="C71" s="47"/>
      <c r="D71" s="47"/>
      <c r="E71" s="48"/>
      <c r="F71" s="65" t="s">
        <v>68</v>
      </c>
      <c r="G71" s="29" t="s">
        <v>74</v>
      </c>
      <c r="H71" s="30"/>
      <c r="I71" s="30"/>
      <c r="J71" s="30"/>
      <c r="K71" s="30"/>
      <c r="L71" s="31"/>
    </row>
    <row r="72" spans="1:13" ht="13.5" customHeight="1" x14ac:dyDescent="0.2">
      <c r="B72" s="49"/>
      <c r="C72" s="50"/>
      <c r="D72" s="50"/>
      <c r="E72" s="51"/>
      <c r="F72" s="66"/>
      <c r="G72" s="32" t="s">
        <v>69</v>
      </c>
      <c r="H72" s="32" t="s">
        <v>66</v>
      </c>
      <c r="I72" s="32" t="s">
        <v>67</v>
      </c>
      <c r="J72" s="32" t="s">
        <v>70</v>
      </c>
      <c r="K72" s="32" t="s">
        <v>71</v>
      </c>
      <c r="L72" s="37" t="s">
        <v>72</v>
      </c>
    </row>
    <row r="73" spans="1:13" ht="13.5" customHeight="1" x14ac:dyDescent="0.2">
      <c r="B73" s="49"/>
      <c r="C73" s="50"/>
      <c r="D73" s="50"/>
      <c r="E73" s="51"/>
      <c r="F73" s="66"/>
      <c r="G73" s="32"/>
      <c r="H73" s="32"/>
      <c r="I73" s="32"/>
      <c r="J73" s="32"/>
      <c r="K73" s="32"/>
      <c r="L73" s="37"/>
    </row>
    <row r="74" spans="1:13" ht="11.25" customHeight="1" x14ac:dyDescent="0.2">
      <c r="B74" s="49"/>
      <c r="C74" s="50"/>
      <c r="D74" s="50"/>
      <c r="E74" s="51"/>
      <c r="F74" s="66"/>
      <c r="G74" s="32"/>
      <c r="H74" s="32"/>
      <c r="I74" s="32"/>
      <c r="J74" s="32"/>
      <c r="K74" s="32"/>
      <c r="L74" s="37"/>
    </row>
    <row r="75" spans="1:13" ht="20.25" customHeight="1" x14ac:dyDescent="0.2">
      <c r="B75" s="52"/>
      <c r="C75" s="53"/>
      <c r="D75" s="53"/>
      <c r="E75" s="54"/>
      <c r="F75" s="67"/>
      <c r="G75" s="32"/>
      <c r="H75" s="32"/>
      <c r="I75" s="32"/>
      <c r="J75" s="32"/>
      <c r="K75" s="32"/>
      <c r="L75" s="37"/>
    </row>
    <row r="76" spans="1:13" ht="13.5" customHeight="1" x14ac:dyDescent="0.2">
      <c r="B76" s="32">
        <v>1</v>
      </c>
      <c r="C76" s="32"/>
      <c r="D76" s="32"/>
      <c r="E76" s="32"/>
      <c r="F76" s="15">
        <v>2</v>
      </c>
      <c r="G76" s="15">
        <v>3</v>
      </c>
      <c r="H76" s="15">
        <v>4</v>
      </c>
      <c r="I76" s="15">
        <v>5</v>
      </c>
      <c r="J76" s="15">
        <v>6</v>
      </c>
      <c r="K76" s="15">
        <v>7</v>
      </c>
      <c r="L76" s="15">
        <v>8</v>
      </c>
    </row>
    <row r="77" spans="1:13" ht="33.75" customHeight="1" x14ac:dyDescent="0.2">
      <c r="B77" s="55" t="s">
        <v>53</v>
      </c>
      <c r="C77" s="56"/>
      <c r="D77" s="56"/>
      <c r="E77" s="57"/>
      <c r="F77" s="22">
        <f>4474599024.74</f>
        <v>4474599024.7399998</v>
      </c>
      <c r="G77" s="22">
        <f>1164328959.22</f>
        <v>1164328959.22</v>
      </c>
      <c r="H77" s="22">
        <f>71443081</f>
        <v>71443081</v>
      </c>
      <c r="I77" s="22">
        <f>255861566.58</f>
        <v>255861566.58000001</v>
      </c>
      <c r="J77" s="22">
        <f>803416722.5</f>
        <v>803416722.5</v>
      </c>
      <c r="K77" s="22">
        <f>33607589.14</f>
        <v>33607589.140000001</v>
      </c>
      <c r="L77" s="22">
        <f>3310270065.52</f>
        <v>3310270065.52</v>
      </c>
    </row>
    <row r="78" spans="1:13" ht="33.75" customHeight="1" x14ac:dyDescent="0.2">
      <c r="B78" s="38" t="s">
        <v>54</v>
      </c>
      <c r="C78" s="39"/>
      <c r="D78" s="39"/>
      <c r="E78" s="40"/>
      <c r="F78" s="25">
        <f>7392319.86</f>
        <v>7392319.8600000003</v>
      </c>
      <c r="G78" s="25">
        <f>4978399.8</f>
        <v>4978399.8</v>
      </c>
      <c r="H78" s="25">
        <f>0</f>
        <v>0</v>
      </c>
      <c r="I78" s="25">
        <f>0</f>
        <v>0</v>
      </c>
      <c r="J78" s="25">
        <f>4978399.8</f>
        <v>4978399.8</v>
      </c>
      <c r="K78" s="25">
        <f>0</f>
        <v>0</v>
      </c>
      <c r="L78" s="25">
        <f>2413920.06</f>
        <v>2413920.06</v>
      </c>
    </row>
    <row r="79" spans="1:13" ht="33.75" customHeight="1" x14ac:dyDescent="0.2">
      <c r="B79" s="38" t="s">
        <v>55</v>
      </c>
      <c r="C79" s="39"/>
      <c r="D79" s="39"/>
      <c r="E79" s="40"/>
      <c r="F79" s="25">
        <f>454528447.88</f>
        <v>454528447.88</v>
      </c>
      <c r="G79" s="25">
        <f>196181850.91</f>
        <v>196181850.91</v>
      </c>
      <c r="H79" s="25">
        <f>532575</f>
        <v>532575</v>
      </c>
      <c r="I79" s="25">
        <f>7611780.72</f>
        <v>7611780.7199999997</v>
      </c>
      <c r="J79" s="25">
        <f>187927909.15</f>
        <v>187927909.15000001</v>
      </c>
      <c r="K79" s="25">
        <f>109586.04</f>
        <v>109586.04</v>
      </c>
      <c r="L79" s="25">
        <f>258346596.97</f>
        <v>258346596.97</v>
      </c>
    </row>
    <row r="80" spans="1:13" ht="22.5" customHeight="1" x14ac:dyDescent="0.2">
      <c r="B80" s="38" t="s">
        <v>56</v>
      </c>
      <c r="C80" s="39"/>
      <c r="D80" s="39"/>
      <c r="E80" s="40"/>
      <c r="F80" s="25">
        <f>87485210.06</f>
        <v>87485210.060000002</v>
      </c>
      <c r="G80" s="25">
        <f>44769054.64</f>
        <v>44769054.640000001</v>
      </c>
      <c r="H80" s="25">
        <f>0</f>
        <v>0</v>
      </c>
      <c r="I80" s="25">
        <f>0</f>
        <v>0</v>
      </c>
      <c r="J80" s="25">
        <f>44769054.64</f>
        <v>44769054.640000001</v>
      </c>
      <c r="K80" s="25">
        <f>0</f>
        <v>0</v>
      </c>
      <c r="L80" s="25">
        <f>42716155.42</f>
        <v>42716155.420000002</v>
      </c>
    </row>
    <row r="81" spans="1:13" ht="33.75" customHeight="1" x14ac:dyDescent="0.2">
      <c r="B81" s="38" t="s">
        <v>57</v>
      </c>
      <c r="C81" s="39"/>
      <c r="D81" s="39"/>
      <c r="E81" s="40"/>
      <c r="F81" s="25">
        <f>18920124.54</f>
        <v>18920124.539999999</v>
      </c>
      <c r="G81" s="25">
        <f>18471240.98</f>
        <v>18471240.98</v>
      </c>
      <c r="H81" s="25">
        <f>0</f>
        <v>0</v>
      </c>
      <c r="I81" s="25">
        <f>0</f>
        <v>0</v>
      </c>
      <c r="J81" s="25">
        <f>18471240.98</f>
        <v>18471240.98</v>
      </c>
      <c r="K81" s="25">
        <f>0</f>
        <v>0</v>
      </c>
      <c r="L81" s="25">
        <f>448883.56</f>
        <v>448883.56</v>
      </c>
    </row>
    <row r="82" spans="1:13" ht="33.75" customHeight="1" x14ac:dyDescent="0.2">
      <c r="B82" s="38" t="s">
        <v>58</v>
      </c>
      <c r="C82" s="39"/>
      <c r="D82" s="39"/>
      <c r="E82" s="40"/>
      <c r="F82" s="25">
        <f>37481091.86</f>
        <v>37481091.859999999</v>
      </c>
      <c r="G82" s="25">
        <f>21733850.59</f>
        <v>21733850.59</v>
      </c>
      <c r="H82" s="25">
        <f>0</f>
        <v>0</v>
      </c>
      <c r="I82" s="25">
        <f>0</f>
        <v>0</v>
      </c>
      <c r="J82" s="25">
        <f>21733850.59</f>
        <v>21733850.59</v>
      </c>
      <c r="K82" s="25">
        <f>0</f>
        <v>0</v>
      </c>
      <c r="L82" s="25">
        <f>15747241.27</f>
        <v>15747241.27</v>
      </c>
    </row>
    <row r="83" spans="1:13" ht="33" customHeight="1" x14ac:dyDescent="0.2">
      <c r="B83" s="55" t="s">
        <v>59</v>
      </c>
      <c r="C83" s="56"/>
      <c r="D83" s="56"/>
      <c r="E83" s="57"/>
      <c r="F83" s="22">
        <f>3820678.89</f>
        <v>3820678.89</v>
      </c>
      <c r="G83" s="22">
        <f>1210325.47</f>
        <v>1210325.47</v>
      </c>
      <c r="H83" s="22">
        <f>0</f>
        <v>0</v>
      </c>
      <c r="I83" s="22">
        <f>0</f>
        <v>0</v>
      </c>
      <c r="J83" s="22">
        <f>1210325.47</f>
        <v>1210325.47</v>
      </c>
      <c r="K83" s="22">
        <f>0</f>
        <v>0</v>
      </c>
      <c r="L83" s="22">
        <f>2610353.42</f>
        <v>2610353.42</v>
      </c>
    </row>
    <row r="86" spans="1:13" ht="75" customHeight="1" x14ac:dyDescent="0.2">
      <c r="A86" s="33" t="str">
        <f>CONCATENATE("Informacja z wykonania budżetów jednostek samorządu terytorialnego za ",$C$94," ",$B$95," roku")</f>
        <v>Informacja z wykonania budżetów jednostek samorządu terytorialnego za IV Kwartały 2023 roku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3.5" customHeight="1" x14ac:dyDescent="0.2">
      <c r="B87" s="3"/>
    </row>
    <row r="88" spans="1:13" ht="13.5" customHeight="1" x14ac:dyDescent="0.2">
      <c r="B88" s="4"/>
      <c r="C88" s="44"/>
      <c r="D88" s="60"/>
      <c r="E88" s="60"/>
      <c r="F88" s="45"/>
      <c r="G88" s="44" t="s">
        <v>3</v>
      </c>
      <c r="H88" s="45"/>
      <c r="I88" s="44" t="s">
        <v>4</v>
      </c>
      <c r="J88" s="45"/>
      <c r="K88" s="4"/>
    </row>
    <row r="89" spans="1:13" ht="13.5" customHeight="1" x14ac:dyDescent="0.2">
      <c r="B89" s="5"/>
      <c r="C89" s="55" t="s">
        <v>5</v>
      </c>
      <c r="D89" s="56"/>
      <c r="E89" s="56"/>
      <c r="F89" s="57"/>
      <c r="G89" s="58">
        <f>537</f>
        <v>537</v>
      </c>
      <c r="H89" s="59"/>
      <c r="I89" s="41">
        <f>2930422941.91</f>
        <v>2930422941.9099998</v>
      </c>
      <c r="J89" s="42"/>
      <c r="K89" s="6"/>
    </row>
    <row r="90" spans="1:13" ht="13.5" customHeight="1" x14ac:dyDescent="0.2">
      <c r="B90" s="5"/>
      <c r="C90" s="38" t="s">
        <v>6</v>
      </c>
      <c r="D90" s="39"/>
      <c r="E90" s="39"/>
      <c r="F90" s="40"/>
      <c r="G90" s="61">
        <f>2270</f>
        <v>2270</v>
      </c>
      <c r="H90" s="62"/>
      <c r="I90" s="63">
        <f>-25870337964.95</f>
        <v>-25870337964.950001</v>
      </c>
      <c r="J90" s="64"/>
      <c r="K90" s="6"/>
    </row>
    <row r="91" spans="1:13" ht="13.5" customHeight="1" x14ac:dyDescent="0.2">
      <c r="B91" s="5"/>
      <c r="C91" s="55" t="s">
        <v>7</v>
      </c>
      <c r="D91" s="56"/>
      <c r="E91" s="56"/>
      <c r="F91" s="57"/>
      <c r="G91" s="58">
        <f>0</f>
        <v>0</v>
      </c>
      <c r="H91" s="59"/>
      <c r="I91" s="41">
        <f>0</f>
        <v>0</v>
      </c>
      <c r="J91" s="42"/>
      <c r="K91" s="6"/>
    </row>
    <row r="94" spans="1:13" ht="13.5" customHeight="1" x14ac:dyDescent="0.2">
      <c r="A94" s="7" t="s">
        <v>8</v>
      </c>
      <c r="B94" s="7">
        <f>4</f>
        <v>4</v>
      </c>
      <c r="C94" s="7" t="str">
        <f>IF(B94=1,"I Kwartał",IF(B94=2,"II Kwartały",IF(B94=3,"III Kwartały",IF(B94=4,"IV Kwartały","-"))))</f>
        <v>IV Kwartały</v>
      </c>
    </row>
    <row r="95" spans="1:13" ht="13.5" customHeight="1" x14ac:dyDescent="0.2">
      <c r="A95" s="7" t="s">
        <v>9</v>
      </c>
      <c r="B95" s="7">
        <f>2023</f>
        <v>2023</v>
      </c>
      <c r="C95" s="8"/>
    </row>
    <row r="96" spans="1:13" ht="13.5" customHeight="1" x14ac:dyDescent="0.2">
      <c r="A96" s="7" t="s">
        <v>10</v>
      </c>
      <c r="B96" s="9" t="str">
        <f>"Mar 15 2024 12:00AM"</f>
        <v>Mar 15 2024 12:00AM</v>
      </c>
      <c r="C96" s="8"/>
    </row>
  </sheetData>
  <mergeCells count="75">
    <mergeCell ref="K72:K75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H72:H75"/>
    <mergeCell ref="I72:I75"/>
    <mergeCell ref="J72:J75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2:L75"/>
    <mergeCell ref="F35:F38"/>
    <mergeCell ref="A30:M30"/>
    <mergeCell ref="G91:H91"/>
    <mergeCell ref="I91:J91"/>
    <mergeCell ref="C88:F88"/>
    <mergeCell ref="C89:F89"/>
    <mergeCell ref="C90:F90"/>
    <mergeCell ref="C91:F91"/>
    <mergeCell ref="G89:H89"/>
    <mergeCell ref="G88:H88"/>
    <mergeCell ref="G90:H90"/>
    <mergeCell ref="I90:J90"/>
    <mergeCell ref="B82:E82"/>
    <mergeCell ref="I89:J89"/>
    <mergeCell ref="B69:M69"/>
    <mergeCell ref="I88:J88"/>
    <mergeCell ref="B76:E76"/>
    <mergeCell ref="B71:E75"/>
    <mergeCell ref="B83:E83"/>
    <mergeCell ref="A86:M86"/>
    <mergeCell ref="B79:E79"/>
    <mergeCell ref="B80:E80"/>
    <mergeCell ref="B81:E81"/>
    <mergeCell ref="B78:E78"/>
    <mergeCell ref="B77:E77"/>
    <mergeCell ref="F71:F75"/>
    <mergeCell ref="G72:G75"/>
    <mergeCell ref="G71:L71"/>
    <mergeCell ref="O6:Q6"/>
    <mergeCell ref="O7:O11"/>
    <mergeCell ref="A67:M67"/>
    <mergeCell ref="L35:L38"/>
    <mergeCell ref="P35:P38"/>
    <mergeCell ref="Q35:Q38"/>
    <mergeCell ref="N35:N38"/>
    <mergeCell ref="O35:O38"/>
    <mergeCell ref="D35:D38"/>
    <mergeCell ref="H7:H11"/>
    <mergeCell ref="M35:M38"/>
    <mergeCell ref="O34:Q34"/>
    <mergeCell ref="A32:M32"/>
    <mergeCell ref="B34:B38"/>
    <mergeCell ref="A34:A38"/>
    <mergeCell ref="C35:C38"/>
  </mergeCells>
  <phoneticPr fontId="4" type="noConversion"/>
  <pageMargins left="0" right="0" top="0.19685039370078741" bottom="0.19685039370078741" header="0" footer="0"/>
  <pageSetup paperSize="9" scale="67" orientation="landscape" useFirstPageNumber="1" horizontalDpi="300" verticalDpi="300" r:id="rId1"/>
  <headerFooter alignWithMargins="0">
    <oddFooter>&amp;L&amp;D&amp;Rstrona &amp;P z 3</oddFooter>
  </headerFooter>
  <rowBreaks count="2" manualBreakCount="2">
    <brk id="29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zob_nal</vt:lpstr>
    </vt:vector>
  </TitlesOfParts>
  <Company>Min. Fin.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2016-08-26T11:29:32Z</cp:lastPrinted>
  <dcterms:created xsi:type="dcterms:W3CDTF">2001-05-17T08:58:03Z</dcterms:created>
  <dcterms:modified xsi:type="dcterms:W3CDTF">2024-03-27T09:03:57Z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UxC4dwLulzfINJ8nQH+xvX5LNGipWa4BRSZhPgxsCvk7M1oCNyvPTX/IYTk7NheEi2D6He/Paz9ay8OzXVpSqA==</vt:lpwstr>
  </property>
  <property fmtid="{D5CDD505-2E9C-101B-9397-08002B2CF9AE}" pid="4" name="MFClassificationDate">
    <vt:lpwstr>2024-03-27T10:03:56.2181337+01:00</vt:lpwstr>
  </property>
  <property fmtid="{D5CDD505-2E9C-101B-9397-08002B2CF9AE}" pid="5" name="MFClassifiedBySID">
    <vt:lpwstr>UxC4dwLulzfINJ8nQH+xvX5LNGipWa4BRSZhPgxsCvm42mrIC/DSDv0ggS+FjUN/2v1BBotkLlY5aAiEhoi6uT6l/lYoTwrNwDVvKCDJdoy+W2nzAk+kqrZcOJSg0aUa</vt:lpwstr>
  </property>
  <property fmtid="{D5CDD505-2E9C-101B-9397-08002B2CF9AE}" pid="6" name="MFGRNItemId">
    <vt:lpwstr>GRN-b0534562-b448-4c40-aace-dd3da1283c38</vt:lpwstr>
  </property>
  <property fmtid="{D5CDD505-2E9C-101B-9397-08002B2CF9AE}" pid="7" name="MFHash">
    <vt:lpwstr>tHwMMt/yKzN2kkTtY3J06MNPqSXH4qf1e0AoNlXfWy8=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