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1821AC16-F464-4751-B78F-095EF8ACE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1" i="7" l="1"/>
  <c r="A86" i="7"/>
  <c r="A30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<sst xmlns="http://schemas.openxmlformats.org/spreadsheetml/2006/main" count="93" uniqueCount="79">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</sst>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IV Kwartały 2023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102723749907.47</f>
        <v>102723749907.47</v>
      </c>
      <c r="C13" s="21">
        <f>77353144152.06</f>
        <v>77353144152.059998</v>
      </c>
      <c r="D13" s="21">
        <f>3420595914.37</f>
        <v>3420595914.3699999</v>
      </c>
      <c r="E13" s="21">
        <f>612755707.42</f>
        <v>612755707.41999996</v>
      </c>
      <c r="F13" s="21">
        <f>740459073.01</f>
        <v>740459073.00999999</v>
      </c>
      <c r="G13" s="21">
        <f>2062717916.92</f>
        <v>2062717916.9200001</v>
      </c>
      <c r="H13" s="21">
        <f>4663217.02</f>
        <v>4663217.0199999996</v>
      </c>
      <c r="I13" s="21">
        <f>0</f>
        <v>0</v>
      </c>
      <c r="J13" s="21">
        <f>68535392247.32</f>
        <v>68535392247.32</v>
      </c>
      <c r="K13" s="21">
        <f>3575798966.25</f>
        <v>3575798966.25</v>
      </c>
      <c r="L13" s="21">
        <f>1764325872.71</f>
        <v>1764325872.71</v>
      </c>
      <c r="M13" s="21">
        <f>38081047.33</f>
        <v>38081047.329999998</v>
      </c>
      <c r="N13" s="21">
        <f>18950104.08</f>
        <v>18950104.079999998</v>
      </c>
      <c r="O13" s="21">
        <f>25370605755.41</f>
        <v>25370605755.41</v>
      </c>
      <c r="P13" s="21">
        <f>25329288919.96</f>
        <v>25329288919.959999</v>
      </c>
      <c r="Q13" s="21">
        <f>41316835.45</f>
        <v>41316835.450000003</v>
      </c>
    </row>
    <row r="14" spans="1:17" ht="41.25" customHeight="1" x14ac:dyDescent="0.2">
      <c r="A14" s="19" t="s">
        <v>75</v>
      </c>
      <c r="B14" s="21">
        <f>6239316600</f>
        <v>6239316600</v>
      </c>
      <c r="C14" s="21">
        <f>6239316600</f>
        <v>6239316600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5995266600</f>
        <v>5995266600</v>
      </c>
      <c r="K14" s="21">
        <f>244050000</f>
        <v>244050000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300000</f>
        <v>300000</v>
      </c>
      <c r="C15" s="22">
        <f>300000</f>
        <v>300000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300000</f>
        <v>300000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6239016600</f>
        <v>6239016600</v>
      </c>
      <c r="C16" s="22">
        <f>6239016600</f>
        <v>6239016600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5995266600</f>
        <v>5995266600</v>
      </c>
      <c r="K16" s="22">
        <f>243750000</f>
        <v>243750000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96379415605.91</f>
        <v>96379415605.910004</v>
      </c>
      <c r="C17" s="21">
        <f>71008810895.95</f>
        <v>71008810895.949997</v>
      </c>
      <c r="D17" s="21">
        <f>3388686374.97</f>
        <v>3388686374.9699998</v>
      </c>
      <c r="E17" s="21">
        <f>601595325.75</f>
        <v>601595325.75</v>
      </c>
      <c r="F17" s="21">
        <f>740350110.71</f>
        <v>740350110.71000004</v>
      </c>
      <c r="G17" s="21">
        <f>2046740938.51</f>
        <v>2046740938.51</v>
      </c>
      <c r="H17" s="21">
        <f>0</f>
        <v>0</v>
      </c>
      <c r="I17" s="21">
        <f>0</f>
        <v>0</v>
      </c>
      <c r="J17" s="21">
        <f>62539813902.63</f>
        <v>62539813902.629997</v>
      </c>
      <c r="K17" s="21">
        <f>3331188348.41</f>
        <v>3331188348.4099998</v>
      </c>
      <c r="L17" s="21">
        <f>1721548597.01</f>
        <v>1721548597.01</v>
      </c>
      <c r="M17" s="21">
        <f>12017027.17</f>
        <v>12017027.17</v>
      </c>
      <c r="N17" s="21">
        <f>15556645.76</f>
        <v>15556645.76</v>
      </c>
      <c r="O17" s="21">
        <f>25370604709.96</f>
        <v>25370604709.959999</v>
      </c>
      <c r="P17" s="21">
        <f>25329288919.96</f>
        <v>25329288919.959999</v>
      </c>
      <c r="Q17" s="21">
        <f>41315790</f>
        <v>41315790</v>
      </c>
    </row>
    <row r="18" spans="1:17" ht="22.5" x14ac:dyDescent="0.2">
      <c r="A18" s="16" t="s">
        <v>48</v>
      </c>
      <c r="B18" s="22">
        <f>285862660.58</f>
        <v>285862660.57999998</v>
      </c>
      <c r="C18" s="22">
        <f>265862660.58</f>
        <v>265862660.58000001</v>
      </c>
      <c r="D18" s="22">
        <f>35536173.48</f>
        <v>35536173.479999997</v>
      </c>
      <c r="E18" s="22">
        <f>22251433.83</f>
        <v>22251433.829999998</v>
      </c>
      <c r="F18" s="22">
        <f>1060581.4</f>
        <v>1060581.3999999999</v>
      </c>
      <c r="G18" s="22">
        <f>12224158.25</f>
        <v>12224158.25</v>
      </c>
      <c r="H18" s="22">
        <f>0</f>
        <v>0</v>
      </c>
      <c r="I18" s="22">
        <f>0</f>
        <v>0</v>
      </c>
      <c r="J18" s="22">
        <f>178178894.17</f>
        <v>178178894.16999999</v>
      </c>
      <c r="K18" s="22">
        <f>45292374.88</f>
        <v>45292374.880000003</v>
      </c>
      <c r="L18" s="22">
        <f>2859142.23</f>
        <v>2859142.23</v>
      </c>
      <c r="M18" s="22">
        <f>3996075.82</f>
        <v>3996075.82</v>
      </c>
      <c r="N18" s="22">
        <f>0</f>
        <v>0</v>
      </c>
      <c r="O18" s="22">
        <f>20000000</f>
        <v>20000000</v>
      </c>
      <c r="P18" s="22">
        <f>0</f>
        <v>0</v>
      </c>
      <c r="Q18" s="22">
        <f>20000000</f>
        <v>20000000</v>
      </c>
    </row>
    <row r="19" spans="1:17" ht="24" customHeight="1" x14ac:dyDescent="0.2">
      <c r="A19" s="16" t="s">
        <v>49</v>
      </c>
      <c r="B19" s="22">
        <f>96093552945.33</f>
        <v>96093552945.330002</v>
      </c>
      <c r="C19" s="22">
        <f>70742948235.37</f>
        <v>70742948235.369995</v>
      </c>
      <c r="D19" s="22">
        <f>3353150201.49</f>
        <v>3353150201.4899998</v>
      </c>
      <c r="E19" s="22">
        <f>579343891.92</f>
        <v>579343891.91999996</v>
      </c>
      <c r="F19" s="22">
        <f>739289529.31</f>
        <v>739289529.30999994</v>
      </c>
      <c r="G19" s="22">
        <f>2034516780.26</f>
        <v>2034516780.26</v>
      </c>
      <c r="H19" s="22">
        <f>0</f>
        <v>0</v>
      </c>
      <c r="I19" s="22">
        <f>0</f>
        <v>0</v>
      </c>
      <c r="J19" s="22">
        <f>62361635008.46</f>
        <v>62361635008.459999</v>
      </c>
      <c r="K19" s="22">
        <f>3285895973.53</f>
        <v>3285895973.5300002</v>
      </c>
      <c r="L19" s="22">
        <f>1718689454.78</f>
        <v>1718689454.78</v>
      </c>
      <c r="M19" s="22">
        <f>8020951.35</f>
        <v>8020951.3499999996</v>
      </c>
      <c r="N19" s="22">
        <f>15556645.76</f>
        <v>15556645.76</v>
      </c>
      <c r="O19" s="22">
        <f>25350604709.96</f>
        <v>25350604709.959999</v>
      </c>
      <c r="P19" s="22">
        <f>25329288919.96</f>
        <v>25329288919.959999</v>
      </c>
      <c r="Q19" s="22">
        <f>21315790</f>
        <v>21315790</v>
      </c>
    </row>
    <row r="20" spans="1:17" ht="24.75" customHeight="1" x14ac:dyDescent="0.2">
      <c r="A20" s="26" t="s">
        <v>50</v>
      </c>
      <c r="B20" s="27">
        <f>1500000</f>
        <v>1500000</v>
      </c>
      <c r="C20" s="27">
        <f>1500000</f>
        <v>1500000</v>
      </c>
      <c r="D20" s="27">
        <f>1500000</f>
        <v>1500000</v>
      </c>
      <c r="E20" s="27">
        <f>0</f>
        <v>0</v>
      </c>
      <c r="F20" s="27">
        <f>0</f>
        <v>0</v>
      </c>
      <c r="G20" s="27">
        <f>1500000</f>
        <v>1500000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103517701.56</f>
        <v>103517701.56</v>
      </c>
      <c r="C21" s="21">
        <f>103516656.11</f>
        <v>103516656.11</v>
      </c>
      <c r="D21" s="21">
        <f>30409539.4</f>
        <v>30409539.399999999</v>
      </c>
      <c r="E21" s="21">
        <f>11160381.67</f>
        <v>11160381.67</v>
      </c>
      <c r="F21" s="21">
        <f>108962.3</f>
        <v>108962.3</v>
      </c>
      <c r="G21" s="21">
        <f>14476978.41</f>
        <v>14476978.41</v>
      </c>
      <c r="H21" s="21">
        <f>4663217.02</f>
        <v>4663217.0199999996</v>
      </c>
      <c r="I21" s="21">
        <f>0</f>
        <v>0</v>
      </c>
      <c r="J21" s="21">
        <f>311744.69</f>
        <v>311744.69</v>
      </c>
      <c r="K21" s="21">
        <f>560617.84</f>
        <v>560617.84</v>
      </c>
      <c r="L21" s="21">
        <f>42777275.7</f>
        <v>42777275.700000003</v>
      </c>
      <c r="M21" s="21">
        <f>26064020.16</f>
        <v>26064020.16</v>
      </c>
      <c r="N21" s="21">
        <f>3393458.32</f>
        <v>3393458.32</v>
      </c>
      <c r="O21" s="21">
        <f>1045.45</f>
        <v>1045.45</v>
      </c>
      <c r="P21" s="21">
        <f>0</f>
        <v>0</v>
      </c>
      <c r="Q21" s="21">
        <f>1045.45</f>
        <v>1045.45</v>
      </c>
    </row>
    <row r="22" spans="1:17" ht="33" customHeight="1" x14ac:dyDescent="0.2">
      <c r="A22" s="17" t="s">
        <v>51</v>
      </c>
      <c r="B22" s="22">
        <f>64327312.36</f>
        <v>64327312.359999999</v>
      </c>
      <c r="C22" s="22">
        <f>64327312.36</f>
        <v>64327312.359999999</v>
      </c>
      <c r="D22" s="22">
        <f>4030005.71</f>
        <v>4030005.71</v>
      </c>
      <c r="E22" s="22">
        <f>4999.51</f>
        <v>4999.51</v>
      </c>
      <c r="F22" s="22">
        <f>16027.3</f>
        <v>16027.3</v>
      </c>
      <c r="G22" s="22">
        <f>4008978.9</f>
        <v>4008978.9</v>
      </c>
      <c r="H22" s="22">
        <f>0</f>
        <v>0</v>
      </c>
      <c r="I22" s="22">
        <f>0</f>
        <v>0</v>
      </c>
      <c r="J22" s="22">
        <f>168550.47</f>
        <v>168550.47</v>
      </c>
      <c r="K22" s="22">
        <f>559752.52</f>
        <v>559752.52</v>
      </c>
      <c r="L22" s="22">
        <f>36513419.68</f>
        <v>36513419.68</v>
      </c>
      <c r="M22" s="22">
        <f>20167899.06</f>
        <v>20167899.059999999</v>
      </c>
      <c r="N22" s="22">
        <f>2887684.92</f>
        <v>2887684.92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39190389.2</f>
        <v>39190389.200000003</v>
      </c>
      <c r="C23" s="22">
        <f>39189343.75</f>
        <v>39189343.75</v>
      </c>
      <c r="D23" s="22">
        <f>26379533.69</f>
        <v>26379533.690000001</v>
      </c>
      <c r="E23" s="22">
        <f>11155382.16</f>
        <v>11155382.16</v>
      </c>
      <c r="F23" s="22">
        <f>92935</f>
        <v>92935</v>
      </c>
      <c r="G23" s="22">
        <f>10467999.51</f>
        <v>10467999.51</v>
      </c>
      <c r="H23" s="22">
        <f>4663217.02</f>
        <v>4663217.0199999996</v>
      </c>
      <c r="I23" s="22">
        <f>0</f>
        <v>0</v>
      </c>
      <c r="J23" s="22">
        <f>143194.22</f>
        <v>143194.22</v>
      </c>
      <c r="K23" s="22">
        <f>865.32</f>
        <v>865.32</v>
      </c>
      <c r="L23" s="22">
        <f>6263856.02</f>
        <v>6263856.0199999996</v>
      </c>
      <c r="M23" s="22">
        <f>5896121.1</f>
        <v>5896121.0999999996</v>
      </c>
      <c r="N23" s="22">
        <f>505773.4</f>
        <v>505773.4</v>
      </c>
      <c r="O23" s="22">
        <f>1045.45</f>
        <v>1045.45</v>
      </c>
      <c r="P23" s="22">
        <f>0</f>
        <v>0</v>
      </c>
      <c r="Q23" s="22">
        <f>1045.45</f>
        <v>1045.45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IV Kwartały 2023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61446912.21</f>
        <v>61446912.210000001</v>
      </c>
      <c r="C40" s="23">
        <f>61446912.21</f>
        <v>61446912.210000001</v>
      </c>
      <c r="D40" s="23">
        <f>50138</f>
        <v>50138</v>
      </c>
      <c r="E40" s="23">
        <f>50000</f>
        <v>50000</v>
      </c>
      <c r="F40" s="23">
        <f>0</f>
        <v>0</v>
      </c>
      <c r="G40" s="23">
        <f>0</f>
        <v>0</v>
      </c>
      <c r="H40" s="23">
        <f>138</f>
        <v>138</v>
      </c>
      <c r="I40" s="23">
        <f>0</f>
        <v>0</v>
      </c>
      <c r="J40" s="23">
        <f>200160.2</f>
        <v>200160.2</v>
      </c>
      <c r="K40" s="23">
        <f>26620</f>
        <v>26620</v>
      </c>
      <c r="L40" s="23">
        <f>60798805.12</f>
        <v>60798805.119999997</v>
      </c>
      <c r="M40" s="23">
        <f>271188.89</f>
        <v>271188.89</v>
      </c>
      <c r="N40" s="23">
        <f>100000</f>
        <v>100000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435479.48</f>
        <v>435479.48</v>
      </c>
      <c r="C41" s="24">
        <f>435479.48</f>
        <v>435479.48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370479.48</f>
        <v>370479.48</v>
      </c>
      <c r="M41" s="24">
        <f>0</f>
        <v>0</v>
      </c>
      <c r="N41" s="24">
        <f>65000</f>
        <v>65000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61011432.73</f>
        <v>61011432.729999997</v>
      </c>
      <c r="C42" s="24">
        <f>61011432.73</f>
        <v>61011432.729999997</v>
      </c>
      <c r="D42" s="24">
        <f>50138</f>
        <v>50138</v>
      </c>
      <c r="E42" s="24">
        <f>50000</f>
        <v>50000</v>
      </c>
      <c r="F42" s="24">
        <f>0</f>
        <v>0</v>
      </c>
      <c r="G42" s="24">
        <f>0</f>
        <v>0</v>
      </c>
      <c r="H42" s="24">
        <f>138</f>
        <v>138</v>
      </c>
      <c r="I42" s="24">
        <f>0</f>
        <v>0</v>
      </c>
      <c r="J42" s="24">
        <f>200160.2</f>
        <v>200160.2</v>
      </c>
      <c r="K42" s="24">
        <f>26620</f>
        <v>26620</v>
      </c>
      <c r="L42" s="24">
        <f>60428325.64</f>
        <v>60428325.640000001</v>
      </c>
      <c r="M42" s="24">
        <f>271188.89</f>
        <v>271188.89</v>
      </c>
      <c r="N42" s="24">
        <f>35000</f>
        <v>35000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1497669660.9</f>
        <v>1497669660.9000001</v>
      </c>
      <c r="C43" s="23">
        <f>1497516777.24</f>
        <v>1497516777.24</v>
      </c>
      <c r="D43" s="23">
        <f>732501206.03</f>
        <v>732501206.02999997</v>
      </c>
      <c r="E43" s="23">
        <f>177658.44</f>
        <v>177658.44</v>
      </c>
      <c r="F43" s="23">
        <f>2256758.18</f>
        <v>2256758.1800000002</v>
      </c>
      <c r="G43" s="23">
        <f>719763901.41</f>
        <v>719763901.40999997</v>
      </c>
      <c r="H43" s="23">
        <f>10302888</f>
        <v>10302888</v>
      </c>
      <c r="I43" s="23">
        <f>0</f>
        <v>0</v>
      </c>
      <c r="J43" s="23">
        <f>1589791</f>
        <v>1589791</v>
      </c>
      <c r="K43" s="23">
        <f>1098855</f>
        <v>1098855</v>
      </c>
      <c r="L43" s="23">
        <f>382473196.69</f>
        <v>382473196.69</v>
      </c>
      <c r="M43" s="23">
        <f>315010407.25</f>
        <v>315010407.25</v>
      </c>
      <c r="N43" s="23">
        <f>64843321.27</f>
        <v>64843321.270000003</v>
      </c>
      <c r="O43" s="23">
        <f>152883.66</f>
        <v>152883.66</v>
      </c>
      <c r="P43" s="23">
        <f>3883.66</f>
        <v>3883.66</v>
      </c>
      <c r="Q43" s="23">
        <f>149000</f>
        <v>149000</v>
      </c>
    </row>
    <row r="44" spans="1:17" ht="32.25" customHeight="1" x14ac:dyDescent="0.2">
      <c r="A44" s="18" t="s">
        <v>31</v>
      </c>
      <c r="B44" s="24">
        <f>131890053.29</f>
        <v>131890053.29000001</v>
      </c>
      <c r="C44" s="24">
        <f>131890053.29</f>
        <v>131890053.29000001</v>
      </c>
      <c r="D44" s="24">
        <f>57819962.54</f>
        <v>57819962.539999999</v>
      </c>
      <c r="E44" s="24">
        <f>2839.8</f>
        <v>2839.8</v>
      </c>
      <c r="F44" s="24">
        <f>740000</f>
        <v>740000</v>
      </c>
      <c r="G44" s="24">
        <f>57077122.74</f>
        <v>57077122.740000002</v>
      </c>
      <c r="H44" s="24">
        <f>0</f>
        <v>0</v>
      </c>
      <c r="I44" s="24">
        <f>0</f>
        <v>0</v>
      </c>
      <c r="J44" s="24">
        <f>176795</f>
        <v>176795</v>
      </c>
      <c r="K44" s="24">
        <f>4560</f>
        <v>4560</v>
      </c>
      <c r="L44" s="24">
        <f>32310556.29</f>
        <v>32310556.289999999</v>
      </c>
      <c r="M44" s="24">
        <f>22815797.48</f>
        <v>22815797.48</v>
      </c>
      <c r="N44" s="24">
        <f>18762381.98</f>
        <v>18762381.98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1365779607.61</f>
        <v>1365779607.6099999</v>
      </c>
      <c r="C45" s="24">
        <f>1365626723.95</f>
        <v>1365626723.95</v>
      </c>
      <c r="D45" s="24">
        <f>674681243.49</f>
        <v>674681243.49000001</v>
      </c>
      <c r="E45" s="24">
        <f>174818.64</f>
        <v>174818.64</v>
      </c>
      <c r="F45" s="24">
        <f>1516758.18</f>
        <v>1516758.18</v>
      </c>
      <c r="G45" s="24">
        <f>662686778.67</f>
        <v>662686778.66999996</v>
      </c>
      <c r="H45" s="24">
        <f>10302888</f>
        <v>10302888</v>
      </c>
      <c r="I45" s="24">
        <f>0</f>
        <v>0</v>
      </c>
      <c r="J45" s="24">
        <f>1412996</f>
        <v>1412996</v>
      </c>
      <c r="K45" s="24">
        <f>1094295</f>
        <v>1094295</v>
      </c>
      <c r="L45" s="24">
        <f>350162640.4</f>
        <v>350162640.39999998</v>
      </c>
      <c r="M45" s="24">
        <f>292194609.77</f>
        <v>292194609.76999998</v>
      </c>
      <c r="N45" s="24">
        <f>46080939.29</f>
        <v>46080939.289999999</v>
      </c>
      <c r="O45" s="24">
        <f>152883.66</f>
        <v>152883.66</v>
      </c>
      <c r="P45" s="24">
        <f>3883.66</f>
        <v>3883.66</v>
      </c>
      <c r="Q45" s="24">
        <f>149000</f>
        <v>149000</v>
      </c>
    </row>
    <row r="46" spans="1:17" ht="35.25" customHeight="1" x14ac:dyDescent="0.2">
      <c r="A46" s="28" t="s">
        <v>42</v>
      </c>
      <c r="B46" s="23">
        <f>37520468505.98</f>
        <v>37520468505.980003</v>
      </c>
      <c r="C46" s="23">
        <f>37520199327.52</f>
        <v>37520199327.519997</v>
      </c>
      <c r="D46" s="23">
        <f>6444307.56</f>
        <v>6444307.5599999996</v>
      </c>
      <c r="E46" s="23">
        <f>454474.58</f>
        <v>454474.58</v>
      </c>
      <c r="F46" s="23">
        <f>87757.78</f>
        <v>87757.78</v>
      </c>
      <c r="G46" s="23">
        <f>5902075.2</f>
        <v>5902075.2000000002</v>
      </c>
      <c r="H46" s="23">
        <f>0</f>
        <v>0</v>
      </c>
      <c r="I46" s="23">
        <f>8896354.82</f>
        <v>8896354.8200000003</v>
      </c>
      <c r="J46" s="23">
        <f>37487549782.88</f>
        <v>37487549782.879997</v>
      </c>
      <c r="K46" s="23">
        <f>575863.09</f>
        <v>575863.09</v>
      </c>
      <c r="L46" s="23">
        <f>16431364.49</f>
        <v>16431364.49</v>
      </c>
      <c r="M46" s="23">
        <f>181568.04</f>
        <v>181568.04</v>
      </c>
      <c r="N46" s="23">
        <f>120086.64</f>
        <v>120086.64</v>
      </c>
      <c r="O46" s="23">
        <f>269178.46</f>
        <v>269178.46000000002</v>
      </c>
      <c r="P46" s="23">
        <f>269178.46</f>
        <v>269178.46000000002</v>
      </c>
      <c r="Q46" s="23">
        <f>0</f>
        <v>0</v>
      </c>
    </row>
    <row r="47" spans="1:17" ht="28.5" customHeight="1" x14ac:dyDescent="0.2">
      <c r="A47" s="18" t="s">
        <v>33</v>
      </c>
      <c r="B47" s="24">
        <f>5612141.01</f>
        <v>5612141.0099999998</v>
      </c>
      <c r="C47" s="24">
        <f>5612141.01</f>
        <v>5612141.0099999998</v>
      </c>
      <c r="D47" s="24">
        <f>5612141.01</f>
        <v>5612141.0099999998</v>
      </c>
      <c r="E47" s="24">
        <f>0</f>
        <v>0</v>
      </c>
      <c r="F47" s="24">
        <f>0</f>
        <v>0</v>
      </c>
      <c r="G47" s="24">
        <f>5612141.01</f>
        <v>5612141.0099999998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35071481130.37</f>
        <v>35071481130.370003</v>
      </c>
      <c r="C48" s="24">
        <f>35071481130.37</f>
        <v>35071481130.370003</v>
      </c>
      <c r="D48" s="24">
        <f>107627.12</f>
        <v>107627.12</v>
      </c>
      <c r="E48" s="24">
        <f>26066.45</f>
        <v>26066.45</v>
      </c>
      <c r="F48" s="24">
        <f>6743</f>
        <v>6743</v>
      </c>
      <c r="G48" s="24">
        <f>74817.67</f>
        <v>74817.67</v>
      </c>
      <c r="H48" s="24">
        <f>0</f>
        <v>0</v>
      </c>
      <c r="I48" s="24">
        <f>8812570.29</f>
        <v>8812570.2899999991</v>
      </c>
      <c r="J48" s="24">
        <f>35046969439.41</f>
        <v>35046969439.410004</v>
      </c>
      <c r="K48" s="24">
        <f>564024.97</f>
        <v>564024.97</v>
      </c>
      <c r="L48" s="24">
        <f>14887571.83</f>
        <v>14887571.83</v>
      </c>
      <c r="M48" s="24">
        <f>20459.02</f>
        <v>20459.02</v>
      </c>
      <c r="N48" s="24">
        <f>119437.73</f>
        <v>119437.73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2443375234.6</f>
        <v>2443375234.5999999</v>
      </c>
      <c r="C49" s="24">
        <f>2443106056.14</f>
        <v>2443106056.1399999</v>
      </c>
      <c r="D49" s="24">
        <f>724539.43</f>
        <v>724539.43</v>
      </c>
      <c r="E49" s="24">
        <f>428408.13</f>
        <v>428408.13</v>
      </c>
      <c r="F49" s="24">
        <f>81014.78</f>
        <v>81014.78</v>
      </c>
      <c r="G49" s="24">
        <f>215116.52</f>
        <v>215116.52</v>
      </c>
      <c r="H49" s="24">
        <f>0</f>
        <v>0</v>
      </c>
      <c r="I49" s="24">
        <f>83784.53</f>
        <v>83784.53</v>
      </c>
      <c r="J49" s="24">
        <f>2440580343.47</f>
        <v>2440580343.4699998</v>
      </c>
      <c r="K49" s="24">
        <f>11838.12</f>
        <v>11838.12</v>
      </c>
      <c r="L49" s="24">
        <f>1543792.66</f>
        <v>1543792.66</v>
      </c>
      <c r="M49" s="24">
        <f>161109.02</f>
        <v>161109.01999999999</v>
      </c>
      <c r="N49" s="24">
        <f>648.91</f>
        <v>648.91</v>
      </c>
      <c r="O49" s="24">
        <f>269178.46</f>
        <v>269178.46000000002</v>
      </c>
      <c r="P49" s="24">
        <f>269178.46</f>
        <v>269178.46000000002</v>
      </c>
      <c r="Q49" s="24">
        <f>0</f>
        <v>0</v>
      </c>
    </row>
    <row r="50" spans="1:17" ht="35.25" customHeight="1" x14ac:dyDescent="0.2">
      <c r="A50" s="28" t="s">
        <v>43</v>
      </c>
      <c r="B50" s="23">
        <f>29483017086.62</f>
        <v>29483017086.619999</v>
      </c>
      <c r="C50" s="23">
        <f>29427831562.68</f>
        <v>29427831562.68</v>
      </c>
      <c r="D50" s="23">
        <f>472036495.89</f>
        <v>472036495.88999999</v>
      </c>
      <c r="E50" s="23">
        <f>140365032.87</f>
        <v>140365032.87</v>
      </c>
      <c r="F50" s="23">
        <f>11662605.42</f>
        <v>11662605.42</v>
      </c>
      <c r="G50" s="23">
        <f>319281365.04</f>
        <v>319281365.04000002</v>
      </c>
      <c r="H50" s="23">
        <f>727492.56</f>
        <v>727492.56</v>
      </c>
      <c r="I50" s="23">
        <f>56000</f>
        <v>56000</v>
      </c>
      <c r="J50" s="23">
        <f>13660952.69</f>
        <v>13660952.689999999</v>
      </c>
      <c r="K50" s="23">
        <f>43379649.18</f>
        <v>43379649.18</v>
      </c>
      <c r="L50" s="23">
        <f>6957529557.09</f>
        <v>6957529557.0900002</v>
      </c>
      <c r="M50" s="23">
        <f>21748807961.73</f>
        <v>21748807961.73</v>
      </c>
      <c r="N50" s="23">
        <f>192360946.1</f>
        <v>192360946.09999999</v>
      </c>
      <c r="O50" s="23">
        <f>55185523.94</f>
        <v>55185523.939999998</v>
      </c>
      <c r="P50" s="23">
        <f>34155523.02</f>
        <v>34155523.020000003</v>
      </c>
      <c r="Q50" s="23">
        <f>21030000.92</f>
        <v>21030000.920000002</v>
      </c>
    </row>
    <row r="51" spans="1:17" ht="28.5" customHeight="1" x14ac:dyDescent="0.2">
      <c r="A51" s="18" t="s">
        <v>36</v>
      </c>
      <c r="B51" s="24">
        <f>6798690204.37</f>
        <v>6798690204.3699999</v>
      </c>
      <c r="C51" s="24">
        <f>6795340356.62</f>
        <v>6795340356.6199999</v>
      </c>
      <c r="D51" s="24">
        <f>78768638.89</f>
        <v>78768638.890000001</v>
      </c>
      <c r="E51" s="24">
        <f>2807840.75</f>
        <v>2807840.75</v>
      </c>
      <c r="F51" s="24">
        <f>3417399.14</f>
        <v>3417399.14</v>
      </c>
      <c r="G51" s="24">
        <f>72205711.26</f>
        <v>72205711.260000005</v>
      </c>
      <c r="H51" s="24">
        <f>337687.74</f>
        <v>337687.74</v>
      </c>
      <c r="I51" s="24">
        <f>0</f>
        <v>0</v>
      </c>
      <c r="J51" s="24">
        <f>285427.2</f>
        <v>285427.20000000001</v>
      </c>
      <c r="K51" s="24">
        <f>2130001.79</f>
        <v>2130001.79</v>
      </c>
      <c r="L51" s="24">
        <f>1096598332.44</f>
        <v>1096598332.4400001</v>
      </c>
      <c r="M51" s="24">
        <f>5546767344.34</f>
        <v>5546767344.3400002</v>
      </c>
      <c r="N51" s="24">
        <f>70790611.96</f>
        <v>70790611.959999993</v>
      </c>
      <c r="O51" s="24">
        <f>3349847.75</f>
        <v>3349847.75</v>
      </c>
      <c r="P51" s="24">
        <f>1154004.25</f>
        <v>1154004.25</v>
      </c>
      <c r="Q51" s="24">
        <f>2195843.5</f>
        <v>2195843.5</v>
      </c>
    </row>
    <row r="52" spans="1:17" ht="28.5" customHeight="1" x14ac:dyDescent="0.2">
      <c r="A52" s="18" t="s">
        <v>37</v>
      </c>
      <c r="B52" s="24">
        <f>22684326882.25</f>
        <v>22684326882.25</v>
      </c>
      <c r="C52" s="24">
        <f>22632491206.06</f>
        <v>22632491206.060001</v>
      </c>
      <c r="D52" s="24">
        <f>393267857</f>
        <v>393267857</v>
      </c>
      <c r="E52" s="24">
        <f>137557192.12</f>
        <v>137557192.12</v>
      </c>
      <c r="F52" s="24">
        <f>8245206.28</f>
        <v>8245206.2800000003</v>
      </c>
      <c r="G52" s="24">
        <f>247075653.78</f>
        <v>247075653.78</v>
      </c>
      <c r="H52" s="24">
        <f>389804.82</f>
        <v>389804.82</v>
      </c>
      <c r="I52" s="24">
        <f>56000</f>
        <v>56000</v>
      </c>
      <c r="J52" s="24">
        <f>13375525.49</f>
        <v>13375525.49</v>
      </c>
      <c r="K52" s="24">
        <f>41249647.39</f>
        <v>41249647.390000001</v>
      </c>
      <c r="L52" s="24">
        <f>5860931224.65</f>
        <v>5860931224.6499996</v>
      </c>
      <c r="M52" s="24">
        <f>16202040617.39</f>
        <v>16202040617.389999</v>
      </c>
      <c r="N52" s="24">
        <f>121570334.14</f>
        <v>121570334.14</v>
      </c>
      <c r="O52" s="24">
        <f>51835676.19</f>
        <v>51835676.189999998</v>
      </c>
      <c r="P52" s="24">
        <f>33001518.77</f>
        <v>33001518.77</v>
      </c>
      <c r="Q52" s="24">
        <f>18834157.42</f>
        <v>18834157.420000002</v>
      </c>
    </row>
    <row r="53" spans="1:17" ht="35.25" customHeight="1" x14ac:dyDescent="0.2">
      <c r="A53" s="28" t="s">
        <v>44</v>
      </c>
      <c r="B53" s="23">
        <f>8784362656.73</f>
        <v>8784362656.7299995</v>
      </c>
      <c r="C53" s="23">
        <f>8755884120.58</f>
        <v>8755884120.5799999</v>
      </c>
      <c r="D53" s="23">
        <f>1816786350.32</f>
        <v>1816786350.3199999</v>
      </c>
      <c r="E53" s="23">
        <f>1061754709.42</f>
        <v>1061754709.42</v>
      </c>
      <c r="F53" s="23">
        <f>22032283.99</f>
        <v>22032283.989999998</v>
      </c>
      <c r="G53" s="23">
        <f>708310039.49</f>
        <v>708310039.49000001</v>
      </c>
      <c r="H53" s="23">
        <f>24689317.42</f>
        <v>24689317.420000002</v>
      </c>
      <c r="I53" s="23">
        <f>56754.05</f>
        <v>56754.05</v>
      </c>
      <c r="J53" s="23">
        <f>9221790.11</f>
        <v>9221790.1099999994</v>
      </c>
      <c r="K53" s="23">
        <f>16302273.75</f>
        <v>16302273.75</v>
      </c>
      <c r="L53" s="23">
        <f>4274566784.41</f>
        <v>4274566784.4099998</v>
      </c>
      <c r="M53" s="23">
        <f>2299618959.87</f>
        <v>2299618959.8699999</v>
      </c>
      <c r="N53" s="23">
        <f>339331208.07</f>
        <v>339331208.06999999</v>
      </c>
      <c r="O53" s="23">
        <f>28478536.15</f>
        <v>28478536.149999999</v>
      </c>
      <c r="P53" s="23">
        <f>4233697.44</f>
        <v>4233697.4400000004</v>
      </c>
      <c r="Q53" s="23">
        <f>24244838.71</f>
        <v>24244838.710000001</v>
      </c>
    </row>
    <row r="54" spans="1:17" ht="28.5" customHeight="1" x14ac:dyDescent="0.2">
      <c r="A54" s="18" t="s">
        <v>38</v>
      </c>
      <c r="B54" s="24">
        <f>1405871746.06</f>
        <v>1405871746.0599999</v>
      </c>
      <c r="C54" s="24">
        <f>1405070019.75</f>
        <v>1405070019.75</v>
      </c>
      <c r="D54" s="24">
        <f>93895173.52</f>
        <v>93895173.519999996</v>
      </c>
      <c r="E54" s="24">
        <f>8566363.45</f>
        <v>8566363.4499999993</v>
      </c>
      <c r="F54" s="24">
        <f>4391780.51</f>
        <v>4391780.51</v>
      </c>
      <c r="G54" s="24">
        <f>76649912.3</f>
        <v>76649912.299999997</v>
      </c>
      <c r="H54" s="24">
        <f>4287117.26</f>
        <v>4287117.26</v>
      </c>
      <c r="I54" s="24">
        <f>0</f>
        <v>0</v>
      </c>
      <c r="J54" s="24">
        <f>664486.43</f>
        <v>664486.43000000005</v>
      </c>
      <c r="K54" s="24">
        <f>3681724.95</f>
        <v>3681724.95</v>
      </c>
      <c r="L54" s="24">
        <f>597608383.77</f>
        <v>597608383.76999998</v>
      </c>
      <c r="M54" s="24">
        <f>683609583.51</f>
        <v>683609583.50999999</v>
      </c>
      <c r="N54" s="24">
        <f>25610667.57</f>
        <v>25610667.57</v>
      </c>
      <c r="O54" s="24">
        <f>801726.31</f>
        <v>801726.31</v>
      </c>
      <c r="P54" s="24">
        <f>123221.8</f>
        <v>123221.8</v>
      </c>
      <c r="Q54" s="24">
        <f>678504.51</f>
        <v>678504.51</v>
      </c>
    </row>
    <row r="55" spans="1:17" ht="47.25" customHeight="1" x14ac:dyDescent="0.2">
      <c r="A55" s="18" t="s">
        <v>78</v>
      </c>
      <c r="B55" s="24">
        <f>649824126.68</f>
        <v>649824126.67999995</v>
      </c>
      <c r="C55" s="24">
        <f>649823900.68</f>
        <v>649823900.67999995</v>
      </c>
      <c r="D55" s="24">
        <f>146345447.48</f>
        <v>146345447.47999999</v>
      </c>
      <c r="E55" s="24">
        <f>122386380.01</f>
        <v>122386380.01000001</v>
      </c>
      <c r="F55" s="24">
        <f>3317013.48</f>
        <v>3317013.48</v>
      </c>
      <c r="G55" s="24">
        <f>17737211.33</f>
        <v>17737211.329999998</v>
      </c>
      <c r="H55" s="24">
        <f>2904842.66</f>
        <v>2904842.66</v>
      </c>
      <c r="I55" s="24">
        <f>0</f>
        <v>0</v>
      </c>
      <c r="J55" s="24">
        <f>28627.71</f>
        <v>28627.71</v>
      </c>
      <c r="K55" s="24">
        <f>4292231.06</f>
        <v>4292231.0599999996</v>
      </c>
      <c r="L55" s="24">
        <f>330158908.35</f>
        <v>330158908.35000002</v>
      </c>
      <c r="M55" s="24">
        <f>165493767.86</f>
        <v>165493767.86000001</v>
      </c>
      <c r="N55" s="24">
        <f>3504918.22</f>
        <v>3504918.22</v>
      </c>
      <c r="O55" s="24">
        <f>226</f>
        <v>226</v>
      </c>
      <c r="P55" s="24">
        <f>226</f>
        <v>226</v>
      </c>
      <c r="Q55" s="24">
        <f>0</f>
        <v>0</v>
      </c>
    </row>
    <row r="56" spans="1:17" ht="35.25" customHeight="1" x14ac:dyDescent="0.2">
      <c r="A56" s="18" t="s">
        <v>39</v>
      </c>
      <c r="B56" s="24">
        <f>6728666783.99</f>
        <v>6728666783.9899998</v>
      </c>
      <c r="C56" s="24">
        <f>6700990200.15</f>
        <v>6700990200.1499996</v>
      </c>
      <c r="D56" s="24">
        <f>1576545729.32</f>
        <v>1576545729.3199999</v>
      </c>
      <c r="E56" s="24">
        <f>930801965.96</f>
        <v>930801965.96000004</v>
      </c>
      <c r="F56" s="24">
        <f>14323490</f>
        <v>14323490</v>
      </c>
      <c r="G56" s="24">
        <f>613922915.86</f>
        <v>613922915.86000001</v>
      </c>
      <c r="H56" s="24">
        <f>17497357.5</f>
        <v>17497357.5</v>
      </c>
      <c r="I56" s="24">
        <f>56754.05</f>
        <v>56754.05</v>
      </c>
      <c r="J56" s="24">
        <f>8528675.97</f>
        <v>8528675.9700000007</v>
      </c>
      <c r="K56" s="24">
        <f>8328317.74</f>
        <v>8328317.7400000002</v>
      </c>
      <c r="L56" s="24">
        <f>3346799492.29</f>
        <v>3346799492.29</v>
      </c>
      <c r="M56" s="24">
        <f>1450515608.5</f>
        <v>1450515608.5</v>
      </c>
      <c r="N56" s="24">
        <f>310215622.28</f>
        <v>310215622.27999997</v>
      </c>
      <c r="O56" s="24">
        <f>27676583.84</f>
        <v>27676583.84</v>
      </c>
      <c r="P56" s="24">
        <f>4110249.64</f>
        <v>4110249.64</v>
      </c>
      <c r="Q56" s="24">
        <f>23566334.2</f>
        <v>23566334.199999999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IV Kwartały 2023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4474599024.74</f>
        <v>4474599024.7399998</v>
      </c>
      <c r="G77" s="22">
        <f>1164328959.22</f>
        <v>1164328959.22</v>
      </c>
      <c r="H77" s="22">
        <f>71443081</f>
        <v>71443081</v>
      </c>
      <c r="I77" s="22">
        <f>255861566.58</f>
        <v>255861566.58000001</v>
      </c>
      <c r="J77" s="22">
        <f>803416722.5</f>
        <v>803416722.5</v>
      </c>
      <c r="K77" s="22">
        <f>33607589.14</f>
        <v>33607589.140000001</v>
      </c>
      <c r="L77" s="22">
        <f>3310270065.52</f>
        <v>3310270065.52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7392319.86</f>
        <v>7392319.8600000003</v>
      </c>
      <c r="G78" s="25">
        <f>4978399.8</f>
        <v>4978399.8</v>
      </c>
      <c r="H78" s="25">
        <f>0</f>
        <v>0</v>
      </c>
      <c r="I78" s="25">
        <f>0</f>
        <v>0</v>
      </c>
      <c r="J78" s="25">
        <f>4978399.8</f>
        <v>4978399.8</v>
      </c>
      <c r="K78" s="25">
        <f>0</f>
        <v>0</v>
      </c>
      <c r="L78" s="25">
        <f>2413920.06</f>
        <v>2413920.06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454528447.88</f>
        <v>454528447.88</v>
      </c>
      <c r="G79" s="25">
        <f>196181850.91</f>
        <v>196181850.91</v>
      </c>
      <c r="H79" s="25">
        <f>532575</f>
        <v>532575</v>
      </c>
      <c r="I79" s="25">
        <f>7611780.72</f>
        <v>7611780.7199999997</v>
      </c>
      <c r="J79" s="25">
        <f>187927909.15</f>
        <v>187927909.15000001</v>
      </c>
      <c r="K79" s="25">
        <f>109586.04</f>
        <v>109586.04</v>
      </c>
      <c r="L79" s="25">
        <f>258346596.97</f>
        <v>258346596.97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87485210.06</f>
        <v>87485210.060000002</v>
      </c>
      <c r="G80" s="25">
        <f>44769054.64</f>
        <v>44769054.640000001</v>
      </c>
      <c r="H80" s="25">
        <f>0</f>
        <v>0</v>
      </c>
      <c r="I80" s="25">
        <f>0</f>
        <v>0</v>
      </c>
      <c r="J80" s="25">
        <f>44769054.64</f>
        <v>44769054.640000001</v>
      </c>
      <c r="K80" s="25">
        <f>0</f>
        <v>0</v>
      </c>
      <c r="L80" s="25">
        <f>42716155.42</f>
        <v>42716155.420000002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18920124.54</f>
        <v>18920124.539999999</v>
      </c>
      <c r="G81" s="25">
        <f>18471240.98</f>
        <v>18471240.98</v>
      </c>
      <c r="H81" s="25">
        <f>0</f>
        <v>0</v>
      </c>
      <c r="I81" s="25">
        <f>0</f>
        <v>0</v>
      </c>
      <c r="J81" s="25">
        <f>18471240.98</f>
        <v>18471240.98</v>
      </c>
      <c r="K81" s="25">
        <f>0</f>
        <v>0</v>
      </c>
      <c r="L81" s="25">
        <f>448883.56</f>
        <v>448883.56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37481091.86</f>
        <v>37481091.859999999</v>
      </c>
      <c r="G82" s="25">
        <f>21733850.59</f>
        <v>21733850.59</v>
      </c>
      <c r="H82" s="25">
        <f>0</f>
        <v>0</v>
      </c>
      <c r="I82" s="25">
        <f>0</f>
        <v>0</v>
      </c>
      <c r="J82" s="25">
        <f>21733850.59</f>
        <v>21733850.59</v>
      </c>
      <c r="K82" s="25">
        <f>0</f>
        <v>0</v>
      </c>
      <c r="L82" s="25">
        <f>15747241.27</f>
        <v>15747241.27</v>
      </c>
    </row>
    <row r="83" spans="1:13" ht="33" customHeight="1" x14ac:dyDescent="0.2">
      <c r="B83" s="55" t="s">
        <v>59</v>
      </c>
      <c r="C83" s="56"/>
      <c r="D83" s="56"/>
      <c r="E83" s="57"/>
      <c r="F83" s="22">
        <f>3820678.89</f>
        <v>3820678.89</v>
      </c>
      <c r="G83" s="22">
        <f>1210325.47</f>
        <v>1210325.47</v>
      </c>
      <c r="H83" s="22">
        <f>0</f>
        <v>0</v>
      </c>
      <c r="I83" s="22">
        <f>0</f>
        <v>0</v>
      </c>
      <c r="J83" s="22">
        <f>1210325.47</f>
        <v>1210325.47</v>
      </c>
      <c r="K83" s="22">
        <f>0</f>
        <v>0</v>
      </c>
      <c r="L83" s="22">
        <f>2610353.42</f>
        <v>2610353.42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IV Kwartały 2023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537</f>
        <v>537</v>
      </c>
      <c r="H89" s="59"/>
      <c r="I89" s="41">
        <f>2930422941.91</f>
        <v>2930422941.9099998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2270</f>
        <v>2270</v>
      </c>
      <c r="H90" s="62"/>
      <c r="I90" s="63">
        <f>-25870337964.95</f>
        <v>-25870337964.950001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4</f>
        <v>4</v>
      </c>
      <c r="C94" s="7" t="str">
        <f>IF(B94=1,"I Kwartał",IF(B94=2,"II Kwartały",IF(B94=3,"III Kwartały",IF(B94=4,"IV Kwartały","-"))))</f>
        <v>IV Kwartały</v>
      </c>
    </row>
    <row r="95" spans="1:13" ht="13.5" customHeight="1" x14ac:dyDescent="0.2">
      <c r="A95" s="7" t="s">
        <v>9</v>
      </c>
      <c r="B95" s="7">
        <f>2023</f>
        <v>2023</v>
      </c>
      <c r="C95" s="8"/>
    </row>
    <row r="96" spans="1:13" ht="13.5" customHeight="1" x14ac:dyDescent="0.2">
      <c r="A96" s="7" t="s">
        <v>10</v>
      </c>
      <c r="B96" s="9" t="str">
        <f>"Mar 15 2024 12:00AM"</f>
        <v>Mar 15 2024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2024-03-27T09:03:57Z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2024-03-27T10:03:56.2181337+01:00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GRN-b0534562-b448-4c40-aace-dd3da1283c38</vt:lpwstr>
  </property>
  <property fmtid="{D5CDD505-2E9C-101B-9397-08002B2CF9AE}" pid="7" name="MFHash">
    <vt:lpwstr>tHwMMt/yKzN2kkTtY3J06MNPqSXH4qf1e0AoNlXfWy8=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